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4 COMPUTER\Downloads\Mô hình dự báo\"/>
    </mc:Choice>
  </mc:AlternateContent>
  <xr:revisionPtr revIDLastSave="0" documentId="13_ncr:1_{8E6CF100-6267-4B1E-8698-7BA9EF45ADE4}" xr6:coauthVersionLast="47" xr6:coauthVersionMax="47" xr10:uidLastSave="{00000000-0000-0000-0000-000000000000}"/>
  <bookViews>
    <workbookView xWindow="-110" yWindow="-110" windowWidth="19420" windowHeight="10420" xr2:uid="{7F5F527C-FDA3-417D-B529-66D896C165A6}"/>
  </bookViews>
  <sheets>
    <sheet name="3c. AAPL -Holt Winter theo quý " sheetId="11" r:id="rId1"/>
    <sheet name="3c. SONY -Holt Winter theo quý" sheetId="16" r:id="rId2"/>
    <sheet name="3c. NVDA -Holt Winter theo quý" sheetId="17" r:id="rId3"/>
    <sheet name="3c. INTC -Holt Winter theo quý" sheetId="19" r:id="rId4"/>
    <sheet name="3c. MSFT -Holt Winter theo quý" sheetId="20" r:id="rId5"/>
  </sheets>
  <definedNames>
    <definedName name="alpha" localSheetId="0">'3c. AAPL -Holt Winter theo quý '!$B$3</definedName>
    <definedName name="alpha" localSheetId="3">'3c. INTC -Holt Winter theo quý'!$B$3</definedName>
    <definedName name="alpha" localSheetId="4">'3c. MSFT -Holt Winter theo quý'!$B$3</definedName>
    <definedName name="alpha" localSheetId="2">'3c. NVDA -Holt Winter theo quý'!$B$3</definedName>
    <definedName name="alpha" localSheetId="1">'3c. SONY -Holt Winter theo quý'!$B$3</definedName>
    <definedName name="beta" localSheetId="0">'3c. AAPL -Holt Winter theo quý '!$B$4</definedName>
    <definedName name="beta" localSheetId="3">'3c. INTC -Holt Winter theo quý'!$B$4</definedName>
    <definedName name="beta" localSheetId="4">'3c. AAPL -Holt Winter theo quý '!$B$4</definedName>
    <definedName name="beta" localSheetId="2">'3c. NVDA -Holt Winter theo quý'!$B$4</definedName>
    <definedName name="beta" localSheetId="1">'3c. SONY -Holt Winter theo quý'!$B$4</definedName>
    <definedName name="NativeTimeline_Date">#N/A</definedName>
    <definedName name="solver_adj" localSheetId="0" hidden="1">'3c. AAPL -Holt Winter theo quý '!$B$3:$B$5</definedName>
    <definedName name="solver_adj" localSheetId="3" hidden="1">'3c. INTC -Holt Winter theo quý'!$B$3:$B$5</definedName>
    <definedName name="solver_adj" localSheetId="4" hidden="1">'3c. MSFT -Holt Winter theo quý'!$B$3:$B$5</definedName>
    <definedName name="solver_adj" localSheetId="2" hidden="1">'3c. NVDA -Holt Winter theo quý'!$B$3:$B$5</definedName>
    <definedName name="solver_adj" localSheetId="1" hidden="1">'3c. SONY -Holt Winter theo quý'!$B$3:$B$5</definedName>
    <definedName name="solver_cvg" localSheetId="0" hidden="1">0.0001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drv" localSheetId="1" hidden="1">1</definedName>
    <definedName name="solver_eng" localSheetId="0" hidden="1">3</definedName>
    <definedName name="solver_eng" localSheetId="3" hidden="1">3</definedName>
    <definedName name="solver_eng" localSheetId="4" hidden="1">3</definedName>
    <definedName name="solver_eng" localSheetId="2" hidden="1">3</definedName>
    <definedName name="solver_eng" localSheetId="1" hidden="1">3</definedName>
    <definedName name="solver_est" localSheetId="0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lhs1" localSheetId="0" hidden="1">'3c. AAPL -Holt Winter theo quý '!$B$3:$B$5</definedName>
    <definedName name="solver_lhs1" localSheetId="3" hidden="1">'3c. INTC -Holt Winter theo quý'!$B$3:$B$5</definedName>
    <definedName name="solver_lhs1" localSheetId="4" hidden="1">'3c. MSFT -Holt Winter theo quý'!$B$3:$B$5</definedName>
    <definedName name="solver_lhs1" localSheetId="2" hidden="1">'3c. NVDA -Holt Winter theo quý'!$B$3:$B$5</definedName>
    <definedName name="solver_lhs1" localSheetId="1" hidden="1">'3c. SONY -Holt Winter theo quý'!$B$3:$B$5</definedName>
    <definedName name="solver_lhs2" localSheetId="0" hidden="1">'3c. AAPL -Holt Winter theo quý '!$B$3:$B$5</definedName>
    <definedName name="solver_lhs2" localSheetId="3" hidden="1">'3c. INTC -Holt Winter theo quý'!$B$3:$B$5</definedName>
    <definedName name="solver_lhs2" localSheetId="4" hidden="1">'3c. MSFT -Holt Winter theo quý'!$B$3:$B$5</definedName>
    <definedName name="solver_lhs2" localSheetId="2" hidden="1">'3c. NVDA -Holt Winter theo quý'!$B$3:$B$5</definedName>
    <definedName name="solver_lhs2" localSheetId="1" hidden="1">'3c. SONY -Holt Winter theo quý'!$B$3:$B$5</definedName>
    <definedName name="solver_mip" localSheetId="0" hidden="1">2147483647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um" localSheetId="0" hidden="1">2</definedName>
    <definedName name="solver_num" localSheetId="3" hidden="1">2</definedName>
    <definedName name="solver_num" localSheetId="4" hidden="1">2</definedName>
    <definedName name="solver_num" localSheetId="2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opt" localSheetId="0" hidden="1">'3c. AAPL -Holt Winter theo quý '!$B$10</definedName>
    <definedName name="solver_opt" localSheetId="3" hidden="1">'3c. INTC -Holt Winter theo quý'!$B$10</definedName>
    <definedName name="solver_opt" localSheetId="4" hidden="1">'3c. MSFT -Holt Winter theo quý'!$B$10</definedName>
    <definedName name="solver_opt" localSheetId="2" hidden="1">'3c. NVDA -Holt Winter theo quý'!$B$10</definedName>
    <definedName name="solver_opt" localSheetId="1" hidden="1">'3c. SONY -Holt Winter theo quý'!$B$10</definedName>
    <definedName name="solver_pre" localSheetId="0" hidden="1">0.000001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4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3" hidden="1">1</definedName>
    <definedName name="solver_rel1" localSheetId="4" hidden="1">1</definedName>
    <definedName name="solver_rel1" localSheetId="2" hidden="1">1</definedName>
    <definedName name="solver_rel1" localSheetId="1" hidden="1">1</definedName>
    <definedName name="solver_rel2" localSheetId="0" hidden="1">3</definedName>
    <definedName name="solver_rel2" localSheetId="3" hidden="1">3</definedName>
    <definedName name="solver_rel2" localSheetId="4" hidden="1">3</definedName>
    <definedName name="solver_rel2" localSheetId="2" hidden="1">3</definedName>
    <definedName name="solver_rel2" localSheetId="1" hidden="1">3</definedName>
    <definedName name="solver_rhs1" localSheetId="0" hidden="1">0.99</definedName>
    <definedName name="solver_rhs1" localSheetId="3" hidden="1">0.99</definedName>
    <definedName name="solver_rhs1" localSheetId="4" hidden="1">0.99</definedName>
    <definedName name="solver_rhs1" localSheetId="2" hidden="1">0.99</definedName>
    <definedName name="solver_rhs1" localSheetId="1" hidden="1">0.99</definedName>
    <definedName name="solver_rhs2" localSheetId="0" hidden="1">0.01</definedName>
    <definedName name="solver_rhs2" localSheetId="3" hidden="1">0.01</definedName>
    <definedName name="solver_rhs2" localSheetId="4" hidden="1">0.01</definedName>
    <definedName name="solver_rhs2" localSheetId="2" hidden="1">0.01</definedName>
    <definedName name="solver_rhs2" localSheetId="1" hidden="1">0.01</definedName>
    <definedName name="solver_rlx" localSheetId="0" hidden="1">2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4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4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0" l="1"/>
  <c r="C26" i="20" s="1"/>
  <c r="C27" i="20" s="1"/>
  <c r="H3" i="20"/>
  <c r="F4" i="20" s="1"/>
  <c r="C25" i="19"/>
  <c r="C26" i="19" s="1"/>
  <c r="C27" i="19" s="1"/>
  <c r="H3" i="19"/>
  <c r="F4" i="19" s="1"/>
  <c r="C25" i="17"/>
  <c r="C26" i="17" s="1"/>
  <c r="C27" i="17" s="1"/>
  <c r="H3" i="17"/>
  <c r="F4" i="17" s="1"/>
  <c r="H4" i="20" l="1"/>
  <c r="G4" i="20"/>
  <c r="F5" i="20" s="1"/>
  <c r="G5" i="20" s="1"/>
  <c r="F6" i="20" s="1"/>
  <c r="G4" i="19"/>
  <c r="F5" i="19" s="1"/>
  <c r="G5" i="19" s="1"/>
  <c r="F6" i="19" s="1"/>
  <c r="H4" i="19"/>
  <c r="H4" i="17"/>
  <c r="I5" i="17" s="1"/>
  <c r="G4" i="17"/>
  <c r="F5" i="17" s="1"/>
  <c r="G5" i="17" s="1"/>
  <c r="F6" i="17" s="1"/>
  <c r="H5" i="19" l="1"/>
  <c r="H6" i="19" s="1"/>
  <c r="H5" i="20"/>
  <c r="I6" i="20" s="1"/>
  <c r="J6" i="20"/>
  <c r="I5" i="20"/>
  <c r="G6" i="20"/>
  <c r="F7" i="20" s="1"/>
  <c r="J5" i="20"/>
  <c r="I5" i="19"/>
  <c r="J6" i="19"/>
  <c r="G6" i="19"/>
  <c r="F7" i="19" s="1"/>
  <c r="J5" i="19"/>
  <c r="I6" i="19"/>
  <c r="J6" i="17"/>
  <c r="J5" i="17"/>
  <c r="G6" i="17"/>
  <c r="F7" i="17" s="1"/>
  <c r="G7" i="17" s="1"/>
  <c r="F8" i="17" s="1"/>
  <c r="H5" i="17"/>
  <c r="H6" i="17" s="1"/>
  <c r="H6" i="20" l="1"/>
  <c r="G7" i="20"/>
  <c r="F8" i="20" s="1"/>
  <c r="G8" i="20" s="1"/>
  <c r="F9" i="20" s="1"/>
  <c r="J7" i="20"/>
  <c r="H7" i="20"/>
  <c r="K5" i="20"/>
  <c r="L5" i="20"/>
  <c r="K6" i="20"/>
  <c r="M6" i="20" s="1"/>
  <c r="L6" i="20"/>
  <c r="I7" i="20"/>
  <c r="I7" i="19"/>
  <c r="J7" i="19"/>
  <c r="L5" i="19"/>
  <c r="K5" i="19"/>
  <c r="G7" i="19"/>
  <c r="F8" i="19" s="1"/>
  <c r="L6" i="19"/>
  <c r="K6" i="19"/>
  <c r="M6" i="19" s="1"/>
  <c r="H7" i="19"/>
  <c r="H7" i="17"/>
  <c r="H8" i="17" s="1"/>
  <c r="L5" i="17"/>
  <c r="K5" i="17"/>
  <c r="J8" i="17"/>
  <c r="G8" i="17"/>
  <c r="F9" i="17" s="1"/>
  <c r="J7" i="17"/>
  <c r="L6" i="17"/>
  <c r="K6" i="17"/>
  <c r="M6" i="17" s="1"/>
  <c r="I6" i="17"/>
  <c r="I7" i="17"/>
  <c r="H8" i="20" l="1"/>
  <c r="H9" i="20" s="1"/>
  <c r="H8" i="19"/>
  <c r="J9" i="20"/>
  <c r="L7" i="20"/>
  <c r="K7" i="20"/>
  <c r="M7" i="20" s="1"/>
  <c r="M5" i="20"/>
  <c r="I8" i="20"/>
  <c r="G9" i="20"/>
  <c r="F10" i="20" s="1"/>
  <c r="J8" i="20"/>
  <c r="I8" i="17"/>
  <c r="J8" i="19"/>
  <c r="G8" i="19"/>
  <c r="F9" i="19" s="1"/>
  <c r="K7" i="19"/>
  <c r="M7" i="19" s="1"/>
  <c r="L7" i="19"/>
  <c r="M5" i="19"/>
  <c r="I8" i="19"/>
  <c r="J9" i="17"/>
  <c r="H9" i="17"/>
  <c r="L8" i="17"/>
  <c r="K8" i="17"/>
  <c r="M8" i="17" s="1"/>
  <c r="M5" i="17"/>
  <c r="K7" i="17"/>
  <c r="M7" i="17" s="1"/>
  <c r="L7" i="17"/>
  <c r="I9" i="17"/>
  <c r="G9" i="17"/>
  <c r="F10" i="17" s="1"/>
  <c r="G10" i="17" s="1"/>
  <c r="F11" i="17" s="1"/>
  <c r="I9" i="20" l="1"/>
  <c r="L9" i="20"/>
  <c r="K9" i="20"/>
  <c r="M9" i="20" s="1"/>
  <c r="K8" i="20"/>
  <c r="L8" i="20"/>
  <c r="I10" i="20"/>
  <c r="J10" i="20"/>
  <c r="H10" i="20"/>
  <c r="G10" i="20"/>
  <c r="F11" i="20" s="1"/>
  <c r="H10" i="17"/>
  <c r="H11" i="17" s="1"/>
  <c r="J9" i="19"/>
  <c r="L8" i="19"/>
  <c r="K8" i="19"/>
  <c r="M8" i="19" s="1"/>
  <c r="H9" i="19"/>
  <c r="G9" i="19"/>
  <c r="F10" i="19" s="1"/>
  <c r="I9" i="19"/>
  <c r="K9" i="17"/>
  <c r="L9" i="17"/>
  <c r="J11" i="17"/>
  <c r="J10" i="17"/>
  <c r="I11" i="17"/>
  <c r="G11" i="17"/>
  <c r="F12" i="17" s="1"/>
  <c r="I10" i="17"/>
  <c r="I11" i="20" l="1"/>
  <c r="J11" i="20"/>
  <c r="M8" i="20"/>
  <c r="H11" i="20"/>
  <c r="G11" i="20"/>
  <c r="F12" i="20" s="1"/>
  <c r="K10" i="20"/>
  <c r="M10" i="20" s="1"/>
  <c r="L10" i="20"/>
  <c r="H12" i="17"/>
  <c r="H10" i="19"/>
  <c r="L9" i="19"/>
  <c r="K9" i="19"/>
  <c r="I10" i="19"/>
  <c r="J10" i="19"/>
  <c r="G10" i="19"/>
  <c r="F11" i="19" s="1"/>
  <c r="L10" i="17"/>
  <c r="K10" i="17"/>
  <c r="M10" i="17" s="1"/>
  <c r="G12" i="17"/>
  <c r="F13" i="17" s="1"/>
  <c r="G13" i="17" s="1"/>
  <c r="F14" i="17" s="1"/>
  <c r="J12" i="17"/>
  <c r="I12" i="17"/>
  <c r="M9" i="17"/>
  <c r="L11" i="17"/>
  <c r="K11" i="17"/>
  <c r="M11" i="17" s="1"/>
  <c r="H11" i="19" l="1"/>
  <c r="I11" i="19"/>
  <c r="I12" i="20"/>
  <c r="H12" i="20"/>
  <c r="K11" i="20"/>
  <c r="M11" i="20" s="1"/>
  <c r="L11" i="20"/>
  <c r="J12" i="20"/>
  <c r="G12" i="20"/>
  <c r="F13" i="20" s="1"/>
  <c r="L10" i="19"/>
  <c r="K10" i="19"/>
  <c r="M10" i="19" s="1"/>
  <c r="G11" i="19"/>
  <c r="F12" i="19" s="1"/>
  <c r="M9" i="19"/>
  <c r="J11" i="19"/>
  <c r="I13" i="17"/>
  <c r="L12" i="17"/>
  <c r="K12" i="17"/>
  <c r="J14" i="17"/>
  <c r="J13" i="17"/>
  <c r="G14" i="17"/>
  <c r="F15" i="17" s="1"/>
  <c r="H13" i="17"/>
  <c r="H14" i="17" s="1"/>
  <c r="I13" i="20" l="1"/>
  <c r="J13" i="20"/>
  <c r="K12" i="20"/>
  <c r="L12" i="20"/>
  <c r="G13" i="20"/>
  <c r="F14" i="20" s="1"/>
  <c r="H13" i="20"/>
  <c r="J12" i="19"/>
  <c r="L11" i="19"/>
  <c r="K11" i="19"/>
  <c r="M11" i="19" s="1"/>
  <c r="G12" i="19"/>
  <c r="F13" i="19" s="1"/>
  <c r="I12" i="19"/>
  <c r="H12" i="19"/>
  <c r="H15" i="17"/>
  <c r="M12" i="17"/>
  <c r="J15" i="17"/>
  <c r="G15" i="17"/>
  <c r="F16" i="17" s="1"/>
  <c r="L13" i="17"/>
  <c r="K13" i="17"/>
  <c r="M13" i="17" s="1"/>
  <c r="K14" i="17"/>
  <c r="M14" i="17" s="1"/>
  <c r="L14" i="17"/>
  <c r="I14" i="17"/>
  <c r="I15" i="17"/>
  <c r="H14" i="20" l="1"/>
  <c r="M12" i="20"/>
  <c r="J14" i="20"/>
  <c r="I14" i="20"/>
  <c r="K13" i="20"/>
  <c r="M13" i="20" s="1"/>
  <c r="L13" i="20"/>
  <c r="G14" i="20"/>
  <c r="F15" i="20" s="1"/>
  <c r="I16" i="17"/>
  <c r="H13" i="19"/>
  <c r="I13" i="19"/>
  <c r="J13" i="19"/>
  <c r="L12" i="19"/>
  <c r="K12" i="19"/>
  <c r="G13" i="19"/>
  <c r="F14" i="19" s="1"/>
  <c r="J16" i="17"/>
  <c r="K15" i="17"/>
  <c r="M15" i="17" s="1"/>
  <c r="L15" i="17"/>
  <c r="G16" i="17"/>
  <c r="F17" i="17" s="1"/>
  <c r="H16" i="17"/>
  <c r="J15" i="20" l="1"/>
  <c r="G15" i="20"/>
  <c r="F16" i="20" s="1"/>
  <c r="K14" i="20"/>
  <c r="M14" i="20" s="1"/>
  <c r="L14" i="20"/>
  <c r="I15" i="20"/>
  <c r="H15" i="20"/>
  <c r="H16" i="20" s="1"/>
  <c r="J14" i="19"/>
  <c r="M12" i="19"/>
  <c r="H14" i="19"/>
  <c r="L13" i="19"/>
  <c r="K13" i="19"/>
  <c r="M13" i="19" s="1"/>
  <c r="G14" i="19"/>
  <c r="F15" i="19" s="1"/>
  <c r="I14" i="19"/>
  <c r="I17" i="17"/>
  <c r="G17" i="17"/>
  <c r="F18" i="17" s="1"/>
  <c r="H17" i="17"/>
  <c r="K16" i="17"/>
  <c r="M16" i="17" s="1"/>
  <c r="L16" i="17"/>
  <c r="J17" i="17"/>
  <c r="G18" i="17"/>
  <c r="F19" i="17" s="1"/>
  <c r="I18" i="17" l="1"/>
  <c r="K15" i="20"/>
  <c r="M15" i="20" s="1"/>
  <c r="L15" i="20"/>
  <c r="I16" i="20"/>
  <c r="J16" i="20"/>
  <c r="G16" i="20"/>
  <c r="F17" i="20" s="1"/>
  <c r="H17" i="20" s="1"/>
  <c r="I15" i="19"/>
  <c r="H15" i="19"/>
  <c r="L14" i="19"/>
  <c r="K14" i="19"/>
  <c r="M14" i="19" s="1"/>
  <c r="J15" i="19"/>
  <c r="G15" i="19"/>
  <c r="F16" i="19" s="1"/>
  <c r="H18" i="17"/>
  <c r="H19" i="17" s="1"/>
  <c r="J19" i="17"/>
  <c r="K17" i="17"/>
  <c r="M17" i="17" s="1"/>
  <c r="L17" i="17"/>
  <c r="J18" i="17"/>
  <c r="G19" i="17"/>
  <c r="F20" i="17" s="1"/>
  <c r="K16" i="20" l="1"/>
  <c r="M16" i="20" s="1"/>
  <c r="L16" i="20"/>
  <c r="J17" i="20"/>
  <c r="I17" i="20"/>
  <c r="G17" i="20"/>
  <c r="F18" i="20" s="1"/>
  <c r="I19" i="17"/>
  <c r="I16" i="19"/>
  <c r="H16" i="19"/>
  <c r="L15" i="19"/>
  <c r="K15" i="19"/>
  <c r="M15" i="19" s="1"/>
  <c r="G16" i="19"/>
  <c r="F17" i="19" s="1"/>
  <c r="J16" i="19"/>
  <c r="J20" i="17"/>
  <c r="G20" i="17"/>
  <c r="F21" i="17" s="1"/>
  <c r="I20" i="17"/>
  <c r="K18" i="17"/>
  <c r="M18" i="17" s="1"/>
  <c r="L18" i="17"/>
  <c r="K19" i="17"/>
  <c r="M19" i="17" s="1"/>
  <c r="L19" i="17"/>
  <c r="H20" i="17"/>
  <c r="H17" i="19" l="1"/>
  <c r="G18" i="20"/>
  <c r="F19" i="20" s="1"/>
  <c r="G19" i="20" s="1"/>
  <c r="F20" i="20" s="1"/>
  <c r="K17" i="20"/>
  <c r="M17" i="20" s="1"/>
  <c r="L17" i="20"/>
  <c r="J18" i="20"/>
  <c r="I18" i="20"/>
  <c r="H18" i="20"/>
  <c r="H19" i="20" s="1"/>
  <c r="J17" i="19"/>
  <c r="G17" i="19"/>
  <c r="F18" i="19" s="1"/>
  <c r="H18" i="19" s="1"/>
  <c r="I17" i="19"/>
  <c r="L16" i="19"/>
  <c r="K16" i="19"/>
  <c r="M16" i="19" s="1"/>
  <c r="J21" i="17"/>
  <c r="I21" i="17"/>
  <c r="G21" i="17"/>
  <c r="F22" i="17" s="1"/>
  <c r="H21" i="17"/>
  <c r="K20" i="17"/>
  <c r="M20" i="17" s="1"/>
  <c r="L20" i="17"/>
  <c r="J20" i="20" l="1"/>
  <c r="K18" i="20"/>
  <c r="M18" i="20" s="1"/>
  <c r="L18" i="20"/>
  <c r="H20" i="20"/>
  <c r="I19" i="20"/>
  <c r="G20" i="20"/>
  <c r="F21" i="20" s="1"/>
  <c r="I20" i="20"/>
  <c r="J19" i="20"/>
  <c r="H22" i="17"/>
  <c r="J18" i="19"/>
  <c r="I18" i="19"/>
  <c r="L17" i="19"/>
  <c r="K17" i="19"/>
  <c r="M17" i="19" s="1"/>
  <c r="G18" i="19"/>
  <c r="F19" i="19" s="1"/>
  <c r="I22" i="17"/>
  <c r="G22" i="17"/>
  <c r="F23" i="17" s="1"/>
  <c r="J22" i="17"/>
  <c r="K21" i="17"/>
  <c r="M21" i="17" s="1"/>
  <c r="L21" i="17"/>
  <c r="H23" i="17" l="1"/>
  <c r="K20" i="20"/>
  <c r="M20" i="20" s="1"/>
  <c r="L20" i="20"/>
  <c r="K19" i="20"/>
  <c r="M19" i="20" s="1"/>
  <c r="L19" i="20"/>
  <c r="J21" i="20"/>
  <c r="H21" i="20"/>
  <c r="I21" i="20"/>
  <c r="G21" i="20"/>
  <c r="F22" i="20" s="1"/>
  <c r="J19" i="19"/>
  <c r="L18" i="19"/>
  <c r="K18" i="19"/>
  <c r="M18" i="19" s="1"/>
  <c r="G19" i="19"/>
  <c r="F20" i="19" s="1"/>
  <c r="I19" i="19"/>
  <c r="H19" i="19"/>
  <c r="K22" i="17"/>
  <c r="M22" i="17" s="1"/>
  <c r="L22" i="17"/>
  <c r="J23" i="17"/>
  <c r="I23" i="17"/>
  <c r="G23" i="17"/>
  <c r="I24" i="17" s="1"/>
  <c r="H22" i="20" l="1"/>
  <c r="K21" i="20"/>
  <c r="M21" i="20" s="1"/>
  <c r="L21" i="20"/>
  <c r="I22" i="20"/>
  <c r="J22" i="20"/>
  <c r="G22" i="20"/>
  <c r="F23" i="20" s="1"/>
  <c r="H20" i="19"/>
  <c r="J20" i="19"/>
  <c r="L19" i="19"/>
  <c r="K19" i="19"/>
  <c r="M19" i="19" s="1"/>
  <c r="I20" i="19"/>
  <c r="G20" i="19"/>
  <c r="F21" i="19" s="1"/>
  <c r="I26" i="17"/>
  <c r="I25" i="17"/>
  <c r="I27" i="17"/>
  <c r="K23" i="17"/>
  <c r="L23" i="17"/>
  <c r="B9" i="17" s="1"/>
  <c r="B7" i="17"/>
  <c r="H23" i="20" l="1"/>
  <c r="I23" i="20"/>
  <c r="J23" i="20"/>
  <c r="K22" i="20"/>
  <c r="M22" i="20" s="1"/>
  <c r="L22" i="20"/>
  <c r="G23" i="20"/>
  <c r="I24" i="20" s="1"/>
  <c r="I21" i="19"/>
  <c r="G21" i="19"/>
  <c r="F22" i="19" s="1"/>
  <c r="G22" i="19" s="1"/>
  <c r="F23" i="19" s="1"/>
  <c r="J21" i="19"/>
  <c r="L20" i="19"/>
  <c r="K20" i="19"/>
  <c r="M20" i="19" s="1"/>
  <c r="H21" i="19"/>
  <c r="H22" i="19" s="1"/>
  <c r="M23" i="17"/>
  <c r="B10" i="17" s="1"/>
  <c r="B8" i="17"/>
  <c r="H23" i="19" l="1"/>
  <c r="I25" i="20"/>
  <c r="I26" i="20"/>
  <c r="K23" i="20"/>
  <c r="L23" i="20"/>
  <c r="B9" i="20" s="1"/>
  <c r="B7" i="20"/>
  <c r="I27" i="20"/>
  <c r="J23" i="19"/>
  <c r="I22" i="19"/>
  <c r="I23" i="19"/>
  <c r="G23" i="19"/>
  <c r="I27" i="19" s="1"/>
  <c r="J22" i="19"/>
  <c r="L21" i="19"/>
  <c r="K21" i="19"/>
  <c r="M21" i="19" s="1"/>
  <c r="C25" i="16"/>
  <c r="C26" i="16" s="1"/>
  <c r="C27" i="16" s="1"/>
  <c r="H3" i="16"/>
  <c r="M23" i="20" l="1"/>
  <c r="B10" i="20" s="1"/>
  <c r="B8" i="20"/>
  <c r="I24" i="19"/>
  <c r="I26" i="19"/>
  <c r="I25" i="19"/>
  <c r="L22" i="19"/>
  <c r="K22" i="19"/>
  <c r="M22" i="19" s="1"/>
  <c r="L23" i="19"/>
  <c r="B9" i="19" s="1"/>
  <c r="K23" i="19"/>
  <c r="B7" i="19"/>
  <c r="F4" i="16"/>
  <c r="H4" i="16" s="1"/>
  <c r="M23" i="19" l="1"/>
  <c r="B10" i="19" s="1"/>
  <c r="B8" i="19"/>
  <c r="G4" i="16"/>
  <c r="F5" i="16" s="1"/>
  <c r="H5" i="16" s="1"/>
  <c r="G5" i="16" l="1"/>
  <c r="F6" i="16" s="1"/>
  <c r="I5" i="16"/>
  <c r="J5" i="16"/>
  <c r="I6" i="16" l="1"/>
  <c r="L5" i="16"/>
  <c r="K5" i="16"/>
  <c r="J6" i="16"/>
  <c r="G6" i="16"/>
  <c r="F7" i="16" s="1"/>
  <c r="H6" i="16"/>
  <c r="J7" i="16" l="1"/>
  <c r="M5" i="16"/>
  <c r="L6" i="16"/>
  <c r="K6" i="16"/>
  <c r="M6" i="16" s="1"/>
  <c r="I7" i="16"/>
  <c r="H7" i="16"/>
  <c r="G7" i="16"/>
  <c r="F8" i="16" s="1"/>
  <c r="J8" i="16" l="1"/>
  <c r="H8" i="16"/>
  <c r="K7" i="16"/>
  <c r="L7" i="16"/>
  <c r="I8" i="16"/>
  <c r="G8" i="16"/>
  <c r="F9" i="16" s="1"/>
  <c r="G9" i="16" l="1"/>
  <c r="F10" i="16" s="1"/>
  <c r="G10" i="16" s="1"/>
  <c r="F11" i="16" s="1"/>
  <c r="M7" i="16"/>
  <c r="K8" i="16"/>
  <c r="M8" i="16" s="1"/>
  <c r="L8" i="16"/>
  <c r="J9" i="16"/>
  <c r="H9" i="16"/>
  <c r="I9" i="16"/>
  <c r="H10" i="16" l="1"/>
  <c r="H11" i="16" s="1"/>
  <c r="I10" i="16"/>
  <c r="J11" i="16"/>
  <c r="I11" i="16"/>
  <c r="G11" i="16"/>
  <c r="F12" i="16" s="1"/>
  <c r="J10" i="16"/>
  <c r="K9" i="16"/>
  <c r="L9" i="16"/>
  <c r="I12" i="16" l="1"/>
  <c r="L10" i="16"/>
  <c r="K10" i="16"/>
  <c r="M10" i="16" s="1"/>
  <c r="L11" i="16"/>
  <c r="K11" i="16"/>
  <c r="M11" i="16" s="1"/>
  <c r="J12" i="16"/>
  <c r="M9" i="16"/>
  <c r="G12" i="16"/>
  <c r="F13" i="16" s="1"/>
  <c r="H12" i="16"/>
  <c r="H13" i="16" l="1"/>
  <c r="G13" i="16"/>
  <c r="F14" i="16" s="1"/>
  <c r="J13" i="16"/>
  <c r="I13" i="16"/>
  <c r="L12" i="16"/>
  <c r="K12" i="16"/>
  <c r="M12" i="16" s="1"/>
  <c r="I14" i="16" l="1"/>
  <c r="L13" i="16"/>
  <c r="K13" i="16"/>
  <c r="M13" i="16" s="1"/>
  <c r="J14" i="16"/>
  <c r="G14" i="16"/>
  <c r="F15" i="16" s="1"/>
  <c r="H14" i="16"/>
  <c r="H15" i="16" l="1"/>
  <c r="J15" i="16"/>
  <c r="L14" i="16"/>
  <c r="K14" i="16"/>
  <c r="M14" i="16" s="1"/>
  <c r="G15" i="16"/>
  <c r="F16" i="16" s="1"/>
  <c r="I15" i="16"/>
  <c r="G16" i="16" l="1"/>
  <c r="F17" i="16" s="1"/>
  <c r="G17" i="16" s="1"/>
  <c r="F18" i="16" s="1"/>
  <c r="I16" i="16"/>
  <c r="J16" i="16"/>
  <c r="L15" i="16"/>
  <c r="K15" i="16"/>
  <c r="M15" i="16" s="1"/>
  <c r="H16" i="16"/>
  <c r="H17" i="16" l="1"/>
  <c r="H18" i="16" s="1"/>
  <c r="I17" i="16"/>
  <c r="L16" i="16"/>
  <c r="K16" i="16"/>
  <c r="M16" i="16" s="1"/>
  <c r="J18" i="16"/>
  <c r="J17" i="16"/>
  <c r="I18" i="16"/>
  <c r="G18" i="16"/>
  <c r="F19" i="16" s="1"/>
  <c r="H19" i="16" s="1"/>
  <c r="G19" i="16" l="1"/>
  <c r="F20" i="16" s="1"/>
  <c r="L17" i="16"/>
  <c r="K17" i="16"/>
  <c r="M17" i="16" s="1"/>
  <c r="J20" i="16"/>
  <c r="J19" i="16"/>
  <c r="G20" i="16"/>
  <c r="F21" i="16" s="1"/>
  <c r="I19" i="16"/>
  <c r="L18" i="16"/>
  <c r="K18" i="16"/>
  <c r="M18" i="16" s="1"/>
  <c r="H20" i="16"/>
  <c r="H21" i="16" s="1"/>
  <c r="I20" i="16" l="1"/>
  <c r="L20" i="16"/>
  <c r="K20" i="16"/>
  <c r="M20" i="16" s="1"/>
  <c r="G21" i="16"/>
  <c r="F22" i="16" s="1"/>
  <c r="G22" i="16" s="1"/>
  <c r="F23" i="16" s="1"/>
  <c r="J21" i="16"/>
  <c r="L19" i="16"/>
  <c r="K19" i="16"/>
  <c r="M19" i="16" s="1"/>
  <c r="I21" i="16"/>
  <c r="G23" i="16" l="1"/>
  <c r="J22" i="16"/>
  <c r="I22" i="16"/>
  <c r="L21" i="16"/>
  <c r="K21" i="16"/>
  <c r="M21" i="16" s="1"/>
  <c r="J23" i="16"/>
  <c r="H22" i="16"/>
  <c r="H23" i="16" s="1"/>
  <c r="I26" i="16" l="1"/>
  <c r="L23" i="16"/>
  <c r="K23" i="16"/>
  <c r="B7" i="16"/>
  <c r="I23" i="16"/>
  <c r="I25" i="16"/>
  <c r="I24" i="16"/>
  <c r="L22" i="16"/>
  <c r="K22" i="16"/>
  <c r="M22" i="16" s="1"/>
  <c r="I27" i="16"/>
  <c r="M23" i="16" l="1"/>
  <c r="B10" i="16" s="1"/>
  <c r="B8" i="16"/>
  <c r="B9" i="16"/>
  <c r="H3" i="11" l="1"/>
  <c r="F4" i="11" s="1"/>
  <c r="C25" i="11"/>
  <c r="C26" i="11" s="1"/>
  <c r="C27" i="11" s="1"/>
  <c r="H4" i="11" l="1"/>
  <c r="G4" i="11"/>
  <c r="F5" i="11" s="1"/>
  <c r="G5" i="11" l="1"/>
  <c r="J5" i="11"/>
  <c r="I5" i="11"/>
  <c r="H5" i="11" l="1"/>
  <c r="I6" i="11" s="1"/>
  <c r="F6" i="11" l="1"/>
  <c r="J6" i="11" l="1"/>
  <c r="G6" i="11"/>
  <c r="F7" i="11" s="1"/>
  <c r="H6" i="11"/>
  <c r="I7" i="11" l="1"/>
  <c r="H7" i="11"/>
  <c r="J7" i="11"/>
  <c r="G7" i="11"/>
  <c r="K5" i="11"/>
  <c r="L5" i="11"/>
  <c r="M5" i="11" l="1"/>
  <c r="I8" i="11"/>
  <c r="F8" i="11"/>
  <c r="K6" i="11"/>
  <c r="M6" i="11" s="1"/>
  <c r="L6" i="11"/>
  <c r="G8" i="11" l="1"/>
  <c r="F9" i="11" s="1"/>
  <c r="G9" i="11" s="1"/>
  <c r="F10" i="11" s="1"/>
  <c r="G10" i="11" s="1"/>
  <c r="F11" i="11" s="1"/>
  <c r="H8" i="11"/>
  <c r="J8" i="11"/>
  <c r="L7" i="11"/>
  <c r="K7" i="11"/>
  <c r="M7" i="11" l="1"/>
  <c r="J9" i="11"/>
  <c r="I9" i="11"/>
  <c r="H9" i="11"/>
  <c r="I10" i="11" s="1"/>
  <c r="J10" i="11"/>
  <c r="G11" i="11"/>
  <c r="J11" i="11"/>
  <c r="L8" i="11"/>
  <c r="K8" i="11"/>
  <c r="M8" i="11" s="1"/>
  <c r="H10" i="11" l="1"/>
  <c r="H11" i="11" s="1"/>
  <c r="I12" i="11" s="1"/>
  <c r="F12" i="11"/>
  <c r="G12" i="11" s="1"/>
  <c r="L9" i="11"/>
  <c r="K9" i="11"/>
  <c r="M9" i="11" s="1"/>
  <c r="H12" i="11" l="1"/>
  <c r="I13" i="11" s="1"/>
  <c r="J12" i="11"/>
  <c r="I11" i="11"/>
  <c r="F13" i="11"/>
  <c r="K10" i="11"/>
  <c r="M10" i="11" s="1"/>
  <c r="L10" i="11"/>
  <c r="H13" i="11" l="1"/>
  <c r="G13" i="11"/>
  <c r="J13" i="11"/>
  <c r="K11" i="11"/>
  <c r="M11" i="11" s="1"/>
  <c r="L11" i="11"/>
  <c r="I14" i="11" l="1"/>
  <c r="F14" i="11"/>
  <c r="H14" i="11" s="1"/>
  <c r="L12" i="11"/>
  <c r="K12" i="11"/>
  <c r="M12" i="11" s="1"/>
  <c r="G14" i="11" l="1"/>
  <c r="J14" i="11"/>
  <c r="K13" i="11"/>
  <c r="M13" i="11" s="1"/>
  <c r="L13" i="11"/>
  <c r="I15" i="11" l="1"/>
  <c r="F15" i="11"/>
  <c r="H15" i="11" s="1"/>
  <c r="L14" i="11"/>
  <c r="K14" i="11"/>
  <c r="M14" i="11" s="1"/>
  <c r="G15" i="11" l="1"/>
  <c r="J15" i="11"/>
  <c r="L15" i="11" s="1"/>
  <c r="I16" i="11" l="1"/>
  <c r="K15" i="11"/>
  <c r="M15" i="11" s="1"/>
  <c r="F16" i="11"/>
  <c r="H16" i="11" s="1"/>
  <c r="G16" i="11" l="1"/>
  <c r="J16" i="11"/>
  <c r="I17" i="11" l="1"/>
  <c r="L16" i="11"/>
  <c r="K16" i="11"/>
  <c r="M16" i="11" s="1"/>
  <c r="F17" i="11"/>
  <c r="H17" i="11" s="1"/>
  <c r="G17" i="11" l="1"/>
  <c r="J17" i="11"/>
  <c r="I18" i="11" l="1"/>
  <c r="L17" i="11"/>
  <c r="K17" i="11"/>
  <c r="M17" i="11" s="1"/>
  <c r="F18" i="11"/>
  <c r="H18" i="11" s="1"/>
  <c r="G18" i="11" l="1"/>
  <c r="J18" i="11"/>
  <c r="I19" i="11" l="1"/>
  <c r="L18" i="11"/>
  <c r="K18" i="11"/>
  <c r="M18" i="11" s="1"/>
  <c r="F19" i="11"/>
  <c r="H19" i="11" s="1"/>
  <c r="G19" i="11" l="1"/>
  <c r="J19" i="11"/>
  <c r="I20" i="11" l="1"/>
  <c r="F20" i="11"/>
  <c r="H20" i="11" s="1"/>
  <c r="K19" i="11"/>
  <c r="M19" i="11" s="1"/>
  <c r="L19" i="11"/>
  <c r="G20" i="11" l="1"/>
  <c r="J20" i="11"/>
  <c r="I21" i="11" l="1"/>
  <c r="F21" i="11"/>
  <c r="H21" i="11" s="1"/>
  <c r="L20" i="11"/>
  <c r="K20" i="11"/>
  <c r="G21" i="11" l="1"/>
  <c r="M20" i="11"/>
  <c r="J21" i="11"/>
  <c r="I22" i="11" l="1"/>
  <c r="K21" i="11"/>
  <c r="L21" i="11"/>
  <c r="F22" i="11"/>
  <c r="H22" i="11" s="1"/>
  <c r="J22" i="11" l="1"/>
  <c r="L22" i="11" s="1"/>
  <c r="G22" i="11"/>
  <c r="M21" i="11"/>
  <c r="K22" i="11" l="1"/>
  <c r="M22" i="11" s="1"/>
  <c r="I23" i="11"/>
  <c r="F23" i="11"/>
  <c r="J23" i="11" l="1"/>
  <c r="H23" i="11"/>
  <c r="G23" i="11"/>
  <c r="I24" i="11" l="1"/>
  <c r="I27" i="11"/>
  <c r="I26" i="11"/>
  <c r="I25" i="11"/>
  <c r="K23" i="11"/>
  <c r="B8" i="11" s="1"/>
  <c r="L23" i="11"/>
  <c r="B7" i="11"/>
  <c r="B9" i="11" l="1"/>
  <c r="M23" i="11"/>
  <c r="B10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2" authorId="0" shapeId="0" xr:uid="{7AF9D5F1-349F-4D0E-A294-B3EC9C1B62F3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2" authorId="0" shapeId="0" xr:uid="{8D4569E9-B7B2-48D7-8450-54693CF49662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2" authorId="0" shapeId="0" xr:uid="{D2FC6B25-CE12-4729-B2B9-ACB72DFA90FD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2" authorId="0" shapeId="0" xr:uid="{E609E01C-2799-4665-B6AC-7DE6DECBF156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12" authorId="0" shapeId="0" xr:uid="{0C0BB72E-53E9-4216-8499-2889606DB66C}">
      <text>
        <r>
          <rPr>
            <sz val="9"/>
            <rFont val="Aptos Narrow"/>
            <family val="2"/>
            <scheme val="minor"/>
          </rPr>
          <t>alpha, beta varied from 0.05 to 0.95 in multiples of 0.05</t>
        </r>
      </text>
    </comment>
  </commentList>
</comments>
</file>

<file path=xl/sharedStrings.xml><?xml version="1.0" encoding="utf-8"?>
<sst xmlns="http://schemas.openxmlformats.org/spreadsheetml/2006/main" count="289" uniqueCount="31">
  <si>
    <t>Date</t>
  </si>
  <si>
    <t>Adj Close</t>
  </si>
  <si>
    <t>Error measures</t>
  </si>
  <si>
    <t>Sq Error</t>
  </si>
  <si>
    <t>Abs Pct Error</t>
  </si>
  <si>
    <t>Smallest MAE</t>
  </si>
  <si>
    <t>Smallest RMSE</t>
  </si>
  <si>
    <t>Smallest MAPE</t>
  </si>
  <si>
    <t>Smoothing constant(s)</t>
  </si>
  <si>
    <t>For level (alpha)</t>
  </si>
  <si>
    <t>Alpha</t>
  </si>
  <si>
    <t>Forecast</t>
  </si>
  <si>
    <t>Error</t>
  </si>
  <si>
    <t>Abs Error</t>
  </si>
  <si>
    <t>Level</t>
  </si>
  <si>
    <t>Trend</t>
  </si>
  <si>
    <t>For trend (beta)</t>
  </si>
  <si>
    <t>Best error measures with respect to smoothing constant(s)</t>
  </si>
  <si>
    <t>Beta</t>
  </si>
  <si>
    <t>Seasonal</t>
  </si>
  <si>
    <t>Gamma</t>
  </si>
  <si>
    <t>Qtr4</t>
  </si>
  <si>
    <t>Qtr1</t>
  </si>
  <si>
    <t>Qtr2</t>
  </si>
  <si>
    <t>Qtr3</t>
  </si>
  <si>
    <r>
      <t>Mean error (</t>
    </r>
    <r>
      <rPr>
        <b/>
        <sz val="12"/>
        <rFont val="Times New Roman"/>
        <family val="1"/>
      </rPr>
      <t>ME</t>
    </r>
    <r>
      <rPr>
        <sz val="12"/>
        <rFont val="Times New Roman"/>
        <family val="1"/>
      </rPr>
      <t>)</t>
    </r>
  </si>
  <si>
    <r>
      <t>Mean absolute error (</t>
    </r>
    <r>
      <rPr>
        <b/>
        <sz val="12"/>
        <rFont val="Times New Roman"/>
        <family val="1"/>
      </rPr>
      <t>MAE</t>
    </r>
    <r>
      <rPr>
        <sz val="12"/>
        <rFont val="Times New Roman"/>
        <family val="1"/>
      </rPr>
      <t>)</t>
    </r>
  </si>
  <si>
    <r>
      <t>Root mean square error (</t>
    </r>
    <r>
      <rPr>
        <b/>
        <sz val="12"/>
        <rFont val="Times New Roman"/>
        <family val="1"/>
      </rPr>
      <t>RMSE</t>
    </r>
    <r>
      <rPr>
        <sz val="12"/>
        <rFont val="Times New Roman"/>
        <family val="1"/>
      </rPr>
      <t>)</t>
    </r>
  </si>
  <si>
    <r>
      <t>Mean absolute pct error (</t>
    </r>
    <r>
      <rPr>
        <b/>
        <sz val="12"/>
        <rFont val="Times New Roman"/>
        <family val="1"/>
      </rPr>
      <t>MAPE</t>
    </r>
    <r>
      <rPr>
        <sz val="12"/>
        <rFont val="Times New Roman"/>
        <family val="1"/>
      </rPr>
      <t>)</t>
    </r>
  </si>
  <si>
    <t>Smallest ME</t>
  </si>
  <si>
    <t>For Seasonal (gamma)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</si>
</sst>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"/>
    <numFmt numFmtId="166" formatCode="&quot;$&quot;#,##0.00"/>
    <numFmt numFmtId="167" formatCode="0.0"/>
  </numFmts>
  <fonts count="13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9"/>
      <name val="Aptos Narrow"/>
      <family val="2"/>
      <scheme val="minor"/>
    </font>
    <font>
      <b/>
      <sz val="12"/>
      <color theme="1"/>
      <name val="Times New Roman"/>
      <family val="1"/>
    </font>
    <font>
      <sz val="8"/>
      <name val="Times New Roman"/>
      <family val="2"/>
    </font>
    <font>
      <b/>
      <sz val="11"/>
      <color theme="3"/>
      <name val="Times New Roman"/>
      <family val="2"/>
    </font>
    <font>
      <sz val="12"/>
      <color rgb="FF9C5700"/>
      <name val="Times New Roman"/>
      <family val="2"/>
    </font>
    <font>
      <b/>
      <sz val="12"/>
      <color rgb="FFFF000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theme="6" tint="0.59999389629810485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6" applyNumberFormat="0" applyFill="0" applyAlignment="0" applyProtection="0"/>
    <xf numFmtId="0" fontId="6" fillId="2" borderId="0" applyNumberFormat="0" applyBorder="0" applyAlignment="0" applyProtection="0"/>
  </cellStyleXfs>
  <cellXfs count="56">
    <xf numFmtId="0" fontId="0" fillId="0" borderId="0" xfId="0"/>
    <xf numFmtId="0" fontId="9" fillId="0" borderId="3" xfId="0" applyFont="1" applyBorder="1"/>
    <xf numFmtId="0" fontId="9" fillId="0" borderId="0" xfId="0" applyFont="1"/>
    <xf numFmtId="0" fontId="11" fillId="0" borderId="0" xfId="0" applyFont="1"/>
    <xf numFmtId="0" fontId="9" fillId="0" borderId="3" xfId="0" applyFont="1" applyBorder="1" applyAlignment="1">
      <alignment horizontal="left" indent="1"/>
    </xf>
    <xf numFmtId="4" fontId="9" fillId="0" borderId="3" xfId="1" applyNumberFormat="1" applyFont="1" applyBorder="1" applyAlignment="1">
      <alignment horizontal="center"/>
    </xf>
    <xf numFmtId="9" fontId="9" fillId="0" borderId="3" xfId="2" applyFont="1" applyBorder="1" applyAlignment="1">
      <alignment horizontal="center"/>
    </xf>
    <xf numFmtId="166" fontId="7" fillId="4" borderId="3" xfId="4" applyNumberFormat="1" applyFont="1" applyFill="1" applyBorder="1" applyAlignment="1">
      <alignment horizontal="center"/>
    </xf>
    <xf numFmtId="4" fontId="7" fillId="4" borderId="3" xfId="4" applyNumberFormat="1" applyFont="1" applyFill="1" applyBorder="1" applyAlignment="1">
      <alignment horizontal="center"/>
    </xf>
    <xf numFmtId="9" fontId="7" fillId="4" borderId="3" xfId="4" applyNumberFormat="1" applyFont="1" applyFill="1" applyBorder="1" applyAlignment="1">
      <alignment horizontal="center"/>
    </xf>
    <xf numFmtId="3" fontId="11" fillId="3" borderId="5" xfId="1" applyNumberFormat="1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165" fontId="12" fillId="3" borderId="10" xfId="0" applyNumberFormat="1" applyFont="1" applyFill="1" applyBorder="1" applyAlignment="1">
      <alignment horizontal="center"/>
    </xf>
    <xf numFmtId="0" fontId="11" fillId="0" borderId="9" xfId="0" applyFont="1" applyFill="1" applyBorder="1"/>
    <xf numFmtId="2" fontId="11" fillId="0" borderId="10" xfId="0" applyNumberFormat="1" applyFont="1" applyFill="1" applyBorder="1" applyAlignment="1">
      <alignment horizontal="left"/>
    </xf>
    <xf numFmtId="0" fontId="11" fillId="0" borderId="9" xfId="0" applyFont="1" applyFill="1" applyBorder="1" applyAlignment="1">
      <alignment horizontal="center"/>
    </xf>
    <xf numFmtId="2" fontId="11" fillId="0" borderId="10" xfId="0" applyNumberFormat="1" applyFont="1" applyFill="1" applyBorder="1" applyAlignment="1">
      <alignment horizontal="center"/>
    </xf>
    <xf numFmtId="0" fontId="11" fillId="0" borderId="9" xfId="0" applyFont="1" applyFill="1" applyBorder="1" applyAlignment="1">
      <alignment horizontal="right"/>
    </xf>
    <xf numFmtId="165" fontId="11" fillId="0" borderId="10" xfId="0" applyNumberFormat="1" applyFont="1" applyFill="1" applyBorder="1" applyAlignment="1">
      <alignment horizontal="right"/>
    </xf>
    <xf numFmtId="0" fontId="11" fillId="0" borderId="11" xfId="0" applyFont="1" applyFill="1" applyBorder="1" applyAlignment="1">
      <alignment horizontal="right"/>
    </xf>
    <xf numFmtId="165" fontId="11" fillId="0" borderId="12" xfId="0" applyNumberFormat="1" applyFont="1" applyFill="1" applyBorder="1" applyAlignment="1">
      <alignment horizontal="right"/>
    </xf>
    <xf numFmtId="0" fontId="11" fillId="3" borderId="9" xfId="0" applyFont="1" applyFill="1" applyBorder="1" applyAlignment="1">
      <alignment horizontal="center"/>
    </xf>
    <xf numFmtId="3" fontId="11" fillId="3" borderId="10" xfId="1" applyNumberFormat="1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2" fontId="11" fillId="3" borderId="10" xfId="0" applyNumberFormat="1" applyFont="1" applyFill="1" applyBorder="1" applyAlignment="1">
      <alignment horizontal="center"/>
    </xf>
    <xf numFmtId="2" fontId="11" fillId="3" borderId="12" xfId="0" applyNumberFormat="1" applyFont="1" applyFill="1" applyBorder="1" applyAlignment="1">
      <alignment horizontal="center"/>
    </xf>
    <xf numFmtId="164" fontId="11" fillId="3" borderId="18" xfId="0" applyNumberFormat="1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  <xf numFmtId="0" fontId="7" fillId="4" borderId="4" xfId="4" applyFont="1" applyFill="1" applyBorder="1" applyAlignment="1">
      <alignment horizontal="center"/>
    </xf>
    <xf numFmtId="0" fontId="7" fillId="4" borderId="19" xfId="3" applyFont="1" applyFill="1" applyBorder="1" applyAlignment="1">
      <alignment horizontal="center"/>
    </xf>
    <xf numFmtId="0" fontId="7" fillId="4" borderId="20" xfId="3" applyFont="1" applyFill="1" applyBorder="1" applyAlignment="1">
      <alignment horizontal="center"/>
    </xf>
    <xf numFmtId="0" fontId="7" fillId="4" borderId="21" xfId="3" applyFont="1" applyFill="1" applyBorder="1" applyAlignment="1">
      <alignment horizontal="center"/>
    </xf>
    <xf numFmtId="4" fontId="10" fillId="7" borderId="3" xfId="4" applyNumberFormat="1" applyFont="1" applyFill="1" applyBorder="1" applyAlignment="1">
      <alignment horizontal="center"/>
    </xf>
    <xf numFmtId="4" fontId="9" fillId="7" borderId="3" xfId="1" applyNumberFormat="1" applyFont="1" applyFill="1" applyBorder="1" applyAlignment="1">
      <alignment horizontal="center"/>
    </xf>
    <xf numFmtId="9" fontId="9" fillId="7" borderId="3" xfId="2" applyFont="1" applyFill="1" applyBorder="1" applyAlignment="1">
      <alignment horizontal="center"/>
    </xf>
    <xf numFmtId="4" fontId="10" fillId="7" borderId="2" xfId="4" applyNumberFormat="1" applyFont="1" applyFill="1" applyBorder="1" applyAlignment="1">
      <alignment horizontal="center"/>
    </xf>
    <xf numFmtId="4" fontId="9" fillId="6" borderId="2" xfId="1" applyNumberFormat="1" applyFont="1" applyFill="1" applyBorder="1" applyAlignment="1">
      <alignment horizontal="center"/>
    </xf>
    <xf numFmtId="0" fontId="10" fillId="7" borderId="2" xfId="4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166" fontId="7" fillId="4" borderId="2" xfId="4" applyNumberFormat="1" applyFont="1" applyFill="1" applyBorder="1" applyAlignment="1">
      <alignment horizontal="center"/>
    </xf>
    <xf numFmtId="167" fontId="12" fillId="3" borderId="10" xfId="0" applyNumberFormat="1" applyFont="1" applyFill="1" applyBorder="1" applyAlignment="1">
      <alignment horizontal="center"/>
    </xf>
    <xf numFmtId="0" fontId="3" fillId="0" borderId="0" xfId="0" applyFont="1"/>
    <xf numFmtId="0" fontId="3" fillId="3" borderId="13" xfId="0" applyFont="1" applyFill="1" applyBorder="1"/>
    <xf numFmtId="0" fontId="3" fillId="3" borderId="15" xfId="0" applyFont="1" applyFill="1" applyBorder="1" applyAlignment="1">
      <alignment horizontal="right" vertical="top"/>
    </xf>
    <xf numFmtId="0" fontId="3" fillId="3" borderId="16" xfId="0" applyFont="1" applyFill="1" applyBorder="1" applyAlignment="1">
      <alignment horizontal="right" vertical="top"/>
    </xf>
    <xf numFmtId="0" fontId="3" fillId="3" borderId="17" xfId="0" applyFont="1" applyFill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7" xfId="0" applyFont="1" applyBorder="1" applyAlignment="1">
      <alignment horizontal="right" vertical="top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</cellXfs>
  <cellStyles count="5">
    <cellStyle name="Comma" xfId="1" builtinId="3"/>
    <cellStyle name="Heading 3" xfId="3" builtinId="18"/>
    <cellStyle name="Neutral" xfId="4" builtinId="28"/>
    <cellStyle name="Normal" xfId="0" builtinId="0"/>
    <cellStyle name="Percent" xfId="2" builtinId="5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6" formatCode="&quot;$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layout>
        <c:manualLayout>
          <c:xMode val="edge"/>
          <c:yMode val="edge"/>
          <c:x val="0.34695160057633012"/>
          <c:y val="1.8993279780767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AAPL -Holt Winter theo quý 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6C6-45BF-92E8-7BD1A741675A}"/>
              </c:ext>
            </c:extLst>
          </c:dPt>
          <c:cat>
            <c:strRef>
              <c:f>'3c. AAPL -Holt Winter theo quý 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AAPL -Holt Winter theo quý '!$E$3:$E$23</c:f>
              <c:numCache>
                <c:formatCode>General</c:formatCode>
                <c:ptCount val="21"/>
                <c:pt idx="0">
                  <c:v>2113.8499999999995</c:v>
                </c:pt>
                <c:pt idx="1">
                  <c:v>4426.3822</c:v>
                </c:pt>
                <c:pt idx="2">
                  <c:v>4752.2442000000001</c:v>
                </c:pt>
                <c:pt idx="3">
                  <c:v>6812.5032999999994</c:v>
                </c:pt>
                <c:pt idx="4">
                  <c:v>7522.4512000000004</c:v>
                </c:pt>
                <c:pt idx="5">
                  <c:v>7663.4059000000025</c:v>
                </c:pt>
                <c:pt idx="6">
                  <c:v>8002.1134000000011</c:v>
                </c:pt>
                <c:pt idx="7">
                  <c:v>9251.5610000000033</c:v>
                </c:pt>
                <c:pt idx="8">
                  <c:v>9946.1143999999986</c:v>
                </c:pt>
                <c:pt idx="9">
                  <c:v>10266.259700000001</c:v>
                </c:pt>
                <c:pt idx="10">
                  <c:v>9257.5100000000039</c:v>
                </c:pt>
                <c:pt idx="11">
                  <c:v>9918.8381999999983</c:v>
                </c:pt>
                <c:pt idx="12">
                  <c:v>8904.0028000000002</c:v>
                </c:pt>
                <c:pt idx="13">
                  <c:v>9061.0874000000022</c:v>
                </c:pt>
                <c:pt idx="14">
                  <c:v>10715.820899999992</c:v>
                </c:pt>
                <c:pt idx="15">
                  <c:v>11474.623900000002</c:v>
                </c:pt>
                <c:pt idx="16">
                  <c:v>11568.966899999998</c:v>
                </c:pt>
                <c:pt idx="17">
                  <c:v>11045.2237</c:v>
                </c:pt>
                <c:pt idx="18">
                  <c:v>11715.368899999999</c:v>
                </c:pt>
                <c:pt idx="19">
                  <c:v>14269.230799999996</c:v>
                </c:pt>
                <c:pt idx="20">
                  <c:v>7303.355599999998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B-4FD9-B612-808B6563A510}"/>
            </c:ext>
          </c:extLst>
        </c:ser>
        <c:ser>
          <c:idx val="1"/>
          <c:order val="1"/>
          <c:tx>
            <c:strRef>
              <c:f>'3c. AAPL -Holt Winter theo quý '!$I$2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'3c. AAPL -Holt Winter theo quý 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AAPL -Holt Winter theo quý '!$I$3:$I$23</c:f>
              <c:numCache>
                <c:formatCode>#,##0.00</c:formatCode>
                <c:ptCount val="21"/>
                <c:pt idx="2">
                  <c:v>6738.9144000000006</c:v>
                </c:pt>
                <c:pt idx="3">
                  <c:v>7258.2658499362733</c:v>
                </c:pt>
                <c:pt idx="4">
                  <c:v>8510.1029888369449</c:v>
                </c:pt>
                <c:pt idx="5">
                  <c:v>9710.3294489463005</c:v>
                </c:pt>
                <c:pt idx="6">
                  <c:v>9702.4509133791944</c:v>
                </c:pt>
                <c:pt idx="7">
                  <c:v>9772.2225708285368</c:v>
                </c:pt>
                <c:pt idx="8">
                  <c:v>10807.847099154073</c:v>
                </c:pt>
                <c:pt idx="9">
                  <c:v>11823.743092739211</c:v>
                </c:pt>
                <c:pt idx="10">
                  <c:v>12167.182563239197</c:v>
                </c:pt>
                <c:pt idx="11">
                  <c:v>11326.039220157352</c:v>
                </c:pt>
                <c:pt idx="12">
                  <c:v>11281.694738608265</c:v>
                </c:pt>
                <c:pt idx="13">
                  <c:v>10836.161701055045</c:v>
                </c:pt>
                <c:pt idx="14">
                  <c:v>10439.34887761455</c:v>
                </c:pt>
                <c:pt idx="15">
                  <c:v>11879.132336144263</c:v>
                </c:pt>
                <c:pt idx="16">
                  <c:v>13244.708938555408</c:v>
                </c:pt>
                <c:pt idx="17">
                  <c:v>13419.502796763154</c:v>
                </c:pt>
                <c:pt idx="18">
                  <c:v>12842.53383577529</c:v>
                </c:pt>
                <c:pt idx="19">
                  <c:v>13005.662119279596</c:v>
                </c:pt>
                <c:pt idx="20">
                  <c:v>15276.222199208869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B-4FD9-B612-808B6563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37487"/>
        <c:axId val="1742238447"/>
      </c:lineChart>
      <c:catAx>
        <c:axId val="174223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8447"/>
        <c:crosses val="autoZero"/>
        <c:auto val="1"/>
        <c:lblAlgn val="ctr"/>
        <c:lblOffset val="100"/>
        <c:noMultiLvlLbl val="0"/>
      </c:catAx>
      <c:valAx>
        <c:axId val="1742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'3c. MSFT -Holt Winter theo quý'!$J$2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'3c. MSFT -Holt Winter theo quý'!$D$3:$D$64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MSFT -Holt Winter theo quý'!$J$3:$J$23</c:f>
              <c:numCache>
                <c:formatCode>#,##0.00</c:formatCode>
                <c:ptCount val="21"/>
                <c:pt idx="2">
                  <c:v>-38.764199999999619</c:v>
                </c:pt>
                <c:pt idx="3">
                  <c:v>-22.513223749847384</c:v>
                </c:pt>
                <c:pt idx="4">
                  <c:v>-33.524378517535297</c:v>
                </c:pt>
                <c:pt idx="5">
                  <c:v>-25.118251536476237</c:v>
                </c:pt>
                <c:pt idx="6">
                  <c:v>-5.0808696839085314</c:v>
                </c:pt>
                <c:pt idx="7">
                  <c:v>3.4776750532037113</c:v>
                </c:pt>
                <c:pt idx="8">
                  <c:v>-1.919602764872252</c:v>
                </c:pt>
                <c:pt idx="9">
                  <c:v>-42.708076350674673</c:v>
                </c:pt>
                <c:pt idx="10">
                  <c:v>-30.37862982252409</c:v>
                </c:pt>
                <c:pt idx="11">
                  <c:v>-4.7817059357766993</c:v>
                </c:pt>
                <c:pt idx="12">
                  <c:v>-21.816755909369022</c:v>
                </c:pt>
                <c:pt idx="13">
                  <c:v>7.543586886187768</c:v>
                </c:pt>
                <c:pt idx="14">
                  <c:v>34.744401567215391</c:v>
                </c:pt>
                <c:pt idx="15">
                  <c:v>4.826426195242675</c:v>
                </c:pt>
                <c:pt idx="16">
                  <c:v>5.8875182837691682</c:v>
                </c:pt>
                <c:pt idx="17">
                  <c:v>11.182930682942242</c:v>
                </c:pt>
                <c:pt idx="18">
                  <c:v>5.0996968490580912</c:v>
                </c:pt>
                <c:pt idx="19">
                  <c:v>-7.6146849617580301</c:v>
                </c:pt>
                <c:pt idx="20">
                  <c:v>-153.01457661470886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A0E-9A8D-E2EF613DF4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2253327"/>
        <c:axId val="1742261007"/>
      </c:lineChart>
      <c:catAx>
        <c:axId val="1742253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61007"/>
        <c:crosses val="autoZero"/>
        <c:auto val="1"/>
        <c:lblAlgn val="ctr"/>
        <c:lblOffset val="100"/>
        <c:noMultiLvlLbl val="0"/>
      </c:catAx>
      <c:valAx>
        <c:axId val="1742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'3c. AAPL -Holt Winter theo quý '!$J$2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'3c. AAPL -Holt Winter theo quý '!$D$3:$D$70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AAPL -Holt Winter theo quý '!$J$3:$J$23</c:f>
              <c:numCache>
                <c:formatCode>#,##0.00</c:formatCode>
                <c:ptCount val="21"/>
                <c:pt idx="2">
                  <c:v>-1966.8034980000011</c:v>
                </c:pt>
                <c:pt idx="3">
                  <c:v>-249.35795019686066</c:v>
                </c:pt>
                <c:pt idx="4">
                  <c:v>-1547.2668245127797</c:v>
                </c:pt>
                <c:pt idx="5">
                  <c:v>-2105.3359149782782</c:v>
                </c:pt>
                <c:pt idx="6">
                  <c:v>-1878.5780580846576</c:v>
                </c:pt>
                <c:pt idx="7">
                  <c:v>-934.98470768586776</c:v>
                </c:pt>
                <c:pt idx="8">
                  <c:v>-1447.036635865592</c:v>
                </c:pt>
                <c:pt idx="9">
                  <c:v>-1798.9435716914286</c:v>
                </c:pt>
                <c:pt idx="10">
                  <c:v>-3085.607974276707</c:v>
                </c:pt>
                <c:pt idx="11">
                  <c:v>-1396.0814160253012</c:v>
                </c:pt>
                <c:pt idx="12">
                  <c:v>-2994.2560856082309</c:v>
                </c:pt>
                <c:pt idx="13">
                  <c:v>-1805.8816456469322</c:v>
                </c:pt>
                <c:pt idx="14">
                  <c:v>-263.7046127645699</c:v>
                </c:pt>
                <c:pt idx="15">
                  <c:v>-1114.9523548595407</c:v>
                </c:pt>
                <c:pt idx="16">
                  <c:v>-1767.3364494529196</c:v>
                </c:pt>
                <c:pt idx="17">
                  <c:v>-2356.8659707048118</c:v>
                </c:pt>
                <c:pt idx="18">
                  <c:v>-1139.5367393627075</c:v>
                </c:pt>
                <c:pt idx="19">
                  <c:v>772.12436055643229</c:v>
                </c:pt>
                <c:pt idx="20">
                  <c:v>-8630.0606224695402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A-4676-BB5E-C91EA6A799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2253327"/>
        <c:axId val="1742261007"/>
      </c:lineChart>
      <c:catAx>
        <c:axId val="1742253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61007"/>
        <c:crosses val="autoZero"/>
        <c:auto val="1"/>
        <c:lblAlgn val="ctr"/>
        <c:lblOffset val="100"/>
        <c:noMultiLvlLbl val="0"/>
      </c:catAx>
      <c:valAx>
        <c:axId val="1742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layout>
        <c:manualLayout>
          <c:xMode val="edge"/>
          <c:yMode val="edge"/>
          <c:x val="0.34695160057633012"/>
          <c:y val="1.8993279780767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SONY -Holt Winter theo quý'!$E$2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A02-490F-B1F8-4616214AF993}"/>
              </c:ext>
            </c:extLst>
          </c:dPt>
          <c:cat>
            <c:strRef>
              <c:f>'3c. SONY -Holt Winter theo quý'!$D$3:$D$23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SONY -Holt Winter theo quý'!$E$3:$E$23</c:f>
              <c:numCache>
                <c:formatCode>General</c:formatCode>
                <c:ptCount val="21"/>
                <c:pt idx="0">
                  <c:v>396.74279999999999</c:v>
                </c:pt>
                <c:pt idx="1">
                  <c:v>771.7512999999999</c:v>
                </c:pt>
                <c:pt idx="2">
                  <c:v>780.43509999999981</c:v>
                </c:pt>
                <c:pt idx="3">
                  <c:v>949.05729999999994</c:v>
                </c:pt>
                <c:pt idx="4">
                  <c:v>1064.3542000000002</c:v>
                </c:pt>
                <c:pt idx="5">
                  <c:v>1232.0910999999999</c:v>
                </c:pt>
                <c:pt idx="6">
                  <c:v>1223.9110000000003</c:v>
                </c:pt>
                <c:pt idx="7">
                  <c:v>1284.7931999999998</c:v>
                </c:pt>
                <c:pt idx="8">
                  <c:v>1464.4419999999996</c:v>
                </c:pt>
                <c:pt idx="9">
                  <c:v>1295.7479999999994</c:v>
                </c:pt>
                <c:pt idx="10">
                  <c:v>1068.8729000000003</c:v>
                </c:pt>
                <c:pt idx="11">
                  <c:v>998.2212999999997</c:v>
                </c:pt>
                <c:pt idx="12">
                  <c:v>919.47079999999994</c:v>
                </c:pt>
                <c:pt idx="13">
                  <c:v>1050.0203000000004</c:v>
                </c:pt>
                <c:pt idx="14">
                  <c:v>1139.9820999999999</c:v>
                </c:pt>
                <c:pt idx="15">
                  <c:v>1078.2159999999999</c:v>
                </c:pt>
                <c:pt idx="16">
                  <c:v>1089.2690000000002</c:v>
                </c:pt>
                <c:pt idx="17">
                  <c:v>1117.8148999999996</c:v>
                </c:pt>
                <c:pt idx="18">
                  <c:v>1041.6140000000005</c:v>
                </c:pt>
                <c:pt idx="19">
                  <c:v>1166.4860000000001</c:v>
                </c:pt>
                <c:pt idx="20">
                  <c:v>590.32000000000005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2-490F-B1F8-4616214AF993}"/>
            </c:ext>
          </c:extLst>
        </c:ser>
        <c:ser>
          <c:idx val="1"/>
          <c:order val="1"/>
          <c:tx>
            <c:strRef>
              <c:f>'3c. SONY -Holt Winter theo quý'!$I$2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'3c. SONY -Holt Winter theo quý'!$D$3:$D$23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SONY -Holt Winter theo quý'!$I$3:$I$23</c:f>
              <c:numCache>
                <c:formatCode>#,##0.00</c:formatCode>
                <c:ptCount val="21"/>
                <c:pt idx="2">
                  <c:v>1146.7597999999998</c:v>
                </c:pt>
                <c:pt idx="3">
                  <c:v>1073.6247308692734</c:v>
                </c:pt>
                <c:pt idx="4">
                  <c:v>1211.2691992087045</c:v>
                </c:pt>
                <c:pt idx="5">
                  <c:v>1293.1148411457971</c:v>
                </c:pt>
                <c:pt idx="6">
                  <c:v>1446.2060977033561</c:v>
                </c:pt>
                <c:pt idx="7">
                  <c:v>1388.4470050766374</c:v>
                </c:pt>
                <c:pt idx="8">
                  <c:v>1424.555776051975</c:v>
                </c:pt>
                <c:pt idx="9">
                  <c:v>1612.3312337710158</c:v>
                </c:pt>
                <c:pt idx="10">
                  <c:v>1374.0496853477882</c:v>
                </c:pt>
                <c:pt idx="11">
                  <c:v>1077.0787800821499</c:v>
                </c:pt>
                <c:pt idx="12">
                  <c:v>986.59152489676421</c:v>
                </c:pt>
                <c:pt idx="13">
                  <c:v>892.64322724987267</c:v>
                </c:pt>
                <c:pt idx="14">
                  <c:v>1057.5494755609018</c:v>
                </c:pt>
                <c:pt idx="15">
                  <c:v>1167.3332129714299</c:v>
                </c:pt>
                <c:pt idx="16">
                  <c:v>1086.4902841047563</c:v>
                </c:pt>
                <c:pt idx="17">
                  <c:v>1097.309097981293</c:v>
                </c:pt>
                <c:pt idx="18">
                  <c:v>1130.4556073981541</c:v>
                </c:pt>
                <c:pt idx="19">
                  <c:v>1034.7638542877326</c:v>
                </c:pt>
                <c:pt idx="20">
                  <c:v>1188.0094014274246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2-490F-B1F8-4616214A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37487"/>
        <c:axId val="1742238447"/>
      </c:lineChart>
      <c:catAx>
        <c:axId val="174223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8447"/>
        <c:crosses val="autoZero"/>
        <c:auto val="1"/>
        <c:lblAlgn val="ctr"/>
        <c:lblOffset val="100"/>
        <c:noMultiLvlLbl val="0"/>
      </c:catAx>
      <c:valAx>
        <c:axId val="1742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'3c. SONY -Holt Winter theo quý'!$J$2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'3c. SONY -Holt Winter theo quý'!$D$3:$D$70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SONY -Holt Winter theo quý'!$J$3:$J$23</c:f>
              <c:numCache>
                <c:formatCode>#,##0.00</c:formatCode>
                <c:ptCount val="21"/>
                <c:pt idx="2">
                  <c:v>-3.6632470000000694</c:v>
                </c:pt>
                <c:pt idx="3">
                  <c:v>-1.2333421428985503</c:v>
                </c:pt>
                <c:pt idx="4">
                  <c:v>-1.4785862487565282</c:v>
                </c:pt>
                <c:pt idx="5">
                  <c:v>-0.61614097126016532</c:v>
                </c:pt>
                <c:pt idx="6">
                  <c:v>-2.2322351877257915</c:v>
                </c:pt>
                <c:pt idx="7">
                  <c:v>-1.0341152186933869</c:v>
                </c:pt>
                <c:pt idx="8">
                  <c:v>0.39311439823359251</c:v>
                </c:pt>
                <c:pt idx="9">
                  <c:v>-3.1770711726937861</c:v>
                </c:pt>
                <c:pt idx="10">
                  <c:v>-3.0394859655611981</c:v>
                </c:pt>
                <c:pt idx="11">
                  <c:v>-0.78087169993591488</c:v>
                </c:pt>
                <c:pt idx="12">
                  <c:v>-0.67786306507434801</c:v>
                </c:pt>
                <c:pt idx="13">
                  <c:v>1.5706083580216728</c:v>
                </c:pt>
                <c:pt idx="14">
                  <c:v>0.81019988937396192</c:v>
                </c:pt>
                <c:pt idx="15">
                  <c:v>-0.89436211295742396</c:v>
                </c:pt>
                <c:pt idx="16">
                  <c:v>3.4740684983262327E-2</c:v>
                </c:pt>
                <c:pt idx="17">
                  <c:v>0.20384153016470918</c:v>
                </c:pt>
                <c:pt idx="18">
                  <c:v>-0.88992039580057281</c:v>
                </c:pt>
                <c:pt idx="19">
                  <c:v>1.3221019930917919</c:v>
                </c:pt>
                <c:pt idx="20">
                  <c:v>-5.9859831984148286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1-4538-890B-D3CCD2DDFF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2253327"/>
        <c:axId val="1742261007"/>
      </c:lineChart>
      <c:catAx>
        <c:axId val="1742253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61007"/>
        <c:crosses val="autoZero"/>
        <c:auto val="1"/>
        <c:lblAlgn val="ctr"/>
        <c:lblOffset val="100"/>
        <c:noMultiLvlLbl val="0"/>
      </c:catAx>
      <c:valAx>
        <c:axId val="1742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layout>
        <c:manualLayout>
          <c:xMode val="edge"/>
          <c:yMode val="edge"/>
          <c:x val="0.34695160057633012"/>
          <c:y val="1.8993279780767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NVDA -Holt Winter theo quý'!$E$2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032-4F25-8288-E954E1CC8892}"/>
              </c:ext>
            </c:extLst>
          </c:dPt>
          <c:cat>
            <c:strRef>
              <c:f>'3c. NVDA -Holt Winter theo quý'!$D$3:$D$23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NVDA -Holt Winter theo quý'!$E$3:$E$23</c:f>
              <c:numCache>
                <c:formatCode>General</c:formatCode>
                <c:ptCount val="21"/>
                <c:pt idx="0">
                  <c:v>175.67509999999999</c:v>
                </c:pt>
                <c:pt idx="1">
                  <c:v>389.65500000000014</c:v>
                </c:pt>
                <c:pt idx="2">
                  <c:v>507.93559999999997</c:v>
                </c:pt>
                <c:pt idx="3">
                  <c:v>742.49679999999989</c:v>
                </c:pt>
                <c:pt idx="4">
                  <c:v>854.55249999999967</c:v>
                </c:pt>
                <c:pt idx="5">
                  <c:v>817.94420000000014</c:v>
                </c:pt>
                <c:pt idx="6">
                  <c:v>1007.7199000000001</c:v>
                </c:pt>
                <c:pt idx="7">
                  <c:v>1326.4827</c:v>
                </c:pt>
                <c:pt idx="8">
                  <c:v>1758.0165999999995</c:v>
                </c:pt>
                <c:pt idx="9">
                  <c:v>1552.5615999999998</c:v>
                </c:pt>
                <c:pt idx="10">
                  <c:v>1168.5423000000003</c:v>
                </c:pt>
                <c:pt idx="11">
                  <c:v>1010.6483000000002</c:v>
                </c:pt>
                <c:pt idx="12">
                  <c:v>923.15929999999992</c:v>
                </c:pt>
                <c:pt idx="13">
                  <c:v>1340.9462000000001</c:v>
                </c:pt>
                <c:pt idx="14">
                  <c:v>2057.5118000000002</c:v>
                </c:pt>
                <c:pt idx="15">
                  <c:v>2821.5573999999992</c:v>
                </c:pt>
                <c:pt idx="16">
                  <c:v>2918.7385999999997</c:v>
                </c:pt>
                <c:pt idx="17">
                  <c:v>4420.4303999999993</c:v>
                </c:pt>
                <c:pt idx="18">
                  <c:v>6368.5901999999969</c:v>
                </c:pt>
                <c:pt idx="19">
                  <c:v>7559.3453999999983</c:v>
                </c:pt>
                <c:pt idx="20">
                  <c:v>4382.7900000000009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2-4F25-8288-E954E1CC8892}"/>
            </c:ext>
          </c:extLst>
        </c:ser>
        <c:ser>
          <c:idx val="1"/>
          <c:order val="1"/>
          <c:tx>
            <c:strRef>
              <c:f>'3c. NVDA -Holt Winter theo quý'!$I$2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'3c. NVDA -Holt Winter theo quý'!$D$3:$D$23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NVDA -Holt Winter theo quý'!$I$3:$I$23</c:f>
              <c:numCache>
                <c:formatCode>#,##0.00</c:formatCode>
                <c:ptCount val="21"/>
                <c:pt idx="2">
                  <c:v>603.63490000000024</c:v>
                </c:pt>
                <c:pt idx="3">
                  <c:v>700.91037901381787</c:v>
                </c:pt>
                <c:pt idx="4">
                  <c:v>943.55685751979934</c:v>
                </c:pt>
                <c:pt idx="5">
                  <c:v>1036.5028193883272</c:v>
                </c:pt>
                <c:pt idx="6">
                  <c:v>951.08112435263752</c:v>
                </c:pt>
                <c:pt idx="7">
                  <c:v>1150.9175855172732</c:v>
                </c:pt>
                <c:pt idx="8">
                  <c:v>1508.5702320064727</c:v>
                </c:pt>
                <c:pt idx="9">
                  <c:v>1996.430206921181</c:v>
                </c:pt>
                <c:pt idx="10">
                  <c:v>1696.2258408711439</c:v>
                </c:pt>
                <c:pt idx="11">
                  <c:v>1192.2499172100929</c:v>
                </c:pt>
                <c:pt idx="12">
                  <c:v>989.37605404258341</c:v>
                </c:pt>
                <c:pt idx="13">
                  <c:v>885.60829270264594</c:v>
                </c:pt>
                <c:pt idx="14">
                  <c:v>1401.9488841942652</c:v>
                </c:pt>
                <c:pt idx="15">
                  <c:v>2266.4190038261081</c:v>
                </c:pt>
                <c:pt idx="16">
                  <c:v>3158.7860730255316</c:v>
                </c:pt>
                <c:pt idx="17">
                  <c:v>3209.0265929298175</c:v>
                </c:pt>
                <c:pt idx="18">
                  <c:v>4974.0613679218941</c:v>
                </c:pt>
                <c:pt idx="19">
                  <c:v>7241.4082038597189</c:v>
                </c:pt>
                <c:pt idx="20">
                  <c:v>8517.1378970440801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2-4F25-8288-E954E1CC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37487"/>
        <c:axId val="1742238447"/>
      </c:lineChart>
      <c:catAx>
        <c:axId val="174223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8447"/>
        <c:crosses val="autoZero"/>
        <c:auto val="1"/>
        <c:lblAlgn val="ctr"/>
        <c:lblOffset val="100"/>
        <c:noMultiLvlLbl val="0"/>
      </c:catAx>
      <c:valAx>
        <c:axId val="1742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'3c. NVDA -Holt Winter theo quý'!$J$2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'3c. NVDA -Holt Winter theo quý'!$D$3:$D$70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NVDA -Holt Winter theo quý'!$J$3:$J$23</c:f>
              <c:numCache>
                <c:formatCode>#,##0.00</c:formatCode>
                <c:ptCount val="21"/>
                <c:pt idx="2">
                  <c:v>-0.95699299999995446</c:v>
                </c:pt>
                <c:pt idx="3">
                  <c:v>0.4235997052159064</c:v>
                </c:pt>
                <c:pt idx="4">
                  <c:v>-0.89565569964042879</c:v>
                </c:pt>
                <c:pt idx="5">
                  <c:v>-2.1794415080563567</c:v>
                </c:pt>
                <c:pt idx="6">
                  <c:v>0.58244153668010767</c:v>
                </c:pt>
                <c:pt idx="7">
                  <c:v>1.7447739396209272</c:v>
                </c:pt>
                <c:pt idx="8">
                  <c:v>2.4740809169989006</c:v>
                </c:pt>
                <c:pt idx="9">
                  <c:v>-4.4628552815813691</c:v>
                </c:pt>
                <c:pt idx="10">
                  <c:v>-5.2385557826705735</c:v>
                </c:pt>
                <c:pt idx="11">
                  <c:v>-1.7748849109650564</c:v>
                </c:pt>
                <c:pt idx="12">
                  <c:v>-0.65487527894174491</c:v>
                </c:pt>
                <c:pt idx="13">
                  <c:v>4.5509962702426492</c:v>
                </c:pt>
                <c:pt idx="14">
                  <c:v>6.5046003185634618</c:v>
                </c:pt>
                <c:pt idx="15">
                  <c:v>5.4886610417197517</c:v>
                </c:pt>
                <c:pt idx="16">
                  <c:v>-2.44401169361754</c:v>
                </c:pt>
                <c:pt idx="17">
                  <c:v>12.144670839384162</c:v>
                </c:pt>
                <c:pt idx="18">
                  <c:v>13.851157884447275</c:v>
                </c:pt>
                <c:pt idx="19">
                  <c:v>3.0970314825945024</c:v>
                </c:pt>
                <c:pt idx="20">
                  <c:v>-41.312718327555558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9-4358-B7E9-56A09A43E4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2253327"/>
        <c:axId val="1742261007"/>
      </c:lineChart>
      <c:catAx>
        <c:axId val="1742253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61007"/>
        <c:crosses val="autoZero"/>
        <c:auto val="1"/>
        <c:lblAlgn val="ctr"/>
        <c:lblOffset val="100"/>
        <c:noMultiLvlLbl val="0"/>
      </c:catAx>
      <c:valAx>
        <c:axId val="1742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layout>
        <c:manualLayout>
          <c:xMode val="edge"/>
          <c:yMode val="edge"/>
          <c:x val="0.34695160057633012"/>
          <c:y val="1.8993279780767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INTC -Holt Winter theo quý'!$E$2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119-46F6-97A4-00E5FAE37804}"/>
              </c:ext>
            </c:extLst>
          </c:dPt>
          <c:cat>
            <c:strRef>
              <c:f>'3c. INTC -Holt Winter theo quý'!$D$3:$D$23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Qtr4</c:v>
                </c:pt>
                <c:pt idx="14">
                  <c:v>Qtr1</c:v>
                </c:pt>
                <c:pt idx="15">
                  <c:v>Qtr2</c:v>
                </c:pt>
                <c:pt idx="16">
                  <c:v>Qtr3</c:v>
                </c:pt>
                <c:pt idx="17">
                  <c:v>Qtr4</c:v>
                </c:pt>
                <c:pt idx="18">
                  <c:v>Qtr1</c:v>
                </c:pt>
                <c:pt idx="19">
                  <c:v>Qtr2</c:v>
                </c:pt>
                <c:pt idx="20">
                  <c:v>Qtr3</c:v>
                </c:pt>
              </c:strCache>
            </c:strRef>
          </c:cat>
          <c:val>
            <c:numRef>
              <c:f>'3c. INTC -Holt Winter theo quý'!$E$3:$E$23</c:f>
              <c:numCache>
                <c:formatCode>General</c:formatCode>
                <c:ptCount val="21"/>
                <c:pt idx="0">
                  <c:v>1636.836</c:v>
                </c:pt>
                <c:pt idx="1">
                  <c:v>3244.6900999999998</c:v>
                </c:pt>
                <c:pt idx="2">
                  <c:v>3351.3103999999998</c:v>
                </c:pt>
                <c:pt idx="3">
                  <c:v>2977.6336000000001</c:v>
                </c:pt>
                <c:pt idx="4">
                  <c:v>2817.4089999999992</c:v>
                </c:pt>
                <c:pt idx="5">
                  <c:v>3299.7147000000004</c:v>
                </c:pt>
                <c:pt idx="6">
                  <c:v>3375.4576000000002</c:v>
                </c:pt>
                <c:pt idx="7">
                  <c:v>3187.8076999999998</c:v>
                </c:pt>
                <c:pt idx="8">
                  <c:v>3026.6756000000005</c:v>
                </c:pt>
                <c:pt idx="9">
                  <c:v>2863.3120999999996</c:v>
                </c:pt>
                <c:pt idx="10">
                  <c:v>2518.6724000000013</c:v>
                </c:pt>
                <c:pt idx="11">
                  <c:v>2067.7216000000003</c:v>
                </c:pt>
                <c:pt idx="12">
                  <c:v>1678.9902999999997</c:v>
                </c:pt>
                <c:pt idx="13">
                  <c:v>1636.836</c:v>
                </c:pt>
                <c:pt idx="14">
                  <c:v>3244.6900999999998</c:v>
                </c:pt>
                <c:pt idx="15">
                  <c:v>3351.3103999999998</c:v>
                </c:pt>
                <c:pt idx="16">
                  <c:v>2977.6336000000001</c:v>
                </c:pt>
                <c:pt idx="17">
                  <c:v>2817.4089999999992</c:v>
                </c:pt>
                <c:pt idx="18">
                  <c:v>2863.3120999999996</c:v>
                </c:pt>
                <c:pt idx="19">
                  <c:v>2518.6724000000013</c:v>
                </c:pt>
                <c:pt idx="20">
                  <c:v>2067.7216000000003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9-46F6-97A4-00E5FAE37804}"/>
            </c:ext>
          </c:extLst>
        </c:ser>
        <c:ser>
          <c:idx val="1"/>
          <c:order val="1"/>
          <c:tx>
            <c:strRef>
              <c:f>'3c. INTC -Holt Winter theo quý'!$I$2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'3c. INTC -Holt Winter theo quý'!$D$3:$D$23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Qtr4</c:v>
                </c:pt>
                <c:pt idx="14">
                  <c:v>Qtr1</c:v>
                </c:pt>
                <c:pt idx="15">
                  <c:v>Qtr2</c:v>
                </c:pt>
                <c:pt idx="16">
                  <c:v>Qtr3</c:v>
                </c:pt>
                <c:pt idx="17">
                  <c:v>Qtr4</c:v>
                </c:pt>
                <c:pt idx="18">
                  <c:v>Qtr1</c:v>
                </c:pt>
                <c:pt idx="19">
                  <c:v>Qtr2</c:v>
                </c:pt>
                <c:pt idx="20">
                  <c:v>Qtr3</c:v>
                </c:pt>
              </c:strCache>
            </c:strRef>
          </c:cat>
          <c:val>
            <c:numRef>
              <c:f>'3c. INTC -Holt Winter theo quý'!$I$3:$I$23</c:f>
              <c:numCache>
                <c:formatCode>#,##0.00</c:formatCode>
                <c:ptCount val="21"/>
                <c:pt idx="2">
                  <c:v>4852.5441999999994</c:v>
                </c:pt>
                <c:pt idx="3">
                  <c:v>4635.5895160683931</c:v>
                </c:pt>
                <c:pt idx="4">
                  <c:v>3890.6977278010545</c:v>
                </c:pt>
                <c:pt idx="5">
                  <c:v>3484.1067513380112</c:v>
                </c:pt>
                <c:pt idx="6">
                  <c:v>3915.6559008314021</c:v>
                </c:pt>
                <c:pt idx="7">
                  <c:v>3873.9674703880619</c:v>
                </c:pt>
                <c:pt idx="8">
                  <c:v>3534.319011449511</c:v>
                </c:pt>
                <c:pt idx="9">
                  <c:v>3258.0362983649152</c:v>
                </c:pt>
                <c:pt idx="10">
                  <c:v>3005.5172738250762</c:v>
                </c:pt>
                <c:pt idx="11">
                  <c:v>2553.3086817490116</c:v>
                </c:pt>
                <c:pt idx="12">
                  <c:v>1994.3087274725754</c:v>
                </c:pt>
                <c:pt idx="13">
                  <c:v>1533.9836958404178</c:v>
                </c:pt>
                <c:pt idx="14">
                  <c:v>1510.8940645929174</c:v>
                </c:pt>
                <c:pt idx="15">
                  <c:v>3490.3955369164933</c:v>
                </c:pt>
                <c:pt idx="16">
                  <c:v>3584.5623554888621</c:v>
                </c:pt>
                <c:pt idx="17">
                  <c:v>3078.9269439998184</c:v>
                </c:pt>
                <c:pt idx="18">
                  <c:v>2856.6054821501534</c:v>
                </c:pt>
                <c:pt idx="19">
                  <c:v>2901.4186394224935</c:v>
                </c:pt>
                <c:pt idx="20">
                  <c:v>2474.9378689023279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9-46F6-97A4-00E5FAE3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37487"/>
        <c:axId val="1742238447"/>
      </c:lineChart>
      <c:catAx>
        <c:axId val="174223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8447"/>
        <c:crosses val="autoZero"/>
        <c:auto val="1"/>
        <c:lblAlgn val="ctr"/>
        <c:lblOffset val="100"/>
        <c:noMultiLvlLbl val="0"/>
      </c:catAx>
      <c:valAx>
        <c:axId val="1742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'3c. INTC -Holt Winter theo quý'!$J$2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'3c. INTC -Holt Winter theo quý'!$D$3:$D$65</c:f>
              <c:strCache>
                <c:ptCount val="25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Qtr4</c:v>
                </c:pt>
                <c:pt idx="14">
                  <c:v>Qtr1</c:v>
                </c:pt>
                <c:pt idx="15">
                  <c:v>Qtr2</c:v>
                </c:pt>
                <c:pt idx="16">
                  <c:v>Qtr3</c:v>
                </c:pt>
                <c:pt idx="17">
                  <c:v>Qtr4</c:v>
                </c:pt>
                <c:pt idx="18">
                  <c:v>Qtr1</c:v>
                </c:pt>
                <c:pt idx="19">
                  <c:v>Qtr2</c:v>
                </c:pt>
                <c:pt idx="20">
                  <c:v>Qtr3</c:v>
                </c:pt>
                <c:pt idx="21">
                  <c:v>Qtr4</c:v>
                </c:pt>
                <c:pt idx="22">
                  <c:v>Qtr1</c:v>
                </c:pt>
                <c:pt idx="23">
                  <c:v>Qtr2</c:v>
                </c:pt>
                <c:pt idx="24">
                  <c:v>Qtr3</c:v>
                </c:pt>
              </c:strCache>
            </c:strRef>
          </c:cat>
          <c:val>
            <c:numRef>
              <c:f>'3c. INTC -Holt Winter theo quý'!$J$3:$J$23</c:f>
              <c:numCache>
                <c:formatCode>#,##0.00</c:formatCode>
                <c:ptCount val="21"/>
                <c:pt idx="2">
                  <c:v>-15.012338</c:v>
                </c:pt>
                <c:pt idx="3">
                  <c:v>-16.484997888619091</c:v>
                </c:pt>
                <c:pt idx="4">
                  <c:v>-10.659832947031191</c:v>
                </c:pt>
                <c:pt idx="5">
                  <c:v>-1.8328316041584003</c:v>
                </c:pt>
                <c:pt idx="6">
                  <c:v>-5.4679809556714645</c:v>
                </c:pt>
                <c:pt idx="7">
                  <c:v>-6.8847945206275654</c:v>
                </c:pt>
                <c:pt idx="8">
                  <c:v>-5.0800530048882138</c:v>
                </c:pt>
                <c:pt idx="9">
                  <c:v>-3.9599894447519546</c:v>
                </c:pt>
                <c:pt idx="10">
                  <c:v>-4.8828908964987932</c:v>
                </c:pt>
                <c:pt idx="11">
                  <c:v>-4.8539163134500996</c:v>
                </c:pt>
                <c:pt idx="12">
                  <c:v>-3.1439953729027366</c:v>
                </c:pt>
                <c:pt idx="13">
                  <c:v>1.0301097360129461</c:v>
                </c:pt>
                <c:pt idx="14">
                  <c:v>17.308721008179418</c:v>
                </c:pt>
                <c:pt idx="15">
                  <c:v>-1.5456620004106298</c:v>
                </c:pt>
                <c:pt idx="16">
                  <c:v>-6.0445312337728865</c:v>
                </c:pt>
                <c:pt idx="17">
                  <c:v>-2.565637368622447</c:v>
                </c:pt>
                <c:pt idx="18">
                  <c:v>7.8340719127027114E-2</c:v>
                </c:pt>
                <c:pt idx="19">
                  <c:v>-3.8387171944327747</c:v>
                </c:pt>
                <c:pt idx="20">
                  <c:v>-4.0504293528292692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578-A2A5-AB7D2B5446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2253327"/>
        <c:axId val="1742261007"/>
      </c:lineChart>
      <c:catAx>
        <c:axId val="1742253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61007"/>
        <c:crosses val="autoZero"/>
        <c:auto val="1"/>
        <c:lblAlgn val="ctr"/>
        <c:lblOffset val="100"/>
        <c:noMultiLvlLbl val="0"/>
      </c:catAx>
      <c:valAx>
        <c:axId val="1742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5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Forecast</a:t>
            </a:r>
          </a:p>
        </c:rich>
      </c:tx>
      <c:layout>
        <c:manualLayout>
          <c:xMode val="edge"/>
          <c:yMode val="edge"/>
          <c:x val="0.34695160057633012"/>
          <c:y val="1.8993279780767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'3c. MSFT -Holt Winter theo quý'!$E$2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47C-4FD1-92C1-C5FF639F422A}"/>
              </c:ext>
            </c:extLst>
          </c:dPt>
          <c:cat>
            <c:strRef>
              <c:f>'3c. MSFT -Holt Winter theo quý'!$D$3:$D$23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MSFT -Holt Winter theo quý'!$E$3:$E$23</c:f>
              <c:numCache>
                <c:formatCode>General</c:formatCode>
                <c:ptCount val="21"/>
                <c:pt idx="0">
                  <c:v>4686.7195000000002</c:v>
                </c:pt>
                <c:pt idx="1">
                  <c:v>9784.0901999999969</c:v>
                </c:pt>
                <c:pt idx="2">
                  <c:v>11005.040900000004</c:v>
                </c:pt>
                <c:pt idx="3">
                  <c:v>12968.916899999998</c:v>
                </c:pt>
                <c:pt idx="4">
                  <c:v>13310.424200000001</c:v>
                </c:pt>
                <c:pt idx="5">
                  <c:v>13724.441400000005</c:v>
                </c:pt>
                <c:pt idx="6">
                  <c:v>15562.864399999999</c:v>
                </c:pt>
                <c:pt idx="7">
                  <c:v>18135.7405</c:v>
                </c:pt>
                <c:pt idx="8">
                  <c:v>20246.863700000002</c:v>
                </c:pt>
                <c:pt idx="9">
                  <c:v>18236.253800000002</c:v>
                </c:pt>
                <c:pt idx="10">
                  <c:v>16486.222600000001</c:v>
                </c:pt>
                <c:pt idx="11">
                  <c:v>16594.727800000001</c:v>
                </c:pt>
                <c:pt idx="12">
                  <c:v>14883.925599999997</c:v>
                </c:pt>
                <c:pt idx="13">
                  <c:v>15611.565899999996</c:v>
                </c:pt>
                <c:pt idx="14">
                  <c:v>19225.945000000007</c:v>
                </c:pt>
                <c:pt idx="15">
                  <c:v>20640.952799999995</c:v>
                </c:pt>
                <c:pt idx="16">
                  <c:v>22279.893500000006</c:v>
                </c:pt>
                <c:pt idx="17">
                  <c:v>24583.469499999999</c:v>
                </c:pt>
                <c:pt idx="18">
                  <c:v>26534.569900000002</c:v>
                </c:pt>
                <c:pt idx="19">
                  <c:v>27332.858600000003</c:v>
                </c:pt>
                <c:pt idx="20">
                  <c:v>13419.040000000005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C-4FD1-92C1-C5FF639F422A}"/>
            </c:ext>
          </c:extLst>
        </c:ser>
        <c:ser>
          <c:idx val="1"/>
          <c:order val="1"/>
          <c:tx>
            <c:strRef>
              <c:f>'3c. MSFT -Holt Winter theo quý'!$I$2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'3c. MSFT -Holt Winter theo quý'!$D$3:$D$23</c:f>
              <c:strCache>
                <c:ptCount val="21"/>
                <c:pt idx="0">
                  <c:v>Qtr4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  <c:pt idx="5">
                  <c:v>Qtr1</c:v>
                </c:pt>
                <c:pt idx="6">
                  <c:v>Qtr2</c:v>
                </c:pt>
                <c:pt idx="7">
                  <c:v>Qtr3</c:v>
                </c:pt>
                <c:pt idx="8">
                  <c:v>Qtr4</c:v>
                </c:pt>
                <c:pt idx="9">
                  <c:v>Qtr1</c:v>
                </c:pt>
                <c:pt idx="10">
                  <c:v>Qtr2</c:v>
                </c:pt>
                <c:pt idx="11">
                  <c:v>Qtr3</c:v>
                </c:pt>
                <c:pt idx="12">
                  <c:v>Qtr4</c:v>
                </c:pt>
                <c:pt idx="13">
                  <c:v>Qtr1</c:v>
                </c:pt>
                <c:pt idx="14">
                  <c:v>Qtr2</c:v>
                </c:pt>
                <c:pt idx="15">
                  <c:v>Qtr3</c:v>
                </c:pt>
                <c:pt idx="16">
                  <c:v>Qtr4</c:v>
                </c:pt>
                <c:pt idx="17">
                  <c:v>Qtr1</c:v>
                </c:pt>
                <c:pt idx="18">
                  <c:v>Qtr2</c:v>
                </c:pt>
                <c:pt idx="19">
                  <c:v>Qtr3</c:v>
                </c:pt>
                <c:pt idx="20">
                  <c:v>Qtr4</c:v>
                </c:pt>
              </c:strCache>
            </c:strRef>
          </c:cat>
          <c:val>
            <c:numRef>
              <c:f>'3c. MSFT -Holt Winter theo quý'!$I$3:$I$23</c:f>
              <c:numCache>
                <c:formatCode>#,##0.00</c:formatCode>
                <c:ptCount val="21"/>
                <c:pt idx="2">
                  <c:v>14881.460899999995</c:v>
                </c:pt>
                <c:pt idx="3">
                  <c:v>15251.551322443289</c:v>
                </c:pt>
                <c:pt idx="4">
                  <c:v>16674.337217476666</c:v>
                </c:pt>
                <c:pt idx="5">
                  <c:v>16254.83810949305</c:v>
                </c:pt>
                <c:pt idx="6">
                  <c:v>16079.243412394089</c:v>
                </c:pt>
                <c:pt idx="7">
                  <c:v>17776.233691755649</c:v>
                </c:pt>
                <c:pt idx="8">
                  <c:v>20419.261496906758</c:v>
                </c:pt>
                <c:pt idx="9">
                  <c:v>22493.432251569913</c:v>
                </c:pt>
                <c:pt idx="10">
                  <c:v>19548.796967942053</c:v>
                </c:pt>
                <c:pt idx="11">
                  <c:v>17085.357979891451</c:v>
                </c:pt>
                <c:pt idx="12">
                  <c:v>17054.302541838224</c:v>
                </c:pt>
                <c:pt idx="13">
                  <c:v>14863.927956858881</c:v>
                </c:pt>
                <c:pt idx="14">
                  <c:v>15731.269219633163</c:v>
                </c:pt>
                <c:pt idx="15">
                  <c:v>20114.669392527594</c:v>
                </c:pt>
                <c:pt idx="16">
                  <c:v>21678.767642093364</c:v>
                </c:pt>
                <c:pt idx="17">
                  <c:v>23453.12302572334</c:v>
                </c:pt>
                <c:pt idx="18">
                  <c:v>26009.178612704065</c:v>
                </c:pt>
                <c:pt idx="19">
                  <c:v>28086.038585136132</c:v>
                </c:pt>
                <c:pt idx="20">
                  <c:v>28724.191517903033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C-4FD1-92C1-C5FF639F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37487"/>
        <c:axId val="1742238447"/>
      </c:lineChart>
      <c:catAx>
        <c:axId val="174223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8447"/>
        <c:crosses val="autoZero"/>
        <c:auto val="1"/>
        <c:lblAlgn val="ctr"/>
        <c:lblOffset val="100"/>
        <c:noMultiLvlLbl val="0"/>
      </c:catAx>
      <c:valAx>
        <c:axId val="1742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193386</xdr:colOff>
      <xdr:row>28</xdr:row>
      <xdr:rowOff>158172</xdr:rowOff>
    </xdr:from>
    <xdr:to>
      <xdr:col>8</xdr:col>
      <xdr:colOff>1095317</xdr:colOff>
      <xdr:row>49</xdr:row>
      <xdr:rowOff>103793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4331A-9E34-4859-B596-B4A22B7F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46182</xdr:colOff>
      <xdr:row>28</xdr:row>
      <xdr:rowOff>138545</xdr:rowOff>
    </xdr:from>
    <xdr:to>
      <xdr:col>20</xdr:col>
      <xdr:colOff>102293</xdr:colOff>
      <xdr:row>50</xdr:row>
      <xdr:rowOff>26439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8A49B5-ECF6-432B-B67C-95326C7BF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193386</xdr:colOff>
      <xdr:row>28</xdr:row>
      <xdr:rowOff>158172</xdr:rowOff>
    </xdr:from>
    <xdr:to>
      <xdr:col>8</xdr:col>
      <xdr:colOff>1095317</xdr:colOff>
      <xdr:row>49</xdr:row>
      <xdr:rowOff>103793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4168E-474F-4C37-8234-E5CD8716F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46182</xdr:colOff>
      <xdr:row>28</xdr:row>
      <xdr:rowOff>138545</xdr:rowOff>
    </xdr:from>
    <xdr:to>
      <xdr:col>20</xdr:col>
      <xdr:colOff>102293</xdr:colOff>
      <xdr:row>50</xdr:row>
      <xdr:rowOff>26439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BEAB-19B6-4920-8364-17F2A06DD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193386</xdr:colOff>
      <xdr:row>28</xdr:row>
      <xdr:rowOff>158172</xdr:rowOff>
    </xdr:from>
    <xdr:to>
      <xdr:col>8</xdr:col>
      <xdr:colOff>1095317</xdr:colOff>
      <xdr:row>49</xdr:row>
      <xdr:rowOff>103793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71AD6-704C-45C0-AC30-B6D81E74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46182</xdr:colOff>
      <xdr:row>28</xdr:row>
      <xdr:rowOff>138545</xdr:rowOff>
    </xdr:from>
    <xdr:to>
      <xdr:col>20</xdr:col>
      <xdr:colOff>102293</xdr:colOff>
      <xdr:row>50</xdr:row>
      <xdr:rowOff>26439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49B21-CB21-4890-820D-D55C56D35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30018</xdr:colOff>
      <xdr:row>29</xdr:row>
      <xdr:rowOff>35213</xdr:rowOff>
    </xdr:from>
    <xdr:to>
      <xdr:col>8</xdr:col>
      <xdr:colOff>931949</xdr:colOff>
      <xdr:row>49</xdr:row>
      <xdr:rowOff>177684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59152-B2AB-4D0A-9A4B-04A01F140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1353127</xdr:colOff>
      <xdr:row>29</xdr:row>
      <xdr:rowOff>51953</xdr:rowOff>
    </xdr:from>
    <xdr:to>
      <xdr:col>20</xdr:col>
      <xdr:colOff>35329</xdr:colOff>
      <xdr:row>50</xdr:row>
      <xdr:rowOff>136697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98F24-CDEC-4328-A674-D12A39FD9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47047</xdr:rowOff>
    </xdr:from>
    <xdr:to>
      <xdr:col>8</xdr:col>
      <xdr:colOff>901931</xdr:colOff>
      <xdr:row>49</xdr:row>
      <xdr:rowOff>183168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2D0A0-2649-4157-BE55-A4665E6E4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1125682</xdr:colOff>
      <xdr:row>29</xdr:row>
      <xdr:rowOff>65706</xdr:rowOff>
    </xdr:from>
    <xdr:to>
      <xdr:col>19</xdr:col>
      <xdr:colOff>464617</xdr:colOff>
      <xdr:row>50</xdr:row>
      <xdr:rowOff>144100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29495-B881-4E04-B1B8-39524BACF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408D58-876B-4FEF-BC3B-CBAA5A9971EC}" name="Table10" displayName="Table10" ref="D2:M27" totalsRowShown="0" headerRowDxfId="64" dataDxfId="62" headerRowBorderDxfId="63" dataCellStyle="Comma">
  <autoFilter ref="D2:M27" xr:uid="{D9408D58-876B-4FEF-BC3B-CBAA5A9971EC}"/>
  <tableColumns count="10">
    <tableColumn id="1" xr3:uid="{59A6FE09-34A8-44B9-A2BF-B60CA8406D14}" name="Date" dataDxfId="61"/>
    <tableColumn id="2" xr3:uid="{EA35EA16-2FB5-4F8B-9A38-2F5C19765386}" name="Adj Close" dataDxfId="60"/>
    <tableColumn id="3" xr3:uid="{8BE2BDF3-C2D1-40B1-837E-65FFE2C9F272}" name="Level" dataDxfId="59" dataCellStyle="Comma">
      <calculatedColumnFormula>alpha*(E3)+(1-alpha)*(E2+G2)</calculatedColumnFormula>
    </tableColumn>
    <tableColumn id="4" xr3:uid="{997A75C3-24D0-4458-B051-8FB7F631DC6D}" name="Trend" dataDxfId="58" dataCellStyle="Comma">
      <calculatedColumnFormula>beta*(F3-F2)+(1-beta)*G2</calculatedColumnFormula>
    </tableColumn>
    <tableColumn id="11" xr3:uid="{D0D0A5AF-4A57-42F4-95D1-8E508E339AE3}" name="Seasonal" dataDxfId="57" dataCellStyle="Neutral"/>
    <tableColumn id="5" xr3:uid="{15FB8115-8232-418A-B421-BDE2CADA5388}" name="Forecast" dataDxfId="56" dataCellStyle="Comma">
      <calculatedColumnFormula>F2+G2</calculatedColumnFormula>
    </tableColumn>
    <tableColumn id="6" xr3:uid="{ED8755E1-EF25-47F1-B5EB-9FB8A857C818}" name="Error" dataDxfId="55" dataCellStyle="Comma">
      <calculatedColumnFormula>E3-I3</calculatedColumnFormula>
    </tableColumn>
    <tableColumn id="7" xr3:uid="{EEF41606-2C5B-4099-BD03-CEB356D4282D}" name="Abs Error" dataDxfId="54" dataCellStyle="Comma">
      <calculatedColumnFormula>ABS(J3)</calculatedColumnFormula>
    </tableColumn>
    <tableColumn id="8" xr3:uid="{B2747FD2-CA32-4F76-A076-711AF68DDA78}" name="Sq Error" dataDxfId="53" dataCellStyle="Comma">
      <calculatedColumnFormula>J3^2</calculatedColumnFormula>
    </tableColumn>
    <tableColumn id="9" xr3:uid="{F2313FB7-1345-4B30-B4BA-00B85432D885}" name="Abs Pct Error" dataDxfId="52" dataCellStyle="Percent">
      <calculatedColumnFormula>K3/E3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235102-A26B-408D-968C-7721E24EA3F5}" name="Table105" displayName="Table105" ref="D2:M27" totalsRowShown="0" headerRowDxfId="51" dataDxfId="49" headerRowBorderDxfId="50" dataCellStyle="Comma">
  <autoFilter ref="D2:M27" xr:uid="{D9408D58-876B-4FEF-BC3B-CBAA5A9971EC}"/>
  <tableColumns count="10">
    <tableColumn id="1" xr3:uid="{32CBBCB8-83DC-442D-B3B6-D748AF181569}" name="Date" dataDxfId="48"/>
    <tableColumn id="2" xr3:uid="{DA41E6E2-D56B-483F-9F11-C08994A21602}" name="Adj Close" dataDxfId="47"/>
    <tableColumn id="3" xr3:uid="{0D434D8F-3AF2-4D63-A736-6653D2EF1C7E}" name="Level" dataDxfId="46" dataCellStyle="Comma">
      <calculatedColumnFormula>alpha*(E3)+(1-alpha)*(E2+G2)</calculatedColumnFormula>
    </tableColumn>
    <tableColumn id="4" xr3:uid="{3F6271A5-259D-48DA-B544-7C03DC12C32F}" name="Trend" dataDxfId="45" dataCellStyle="Comma">
      <calculatedColumnFormula>beta*(F3-F2)+(1-beta)*G2</calculatedColumnFormula>
    </tableColumn>
    <tableColumn id="11" xr3:uid="{88FCFA03-F588-4DB1-A94F-BC0378D1162C}" name="Seasonal" dataDxfId="44" dataCellStyle="Neutral"/>
    <tableColumn id="5" xr3:uid="{0E033B24-7A34-4BA3-9E5B-28A4D7AF454B}" name="Forecast" dataDxfId="43" dataCellStyle="Comma">
      <calculatedColumnFormula>F2+G2</calculatedColumnFormula>
    </tableColumn>
    <tableColumn id="6" xr3:uid="{EA4C7468-D0E3-4B55-B767-49ADFF9D455B}" name="Error" dataDxfId="42" dataCellStyle="Comma">
      <calculatedColumnFormula>E3-I3</calculatedColumnFormula>
    </tableColumn>
    <tableColumn id="7" xr3:uid="{7FD3DFC8-27AC-4370-A0B7-B91ED36DD33E}" name="Abs Error" dataDxfId="41" dataCellStyle="Comma">
      <calculatedColumnFormula>ABS(J3)</calculatedColumnFormula>
    </tableColumn>
    <tableColumn id="8" xr3:uid="{495AF2E3-003B-4E70-A885-1EA15B632D21}" name="Sq Error" dataDxfId="40" dataCellStyle="Comma">
      <calculatedColumnFormula>J3^2</calculatedColumnFormula>
    </tableColumn>
    <tableColumn id="9" xr3:uid="{F5E9BB6D-0C7D-42A5-8A4C-5A649C21F5BC}" name="Abs Pct Error" dataDxfId="39" dataCellStyle="Percent">
      <calculatedColumnFormula>K3/E3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B21CEE-6D58-4905-A768-6FC455BDD96F}" name="Table1056" displayName="Table1056" ref="D2:M27" totalsRowShown="0" headerRowDxfId="38" dataDxfId="36" headerRowBorderDxfId="37" dataCellStyle="Comma">
  <autoFilter ref="D2:M27" xr:uid="{D9408D58-876B-4FEF-BC3B-CBAA5A9971EC}"/>
  <tableColumns count="10">
    <tableColumn id="1" xr3:uid="{41911937-3749-4665-9822-B98C28A89B7E}" name="Date" dataDxfId="35"/>
    <tableColumn id="2" xr3:uid="{AA29E46A-153B-445A-BA52-BBCF9A9B4D3C}" name="Adj Close" dataDxfId="34"/>
    <tableColumn id="3" xr3:uid="{884B03D5-1268-4C14-B555-B6CB853F174B}" name="Level" dataDxfId="33" dataCellStyle="Comma">
      <calculatedColumnFormula>alpha*(E3)+(1-alpha)*(E2+G2)</calculatedColumnFormula>
    </tableColumn>
    <tableColumn id="4" xr3:uid="{E929E32B-FB53-4887-8483-4592530A481C}" name="Trend" dataDxfId="32" dataCellStyle="Comma">
      <calculatedColumnFormula>beta*(F3-F2)+(1-beta)*G2</calculatedColumnFormula>
    </tableColumn>
    <tableColumn id="11" xr3:uid="{5A94CA32-8ED0-40F4-AA01-3346F4C73558}" name="Seasonal" dataDxfId="31" dataCellStyle="Neutral"/>
    <tableColumn id="5" xr3:uid="{18080A82-8639-44A1-9ED0-03C4B246882B}" name="Forecast" dataDxfId="30" dataCellStyle="Comma">
      <calculatedColumnFormula>F2+G2</calculatedColumnFormula>
    </tableColumn>
    <tableColumn id="6" xr3:uid="{19CF64E9-942B-4810-B62C-D3A7285FF0EA}" name="Error" dataDxfId="29" dataCellStyle="Comma">
      <calculatedColumnFormula>E3-I3</calculatedColumnFormula>
    </tableColumn>
    <tableColumn id="7" xr3:uid="{6C81F979-2FD9-42C0-83DA-63B4C66A938B}" name="Abs Error" dataDxfId="28" dataCellStyle="Comma">
      <calculatedColumnFormula>ABS(J3)</calculatedColumnFormula>
    </tableColumn>
    <tableColumn id="8" xr3:uid="{836C6EE2-6649-4C9D-88B0-DA1158B278CE}" name="Sq Error" dataDxfId="27" dataCellStyle="Comma">
      <calculatedColumnFormula>J3^2</calculatedColumnFormula>
    </tableColumn>
    <tableColumn id="9" xr3:uid="{B52B71CC-A299-4D7C-85F8-B7A587AD8BDC}" name="Abs Pct Error" dataDxfId="26" dataCellStyle="Percent">
      <calculatedColumnFormula>K3/E3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25941E-70A6-40C4-A650-ADF978AD6117}" name="Table10567" displayName="Table10567" ref="D2:M27" totalsRowShown="0" headerRowDxfId="25" dataDxfId="23" headerRowBorderDxfId="24" dataCellStyle="Comma">
  <autoFilter ref="D2:M27" xr:uid="{D9408D58-876B-4FEF-BC3B-CBAA5A9971EC}"/>
  <tableColumns count="10">
    <tableColumn id="1" xr3:uid="{52F1851E-D818-41BE-8BF1-7440B0007563}" name="Date" dataDxfId="22"/>
    <tableColumn id="2" xr3:uid="{D6F8E11E-73EE-42B5-9B87-436B93373379}" name="Adj Close" dataDxfId="21"/>
    <tableColumn id="3" xr3:uid="{B4C158D2-A918-47AF-B782-AC0ABFF06056}" name="Level" dataDxfId="20" dataCellStyle="Comma">
      <calculatedColumnFormula>alpha*(E3)+(1-alpha)*(E2+G2)</calculatedColumnFormula>
    </tableColumn>
    <tableColumn id="4" xr3:uid="{58DC284C-95BB-4177-941E-96D23827DFD1}" name="Trend" dataDxfId="19" dataCellStyle="Comma">
      <calculatedColumnFormula>beta*(F3-F2)+(1-beta)*G2</calculatedColumnFormula>
    </tableColumn>
    <tableColumn id="11" xr3:uid="{94E1AC43-0223-4E3D-AC48-6A776C55A203}" name="Seasonal" dataDxfId="18" dataCellStyle="Neutral"/>
    <tableColumn id="5" xr3:uid="{B5435A96-E8F7-4CA4-90ED-ED2044CB6D96}" name="Forecast" dataDxfId="17" dataCellStyle="Comma">
      <calculatedColumnFormula>F2+G2</calculatedColumnFormula>
    </tableColumn>
    <tableColumn id="6" xr3:uid="{B1DAA58A-EBA5-4E1A-B721-8C860C773FE7}" name="Error" dataDxfId="16" dataCellStyle="Comma">
      <calculatedColumnFormula>E3-I3</calculatedColumnFormula>
    </tableColumn>
    <tableColumn id="7" xr3:uid="{13F997E7-A4B5-497F-AF1A-816B5A4E3D6E}" name="Abs Error" dataDxfId="15" dataCellStyle="Comma">
      <calculatedColumnFormula>ABS(J3)</calculatedColumnFormula>
    </tableColumn>
    <tableColumn id="8" xr3:uid="{C9002A1F-46BB-43DC-B291-06C7DB2F053D}" name="Sq Error" dataDxfId="14" dataCellStyle="Comma">
      <calculatedColumnFormula>J3^2</calculatedColumnFormula>
    </tableColumn>
    <tableColumn id="9" xr3:uid="{8B67BB33-735F-4146-8250-140E7BE00A91}" name="Abs Pct Error" dataDxfId="13" dataCellStyle="Percent">
      <calculatedColumnFormula>K3/E3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D1A220-7979-4C44-845A-4EE84EC1AE4B}" name="Table105678" displayName="Table105678" ref="D2:M27" totalsRowShown="0" headerRowDxfId="12" dataDxfId="10" headerRowBorderDxfId="11" dataCellStyle="Comma">
  <autoFilter ref="D2:M27" xr:uid="{D9408D58-876B-4FEF-BC3B-CBAA5A9971EC}"/>
  <tableColumns count="10">
    <tableColumn id="1" xr3:uid="{DE6D36AB-8922-4D2C-8563-DABE32C61BCE}" name="Date" dataDxfId="9"/>
    <tableColumn id="2" xr3:uid="{3762C20B-30CF-44FD-9966-6C5B30DF2F90}" name="Adj Close" dataDxfId="8"/>
    <tableColumn id="3" xr3:uid="{E1CF4675-5B58-4858-9FAA-23CD91D8A3D5}" name="Level" dataDxfId="7" dataCellStyle="Comma">
      <calculatedColumnFormula>alpha*(E3)+(1-alpha)*(E2+G2)</calculatedColumnFormula>
    </tableColumn>
    <tableColumn id="4" xr3:uid="{2DB2FC5A-34D8-4009-B6A9-CCE989FF4D66}" name="Trend" dataDxfId="6" dataCellStyle="Comma">
      <calculatedColumnFormula>beta*(F3-F2)+(1-beta)*G2</calculatedColumnFormula>
    </tableColumn>
    <tableColumn id="11" xr3:uid="{5FA7499D-3426-4FBA-B1D9-268391A922D6}" name="Seasonal" dataDxfId="5" dataCellStyle="Neutral"/>
    <tableColumn id="5" xr3:uid="{AA31FFF7-F5F1-475A-BFEB-5B00E0C1735B}" name="Forecast" dataDxfId="4" dataCellStyle="Comma">
      <calculatedColumnFormula>F2+G2</calculatedColumnFormula>
    </tableColumn>
    <tableColumn id="6" xr3:uid="{CB68037E-CDD8-4804-AA65-EB51A6657ABC}" name="Error" dataDxfId="3" dataCellStyle="Comma">
      <calculatedColumnFormula>E3-I3</calculatedColumnFormula>
    </tableColumn>
    <tableColumn id="7" xr3:uid="{53AA5E6F-C4A7-4BAA-AFC8-19EF217E4FFC}" name="Abs Error" dataDxfId="2" dataCellStyle="Comma">
      <calculatedColumnFormula>ABS(J3)</calculatedColumnFormula>
    </tableColumn>
    <tableColumn id="8" xr3:uid="{86EAF8C5-1767-4DE4-B822-8614592AC435}" name="Sq Error" dataDxfId="1" dataCellStyle="Comma">
      <calculatedColumnFormula>J3^2</calculatedColumnFormula>
    </tableColumn>
    <tableColumn id="9" xr3:uid="{2CF91D43-68BF-44CA-9CD1-ECF1BCE610C7}" name="Abs Pct Error" dataDxfId="0" dataCellStyle="Percent">
      <calculatedColumnFormula>K3/E3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7859-B6B6-47F3-9785-0CA70E1944C6}">
  <dimension ref="A1:M28"/>
  <sheetViews>
    <sheetView tabSelected="1" topLeftCell="A8" zoomScale="40" zoomScaleNormal="40" workbookViewId="0">
      <selection activeCell="T24" sqref="T24"/>
    </sheetView>
  </sheetViews>
  <sheetFormatPr defaultRowHeight="15.5"/>
  <cols>
    <col min="1" max="1" width="27.4140625" style="2" customWidth="1"/>
    <col min="2" max="2" width="24.9140625" style="2" customWidth="1"/>
    <col min="3" max="3" width="8.08203125" style="44" customWidth="1"/>
    <col min="4" max="4" width="9" style="2" bestFit="1" customWidth="1"/>
    <col min="5" max="5" width="13.25" style="2" bestFit="1" customWidth="1"/>
    <col min="6" max="6" width="9.75" style="2" bestFit="1" customWidth="1"/>
    <col min="7" max="7" width="10.08203125" style="2" bestFit="1" customWidth="1"/>
    <col min="8" max="8" width="10" style="2" customWidth="1"/>
    <col min="9" max="9" width="18" style="2" bestFit="1" customWidth="1"/>
    <col min="10" max="10" width="9.6640625" style="2" bestFit="1" customWidth="1"/>
    <col min="11" max="11" width="13.4140625" style="2" bestFit="1" customWidth="1"/>
    <col min="12" max="12" width="13.33203125" style="2" bestFit="1" customWidth="1"/>
    <col min="13" max="13" width="16.6640625" style="2" bestFit="1" customWidth="1"/>
    <col min="14" max="16384" width="8.6640625" style="2"/>
  </cols>
  <sheetData>
    <row r="1" spans="1:13" ht="16" thickBot="1">
      <c r="A1" s="3"/>
      <c r="B1" s="3"/>
    </row>
    <row r="2" spans="1:13" ht="16" thickBot="1">
      <c r="A2" s="52" t="s">
        <v>8</v>
      </c>
      <c r="B2" s="53"/>
      <c r="D2" s="40" t="s">
        <v>0</v>
      </c>
      <c r="E2" s="41" t="s">
        <v>1</v>
      </c>
      <c r="F2" s="38" t="s">
        <v>14</v>
      </c>
      <c r="G2" s="38" t="s">
        <v>15</v>
      </c>
      <c r="H2" s="38" t="s">
        <v>19</v>
      </c>
      <c r="I2" s="38" t="s">
        <v>11</v>
      </c>
      <c r="J2" s="38" t="s">
        <v>12</v>
      </c>
      <c r="K2" s="38" t="s">
        <v>13</v>
      </c>
      <c r="L2" s="38" t="s">
        <v>3</v>
      </c>
      <c r="M2" s="39" t="s">
        <v>4</v>
      </c>
    </row>
    <row r="3" spans="1:13" ht="16" thickBot="1">
      <c r="A3" s="21" t="s">
        <v>9</v>
      </c>
      <c r="B3" s="24">
        <v>0.01</v>
      </c>
      <c r="C3" s="45">
        <v>2019</v>
      </c>
      <c r="D3" s="4" t="s">
        <v>21</v>
      </c>
      <c r="E3" s="1">
        <v>2113.8499999999995</v>
      </c>
      <c r="F3" s="35"/>
      <c r="G3" s="35"/>
      <c r="H3" s="36">
        <f>Table10[[#This Row],[Adj Close]]/AVERAGE(Table10[[#This Row],[Adj Close]])</f>
        <v>1</v>
      </c>
      <c r="I3" s="35"/>
      <c r="J3" s="35"/>
      <c r="K3" s="35"/>
      <c r="L3" s="35"/>
      <c r="M3" s="37"/>
    </row>
    <row r="4" spans="1:13">
      <c r="A4" s="21" t="s">
        <v>16</v>
      </c>
      <c r="B4" s="24">
        <v>1.9952110291587277E-2</v>
      </c>
      <c r="C4" s="49">
        <v>2020</v>
      </c>
      <c r="D4" s="4" t="s">
        <v>22</v>
      </c>
      <c r="E4" s="1">
        <v>4426.3822</v>
      </c>
      <c r="F4" s="5">
        <f>E4/H3</f>
        <v>4426.3822</v>
      </c>
      <c r="G4" s="5">
        <f>F4-E3/H3</f>
        <v>2312.5322000000006</v>
      </c>
      <c r="H4" s="5">
        <f>$B$5*Table10[[#This Row],[Adj Close]]/Table10[[#This Row],[Level]]+(1-$B$5)*H3</f>
        <v>1</v>
      </c>
      <c r="I4" s="32"/>
      <c r="J4" s="33"/>
      <c r="K4" s="33"/>
      <c r="L4" s="33"/>
      <c r="M4" s="34"/>
    </row>
    <row r="5" spans="1:13" ht="16" thickBot="1">
      <c r="A5" s="23" t="s">
        <v>30</v>
      </c>
      <c r="B5" s="25">
        <v>0.67064185151457945</v>
      </c>
      <c r="C5" s="50"/>
      <c r="D5" s="4" t="s">
        <v>23</v>
      </c>
      <c r="E5" s="1">
        <v>4752.2442000000001</v>
      </c>
      <c r="F5" s="5">
        <f t="shared" ref="F5:F23" si="0">alpha*(E5)+(1-alpha)*(E4+G4)</f>
        <v>6719.0476980000012</v>
      </c>
      <c r="G5" s="5">
        <f>$B$4*(Table10[[#This Row],[Level]]-F4)+(1-$B$4)*G4</f>
        <v>2312.1358173705662</v>
      </c>
      <c r="H5" s="5">
        <f>$B$5*Table10[[#This Row],[Adj Close]]/Table10[[#This Row],[Level]]+(1-$B$5)*H4</f>
        <v>0.80368933236525564</v>
      </c>
      <c r="I5" s="5">
        <f>(F4+G4)*H4</f>
        <v>6738.9144000000006</v>
      </c>
      <c r="J5" s="5">
        <f>Table10[[#This Row],[Adj Close]]-Table10[[#This Row],[Level]]</f>
        <v>-1966.8034980000011</v>
      </c>
      <c r="K5" s="5">
        <f t="shared" ref="K5:K23" si="1">ABS(J5)</f>
        <v>1966.8034980000011</v>
      </c>
      <c r="L5" s="5">
        <f t="shared" ref="L5:L23" si="2">J5^2</f>
        <v>3868315.9997450407</v>
      </c>
      <c r="M5" s="6">
        <f t="shared" ref="M5:M23" si="3">K5/E5</f>
        <v>0.41386835676499978</v>
      </c>
    </row>
    <row r="6" spans="1:13">
      <c r="A6" s="54" t="s">
        <v>2</v>
      </c>
      <c r="B6" s="55"/>
      <c r="C6" s="50"/>
      <c r="D6" s="4" t="s">
        <v>24</v>
      </c>
      <c r="E6" s="1">
        <v>6812.5032999999994</v>
      </c>
      <c r="F6" s="5">
        <f t="shared" si="0"/>
        <v>7061.8612501968601</v>
      </c>
      <c r="G6" s="5">
        <f>$B$4*(Table10[[#This Row],[Level]]-F5)+(1-$B$4)*G5</f>
        <v>2272.8436823361417</v>
      </c>
      <c r="H6" s="5">
        <f>$B$5*Table10[[#This Row],[Adj Close]]/Table10[[#This Row],[Level]]+(1-$B$5)*H5</f>
        <v>0.91166277352568681</v>
      </c>
      <c r="I6" s="5">
        <f t="shared" ref="I6:I23" si="4">(F5+G5)*H5</f>
        <v>7258.2658499362733</v>
      </c>
      <c r="J6" s="5">
        <f>Table10[[#This Row],[Adj Close]]-Table10[[#This Row],[Level]]</f>
        <v>-249.35795019686066</v>
      </c>
      <c r="K6" s="5">
        <f t="shared" si="1"/>
        <v>249.35795019686066</v>
      </c>
      <c r="L6" s="5">
        <f t="shared" si="2"/>
        <v>62179.387326380041</v>
      </c>
      <c r="M6" s="6">
        <f t="shared" si="3"/>
        <v>3.6602984133139525E-2</v>
      </c>
    </row>
    <row r="7" spans="1:13" ht="16" thickBot="1">
      <c r="A7" s="21" t="s">
        <v>25</v>
      </c>
      <c r="B7" s="22">
        <f>AVERAGE(J4:J23)</f>
        <v>-1879.4982458752791</v>
      </c>
      <c r="C7" s="51"/>
      <c r="D7" s="4" t="s">
        <v>21</v>
      </c>
      <c r="E7" s="1">
        <v>7522.4512000000004</v>
      </c>
      <c r="F7" s="5">
        <f t="shared" si="0"/>
        <v>9069.7180245127802</v>
      </c>
      <c r="G7" s="5">
        <f>$B$4*(Table10[[#This Row],[Level]]-F6)+(1-$B$4)*G6</f>
        <v>2267.5566343214955</v>
      </c>
      <c r="H7" s="5">
        <f>$B$5*Table10[[#This Row],[Adj Close]]/Table10[[#This Row],[Level]]+(1-$B$5)*H6</f>
        <v>0.85649591644847201</v>
      </c>
      <c r="I7" s="5">
        <f t="shared" si="4"/>
        <v>8510.1029888369449</v>
      </c>
      <c r="J7" s="5">
        <f>Table10[[#This Row],[Adj Close]]-Table10[[#This Row],[Level]]</f>
        <v>-1547.2668245127797</v>
      </c>
      <c r="K7" s="5">
        <f t="shared" si="1"/>
        <v>1547.2668245127797</v>
      </c>
      <c r="L7" s="5">
        <f t="shared" si="2"/>
        <v>2394034.6262378613</v>
      </c>
      <c r="M7" s="6">
        <f t="shared" si="3"/>
        <v>0.20568652203589963</v>
      </c>
    </row>
    <row r="8" spans="1:13">
      <c r="A8" s="21" t="s">
        <v>26</v>
      </c>
      <c r="B8" s="10">
        <f>AVERAGE(K4:K23)</f>
        <v>1960.7744943549035</v>
      </c>
      <c r="C8" s="46">
        <v>2021</v>
      </c>
      <c r="D8" s="4" t="s">
        <v>22</v>
      </c>
      <c r="E8" s="1">
        <v>7663.4059000000025</v>
      </c>
      <c r="F8" s="5">
        <f t="shared" si="0"/>
        <v>9768.7418149782807</v>
      </c>
      <c r="G8" s="5">
        <f>$B$4*(Table10[[#This Row],[Level]]-F7)+(1-$B$4)*G7</f>
        <v>2236.2610940249037</v>
      </c>
      <c r="H8" s="5">
        <f>$B$5*Table10[[#This Row],[Adj Close]]/Table10[[#This Row],[Level]]+(1-$B$5)*H7</f>
        <v>0.80820062993094455</v>
      </c>
      <c r="I8" s="5">
        <f t="shared" si="4"/>
        <v>9710.3294489463005</v>
      </c>
      <c r="J8" s="5">
        <f>Table10[[#This Row],[Adj Close]]-Table10[[#This Row],[Level]]</f>
        <v>-2105.3359149782782</v>
      </c>
      <c r="K8" s="5">
        <f t="shared" si="1"/>
        <v>2105.3359149782782</v>
      </c>
      <c r="L8" s="5">
        <f t="shared" si="2"/>
        <v>4432439.3148974236</v>
      </c>
      <c r="M8" s="6">
        <f t="shared" si="3"/>
        <v>0.27472587808226073</v>
      </c>
    </row>
    <row r="9" spans="1:13">
      <c r="A9" s="21" t="s">
        <v>27</v>
      </c>
      <c r="B9" s="10">
        <f>SQRT(AVERAGE(L4:L23))</f>
        <v>2621.2768356082111</v>
      </c>
      <c r="C9" s="47"/>
      <c r="D9" s="4" t="s">
        <v>23</v>
      </c>
      <c r="E9" s="1">
        <v>8002.1134000000011</v>
      </c>
      <c r="F9" s="5">
        <f t="shared" si="0"/>
        <v>9880.6914580846587</v>
      </c>
      <c r="G9" s="5">
        <f>$B$4*(Table10[[#This Row],[Level]]-F8)+(1-$B$4)*G8</f>
        <v>2193.8765976624954</v>
      </c>
      <c r="H9" s="5">
        <f>$B$5*Table10[[#This Row],[Adj Close]]/Table10[[#This Row],[Level]]+(1-$B$5)*H8</f>
        <v>0.80932274560142425</v>
      </c>
      <c r="I9" s="5">
        <f t="shared" si="4"/>
        <v>9702.4509133791944</v>
      </c>
      <c r="J9" s="5">
        <f>Table10[[#This Row],[Adj Close]]-Table10[[#This Row],[Level]]</f>
        <v>-1878.5780580846576</v>
      </c>
      <c r="K9" s="5">
        <f t="shared" si="1"/>
        <v>1878.5780580846576</v>
      </c>
      <c r="L9" s="5">
        <f t="shared" si="2"/>
        <v>3529055.5203171233</v>
      </c>
      <c r="M9" s="6">
        <f t="shared" si="3"/>
        <v>0.23476023947431904</v>
      </c>
    </row>
    <row r="10" spans="1:13" ht="16" thickBot="1">
      <c r="A10" s="23" t="s">
        <v>28</v>
      </c>
      <c r="B10" s="26">
        <f>AVERAGE(M4:M23)</f>
        <v>0.23252765542963405</v>
      </c>
      <c r="C10" s="47"/>
      <c r="D10" s="4" t="s">
        <v>24</v>
      </c>
      <c r="E10" s="1">
        <v>9251.5610000000033</v>
      </c>
      <c r="F10" s="5">
        <f t="shared" si="0"/>
        <v>10186.545707685871</v>
      </c>
      <c r="G10" s="5">
        <f>$B$4*(Table10[[#This Row],[Level]]-F9)+(1-$B$4)*G9</f>
        <v>2156.2065675409949</v>
      </c>
      <c r="H10" s="5">
        <f>$B$5*Table10[[#This Row],[Adj Close]]/Table10[[#This Row],[Level]]+(1-$B$5)*H9</f>
        <v>0.87564320000543949</v>
      </c>
      <c r="I10" s="5">
        <f t="shared" si="4"/>
        <v>9772.2225708285368</v>
      </c>
      <c r="J10" s="5">
        <f>Table10[[#This Row],[Adj Close]]-Table10[[#This Row],[Level]]</f>
        <v>-934.98470768586776</v>
      </c>
      <c r="K10" s="5">
        <f t="shared" si="1"/>
        <v>934.98470768586776</v>
      </c>
      <c r="L10" s="5">
        <f t="shared" si="2"/>
        <v>874196.4036064276</v>
      </c>
      <c r="M10" s="6">
        <f t="shared" si="3"/>
        <v>0.10106237289965092</v>
      </c>
    </row>
    <row r="11" spans="1:13" ht="16" thickBot="1">
      <c r="A11" s="3"/>
      <c r="B11" s="3"/>
      <c r="C11" s="48"/>
      <c r="D11" s="4" t="s">
        <v>21</v>
      </c>
      <c r="E11" s="1">
        <v>9946.1143999999986</v>
      </c>
      <c r="F11" s="5">
        <f t="shared" si="0"/>
        <v>11393.151035865591</v>
      </c>
      <c r="G11" s="5">
        <f>$B$4*(Table10[[#This Row],[Level]]-F10)+(1-$B$4)*G10</f>
        <v>2137.2600188802307</v>
      </c>
      <c r="H11" s="5">
        <f>$B$5*Table10[[#This Row],[Adj Close]]/Table10[[#This Row],[Level]]+(1-$B$5)*H10</f>
        <v>0.87386429317622294</v>
      </c>
      <c r="I11" s="5">
        <f t="shared" si="4"/>
        <v>10807.847099154073</v>
      </c>
      <c r="J11" s="5">
        <f>Table10[[#This Row],[Adj Close]]-Table10[[#This Row],[Level]]</f>
        <v>-1447.036635865592</v>
      </c>
      <c r="K11" s="5">
        <f t="shared" si="1"/>
        <v>1447.036635865592</v>
      </c>
      <c r="L11" s="5">
        <f t="shared" si="2"/>
        <v>2093915.0255372098</v>
      </c>
      <c r="M11" s="6">
        <f t="shared" si="3"/>
        <v>0.1454876324231292</v>
      </c>
    </row>
    <row r="12" spans="1:13">
      <c r="A12" s="54" t="s">
        <v>17</v>
      </c>
      <c r="B12" s="55"/>
      <c r="C12" s="49">
        <v>2022</v>
      </c>
      <c r="D12" s="4" t="s">
        <v>22</v>
      </c>
      <c r="E12" s="1">
        <v>10266.259700000001</v>
      </c>
      <c r="F12" s="5">
        <f t="shared" si="0"/>
        <v>12065.203271691429</v>
      </c>
      <c r="G12" s="5">
        <f>$B$4*(Table10[[#This Row],[Level]]-F11)+(1-$B$4)*G11</f>
        <v>2108.0260315926375</v>
      </c>
      <c r="H12" s="5">
        <f>$B$5*Table10[[#This Row],[Adj Close]]/Table10[[#This Row],[Level]]+(1-$B$5)*H11</f>
        <v>0.85846226734086284</v>
      </c>
      <c r="I12" s="5">
        <f t="shared" si="4"/>
        <v>11823.743092739211</v>
      </c>
      <c r="J12" s="5">
        <f>Table10[[#This Row],[Adj Close]]-Table10[[#This Row],[Level]]</f>
        <v>-1798.9435716914286</v>
      </c>
      <c r="K12" s="5">
        <f t="shared" si="1"/>
        <v>1798.9435716914286</v>
      </c>
      <c r="L12" s="5">
        <f t="shared" si="2"/>
        <v>3236197.9741299138</v>
      </c>
      <c r="M12" s="6">
        <f t="shared" si="3"/>
        <v>0.17522872246173829</v>
      </c>
    </row>
    <row r="13" spans="1:13">
      <c r="A13" s="11" t="s">
        <v>29</v>
      </c>
      <c r="B13" s="43">
        <v>-559.75139548026061</v>
      </c>
      <c r="C13" s="50"/>
      <c r="D13" s="4" t="s">
        <v>23</v>
      </c>
      <c r="E13" s="1">
        <v>9257.5100000000039</v>
      </c>
      <c r="F13" s="5">
        <f t="shared" si="0"/>
        <v>12343.117974276711</v>
      </c>
      <c r="G13" s="5">
        <f>$B$4*(Table10[[#This Row],[Level]]-F12)+(1-$B$4)*G12</f>
        <v>2071.5114485103995</v>
      </c>
      <c r="H13" s="5">
        <f>$B$5*Table10[[#This Row],[Adj Close]]/Table10[[#This Row],[Level]]+(1-$B$5)*H12</f>
        <v>0.78573225075441644</v>
      </c>
      <c r="I13" s="5">
        <f t="shared" si="4"/>
        <v>12167.182563239197</v>
      </c>
      <c r="J13" s="5">
        <f>Table10[[#This Row],[Adj Close]]-Table10[[#This Row],[Level]]</f>
        <v>-3085.607974276707</v>
      </c>
      <c r="K13" s="5">
        <f t="shared" si="1"/>
        <v>3085.607974276707</v>
      </c>
      <c r="L13" s="5">
        <f t="shared" si="2"/>
        <v>9520976.5709200036</v>
      </c>
      <c r="M13" s="6">
        <f t="shared" si="3"/>
        <v>0.33330862988824272</v>
      </c>
    </row>
    <row r="14" spans="1:13">
      <c r="A14" s="13" t="s">
        <v>10</v>
      </c>
      <c r="B14" s="14">
        <v>0.01</v>
      </c>
      <c r="C14" s="50"/>
      <c r="D14" s="4" t="s">
        <v>24</v>
      </c>
      <c r="E14" s="1">
        <v>9918.8381999999983</v>
      </c>
      <c r="F14" s="5">
        <f t="shared" si="0"/>
        <v>11314.9196160253</v>
      </c>
      <c r="G14" s="5">
        <f>$B$4*(Table10[[#This Row],[Level]]-F13)+(1-$B$4)*G13</f>
        <v>2009.6656965739733</v>
      </c>
      <c r="H14" s="5">
        <f>$B$5*Table10[[#This Row],[Adj Close]]/Table10[[#This Row],[Level]]+(1-$B$5)*H13</f>
        <v>0.84668261517607457</v>
      </c>
      <c r="I14" s="5">
        <f t="shared" si="4"/>
        <v>11326.039220157352</v>
      </c>
      <c r="J14" s="5">
        <f>Table10[[#This Row],[Adj Close]]-Table10[[#This Row],[Level]]</f>
        <v>-1396.0814160253012</v>
      </c>
      <c r="K14" s="5">
        <f t="shared" si="1"/>
        <v>1396.0814160253012</v>
      </c>
      <c r="L14" s="5">
        <f t="shared" si="2"/>
        <v>1949043.3201712102</v>
      </c>
      <c r="M14" s="6">
        <f t="shared" si="3"/>
        <v>0.14075049797921912</v>
      </c>
    </row>
    <row r="15" spans="1:13" ht="16" thickBot="1">
      <c r="A15" s="15" t="s">
        <v>18</v>
      </c>
      <c r="B15" s="16">
        <v>1.9952110291587277E-2</v>
      </c>
      <c r="C15" s="51"/>
      <c r="D15" s="4" t="s">
        <v>21</v>
      </c>
      <c r="E15" s="1">
        <v>8904.0028000000002</v>
      </c>
      <c r="F15" s="5">
        <f t="shared" si="0"/>
        <v>11898.258885608231</v>
      </c>
      <c r="G15" s="5">
        <f>$B$4*(Table10[[#This Row],[Level]]-F14)+(1-$B$4)*G14</f>
        <v>1981.2074743908424</v>
      </c>
      <c r="H15" s="5">
        <f>$B$5*Table10[[#This Row],[Adj Close]]/Table10[[#This Row],[Level]]+(1-$B$5)*H14</f>
        <v>0.78073330919156225</v>
      </c>
      <c r="I15" s="5">
        <f t="shared" si="4"/>
        <v>11281.694738608265</v>
      </c>
      <c r="J15" s="5">
        <f>Table10[[#This Row],[Adj Close]]-Table10[[#This Row],[Level]]</f>
        <v>-2994.2560856082309</v>
      </c>
      <c r="K15" s="5">
        <f t="shared" si="1"/>
        <v>2994.2560856082309</v>
      </c>
      <c r="L15" s="5">
        <f t="shared" si="2"/>
        <v>8965569.5062019248</v>
      </c>
      <c r="M15" s="6">
        <f t="shared" si="3"/>
        <v>0.33628202426084491</v>
      </c>
    </row>
    <row r="16" spans="1:13">
      <c r="A16" s="17" t="s">
        <v>20</v>
      </c>
      <c r="B16" s="18">
        <v>0.67064185151457945</v>
      </c>
      <c r="C16" s="46">
        <v>2023</v>
      </c>
      <c r="D16" s="4" t="s">
        <v>22</v>
      </c>
      <c r="E16" s="1">
        <v>9061.0874000000022</v>
      </c>
      <c r="F16" s="5">
        <f t="shared" si="0"/>
        <v>10866.969045646934</v>
      </c>
      <c r="G16" s="5">
        <f>$B$4*(Table10[[#This Row],[Level]]-F15)+(1-$B$4)*G15</f>
        <v>1921.101795721778</v>
      </c>
      <c r="H16" s="5">
        <f>$B$5*Table10[[#This Row],[Adj Close]]/Table10[[#This Row],[Level]]+(1-$B$5)*H15</f>
        <v>0.81633492706685873</v>
      </c>
      <c r="I16" s="5">
        <f t="shared" si="4"/>
        <v>10836.161701055045</v>
      </c>
      <c r="J16" s="5">
        <f>Table10[[#This Row],[Adj Close]]-Table10[[#This Row],[Level]]</f>
        <v>-1805.8816456469322</v>
      </c>
      <c r="K16" s="5">
        <f t="shared" si="1"/>
        <v>1805.8816456469322</v>
      </c>
      <c r="L16" s="5">
        <f t="shared" si="2"/>
        <v>3261208.518084472</v>
      </c>
      <c r="M16" s="6">
        <f t="shared" si="3"/>
        <v>0.19930076445868206</v>
      </c>
    </row>
    <row r="17" spans="1:13">
      <c r="A17" s="11" t="s">
        <v>5</v>
      </c>
      <c r="B17" s="43">
        <v>1113.0026190407714</v>
      </c>
      <c r="C17" s="47"/>
      <c r="D17" s="4" t="s">
        <v>23</v>
      </c>
      <c r="E17" s="1">
        <v>10715.820899999992</v>
      </c>
      <c r="F17" s="5">
        <f t="shared" si="0"/>
        <v>10979.525512764561</v>
      </c>
      <c r="G17" s="5">
        <f>$B$4*(Table10[[#This Row],[Level]]-F16)+(1-$B$4)*G16</f>
        <v>1885.0174998581331</v>
      </c>
      <c r="H17" s="5">
        <f>$B$5*Table10[[#This Row],[Adj Close]]/Table10[[#This Row],[Level]]+(1-$B$5)*H16</f>
        <v>0.92340103527101225</v>
      </c>
      <c r="I17" s="5">
        <f t="shared" si="4"/>
        <v>10439.34887761455</v>
      </c>
      <c r="J17" s="5">
        <f>Table10[[#This Row],[Adj Close]]-Table10[[#This Row],[Level]]</f>
        <v>-263.7046127645699</v>
      </c>
      <c r="K17" s="5">
        <f t="shared" si="1"/>
        <v>263.7046127645699</v>
      </c>
      <c r="L17" s="5">
        <f t="shared" si="2"/>
        <v>69540.122793311763</v>
      </c>
      <c r="M17" s="6">
        <f t="shared" si="3"/>
        <v>2.4608904462426216E-2</v>
      </c>
    </row>
    <row r="18" spans="1:13">
      <c r="A18" s="13" t="s">
        <v>10</v>
      </c>
      <c r="B18" s="14">
        <v>0.99</v>
      </c>
      <c r="C18" s="47"/>
      <c r="D18" s="4" t="s">
        <v>24</v>
      </c>
      <c r="E18" s="1">
        <v>11474.623900000002</v>
      </c>
      <c r="F18" s="5">
        <f t="shared" si="0"/>
        <v>12589.576254859543</v>
      </c>
      <c r="G18" s="5">
        <f>$B$4*(Table10[[#This Row],[Level]]-F17)+(1-$B$4)*G17</f>
        <v>1879.5313327807226</v>
      </c>
      <c r="H18" s="5">
        <f>$B$5*Table10[[#This Row],[Adj Close]]/Table10[[#This Row],[Level]]+(1-$B$5)*H17</f>
        <v>0.9153784266466608</v>
      </c>
      <c r="I18" s="5">
        <f t="shared" si="4"/>
        <v>11879.132336144263</v>
      </c>
      <c r="J18" s="5">
        <f>Table10[[#This Row],[Adj Close]]-Table10[[#This Row],[Level]]</f>
        <v>-1114.9523548595407</v>
      </c>
      <c r="K18" s="5">
        <f t="shared" si="1"/>
        <v>1114.9523548595407</v>
      </c>
      <c r="L18" s="5">
        <f t="shared" si="2"/>
        <v>1243118.7536068351</v>
      </c>
      <c r="M18" s="6">
        <f t="shared" si="3"/>
        <v>9.7166788609040211E-2</v>
      </c>
    </row>
    <row r="19" spans="1:13" ht="16" thickBot="1">
      <c r="A19" s="15" t="s">
        <v>18</v>
      </c>
      <c r="B19" s="16">
        <v>0.22407906200598676</v>
      </c>
      <c r="C19" s="48"/>
      <c r="D19" s="4" t="s">
        <v>21</v>
      </c>
      <c r="E19" s="1">
        <v>11568.966899999998</v>
      </c>
      <c r="F19" s="5">
        <f t="shared" si="0"/>
        <v>13336.303349452917</v>
      </c>
      <c r="G19" s="5">
        <f>$B$4*(Table10[[#This Row],[Level]]-F18)+(1-$B$4)*G18</f>
        <v>1856.9294976816311</v>
      </c>
      <c r="H19" s="5">
        <f>$B$5*Table10[[#This Row],[Adj Close]]/Table10[[#This Row],[Level]]+(1-$B$5)*H18</f>
        <v>0.88325525790214421</v>
      </c>
      <c r="I19" s="5">
        <f t="shared" si="4"/>
        <v>13244.708938555408</v>
      </c>
      <c r="J19" s="5">
        <f>Table10[[#This Row],[Adj Close]]-Table10[[#This Row],[Level]]</f>
        <v>-1767.3364494529196</v>
      </c>
      <c r="K19" s="5">
        <f t="shared" si="1"/>
        <v>1767.3364494529196</v>
      </c>
      <c r="L19" s="5">
        <f t="shared" si="2"/>
        <v>3123478.1255648523</v>
      </c>
      <c r="M19" s="6">
        <f t="shared" si="3"/>
        <v>0.15276527841504325</v>
      </c>
    </row>
    <row r="20" spans="1:13">
      <c r="A20" s="17" t="s">
        <v>20</v>
      </c>
      <c r="B20" s="18">
        <v>0.26844846528049415</v>
      </c>
      <c r="C20" s="49">
        <v>2024</v>
      </c>
      <c r="D20" s="4" t="s">
        <v>22</v>
      </c>
      <c r="E20" s="1">
        <v>11045.2237</v>
      </c>
      <c r="F20" s="5">
        <f t="shared" si="0"/>
        <v>13402.089670704812</v>
      </c>
      <c r="G20" s="5">
        <f>$B$4*(Table10[[#This Row],[Level]]-F19)+(1-$B$4)*G19</f>
        <v>1821.1924114774811</v>
      </c>
      <c r="H20" s="5">
        <f>$B$5*Table10[[#This Row],[Adj Close]]/Table10[[#This Row],[Level]]+(1-$B$5)*H19</f>
        <v>0.84361136885235211</v>
      </c>
      <c r="I20" s="5">
        <f t="shared" si="4"/>
        <v>13419.502796763154</v>
      </c>
      <c r="J20" s="5">
        <f>Table10[[#This Row],[Adj Close]]-Table10[[#This Row],[Level]]</f>
        <v>-2356.8659707048118</v>
      </c>
      <c r="K20" s="5">
        <f t="shared" si="1"/>
        <v>2356.8659707048118</v>
      </c>
      <c r="L20" s="5">
        <f t="shared" si="2"/>
        <v>5554817.2038663346</v>
      </c>
      <c r="M20" s="6">
        <f t="shared" si="3"/>
        <v>0.21338327178514382</v>
      </c>
    </row>
    <row r="21" spans="1:13">
      <c r="A21" s="11" t="s">
        <v>6</v>
      </c>
      <c r="B21" s="43">
        <v>1812.3574671346739</v>
      </c>
      <c r="C21" s="50"/>
      <c r="D21" s="4" t="s">
        <v>23</v>
      </c>
      <c r="E21" s="1">
        <v>11715.368899999999</v>
      </c>
      <c r="F21" s="5">
        <f t="shared" si="0"/>
        <v>12854.905639362707</v>
      </c>
      <c r="G21" s="5">
        <f>$B$4*(Table10[[#This Row],[Level]]-F20)+(1-$B$4)*G20</f>
        <v>1773.9383034783477</v>
      </c>
      <c r="H21" s="5">
        <f>$B$5*Table10[[#This Row],[Adj Close]]/Table10[[#This Row],[Level]]+(1-$B$5)*H20</f>
        <v>0.88904237204910519</v>
      </c>
      <c r="I21" s="5">
        <f t="shared" si="4"/>
        <v>12842.53383577529</v>
      </c>
      <c r="J21" s="5">
        <f>Table10[[#This Row],[Adj Close]]-Table10[[#This Row],[Level]]</f>
        <v>-1139.5367393627075</v>
      </c>
      <c r="K21" s="5">
        <f t="shared" si="1"/>
        <v>1139.5367393627075</v>
      </c>
      <c r="L21" s="5">
        <f t="shared" si="2"/>
        <v>1298543.9803573913</v>
      </c>
      <c r="M21" s="6">
        <f t="shared" si="3"/>
        <v>9.7268532394460719E-2</v>
      </c>
    </row>
    <row r="22" spans="1:13">
      <c r="A22" s="13" t="s">
        <v>10</v>
      </c>
      <c r="B22" s="14">
        <v>0.98999999999999988</v>
      </c>
      <c r="C22" s="50"/>
      <c r="D22" s="4" t="s">
        <v>24</v>
      </c>
      <c r="E22" s="1">
        <v>14269.230799999996</v>
      </c>
      <c r="F22" s="5">
        <f t="shared" si="0"/>
        <v>13497.106439443563</v>
      </c>
      <c r="G22" s="5">
        <f>$B$4*(Table10[[#This Row],[Level]]-F21)+(1-$B$4)*G21</f>
        <v>1751.3577519894354</v>
      </c>
      <c r="H22" s="5">
        <f>$B$5*Table10[[#This Row],[Adj Close]]/Table10[[#This Row],[Level]]+(1-$B$5)*H21</f>
        <v>1.0018203805594708</v>
      </c>
      <c r="I22" s="5">
        <f t="shared" si="4"/>
        <v>13005.662119279596</v>
      </c>
      <c r="J22" s="5">
        <f>Table10[[#This Row],[Adj Close]]-Table10[[#This Row],[Level]]</f>
        <v>772.12436055643229</v>
      </c>
      <c r="K22" s="5">
        <f t="shared" si="1"/>
        <v>772.12436055643229</v>
      </c>
      <c r="L22" s="5">
        <f t="shared" si="2"/>
        <v>596176.02816467942</v>
      </c>
      <c r="M22" s="6">
        <f t="shared" si="3"/>
        <v>5.4111141054389036E-2</v>
      </c>
    </row>
    <row r="23" spans="1:13" ht="16" thickBot="1">
      <c r="A23" s="15" t="s">
        <v>18</v>
      </c>
      <c r="B23" s="16">
        <v>0.22900720499275401</v>
      </c>
      <c r="C23" s="51"/>
      <c r="D23" s="4" t="s">
        <v>21</v>
      </c>
      <c r="E23" s="1">
        <v>7303.355599999998</v>
      </c>
      <c r="F23" s="5">
        <f t="shared" si="0"/>
        <v>15933.416222469537</v>
      </c>
      <c r="G23" s="5">
        <f>$B$4*(Table10[[#This Row],[Level]]-F22)+(1-$B$4)*G22</f>
        <v>1765.0239904571231</v>
      </c>
      <c r="H23" s="5">
        <f>$B$5*Table10[[#This Row],[Adj Close]]/Table10[[#This Row],[Level]]+(1-$B$5)*H22</f>
        <v>0.63735794258363732</v>
      </c>
      <c r="I23" s="5">
        <f t="shared" si="4"/>
        <v>15276.222199208869</v>
      </c>
      <c r="J23" s="5">
        <f>Table10[[#This Row],[Adj Close]]-Table10[[#This Row],[Level]]</f>
        <v>-8630.0606224695402</v>
      </c>
      <c r="K23" s="5">
        <f t="shared" si="1"/>
        <v>8630.0606224695402</v>
      </c>
      <c r="L23" s="5">
        <f t="shared" si="2"/>
        <v>74477946.347499356</v>
      </c>
      <c r="M23" s="6">
        <f t="shared" si="3"/>
        <v>1.181656911580417</v>
      </c>
    </row>
    <row r="24" spans="1:13">
      <c r="A24" s="17" t="s">
        <v>20</v>
      </c>
      <c r="B24" s="18">
        <v>0.48337220356956689</v>
      </c>
      <c r="C24" s="29">
        <v>1</v>
      </c>
      <c r="D24" s="27"/>
      <c r="E24" s="42"/>
      <c r="F24" s="8"/>
      <c r="G24" s="8"/>
      <c r="H24" s="8"/>
      <c r="I24" s="8">
        <f>($F$23+C24*$G$23)*$H$23</f>
        <v>11280.241441050448</v>
      </c>
      <c r="J24" s="8"/>
      <c r="K24" s="8"/>
      <c r="L24" s="8"/>
      <c r="M24" s="9"/>
    </row>
    <row r="25" spans="1:13">
      <c r="A25" s="11" t="s">
        <v>7</v>
      </c>
      <c r="B25" s="12">
        <v>0.13588522101176259</v>
      </c>
      <c r="C25" s="30">
        <f>C24+1</f>
        <v>2</v>
      </c>
      <c r="D25" s="28"/>
      <c r="E25" s="7"/>
      <c r="F25" s="8"/>
      <c r="G25" s="8"/>
      <c r="H25" s="8"/>
      <c r="I25" s="8">
        <f t="shared" ref="I25:I27" si="5">($F$23+C25*$G$23)*$H$23</f>
        <v>12405.193500218962</v>
      </c>
      <c r="J25" s="8"/>
      <c r="K25" s="8"/>
      <c r="L25" s="8"/>
      <c r="M25" s="9"/>
    </row>
    <row r="26" spans="1:13">
      <c r="A26" s="13" t="s">
        <v>10</v>
      </c>
      <c r="B26" s="14">
        <v>0.9900000000000001</v>
      </c>
      <c r="C26" s="30">
        <f t="shared" ref="C26:C27" si="6">C25+1</f>
        <v>3</v>
      </c>
      <c r="D26" s="28"/>
      <c r="E26" s="7"/>
      <c r="F26" s="8"/>
      <c r="G26" s="8"/>
      <c r="H26" s="8"/>
      <c r="I26" s="8">
        <f t="shared" si="5"/>
        <v>13530.145559387476</v>
      </c>
      <c r="J26" s="8"/>
      <c r="K26" s="8"/>
      <c r="L26" s="8"/>
      <c r="M26" s="9"/>
    </row>
    <row r="27" spans="1:13" ht="16" thickBot="1">
      <c r="A27" s="15" t="s">
        <v>18</v>
      </c>
      <c r="B27" s="16">
        <v>0.22987270640978202</v>
      </c>
      <c r="C27" s="31">
        <f t="shared" si="6"/>
        <v>4</v>
      </c>
      <c r="D27" s="28"/>
      <c r="E27" s="7"/>
      <c r="F27" s="8"/>
      <c r="G27" s="8"/>
      <c r="H27" s="8"/>
      <c r="I27" s="8">
        <f t="shared" si="5"/>
        <v>14655.097618555988</v>
      </c>
      <c r="J27" s="8"/>
      <c r="K27" s="8"/>
      <c r="L27" s="8"/>
      <c r="M27" s="9"/>
    </row>
    <row r="28" spans="1:13" ht="16" thickBot="1">
      <c r="A28" s="19" t="s">
        <v>20</v>
      </c>
      <c r="B28" s="20">
        <v>0.13913726819173303</v>
      </c>
    </row>
  </sheetData>
  <mergeCells count="8">
    <mergeCell ref="C16:C19"/>
    <mergeCell ref="C20:C23"/>
    <mergeCell ref="A2:B2"/>
    <mergeCell ref="A6:B6"/>
    <mergeCell ref="A12:B12"/>
    <mergeCell ref="C4:C7"/>
    <mergeCell ref="C8:C11"/>
    <mergeCell ref="C12:C15"/>
  </mergeCells>
  <phoneticPr fontId="4" type="noConversion"/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62E0-BBF7-4633-AD73-431E9FEE500D}">
  <dimension ref="A1:M28"/>
  <sheetViews>
    <sheetView topLeftCell="A18" zoomScale="49" zoomScaleNormal="100" workbookViewId="0">
      <selection activeCell="V39" sqref="V39"/>
    </sheetView>
  </sheetViews>
  <sheetFormatPr defaultRowHeight="15.5"/>
  <cols>
    <col min="1" max="1" width="27.4140625" style="2" customWidth="1"/>
    <col min="2" max="2" width="24.9140625" style="2" customWidth="1"/>
    <col min="3" max="3" width="8.08203125" style="44" customWidth="1"/>
    <col min="4" max="4" width="9" style="2" bestFit="1" customWidth="1"/>
    <col min="5" max="5" width="13.25" style="2" bestFit="1" customWidth="1"/>
    <col min="6" max="6" width="9.75" style="2" bestFit="1" customWidth="1"/>
    <col min="7" max="7" width="10.08203125" style="2" bestFit="1" customWidth="1"/>
    <col min="8" max="8" width="10" style="2" customWidth="1"/>
    <col min="9" max="9" width="18" style="2" bestFit="1" customWidth="1"/>
    <col min="10" max="10" width="9.6640625" style="2" bestFit="1" customWidth="1"/>
    <col min="11" max="11" width="13.4140625" style="2" bestFit="1" customWidth="1"/>
    <col min="12" max="12" width="13.33203125" style="2" bestFit="1" customWidth="1"/>
    <col min="13" max="13" width="16.6640625" style="2" bestFit="1" customWidth="1"/>
    <col min="14" max="16384" width="8.6640625" style="2"/>
  </cols>
  <sheetData>
    <row r="1" spans="1:13" ht="16" thickBot="1">
      <c r="A1" s="3"/>
      <c r="B1" s="3"/>
    </row>
    <row r="2" spans="1:13" ht="16" thickBot="1">
      <c r="A2" s="52" t="s">
        <v>8</v>
      </c>
      <c r="B2" s="53"/>
      <c r="D2" s="40" t="s">
        <v>0</v>
      </c>
      <c r="E2" s="41" t="s">
        <v>1</v>
      </c>
      <c r="F2" s="38" t="s">
        <v>14</v>
      </c>
      <c r="G2" s="38" t="s">
        <v>15</v>
      </c>
      <c r="H2" s="38" t="s">
        <v>19</v>
      </c>
      <c r="I2" s="38" t="s">
        <v>11</v>
      </c>
      <c r="J2" s="38" t="s">
        <v>12</v>
      </c>
      <c r="K2" s="38" t="s">
        <v>13</v>
      </c>
      <c r="L2" s="38" t="s">
        <v>3</v>
      </c>
      <c r="M2" s="39" t="s">
        <v>4</v>
      </c>
    </row>
    <row r="3" spans="1:13" ht="16" thickBot="1">
      <c r="A3" s="21" t="s">
        <v>9</v>
      </c>
      <c r="B3" s="24">
        <v>0.98999999999999988</v>
      </c>
      <c r="C3" s="45">
        <v>2019</v>
      </c>
      <c r="D3" s="4" t="s">
        <v>21</v>
      </c>
      <c r="E3" s="1">
        <v>396.74279999999999</v>
      </c>
      <c r="F3" s="35"/>
      <c r="G3" s="35"/>
      <c r="H3" s="36">
        <f>Table105[[#This Row],[Adj Close]]/AVERAGE(Table105[[#This Row],[Adj Close]])</f>
        <v>1</v>
      </c>
      <c r="I3" s="35"/>
      <c r="J3" s="35"/>
      <c r="K3" s="35"/>
      <c r="L3" s="35"/>
      <c r="M3" s="37"/>
    </row>
    <row r="4" spans="1:13">
      <c r="A4" s="21" t="s">
        <v>16</v>
      </c>
      <c r="B4" s="24">
        <v>0.22900720499275401</v>
      </c>
      <c r="C4" s="49">
        <v>2020</v>
      </c>
      <c r="D4" s="4" t="s">
        <v>22</v>
      </c>
      <c r="E4" s="1">
        <v>771.7512999999999</v>
      </c>
      <c r="F4" s="5">
        <f>E4/H3</f>
        <v>771.7512999999999</v>
      </c>
      <c r="G4" s="5">
        <f>F4-E3/H3</f>
        <v>375.00849999999991</v>
      </c>
      <c r="H4" s="5">
        <f>$B$5*Table105[[#This Row],[Adj Close]]/Table105[[#This Row],[Level]]+(1-$B$5)*H3</f>
        <v>1</v>
      </c>
      <c r="I4" s="32"/>
      <c r="J4" s="33"/>
      <c r="K4" s="33"/>
      <c r="L4" s="33"/>
      <c r="M4" s="34"/>
    </row>
    <row r="5" spans="1:13" ht="16" thickBot="1">
      <c r="A5" s="23" t="s">
        <v>30</v>
      </c>
      <c r="B5" s="25">
        <v>0.48337220356956689</v>
      </c>
      <c r="C5" s="50"/>
      <c r="D5" s="4" t="s">
        <v>23</v>
      </c>
      <c r="E5" s="1">
        <v>780.43509999999981</v>
      </c>
      <c r="F5" s="5">
        <f t="shared" ref="F5:F23" si="0">alpha*(E5)+(1-alpha)*(E4+G4)</f>
        <v>784.09834699999988</v>
      </c>
      <c r="G5" s="5">
        <f>$B$4*(Table105[[#This Row],[Level]]-F4)+(1-$B$4)*G4</f>
        <v>291.95641428985891</v>
      </c>
      <c r="H5" s="5">
        <f>$B$5*Table105[[#This Row],[Adj Close]]/Table105[[#This Row],[Level]]+(1-$B$5)*H4</f>
        <v>0.9977417223472228</v>
      </c>
      <c r="I5" s="5">
        <f>(F4+G4)*H4</f>
        <v>1146.7597999999998</v>
      </c>
      <c r="J5" s="5">
        <f>Table105[[#This Row],[Adj Close]]-Table105[[#This Row],[Level]]</f>
        <v>-3.6632470000000694</v>
      </c>
      <c r="K5" s="5">
        <f t="shared" ref="K5:K23" si="1">ABS(J5)</f>
        <v>3.6632470000000694</v>
      </c>
      <c r="L5" s="5">
        <f t="shared" ref="L5:L23" si="2">J5^2</f>
        <v>13.419378583009509</v>
      </c>
      <c r="M5" s="6">
        <f t="shared" ref="M5:M23" si="3">K5/E5</f>
        <v>4.6938521857872234E-3</v>
      </c>
    </row>
    <row r="6" spans="1:13">
      <c r="A6" s="54" t="s">
        <v>2</v>
      </c>
      <c r="B6" s="55"/>
      <c r="C6" s="50"/>
      <c r="D6" s="4" t="s">
        <v>24</v>
      </c>
      <c r="E6" s="1">
        <v>949.05729999999994</v>
      </c>
      <c r="F6" s="5">
        <f t="shared" si="0"/>
        <v>950.29064214289849</v>
      </c>
      <c r="G6" s="5">
        <f>$B$4*(Table105[[#This Row],[Level]]-F5)+(1-$B$4)*G5</f>
        <v>263.15552487563781</v>
      </c>
      <c r="H6" s="5">
        <f>$B$5*Table105[[#This Row],[Adj Close]]/Table105[[#This Row],[Level]]+(1-$B$5)*H5</f>
        <v>0.99820596259726901</v>
      </c>
      <c r="I6" s="5">
        <f t="shared" ref="I6:I23" si="4">(F5+G5)*H5</f>
        <v>1073.6247308692734</v>
      </c>
      <c r="J6" s="5">
        <f>Table105[[#This Row],[Adj Close]]-Table105[[#This Row],[Level]]</f>
        <v>-1.2333421428985503</v>
      </c>
      <c r="K6" s="5">
        <f t="shared" si="1"/>
        <v>1.2333421428985503</v>
      </c>
      <c r="L6" s="5">
        <f t="shared" si="2"/>
        <v>1.5211328414495879</v>
      </c>
      <c r="M6" s="6">
        <f t="shared" si="3"/>
        <v>1.2995444457342569E-3</v>
      </c>
    </row>
    <row r="7" spans="1:13" ht="16" thickBot="1">
      <c r="A7" s="21" t="s">
        <v>25</v>
      </c>
      <c r="B7" s="22">
        <f>AVERAGE(J4:J23)</f>
        <v>-1.1246640803107144</v>
      </c>
      <c r="C7" s="51"/>
      <c r="D7" s="4" t="s">
        <v>21</v>
      </c>
      <c r="E7" s="1">
        <v>1064.3542000000002</v>
      </c>
      <c r="F7" s="5">
        <f t="shared" si="0"/>
        <v>1065.8327862487567</v>
      </c>
      <c r="G7" s="5">
        <f>$B$4*(Table105[[#This Row],[Level]]-F6)+(1-$B$4)*G6</f>
        <v>229.35099712601945</v>
      </c>
      <c r="H7" s="5">
        <f>$B$5*Table105[[#This Row],[Adj Close]]/Table105[[#This Row],[Level]]+(1-$B$5)*H6</f>
        <v>0.99840258791413516</v>
      </c>
      <c r="I7" s="5">
        <f t="shared" si="4"/>
        <v>1211.2691992087045</v>
      </c>
      <c r="J7" s="5">
        <f>Table105[[#This Row],[Adj Close]]-Table105[[#This Row],[Level]]</f>
        <v>-1.4785862487565282</v>
      </c>
      <c r="K7" s="5">
        <f t="shared" si="1"/>
        <v>1.4785862487565282</v>
      </c>
      <c r="L7" s="5">
        <f t="shared" si="2"/>
        <v>2.1862172950119021</v>
      </c>
      <c r="M7" s="6">
        <f t="shared" si="3"/>
        <v>1.3891862772341462E-3</v>
      </c>
    </row>
    <row r="8" spans="1:13">
      <c r="A8" s="21" t="s">
        <v>26</v>
      </c>
      <c r="B8" s="10">
        <f>AVERAGE(K4:K23)</f>
        <v>1.5809384859811344</v>
      </c>
      <c r="C8" s="46">
        <v>2021</v>
      </c>
      <c r="D8" s="4" t="s">
        <v>22</v>
      </c>
      <c r="E8" s="1">
        <v>1232.0910999999999</v>
      </c>
      <c r="F8" s="5">
        <f t="shared" si="0"/>
        <v>1232.70724097126</v>
      </c>
      <c r="G8" s="5">
        <f>$B$4*(Table105[[#This Row],[Level]]-F7)+(1-$B$4)*G7</f>
        <v>215.04341877257892</v>
      </c>
      <c r="H8" s="5">
        <f>$B$5*Table105[[#This Row],[Adj Close]]/Table105[[#This Row],[Level]]+(1-$B$5)*H7</f>
        <v>0.99893312979684223</v>
      </c>
      <c r="I8" s="5">
        <f t="shared" si="4"/>
        <v>1293.1148411457971</v>
      </c>
      <c r="J8" s="5">
        <f>Table105[[#This Row],[Adj Close]]-Table105[[#This Row],[Level]]</f>
        <v>-0.61614097126016532</v>
      </c>
      <c r="K8" s="5">
        <f t="shared" si="1"/>
        <v>0.61614097126016532</v>
      </c>
      <c r="L8" s="5">
        <f t="shared" si="2"/>
        <v>0.37962969646541989</v>
      </c>
      <c r="M8" s="6">
        <f t="shared" si="3"/>
        <v>5.0007744659478939E-4</v>
      </c>
    </row>
    <row r="9" spans="1:13">
      <c r="A9" s="21" t="s">
        <v>27</v>
      </c>
      <c r="B9" s="10">
        <f>SQRT(AVERAGE(L4:L23))</f>
        <v>2.133103297450468</v>
      </c>
      <c r="C9" s="47"/>
      <c r="D9" s="4" t="s">
        <v>23</v>
      </c>
      <c r="E9" s="1">
        <v>1223.9110000000003</v>
      </c>
      <c r="F9" s="5">
        <f t="shared" si="0"/>
        <v>1226.1432351877261</v>
      </c>
      <c r="G9" s="5">
        <f>$B$4*(Table105[[#This Row],[Level]]-F8)+(1-$B$4)*G8</f>
        <v>164.29372186934089</v>
      </c>
      <c r="H9" s="5">
        <f>$B$5*Table105[[#This Row],[Adj Close]]/Table105[[#This Row],[Level]]+(1-$B$5)*H8</f>
        <v>0.99856882976942629</v>
      </c>
      <c r="I9" s="5">
        <f t="shared" si="4"/>
        <v>1446.2060977033561</v>
      </c>
      <c r="J9" s="5">
        <f>Table105[[#This Row],[Adj Close]]-Table105[[#This Row],[Level]]</f>
        <v>-2.2322351877257915</v>
      </c>
      <c r="K9" s="5">
        <f t="shared" si="1"/>
        <v>2.2322351877257915</v>
      </c>
      <c r="L9" s="5">
        <f t="shared" si="2"/>
        <v>4.9828739333211995</v>
      </c>
      <c r="M9" s="6">
        <f t="shared" si="3"/>
        <v>1.823854175447227E-3</v>
      </c>
    </row>
    <row r="10" spans="1:13" ht="16" thickBot="1">
      <c r="A10" s="23" t="s">
        <v>28</v>
      </c>
      <c r="B10" s="26">
        <f>AVERAGE(M4:M23)</f>
        <v>1.7354282622004424E-3</v>
      </c>
      <c r="C10" s="47"/>
      <c r="D10" s="4" t="s">
        <v>24</v>
      </c>
      <c r="E10" s="1">
        <v>1284.7931999999998</v>
      </c>
      <c r="F10" s="5">
        <f t="shared" si="0"/>
        <v>1285.8273152186932</v>
      </c>
      <c r="G10" s="5">
        <f>$B$4*(Table105[[#This Row],[Level]]-F9)+(1-$B$4)*G9</f>
        <v>140.33736017664185</v>
      </c>
      <c r="H10" s="5">
        <f>$B$5*Table105[[#This Row],[Adj Close]]/Table105[[#This Row],[Level]]+(1-$B$5)*H9</f>
        <v>0.99887186986810339</v>
      </c>
      <c r="I10" s="5">
        <f t="shared" si="4"/>
        <v>1388.4470050766374</v>
      </c>
      <c r="J10" s="5">
        <f>Table105[[#This Row],[Adj Close]]-Table105[[#This Row],[Level]]</f>
        <v>-1.0341152186933869</v>
      </c>
      <c r="K10" s="5">
        <f t="shared" si="1"/>
        <v>1.0341152186933869</v>
      </c>
      <c r="L10" s="5">
        <f t="shared" si="2"/>
        <v>1.0693942855332712</v>
      </c>
      <c r="M10" s="6">
        <f t="shared" si="3"/>
        <v>8.0488845885344582E-4</v>
      </c>
    </row>
    <row r="11" spans="1:13" ht="16" thickBot="1">
      <c r="A11" s="3"/>
      <c r="B11" s="3"/>
      <c r="C11" s="48"/>
      <c r="D11" s="4" t="s">
        <v>21</v>
      </c>
      <c r="E11" s="1">
        <v>1464.4419999999996</v>
      </c>
      <c r="F11" s="5">
        <f t="shared" si="0"/>
        <v>1464.048885601766</v>
      </c>
      <c r="G11" s="5">
        <f>$B$4*(Table105[[#This Row],[Level]]-F10)+(1-$B$4)*G10</f>
        <v>149.01311726937453</v>
      </c>
      <c r="H11" s="5">
        <f>$B$5*Table105[[#This Row],[Adj Close]]/Table105[[#This Row],[Level]]+(1-$B$5)*H10</f>
        <v>0.99954696775522334</v>
      </c>
      <c r="I11" s="5">
        <f t="shared" si="4"/>
        <v>1424.555776051975</v>
      </c>
      <c r="J11" s="5">
        <f>Table105[[#This Row],[Adj Close]]-Table105[[#This Row],[Level]]</f>
        <v>0.39311439823359251</v>
      </c>
      <c r="K11" s="5">
        <f t="shared" si="1"/>
        <v>0.39311439823359251</v>
      </c>
      <c r="L11" s="5">
        <f t="shared" si="2"/>
        <v>0.15453893009855957</v>
      </c>
      <c r="M11" s="6">
        <f t="shared" si="3"/>
        <v>2.6843971849591357E-4</v>
      </c>
    </row>
    <row r="12" spans="1:13">
      <c r="A12" s="54" t="s">
        <v>17</v>
      </c>
      <c r="B12" s="55"/>
      <c r="C12" s="49">
        <v>2022</v>
      </c>
      <c r="D12" s="4" t="s">
        <v>22</v>
      </c>
      <c r="E12" s="1">
        <v>1295.7479999999994</v>
      </c>
      <c r="F12" s="5">
        <f t="shared" si="0"/>
        <v>1298.9250711726932</v>
      </c>
      <c r="G12" s="5">
        <f>$B$4*(Table105[[#This Row],[Level]]-F11)+(1-$B$4)*G11</f>
        <v>77.073496556113412</v>
      </c>
      <c r="H12" s="5">
        <f>$B$5*Table105[[#This Row],[Adj Close]]/Table105[[#This Row],[Level]]+(1-$B$5)*H11</f>
        <v>0.998583659586045</v>
      </c>
      <c r="I12" s="5">
        <f t="shared" si="4"/>
        <v>1612.3312337710158</v>
      </c>
      <c r="J12" s="5">
        <f>Table105[[#This Row],[Adj Close]]-Table105[[#This Row],[Level]]</f>
        <v>-3.1770711726937861</v>
      </c>
      <c r="K12" s="5">
        <f t="shared" si="1"/>
        <v>3.1770711726937861</v>
      </c>
      <c r="L12" s="5">
        <f t="shared" si="2"/>
        <v>10.093781236361869</v>
      </c>
      <c r="M12" s="6">
        <f t="shared" si="3"/>
        <v>2.4519205684236348E-3</v>
      </c>
    </row>
    <row r="13" spans="1:13">
      <c r="A13" s="11" t="s">
        <v>29</v>
      </c>
      <c r="B13" s="43">
        <v>-559.75139548026061</v>
      </c>
      <c r="C13" s="50"/>
      <c r="D13" s="4" t="s">
        <v>23</v>
      </c>
      <c r="E13" s="1">
        <v>1068.8729000000003</v>
      </c>
      <c r="F13" s="5">
        <f t="shared" si="0"/>
        <v>1071.9123859655615</v>
      </c>
      <c r="G13" s="5">
        <f>$B$4*(Table105[[#This Row],[Level]]-F12)+(1-$B$4)*G12</f>
        <v>7.4355699935940933</v>
      </c>
      <c r="H13" s="5">
        <f>$B$5*Table105[[#This Row],[Adj Close]]/Table105[[#This Row],[Level]]+(1-$B$5)*H12</f>
        <v>0.99789764193791508</v>
      </c>
      <c r="I13" s="5">
        <f t="shared" si="4"/>
        <v>1374.0496853477882</v>
      </c>
      <c r="J13" s="5">
        <f>Table105[[#This Row],[Adj Close]]-Table105[[#This Row],[Level]]</f>
        <v>-3.0394859655611981</v>
      </c>
      <c r="K13" s="5">
        <f t="shared" si="1"/>
        <v>3.0394859655611981</v>
      </c>
      <c r="L13" s="5">
        <f t="shared" si="2"/>
        <v>9.238474934843488</v>
      </c>
      <c r="M13" s="6">
        <f t="shared" si="3"/>
        <v>2.8436364749833188E-3</v>
      </c>
    </row>
    <row r="14" spans="1:13">
      <c r="A14" s="13" t="s">
        <v>10</v>
      </c>
      <c r="B14" s="14">
        <v>0.01</v>
      </c>
      <c r="C14" s="50"/>
      <c r="D14" s="4" t="s">
        <v>24</v>
      </c>
      <c r="E14" s="1">
        <v>998.2212999999997</v>
      </c>
      <c r="F14" s="5">
        <f t="shared" si="0"/>
        <v>999.00217169993562</v>
      </c>
      <c r="G14" s="5">
        <f>$B$4*(Table105[[#This Row],[Level]]-F13)+(1-$B$4)*G13</f>
        <v>-10.964193492560685</v>
      </c>
      <c r="H14" s="5">
        <f>$B$5*Table105[[#This Row],[Adj Close]]/Table105[[#This Row],[Level]]+(1-$B$5)*H13</f>
        <v>0.99853603470462227</v>
      </c>
      <c r="I14" s="5">
        <f t="shared" si="4"/>
        <v>1077.0787800821499</v>
      </c>
      <c r="J14" s="5">
        <f>Table105[[#This Row],[Adj Close]]-Table105[[#This Row],[Level]]</f>
        <v>-0.78087169993591488</v>
      </c>
      <c r="K14" s="5">
        <f t="shared" si="1"/>
        <v>0.78087169993591488</v>
      </c>
      <c r="L14" s="5">
        <f t="shared" si="2"/>
        <v>0.60976061176080543</v>
      </c>
      <c r="M14" s="6">
        <f t="shared" si="3"/>
        <v>7.8226311133204141E-4</v>
      </c>
    </row>
    <row r="15" spans="1:13" ht="16" thickBot="1">
      <c r="A15" s="15" t="s">
        <v>18</v>
      </c>
      <c r="B15" s="16">
        <v>1.9952110291587277E-2</v>
      </c>
      <c r="C15" s="51"/>
      <c r="D15" s="4" t="s">
        <v>21</v>
      </c>
      <c r="E15" s="1">
        <v>919.47079999999994</v>
      </c>
      <c r="F15" s="5">
        <f t="shared" si="0"/>
        <v>920.14866306507429</v>
      </c>
      <c r="G15" s="5">
        <f>$B$4*(Table105[[#This Row],[Level]]-F14)+(1-$B$4)*G14</f>
        <v>-26.51133580217121</v>
      </c>
      <c r="H15" s="5">
        <f>$B$5*Table105[[#This Row],[Adj Close]]/Table105[[#This Row],[Level]]+(1-$B$5)*H14</f>
        <v>0.99888758002524891</v>
      </c>
      <c r="I15" s="5">
        <f t="shared" si="4"/>
        <v>986.59152489676421</v>
      </c>
      <c r="J15" s="5">
        <f>Table105[[#This Row],[Adj Close]]-Table105[[#This Row],[Level]]</f>
        <v>-0.67786306507434801</v>
      </c>
      <c r="K15" s="5">
        <f t="shared" si="1"/>
        <v>0.67786306507434801</v>
      </c>
      <c r="L15" s="5">
        <f t="shared" si="2"/>
        <v>0.45949833499198978</v>
      </c>
      <c r="M15" s="6">
        <f t="shared" si="3"/>
        <v>7.3723174795148263E-4</v>
      </c>
    </row>
    <row r="16" spans="1:13">
      <c r="A16" s="17" t="s">
        <v>20</v>
      </c>
      <c r="B16" s="18">
        <v>0.67064185151457945</v>
      </c>
      <c r="C16" s="46">
        <v>2023</v>
      </c>
      <c r="D16" s="4" t="s">
        <v>22</v>
      </c>
      <c r="E16" s="1">
        <v>1050.0203000000004</v>
      </c>
      <c r="F16" s="5">
        <f t="shared" si="0"/>
        <v>1048.4496916419787</v>
      </c>
      <c r="G16" s="5">
        <f>$B$4*(Table105[[#This Row],[Level]]-F15)+(1-$B$4)*G15</f>
        <v>8.9418110626006886</v>
      </c>
      <c r="H16" s="5">
        <f>$B$5*Table105[[#This Row],[Adj Close]]/Table105[[#This Row],[Level]]+(1-$B$5)*H15</f>
        <v>1.0001493986436607</v>
      </c>
      <c r="I16" s="5">
        <f t="shared" si="4"/>
        <v>892.64322724987267</v>
      </c>
      <c r="J16" s="5">
        <f>Table105[[#This Row],[Adj Close]]-Table105[[#This Row],[Level]]</f>
        <v>1.5706083580216728</v>
      </c>
      <c r="K16" s="5">
        <f t="shared" si="1"/>
        <v>1.5706083580216728</v>
      </c>
      <c r="L16" s="5">
        <f t="shared" si="2"/>
        <v>2.4668106142875348</v>
      </c>
      <c r="M16" s="6">
        <f t="shared" si="3"/>
        <v>1.4957885652512359E-3</v>
      </c>
    </row>
    <row r="17" spans="1:13">
      <c r="A17" s="11" t="s">
        <v>5</v>
      </c>
      <c r="B17" s="43">
        <v>1113.0026190407714</v>
      </c>
      <c r="C17" s="47"/>
      <c r="D17" s="4" t="s">
        <v>23</v>
      </c>
      <c r="E17" s="1">
        <v>1139.9820999999999</v>
      </c>
      <c r="F17" s="5">
        <f t="shared" si="0"/>
        <v>1139.171900110626</v>
      </c>
      <c r="G17" s="5">
        <f>$B$4*(Table105[[#This Row],[Level]]-F16)+(1-$B$4)*G16</f>
        <v>27.670111295756094</v>
      </c>
      <c r="H17" s="5">
        <f>$B$5*Table105[[#This Row],[Adj Close]]/Table105[[#This Row],[Level]]+(1-$B$5)*H16</f>
        <v>1.0004209666435098</v>
      </c>
      <c r="I17" s="5">
        <f t="shared" si="4"/>
        <v>1057.5494755609018</v>
      </c>
      <c r="J17" s="5">
        <f>Table105[[#This Row],[Adj Close]]-Table105[[#This Row],[Level]]</f>
        <v>0.81019988937396192</v>
      </c>
      <c r="K17" s="5">
        <f t="shared" si="1"/>
        <v>0.81019988937396192</v>
      </c>
      <c r="L17" s="5">
        <f t="shared" si="2"/>
        <v>0.6564238607415801</v>
      </c>
      <c r="M17" s="6">
        <f t="shared" si="3"/>
        <v>7.1071281678366876E-4</v>
      </c>
    </row>
    <row r="18" spans="1:13">
      <c r="A18" s="13" t="s">
        <v>10</v>
      </c>
      <c r="B18" s="14">
        <v>0.99</v>
      </c>
      <c r="C18" s="47"/>
      <c r="D18" s="4" t="s">
        <v>24</v>
      </c>
      <c r="E18" s="1">
        <v>1078.2159999999999</v>
      </c>
      <c r="F18" s="5">
        <f t="shared" si="0"/>
        <v>1079.1103621129573</v>
      </c>
      <c r="G18" s="5">
        <f>$B$4*(Table105[[#This Row],[Level]]-F17)+(1-$B$4)*G17</f>
        <v>7.5789315016643641</v>
      </c>
      <c r="H18" s="5">
        <f>$B$5*Table105[[#This Row],[Adj Close]]/Table105[[#This Row],[Level]]+(1-$B$5)*H17</f>
        <v>0.99981686622750887</v>
      </c>
      <c r="I18" s="5">
        <f t="shared" si="4"/>
        <v>1167.3332129714299</v>
      </c>
      <c r="J18" s="5">
        <f>Table105[[#This Row],[Adj Close]]-Table105[[#This Row],[Level]]</f>
        <v>-0.89436211295742396</v>
      </c>
      <c r="K18" s="5">
        <f t="shared" si="1"/>
        <v>0.89436211295742396</v>
      </c>
      <c r="L18" s="5">
        <f t="shared" si="2"/>
        <v>0.79988358909366797</v>
      </c>
      <c r="M18" s="6">
        <f t="shared" si="3"/>
        <v>8.2948325099741057E-4</v>
      </c>
    </row>
    <row r="19" spans="1:13" ht="16" thickBot="1">
      <c r="A19" s="15" t="s">
        <v>18</v>
      </c>
      <c r="B19" s="16">
        <v>0.22407906200598676</v>
      </c>
      <c r="C19" s="48"/>
      <c r="D19" s="4" t="s">
        <v>21</v>
      </c>
      <c r="E19" s="1">
        <v>1089.2690000000002</v>
      </c>
      <c r="F19" s="5">
        <f t="shared" si="0"/>
        <v>1089.234259315017</v>
      </c>
      <c r="G19" s="5">
        <f>$B$4*(Table105[[#This Row],[Level]]-F18)+(1-$B$4)*G18</f>
        <v>8.1617469835143162</v>
      </c>
      <c r="H19" s="5">
        <f>$B$5*Table105[[#This Row],[Adj Close]]/Table105[[#This Row],[Level]]+(1-$B$5)*H18</f>
        <v>0.99992080496307667</v>
      </c>
      <c r="I19" s="5">
        <f t="shared" si="4"/>
        <v>1086.4902841047563</v>
      </c>
      <c r="J19" s="5">
        <f>Table105[[#This Row],[Adj Close]]-Table105[[#This Row],[Level]]</f>
        <v>3.4740684983262327E-2</v>
      </c>
      <c r="K19" s="5">
        <f t="shared" si="1"/>
        <v>3.4740684983262327E-2</v>
      </c>
      <c r="L19" s="5">
        <f t="shared" si="2"/>
        <v>1.2069151931062684E-3</v>
      </c>
      <c r="M19" s="6">
        <f t="shared" si="3"/>
        <v>3.1893577236901373E-5</v>
      </c>
    </row>
    <row r="20" spans="1:13">
      <c r="A20" s="17" t="s">
        <v>20</v>
      </c>
      <c r="B20" s="18">
        <v>0.26844846528049415</v>
      </c>
      <c r="C20" s="49">
        <v>2024</v>
      </c>
      <c r="D20" s="4" t="s">
        <v>22</v>
      </c>
      <c r="E20" s="1">
        <v>1117.8148999999996</v>
      </c>
      <c r="F20" s="5">
        <f t="shared" si="0"/>
        <v>1117.6110584698349</v>
      </c>
      <c r="G20" s="5">
        <f>$B$4*(Table105[[#This Row],[Level]]-F19)+(1-$B$4)*G19</f>
        <v>12.791139580047263</v>
      </c>
      <c r="H20" s="5">
        <f>$B$5*Table105[[#This Row],[Adj Close]]/Table105[[#This Row],[Level]]+(1-$B$5)*H19</f>
        <v>1.0000472480930807</v>
      </c>
      <c r="I20" s="5">
        <f t="shared" si="4"/>
        <v>1097.309097981293</v>
      </c>
      <c r="J20" s="5">
        <f>Table105[[#This Row],[Adj Close]]-Table105[[#This Row],[Level]]</f>
        <v>0.20384153016470918</v>
      </c>
      <c r="K20" s="5">
        <f t="shared" si="1"/>
        <v>0.20384153016470918</v>
      </c>
      <c r="L20" s="5">
        <f t="shared" si="2"/>
        <v>4.1551369419890044E-2</v>
      </c>
      <c r="M20" s="6">
        <f t="shared" si="3"/>
        <v>1.8235714174565866E-4</v>
      </c>
    </row>
    <row r="21" spans="1:13">
      <c r="A21" s="11" t="s">
        <v>6</v>
      </c>
      <c r="B21" s="43">
        <v>1812.3574671346739</v>
      </c>
      <c r="C21" s="50"/>
      <c r="D21" s="4" t="s">
        <v>23</v>
      </c>
      <c r="E21" s="1">
        <v>1041.6140000000005</v>
      </c>
      <c r="F21" s="5">
        <f t="shared" si="0"/>
        <v>1042.5039203958011</v>
      </c>
      <c r="G21" s="5">
        <f>$B$4*(Table105[[#This Row],[Level]]-F20)+(1-$B$4)*G20</f>
        <v>-7.3381993091908999</v>
      </c>
      <c r="H21" s="5">
        <f>$B$5*Table105[[#This Row],[Adj Close]]/Table105[[#This Row],[Level]]+(1-$B$5)*H20</f>
        <v>0.9996117850594437</v>
      </c>
      <c r="I21" s="5">
        <f t="shared" si="4"/>
        <v>1130.4556073981541</v>
      </c>
      <c r="J21" s="5">
        <f>Table105[[#This Row],[Adj Close]]-Table105[[#This Row],[Level]]</f>
        <v>-0.88992039580057281</v>
      </c>
      <c r="K21" s="5">
        <f t="shared" si="1"/>
        <v>0.88992039580057281</v>
      </c>
      <c r="L21" s="5">
        <f t="shared" si="2"/>
        <v>0.7919583108618482</v>
      </c>
      <c r="M21" s="6">
        <f t="shared" si="3"/>
        <v>8.5436677675278206E-4</v>
      </c>
    </row>
    <row r="22" spans="1:13">
      <c r="A22" s="13" t="s">
        <v>10</v>
      </c>
      <c r="B22" s="14">
        <v>0.98999999999999988</v>
      </c>
      <c r="C22" s="50"/>
      <c r="D22" s="4" t="s">
        <v>24</v>
      </c>
      <c r="E22" s="1">
        <v>1166.4860000000001</v>
      </c>
      <c r="F22" s="5">
        <f t="shared" si="0"/>
        <v>1165.1638980069083</v>
      </c>
      <c r="G22" s="5">
        <f>$B$4*(Table105[[#This Row],[Level]]-F21)+(1-$B$4)*G21</f>
        <v>22.432319841480123</v>
      </c>
      <c r="H22" s="5">
        <f>$B$5*Table105[[#This Row],[Adj Close]]/Table105[[#This Row],[Level]]+(1-$B$5)*H21</f>
        <v>1.0003479158764792</v>
      </c>
      <c r="I22" s="5">
        <f t="shared" si="4"/>
        <v>1034.7638542877326</v>
      </c>
      <c r="J22" s="5">
        <f>Table105[[#This Row],[Adj Close]]-Table105[[#This Row],[Level]]</f>
        <v>1.3221019930917919</v>
      </c>
      <c r="K22" s="5">
        <f t="shared" si="1"/>
        <v>1.3221019930917919</v>
      </c>
      <c r="L22" s="5">
        <f t="shared" si="2"/>
        <v>1.7479536801372886</v>
      </c>
      <c r="M22" s="6">
        <f t="shared" si="3"/>
        <v>1.1334057957761959E-3</v>
      </c>
    </row>
    <row r="23" spans="1:13" ht="16" thickBot="1">
      <c r="A23" s="15" t="s">
        <v>18</v>
      </c>
      <c r="B23" s="16">
        <v>0.22900720499275401</v>
      </c>
      <c r="C23" s="51"/>
      <c r="D23" s="4" t="s">
        <v>21</v>
      </c>
      <c r="E23" s="1">
        <v>590.32000000000005</v>
      </c>
      <c r="F23" s="5">
        <f t="shared" si="0"/>
        <v>596.30598319841488</v>
      </c>
      <c r="G23" s="5">
        <f>$B$4*(Table105[[#This Row],[Level]]-F22)+(1-$B$4)*G22</f>
        <v>-112.97740413521998</v>
      </c>
      <c r="H23" s="5">
        <f>$B$5*Table105[[#This Row],[Adj Close]]/Table105[[#This Row],[Level]]+(1-$B$5)*H22</f>
        <v>0.99532743904338039</v>
      </c>
      <c r="I23" s="5">
        <f t="shared" si="4"/>
        <v>1188.0094014274246</v>
      </c>
      <c r="J23" s="5">
        <f>Table105[[#This Row],[Adj Close]]-Table105[[#This Row],[Level]]</f>
        <v>-5.9859831984148286</v>
      </c>
      <c r="K23" s="5">
        <f t="shared" si="1"/>
        <v>5.9859831984148286</v>
      </c>
      <c r="L23" s="5">
        <f t="shared" si="2"/>
        <v>35.831994851704621</v>
      </c>
      <c r="M23" s="6">
        <f t="shared" si="3"/>
        <v>1.014023444642707E-2</v>
      </c>
    </row>
    <row r="24" spans="1:13">
      <c r="A24" s="17" t="s">
        <v>20</v>
      </c>
      <c r="B24" s="18">
        <v>0.48337220356956689</v>
      </c>
      <c r="C24" s="29">
        <v>1</v>
      </c>
      <c r="D24" s="27"/>
      <c r="E24" s="42"/>
      <c r="F24" s="8"/>
      <c r="G24" s="8"/>
      <c r="H24" s="8"/>
      <c r="I24" s="8">
        <f>($F$23+C24*$G$23)*$H$23</f>
        <v>481.07019681544574</v>
      </c>
      <c r="J24" s="8"/>
      <c r="K24" s="8"/>
      <c r="L24" s="8"/>
      <c r="M24" s="9"/>
    </row>
    <row r="25" spans="1:13">
      <c r="A25" s="11" t="s">
        <v>7</v>
      </c>
      <c r="B25" s="12">
        <v>0.13588522101176259</v>
      </c>
      <c r="C25" s="30">
        <f>C24+1</f>
        <v>2</v>
      </c>
      <c r="D25" s="28"/>
      <c r="E25" s="7"/>
      <c r="F25" s="8"/>
      <c r="G25" s="8"/>
      <c r="H25" s="8"/>
      <c r="I25" s="8">
        <f t="shared" ref="I25:I27" si="5">($F$23+C25*$G$23)*$H$23</f>
        <v>368.62068648776824</v>
      </c>
      <c r="J25" s="8"/>
      <c r="K25" s="8"/>
      <c r="L25" s="8"/>
      <c r="M25" s="9"/>
    </row>
    <row r="26" spans="1:13">
      <c r="A26" s="13" t="s">
        <v>10</v>
      </c>
      <c r="B26" s="14">
        <v>0.9900000000000001</v>
      </c>
      <c r="C26" s="30">
        <f t="shared" ref="C26:C27" si="6">C25+1</f>
        <v>3</v>
      </c>
      <c r="D26" s="28"/>
      <c r="E26" s="7"/>
      <c r="F26" s="8"/>
      <c r="G26" s="8"/>
      <c r="H26" s="8"/>
      <c r="I26" s="8">
        <f t="shared" si="5"/>
        <v>256.17117616009074</v>
      </c>
      <c r="J26" s="8"/>
      <c r="K26" s="8"/>
      <c r="L26" s="8"/>
      <c r="M26" s="9"/>
    </row>
    <row r="27" spans="1:13" ht="16" thickBot="1">
      <c r="A27" s="15" t="s">
        <v>18</v>
      </c>
      <c r="B27" s="16">
        <v>0.22987270640978202</v>
      </c>
      <c r="C27" s="31">
        <f t="shared" si="6"/>
        <v>4</v>
      </c>
      <c r="D27" s="28"/>
      <c r="E27" s="7"/>
      <c r="F27" s="8"/>
      <c r="G27" s="8"/>
      <c r="H27" s="8"/>
      <c r="I27" s="8">
        <f t="shared" si="5"/>
        <v>143.72166583241321</v>
      </c>
      <c r="J27" s="8"/>
      <c r="K27" s="8"/>
      <c r="L27" s="8"/>
      <c r="M27" s="9"/>
    </row>
    <row r="28" spans="1:13" ht="16" thickBot="1">
      <c r="A28" s="19" t="s">
        <v>20</v>
      </c>
      <c r="B28" s="20">
        <v>0.13913726819173303</v>
      </c>
    </row>
  </sheetData>
  <mergeCells count="8">
    <mergeCell ref="C16:C19"/>
    <mergeCell ref="C20:C23"/>
    <mergeCell ref="A2:B2"/>
    <mergeCell ref="C4:C7"/>
    <mergeCell ref="A6:B6"/>
    <mergeCell ref="C8:C11"/>
    <mergeCell ref="A12:B12"/>
    <mergeCell ref="C12:C15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E542-FF39-4E46-AC73-2A39CB44C5C4}">
  <dimension ref="A1:M28"/>
  <sheetViews>
    <sheetView topLeftCell="A8" zoomScale="40" zoomScaleNormal="40" workbookViewId="0">
      <selection activeCell="L31" sqref="L31"/>
    </sheetView>
  </sheetViews>
  <sheetFormatPr defaultRowHeight="15.5"/>
  <cols>
    <col min="1" max="1" width="27.4140625" style="2" customWidth="1"/>
    <col min="2" max="2" width="24.9140625" style="2" customWidth="1"/>
    <col min="3" max="3" width="8.08203125" style="44" customWidth="1"/>
    <col min="4" max="4" width="9" style="2" bestFit="1" customWidth="1"/>
    <col min="5" max="5" width="13.25" style="2" bestFit="1" customWidth="1"/>
    <col min="6" max="6" width="9.75" style="2" bestFit="1" customWidth="1"/>
    <col min="7" max="7" width="10.08203125" style="2" bestFit="1" customWidth="1"/>
    <col min="8" max="8" width="10" style="2" customWidth="1"/>
    <col min="9" max="9" width="18" style="2" bestFit="1" customWidth="1"/>
    <col min="10" max="10" width="9.6640625" style="2" bestFit="1" customWidth="1"/>
    <col min="11" max="11" width="13.4140625" style="2" bestFit="1" customWidth="1"/>
    <col min="12" max="12" width="13.33203125" style="2" bestFit="1" customWidth="1"/>
    <col min="13" max="13" width="16.6640625" style="2" bestFit="1" customWidth="1"/>
    <col min="14" max="16384" width="8.6640625" style="2"/>
  </cols>
  <sheetData>
    <row r="1" spans="1:13" ht="16" thickBot="1">
      <c r="A1" s="3"/>
      <c r="B1" s="3"/>
    </row>
    <row r="2" spans="1:13" ht="16" thickBot="1">
      <c r="A2" s="52" t="s">
        <v>8</v>
      </c>
      <c r="B2" s="53"/>
      <c r="D2" s="40" t="s">
        <v>0</v>
      </c>
      <c r="E2" s="41" t="s">
        <v>1</v>
      </c>
      <c r="F2" s="38" t="s">
        <v>14</v>
      </c>
      <c r="G2" s="38" t="s">
        <v>15</v>
      </c>
      <c r="H2" s="38" t="s">
        <v>19</v>
      </c>
      <c r="I2" s="38" t="s">
        <v>11</v>
      </c>
      <c r="J2" s="38" t="s">
        <v>12</v>
      </c>
      <c r="K2" s="38" t="s">
        <v>13</v>
      </c>
      <c r="L2" s="38" t="s">
        <v>3</v>
      </c>
      <c r="M2" s="39" t="s">
        <v>4</v>
      </c>
    </row>
    <row r="3" spans="1:13" ht="16" thickBot="1">
      <c r="A3" s="21" t="s">
        <v>9</v>
      </c>
      <c r="B3" s="24">
        <v>0.9900000000000001</v>
      </c>
      <c r="C3" s="45">
        <v>2019</v>
      </c>
      <c r="D3" s="4" t="s">
        <v>21</v>
      </c>
      <c r="E3" s="1">
        <v>175.67509999999999</v>
      </c>
      <c r="F3" s="35"/>
      <c r="G3" s="35"/>
      <c r="H3" s="36">
        <f>Table1056[[#This Row],[Adj Close]]/AVERAGE(Table1056[[#This Row],[Adj Close]])</f>
        <v>1</v>
      </c>
      <c r="I3" s="35"/>
      <c r="J3" s="35"/>
      <c r="K3" s="35"/>
      <c r="L3" s="35"/>
      <c r="M3" s="37"/>
    </row>
    <row r="4" spans="1:13">
      <c r="A4" s="21" t="s">
        <v>16</v>
      </c>
      <c r="B4" s="24">
        <v>0.22987270640978202</v>
      </c>
      <c r="C4" s="49">
        <v>2020</v>
      </c>
      <c r="D4" s="4" t="s">
        <v>22</v>
      </c>
      <c r="E4" s="1">
        <v>389.65500000000014</v>
      </c>
      <c r="F4" s="5">
        <f>E4/H3</f>
        <v>389.65500000000014</v>
      </c>
      <c r="G4" s="5">
        <f>F4-E3/H3</f>
        <v>213.97990000000016</v>
      </c>
      <c r="H4" s="5">
        <f>$B$5*Table1056[[#This Row],[Adj Close]]/Table1056[[#This Row],[Level]]+(1-$B$5)*H3</f>
        <v>1</v>
      </c>
      <c r="I4" s="32"/>
      <c r="J4" s="33"/>
      <c r="K4" s="33"/>
      <c r="L4" s="33"/>
      <c r="M4" s="34"/>
    </row>
    <row r="5" spans="1:13" ht="16" thickBot="1">
      <c r="A5" s="23" t="s">
        <v>30</v>
      </c>
      <c r="B5" s="25">
        <v>0.13913726819173303</v>
      </c>
      <c r="C5" s="50"/>
      <c r="D5" s="4" t="s">
        <v>23</v>
      </c>
      <c r="E5" s="1">
        <v>507.93559999999997</v>
      </c>
      <c r="F5" s="5">
        <f t="shared" ref="F5:F23" si="0">alpha*(E5)+(1-alpha)*(E4+G4)</f>
        <v>508.89259299999992</v>
      </c>
      <c r="G5" s="5">
        <f>$B$4*(Table1056[[#This Row],[Level]]-F4)+(1-$B$4)*G4</f>
        <v>192.20122947840363</v>
      </c>
      <c r="H5" s="5">
        <f>$B$5*Table1056[[#This Row],[Adj Close]]/Table1056[[#This Row],[Level]]+(1-$B$5)*H4</f>
        <v>0.99973834676800144</v>
      </c>
      <c r="I5" s="5">
        <f>(F4+G4)*H4</f>
        <v>603.63490000000024</v>
      </c>
      <c r="J5" s="5">
        <f>Table1056[[#This Row],[Adj Close]]-Table1056[[#This Row],[Level]]</f>
        <v>-0.95699299999995446</v>
      </c>
      <c r="K5" s="5">
        <f t="shared" ref="K5:K23" si="1">ABS(J5)</f>
        <v>0.95699299999995446</v>
      </c>
      <c r="L5" s="5">
        <f t="shared" ref="L5:L23" si="2">J5^2</f>
        <v>0.91583560204891279</v>
      </c>
      <c r="M5" s="6">
        <f t="shared" ref="M5:M23" si="3">K5/E5</f>
        <v>1.8840833365488746E-3</v>
      </c>
    </row>
    <row r="6" spans="1:13">
      <c r="A6" s="54" t="s">
        <v>2</v>
      </c>
      <c r="B6" s="55"/>
      <c r="C6" s="50"/>
      <c r="D6" s="4" t="s">
        <v>24</v>
      </c>
      <c r="E6" s="1">
        <v>742.49679999999989</v>
      </c>
      <c r="F6" s="5">
        <f t="shared" si="0"/>
        <v>742.07320029478399</v>
      </c>
      <c r="G6" s="5">
        <f>$B$4*(Table1056[[#This Row],[Level]]-F5)+(1-$B$4)*G5</f>
        <v>201.62126996404396</v>
      </c>
      <c r="H6" s="5">
        <f>$B$5*Table1056[[#This Row],[Adj Close]]/Table1056[[#This Row],[Level]]+(1-$B$5)*H5</f>
        <v>0.99985417659701781</v>
      </c>
      <c r="I6" s="5">
        <f t="shared" ref="I6:I23" si="4">(F5+G5)*H5</f>
        <v>700.91037901381787</v>
      </c>
      <c r="J6" s="5">
        <f>Table1056[[#This Row],[Adj Close]]-Table1056[[#This Row],[Level]]</f>
        <v>0.4235997052159064</v>
      </c>
      <c r="K6" s="5">
        <f t="shared" si="1"/>
        <v>0.4235997052159064</v>
      </c>
      <c r="L6" s="5">
        <f t="shared" si="2"/>
        <v>0.17943671025900279</v>
      </c>
      <c r="M6" s="6">
        <f t="shared" si="3"/>
        <v>5.705071122406271E-4</v>
      </c>
    </row>
    <row r="7" spans="1:13" ht="16" thickBot="1">
      <c r="A7" s="21" t="s">
        <v>25</v>
      </c>
      <c r="B7" s="22">
        <f>AVERAGE(J4:J23)</f>
        <v>-0.47673566039794413</v>
      </c>
      <c r="C7" s="51"/>
      <c r="D7" s="4" t="s">
        <v>21</v>
      </c>
      <c r="E7" s="1">
        <v>854.55249999999967</v>
      </c>
      <c r="F7" s="5">
        <f t="shared" si="0"/>
        <v>855.4481556996401</v>
      </c>
      <c r="G7" s="5">
        <f>$B$4*(Table1056[[#This Row],[Level]]-F6)+(1-$B$4)*G6</f>
        <v>181.33585080563446</v>
      </c>
      <c r="H7" s="5">
        <f>$B$5*Table1056[[#This Row],[Adj Close]]/Table1056[[#This Row],[Level]]+(1-$B$5)*H6</f>
        <v>0.99972878910632956</v>
      </c>
      <c r="I7" s="5">
        <f t="shared" si="4"/>
        <v>943.55685751979934</v>
      </c>
      <c r="J7" s="5">
        <f>Table1056[[#This Row],[Adj Close]]-Table1056[[#This Row],[Level]]</f>
        <v>-0.89565569964042879</v>
      </c>
      <c r="K7" s="5">
        <f t="shared" si="1"/>
        <v>0.89565569964042879</v>
      </c>
      <c r="L7" s="5">
        <f t="shared" si="2"/>
        <v>0.80219913229838602</v>
      </c>
      <c r="M7" s="6">
        <f t="shared" si="3"/>
        <v>1.0480990923792618E-3</v>
      </c>
    </row>
    <row r="8" spans="1:13">
      <c r="A8" s="21" t="s">
        <v>26</v>
      </c>
      <c r="B8" s="10">
        <f>AVERAGE(K4:K23)</f>
        <v>5.8306318641313801</v>
      </c>
      <c r="C8" s="46">
        <v>2021</v>
      </c>
      <c r="D8" s="4" t="s">
        <v>22</v>
      </c>
      <c r="E8" s="1">
        <v>817.94420000000014</v>
      </c>
      <c r="F8" s="5">
        <f t="shared" si="0"/>
        <v>820.12364150805649</v>
      </c>
      <c r="G8" s="5">
        <f>$B$4*(Table1056[[#This Row],[Level]]-F7)+(1-$B$4)*G7</f>
        <v>131.53154633199273</v>
      </c>
      <c r="H8" s="5">
        <f>$B$5*Table1056[[#This Row],[Adj Close]]/Table1056[[#This Row],[Level]]+(1-$B$5)*H7</f>
        <v>0.99939677364790647</v>
      </c>
      <c r="I8" s="5">
        <f t="shared" si="4"/>
        <v>1036.5028193883272</v>
      </c>
      <c r="J8" s="5">
        <f>Table1056[[#This Row],[Adj Close]]-Table1056[[#This Row],[Level]]</f>
        <v>-2.1794415080563567</v>
      </c>
      <c r="K8" s="5">
        <f t="shared" si="1"/>
        <v>2.1794415080563567</v>
      </c>
      <c r="L8" s="5">
        <f t="shared" si="2"/>
        <v>4.7499652870389664</v>
      </c>
      <c r="M8" s="6">
        <f t="shared" si="3"/>
        <v>2.6645356835543993E-3</v>
      </c>
    </row>
    <row r="9" spans="1:13">
      <c r="A9" s="21" t="s">
        <v>27</v>
      </c>
      <c r="B9" s="10">
        <f>SQRT(AVERAGE(L4:L23))</f>
        <v>10.813954189619551</v>
      </c>
      <c r="C9" s="47"/>
      <c r="D9" s="4" t="s">
        <v>23</v>
      </c>
      <c r="E9" s="1">
        <v>1007.7199000000001</v>
      </c>
      <c r="F9" s="5">
        <f t="shared" si="0"/>
        <v>1007.1374584633199</v>
      </c>
      <c r="G9" s="5">
        <f>$B$4*(Table1056[[#This Row],[Level]]-F8)+(1-$B$4)*G8</f>
        <v>144.28540603792391</v>
      </c>
      <c r="H9" s="5">
        <f>$B$5*Table1056[[#This Row],[Adj Close]]/Table1056[[#This Row],[Level]]+(1-$B$5)*H8</f>
        <v>0.99956116992327626</v>
      </c>
      <c r="I9" s="5">
        <f t="shared" si="4"/>
        <v>951.08112435263752</v>
      </c>
      <c r="J9" s="5">
        <f>Table1056[[#This Row],[Adj Close]]-Table1056[[#This Row],[Level]]</f>
        <v>0.58244153668010767</v>
      </c>
      <c r="K9" s="5">
        <f t="shared" si="1"/>
        <v>0.58244153668010767</v>
      </c>
      <c r="L9" s="5">
        <f t="shared" si="2"/>
        <v>0.33923814365028521</v>
      </c>
      <c r="M9" s="6">
        <f t="shared" si="3"/>
        <v>5.7797959202761362E-4</v>
      </c>
    </row>
    <row r="10" spans="1:13" ht="16" thickBot="1">
      <c r="A10" s="23" t="s">
        <v>28</v>
      </c>
      <c r="B10" s="26">
        <f>AVERAGE(M4:M23)</f>
        <v>2.2835223791049389E-3</v>
      </c>
      <c r="C10" s="47"/>
      <c r="D10" s="4" t="s">
        <v>24</v>
      </c>
      <c r="E10" s="1">
        <v>1326.4827</v>
      </c>
      <c r="F10" s="5">
        <f t="shared" si="0"/>
        <v>1324.7379260603791</v>
      </c>
      <c r="G10" s="5">
        <f>$B$4*(Table1056[[#This Row],[Level]]-F9)+(1-$B$4)*G9</f>
        <v>184.12580830010029</v>
      </c>
      <c r="H10" s="5">
        <f>$B$5*Table1056[[#This Row],[Adj Close]]/Table1056[[#This Row],[Level]]+(1-$B$5)*H9</f>
        <v>0.99980548120594137</v>
      </c>
      <c r="I10" s="5">
        <f t="shared" si="4"/>
        <v>1150.9175855172732</v>
      </c>
      <c r="J10" s="5">
        <f>Table1056[[#This Row],[Adj Close]]-Table1056[[#This Row],[Level]]</f>
        <v>1.7447739396209272</v>
      </c>
      <c r="K10" s="5">
        <f t="shared" si="1"/>
        <v>1.7447739396209272</v>
      </c>
      <c r="L10" s="5">
        <f t="shared" si="2"/>
        <v>3.0442361003803309</v>
      </c>
      <c r="M10" s="6">
        <f t="shared" si="3"/>
        <v>1.3153386317220172E-3</v>
      </c>
    </row>
    <row r="11" spans="1:13" ht="16" thickBot="1">
      <c r="A11" s="3"/>
      <c r="B11" s="3"/>
      <c r="C11" s="48"/>
      <c r="D11" s="4" t="s">
        <v>21</v>
      </c>
      <c r="E11" s="1">
        <v>1758.0165999999995</v>
      </c>
      <c r="F11" s="5">
        <f t="shared" si="0"/>
        <v>1755.5425190830006</v>
      </c>
      <c r="G11" s="5">
        <f>$B$4*(Table1056[[#This Row],[Level]]-F10)+(1-$B$4)*G10</f>
        <v>240.83052815814222</v>
      </c>
      <c r="H11" s="5">
        <f>$B$5*Table1056[[#This Row],[Adj Close]]/Table1056[[#This Row],[Level]]+(1-$B$5)*H10</f>
        <v>1.0000286317630451</v>
      </c>
      <c r="I11" s="5">
        <f t="shared" si="4"/>
        <v>1508.5702320064727</v>
      </c>
      <c r="J11" s="5">
        <f>Table1056[[#This Row],[Adj Close]]-Table1056[[#This Row],[Level]]</f>
        <v>2.4740809169989006</v>
      </c>
      <c r="K11" s="5">
        <f t="shared" si="1"/>
        <v>2.4740809169989006</v>
      </c>
      <c r="L11" s="5">
        <f t="shared" si="2"/>
        <v>6.1210763838581208</v>
      </c>
      <c r="M11" s="6">
        <f t="shared" si="3"/>
        <v>1.4073137403815762E-3</v>
      </c>
    </row>
    <row r="12" spans="1:13">
      <c r="A12" s="54" t="s">
        <v>17</v>
      </c>
      <c r="B12" s="55"/>
      <c r="C12" s="49">
        <v>2022</v>
      </c>
      <c r="D12" s="4" t="s">
        <v>22</v>
      </c>
      <c r="E12" s="1">
        <v>1552.5615999999998</v>
      </c>
      <c r="F12" s="5">
        <f t="shared" si="0"/>
        <v>1557.0244552815811</v>
      </c>
      <c r="G12" s="5">
        <f>$B$4*(Table1056[[#This Row],[Level]]-F11)+(1-$B$4)*G11</f>
        <v>139.83627826707075</v>
      </c>
      <c r="H12" s="5">
        <f>$B$5*Table1056[[#This Row],[Adj Close]]/Table1056[[#This Row],[Level]]+(1-$B$5)*H11</f>
        <v>0.99962584279018563</v>
      </c>
      <c r="I12" s="5">
        <f t="shared" si="4"/>
        <v>1996.430206921181</v>
      </c>
      <c r="J12" s="5">
        <f>Table1056[[#This Row],[Adj Close]]-Table1056[[#This Row],[Level]]</f>
        <v>-4.4628552815813691</v>
      </c>
      <c r="K12" s="5">
        <f t="shared" si="1"/>
        <v>4.4628552815813691</v>
      </c>
      <c r="L12" s="5">
        <f t="shared" si="2"/>
        <v>19.917077264338722</v>
      </c>
      <c r="M12" s="6">
        <f t="shared" si="3"/>
        <v>2.8745109254160153E-3</v>
      </c>
    </row>
    <row r="13" spans="1:13">
      <c r="A13" s="11" t="s">
        <v>29</v>
      </c>
      <c r="B13" s="43">
        <v>-559.75139548026061</v>
      </c>
      <c r="C13" s="50"/>
      <c r="D13" s="4" t="s">
        <v>23</v>
      </c>
      <c r="E13" s="1">
        <v>1168.5423000000003</v>
      </c>
      <c r="F13" s="5">
        <f t="shared" si="0"/>
        <v>1173.7808557826709</v>
      </c>
      <c r="G13" s="5">
        <f>$B$4*(Table1056[[#This Row],[Level]]-F12)+(1-$B$4)*G12</f>
        <v>19.594491096506729</v>
      </c>
      <c r="H13" s="5">
        <f>$B$5*Table1056[[#This Row],[Adj Close]]/Table1056[[#This Row],[Level]]+(1-$B$5)*H12</f>
        <v>0.9990569357142931</v>
      </c>
      <c r="I13" s="5">
        <f t="shared" si="4"/>
        <v>1696.2258408711439</v>
      </c>
      <c r="J13" s="5">
        <f>Table1056[[#This Row],[Adj Close]]-Table1056[[#This Row],[Level]]</f>
        <v>-5.2385557826705735</v>
      </c>
      <c r="K13" s="5">
        <f t="shared" si="1"/>
        <v>5.2385557826705735</v>
      </c>
      <c r="L13" s="5">
        <f t="shared" si="2"/>
        <v>27.442466688151306</v>
      </c>
      <c r="M13" s="6">
        <f t="shared" si="3"/>
        <v>4.4829834424227281E-3</v>
      </c>
    </row>
    <row r="14" spans="1:13">
      <c r="A14" s="13" t="s">
        <v>10</v>
      </c>
      <c r="B14" s="14">
        <v>0.01</v>
      </c>
      <c r="C14" s="50"/>
      <c r="D14" s="4" t="s">
        <v>24</v>
      </c>
      <c r="E14" s="1">
        <v>1010.6483000000002</v>
      </c>
      <c r="F14" s="5">
        <f t="shared" si="0"/>
        <v>1012.4231849109652</v>
      </c>
      <c r="G14" s="5">
        <f>$B$4*(Table1056[[#This Row],[Level]]-F13)+(1-$B$4)*G13</f>
        <v>-22.001472105827482</v>
      </c>
      <c r="H14" s="5">
        <f>$B$5*Table1056[[#This Row],[Adj Close]]/Table1056[[#This Row],[Level]]+(1-$B$5)*H13</f>
        <v>0.99894422875727074</v>
      </c>
      <c r="I14" s="5">
        <f t="shared" si="4"/>
        <v>1192.2499172100929</v>
      </c>
      <c r="J14" s="5">
        <f>Table1056[[#This Row],[Adj Close]]-Table1056[[#This Row],[Level]]</f>
        <v>-1.7748849109650564</v>
      </c>
      <c r="K14" s="5">
        <f t="shared" si="1"/>
        <v>1.7748849109650564</v>
      </c>
      <c r="L14" s="5">
        <f t="shared" si="2"/>
        <v>3.1502164471714362</v>
      </c>
      <c r="M14" s="6">
        <f t="shared" si="3"/>
        <v>1.7561845312212528E-3</v>
      </c>
    </row>
    <row r="15" spans="1:13" ht="16" thickBot="1">
      <c r="A15" s="15" t="s">
        <v>18</v>
      </c>
      <c r="B15" s="16">
        <v>1.9952110291587277E-2</v>
      </c>
      <c r="C15" s="51"/>
      <c r="D15" s="4" t="s">
        <v>21</v>
      </c>
      <c r="E15" s="1">
        <v>923.15929999999992</v>
      </c>
      <c r="F15" s="5">
        <f t="shared" si="0"/>
        <v>923.81417527894166</v>
      </c>
      <c r="G15" s="5">
        <f>$B$4*(Table1056[[#This Row],[Level]]-F14)+(1-$B$4)*G14</f>
        <v>-37.312727024265293</v>
      </c>
      <c r="H15" s="5">
        <f>$B$5*Table1056[[#This Row],[Adj Close]]/Table1056[[#This Row],[Level]]+(1-$B$5)*H14</f>
        <v>0.99899249397303425</v>
      </c>
      <c r="I15" s="5">
        <f t="shared" si="4"/>
        <v>989.37605404258341</v>
      </c>
      <c r="J15" s="5">
        <f>Table1056[[#This Row],[Adj Close]]-Table1056[[#This Row],[Level]]</f>
        <v>-0.65487527894174491</v>
      </c>
      <c r="K15" s="5">
        <f t="shared" si="1"/>
        <v>0.65487527894174491</v>
      </c>
      <c r="L15" s="5">
        <f t="shared" si="2"/>
        <v>0.42886163096902818</v>
      </c>
      <c r="M15" s="6">
        <f t="shared" si="3"/>
        <v>7.0938491216168752E-4</v>
      </c>
    </row>
    <row r="16" spans="1:13">
      <c r="A16" s="17" t="s">
        <v>20</v>
      </c>
      <c r="B16" s="18">
        <v>0.67064185151457945</v>
      </c>
      <c r="C16" s="46">
        <v>2023</v>
      </c>
      <c r="D16" s="4" t="s">
        <v>22</v>
      </c>
      <c r="E16" s="1">
        <v>1340.9462000000001</v>
      </c>
      <c r="F16" s="5">
        <f t="shared" si="0"/>
        <v>1336.3952037297574</v>
      </c>
      <c r="G16" s="5">
        <f>$B$4*(Table1056[[#This Row],[Level]]-F15)+(1-$B$4)*G15</f>
        <v>66.105568143652278</v>
      </c>
      <c r="H16" s="5">
        <f>$B$5*Table1056[[#This Row],[Adj Close]]/Table1056[[#This Row],[Level]]+(1-$B$5)*H15</f>
        <v>0.99960649741503715</v>
      </c>
      <c r="I16" s="5">
        <f t="shared" si="4"/>
        <v>885.60829270264594</v>
      </c>
      <c r="J16" s="5">
        <f>Table1056[[#This Row],[Adj Close]]-Table1056[[#This Row],[Level]]</f>
        <v>4.5509962702426492</v>
      </c>
      <c r="K16" s="5">
        <f t="shared" si="1"/>
        <v>4.5509962702426492</v>
      </c>
      <c r="L16" s="5">
        <f t="shared" si="2"/>
        <v>20.711567051762504</v>
      </c>
      <c r="M16" s="6">
        <f t="shared" si="3"/>
        <v>3.3938693962834968E-3</v>
      </c>
    </row>
    <row r="17" spans="1:13">
      <c r="A17" s="11" t="s">
        <v>5</v>
      </c>
      <c r="B17" s="43">
        <v>1113.0026190407714</v>
      </c>
      <c r="C17" s="47"/>
      <c r="D17" s="4" t="s">
        <v>23</v>
      </c>
      <c r="E17" s="1">
        <v>2057.5118000000002</v>
      </c>
      <c r="F17" s="5">
        <f t="shared" si="0"/>
        <v>2051.0071996814368</v>
      </c>
      <c r="G17" s="5">
        <f>$B$4*(Table1056[[#This Row],[Level]]-F16)+(1-$B$4)*G16</f>
        <v>215.17949582802336</v>
      </c>
      <c r="H17" s="5">
        <f>$B$5*Table1056[[#This Row],[Adj Close]]/Table1056[[#This Row],[Level]]+(1-$B$5)*H16</f>
        <v>1.0001025106700645</v>
      </c>
      <c r="I17" s="5">
        <f t="shared" si="4"/>
        <v>1401.9488841942652</v>
      </c>
      <c r="J17" s="5">
        <f>Table1056[[#This Row],[Adj Close]]-Table1056[[#This Row],[Level]]</f>
        <v>6.5046003185634618</v>
      </c>
      <c r="K17" s="5">
        <f t="shared" si="1"/>
        <v>6.5046003185634618</v>
      </c>
      <c r="L17" s="5">
        <f t="shared" si="2"/>
        <v>42.309825304255888</v>
      </c>
      <c r="M17" s="6">
        <f t="shared" si="3"/>
        <v>3.1613915014064371E-3</v>
      </c>
    </row>
    <row r="18" spans="1:13">
      <c r="A18" s="13" t="s">
        <v>10</v>
      </c>
      <c r="B18" s="14">
        <v>0.99</v>
      </c>
      <c r="C18" s="47"/>
      <c r="D18" s="4" t="s">
        <v>24</v>
      </c>
      <c r="E18" s="1">
        <v>2821.5573999999992</v>
      </c>
      <c r="F18" s="5">
        <f t="shared" si="0"/>
        <v>2816.0687389582795</v>
      </c>
      <c r="G18" s="5">
        <f>$B$4*(Table1056[[#This Row],[Level]]-F17)+(1-$B$4)*G17</f>
        <v>341.58236936174478</v>
      </c>
      <c r="H18" s="5">
        <f>$B$5*Table1056[[#This Row],[Adj Close]]/Table1056[[#This Row],[Level]]+(1-$B$5)*H17</f>
        <v>1.0003594332200023</v>
      </c>
      <c r="I18" s="5">
        <f t="shared" si="4"/>
        <v>2266.4190038261081</v>
      </c>
      <c r="J18" s="5">
        <f>Table1056[[#This Row],[Adj Close]]-Table1056[[#This Row],[Level]]</f>
        <v>5.4886610417197517</v>
      </c>
      <c r="K18" s="5">
        <f t="shared" si="1"/>
        <v>5.4886610417197517</v>
      </c>
      <c r="L18" s="5">
        <f t="shared" si="2"/>
        <v>30.125400030892148</v>
      </c>
      <c r="M18" s="6">
        <f t="shared" si="3"/>
        <v>1.9452593952969922E-3</v>
      </c>
    </row>
    <row r="19" spans="1:13" ht="16" thickBot="1">
      <c r="A19" s="15" t="s">
        <v>18</v>
      </c>
      <c r="B19" s="16">
        <v>0.22407906200598676</v>
      </c>
      <c r="C19" s="48"/>
      <c r="D19" s="4" t="s">
        <v>21</v>
      </c>
      <c r="E19" s="1">
        <v>2918.7385999999997</v>
      </c>
      <c r="F19" s="5">
        <f t="shared" si="0"/>
        <v>2921.1826116936172</v>
      </c>
      <c r="G19" s="5">
        <f>$B$4*(Table1056[[#This Row],[Level]]-F18)+(1-$B$4)*G18</f>
        <v>287.22471606158012</v>
      </c>
      <c r="H19" s="5">
        <f>$B$5*Table1056[[#This Row],[Adj Close]]/Table1056[[#This Row],[Level]]+(1-$B$5)*H18</f>
        <v>1.0001930132652619</v>
      </c>
      <c r="I19" s="5">
        <f t="shared" si="4"/>
        <v>3158.7860730255316</v>
      </c>
      <c r="J19" s="5">
        <f>Table1056[[#This Row],[Adj Close]]-Table1056[[#This Row],[Level]]</f>
        <v>-2.44401169361754</v>
      </c>
      <c r="K19" s="5">
        <f t="shared" si="1"/>
        <v>2.44401169361754</v>
      </c>
      <c r="L19" s="5">
        <f t="shared" si="2"/>
        <v>5.9731931585392761</v>
      </c>
      <c r="M19" s="6">
        <f t="shared" si="3"/>
        <v>8.373520306400649E-4</v>
      </c>
    </row>
    <row r="20" spans="1:13">
      <c r="A20" s="17" t="s">
        <v>20</v>
      </c>
      <c r="B20" s="18">
        <v>0.26844846528049415</v>
      </c>
      <c r="C20" s="49">
        <v>2024</v>
      </c>
      <c r="D20" s="4" t="s">
        <v>22</v>
      </c>
      <c r="E20" s="1">
        <v>4420.4303999999993</v>
      </c>
      <c r="F20" s="5">
        <f t="shared" si="0"/>
        <v>4408.2857291606151</v>
      </c>
      <c r="G20" s="5">
        <f>$B$4*(Table1056[[#This Row],[Level]]-F19)+(1-$B$4)*G19</f>
        <v>563.04401155528626</v>
      </c>
      <c r="H20" s="5">
        <f>$B$5*Table1056[[#This Row],[Adj Close]]/Table1056[[#This Row],[Level]]+(1-$B$5)*H19</f>
        <v>1.0005494761660285</v>
      </c>
      <c r="I20" s="5">
        <f t="shared" si="4"/>
        <v>3209.0265929298175</v>
      </c>
      <c r="J20" s="5">
        <f>Table1056[[#This Row],[Adj Close]]-Table1056[[#This Row],[Level]]</f>
        <v>12.144670839384162</v>
      </c>
      <c r="K20" s="5">
        <f t="shared" si="1"/>
        <v>12.144670839384162</v>
      </c>
      <c r="L20" s="5">
        <f t="shared" si="2"/>
        <v>147.493029796988</v>
      </c>
      <c r="M20" s="6">
        <f t="shared" si="3"/>
        <v>2.7473955566372369E-3</v>
      </c>
    </row>
    <row r="21" spans="1:13">
      <c r="A21" s="11" t="s">
        <v>6</v>
      </c>
      <c r="B21" s="43">
        <v>1812.3574671346739</v>
      </c>
      <c r="C21" s="50"/>
      <c r="D21" s="4" t="s">
        <v>23</v>
      </c>
      <c r="E21" s="1">
        <v>6368.5901999999969</v>
      </c>
      <c r="F21" s="5">
        <f t="shared" si="0"/>
        <v>6354.7390421155496</v>
      </c>
      <c r="G21" s="5">
        <f>$B$4*(Table1056[[#This Row],[Level]]-F20)+(1-$B$4)*G20</f>
        <v>881.05205174048922</v>
      </c>
      <c r="H21" s="5">
        <f>$B$5*Table1056[[#This Row],[Adj Close]]/Table1056[[#This Row],[Level]]+(1-$B$5)*H20</f>
        <v>1.0007762952151078</v>
      </c>
      <c r="I21" s="5">
        <f t="shared" si="4"/>
        <v>4974.0613679218941</v>
      </c>
      <c r="J21" s="5">
        <f>Table1056[[#This Row],[Adj Close]]-Table1056[[#This Row],[Level]]</f>
        <v>13.851157884447275</v>
      </c>
      <c r="K21" s="5">
        <f t="shared" si="1"/>
        <v>13.851157884447275</v>
      </c>
      <c r="L21" s="5">
        <f t="shared" si="2"/>
        <v>191.85457473988592</v>
      </c>
      <c r="M21" s="6">
        <f t="shared" si="3"/>
        <v>2.1749174384697073E-3</v>
      </c>
    </row>
    <row r="22" spans="1:13">
      <c r="A22" s="13" t="s">
        <v>10</v>
      </c>
      <c r="B22" s="14">
        <v>0.98999999999999988</v>
      </c>
      <c r="C22" s="50"/>
      <c r="D22" s="4" t="s">
        <v>24</v>
      </c>
      <c r="E22" s="1">
        <v>7559.3453999999983</v>
      </c>
      <c r="F22" s="5">
        <f t="shared" si="0"/>
        <v>7556.2483685174038</v>
      </c>
      <c r="G22" s="5">
        <f>$B$4*(Table1056[[#This Row],[Level]]-F21)+(1-$B$4)*G21</f>
        <v>954.71643275559995</v>
      </c>
      <c r="H22" s="5">
        <f>$B$5*Table1056[[#This Row],[Adj Close]]/Table1056[[#This Row],[Level]]+(1-$B$5)*H21</f>
        <v>1.0007253109271645</v>
      </c>
      <c r="I22" s="5">
        <f t="shared" si="4"/>
        <v>7241.4082038597189</v>
      </c>
      <c r="J22" s="5">
        <f>Table1056[[#This Row],[Adj Close]]-Table1056[[#This Row],[Level]]</f>
        <v>3.0970314825945024</v>
      </c>
      <c r="K22" s="5">
        <f t="shared" si="1"/>
        <v>3.0970314825945024</v>
      </c>
      <c r="L22" s="5">
        <f t="shared" si="2"/>
        <v>9.5916040041815016</v>
      </c>
      <c r="M22" s="6">
        <f t="shared" si="3"/>
        <v>4.0969572346760382E-4</v>
      </c>
    </row>
    <row r="23" spans="1:13" ht="16" thickBot="1">
      <c r="A23" s="15" t="s">
        <v>18</v>
      </c>
      <c r="B23" s="16">
        <v>0.22900720499275401</v>
      </c>
      <c r="C23" s="51"/>
      <c r="D23" s="4" t="s">
        <v>21</v>
      </c>
      <c r="E23" s="1">
        <v>4382.7900000000009</v>
      </c>
      <c r="F23" s="5">
        <f t="shared" si="0"/>
        <v>4424.1027183275564</v>
      </c>
      <c r="G23" s="5">
        <f>$B$4*(Table1056[[#This Row],[Level]]-F22)+(1-$B$4)*G22</f>
        <v>15.258385025410917</v>
      </c>
      <c r="H23" s="5">
        <f>$B$5*Table1056[[#This Row],[Adj Close]]/Table1056[[#This Row],[Level]]+(1-$B$5)*H22</f>
        <v>0.99932511527319901</v>
      </c>
      <c r="I23" s="5">
        <f t="shared" si="4"/>
        <v>8517.1378970440801</v>
      </c>
      <c r="J23" s="5">
        <f>Table1056[[#This Row],[Adj Close]]-Table1056[[#This Row],[Level]]</f>
        <v>-41.312718327555558</v>
      </c>
      <c r="K23" s="5">
        <f t="shared" si="1"/>
        <v>41.312718327555558</v>
      </c>
      <c r="L23" s="5">
        <f t="shared" si="2"/>
        <v>1706.7406956119448</v>
      </c>
      <c r="M23" s="6">
        <f t="shared" si="3"/>
        <v>9.4261231607162439E-3</v>
      </c>
    </row>
    <row r="24" spans="1:13">
      <c r="A24" s="17" t="s">
        <v>20</v>
      </c>
      <c r="B24" s="18">
        <v>0.48337220356956689</v>
      </c>
      <c r="C24" s="29">
        <v>1</v>
      </c>
      <c r="D24" s="27"/>
      <c r="E24" s="42"/>
      <c r="F24" s="8"/>
      <c r="G24" s="8"/>
      <c r="H24" s="8"/>
      <c r="I24" s="8">
        <f>($F$23+C24*$G$23)*$H$23</f>
        <v>4436.3650463475597</v>
      </c>
      <c r="J24" s="8"/>
      <c r="K24" s="8"/>
      <c r="L24" s="8"/>
      <c r="M24" s="9"/>
    </row>
    <row r="25" spans="1:13">
      <c r="A25" s="11" t="s">
        <v>7</v>
      </c>
      <c r="B25" s="12">
        <v>0.13588522101176259</v>
      </c>
      <c r="C25" s="30">
        <f>C24+1</f>
        <v>2</v>
      </c>
      <c r="D25" s="28"/>
      <c r="E25" s="7"/>
      <c r="F25" s="8"/>
      <c r="G25" s="8"/>
      <c r="H25" s="8"/>
      <c r="I25" s="8">
        <f t="shared" ref="I25:I27" si="5">($F$23+C25*$G$23)*$H$23</f>
        <v>4451.6131337219613</v>
      </c>
      <c r="J25" s="8"/>
      <c r="K25" s="8"/>
      <c r="L25" s="8"/>
      <c r="M25" s="9"/>
    </row>
    <row r="26" spans="1:13">
      <c r="A26" s="13" t="s">
        <v>10</v>
      </c>
      <c r="B26" s="14">
        <v>0.9900000000000001</v>
      </c>
      <c r="C26" s="30">
        <f t="shared" ref="C26:C27" si="6">C25+1</f>
        <v>3</v>
      </c>
      <c r="D26" s="28"/>
      <c r="E26" s="7"/>
      <c r="F26" s="8"/>
      <c r="G26" s="8"/>
      <c r="H26" s="8"/>
      <c r="I26" s="8">
        <f t="shared" si="5"/>
        <v>4466.8612210963638</v>
      </c>
      <c r="J26" s="8"/>
      <c r="K26" s="8"/>
      <c r="L26" s="8"/>
      <c r="M26" s="9"/>
    </row>
    <row r="27" spans="1:13" ht="16" thickBot="1">
      <c r="A27" s="15" t="s">
        <v>18</v>
      </c>
      <c r="B27" s="16">
        <v>0.22987270640978202</v>
      </c>
      <c r="C27" s="31">
        <f t="shared" si="6"/>
        <v>4</v>
      </c>
      <c r="D27" s="28"/>
      <c r="E27" s="7"/>
      <c r="F27" s="8"/>
      <c r="G27" s="8"/>
      <c r="H27" s="8"/>
      <c r="I27" s="8">
        <f t="shared" si="5"/>
        <v>4482.1093084707645</v>
      </c>
      <c r="J27" s="8"/>
      <c r="K27" s="8"/>
      <c r="L27" s="8"/>
      <c r="M27" s="9"/>
    </row>
    <row r="28" spans="1:13" ht="16" thickBot="1">
      <c r="A28" s="19" t="s">
        <v>20</v>
      </c>
      <c r="B28" s="20">
        <v>0.13913726819173303</v>
      </c>
    </row>
  </sheetData>
  <mergeCells count="8">
    <mergeCell ref="C16:C19"/>
    <mergeCell ref="C20:C23"/>
    <mergeCell ref="A2:B2"/>
    <mergeCell ref="C4:C7"/>
    <mergeCell ref="A6:B6"/>
    <mergeCell ref="C8:C11"/>
    <mergeCell ref="A12:B12"/>
    <mergeCell ref="C12:C15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BCBE-D7C7-41F3-8977-1D03C2F3578F}">
  <dimension ref="A1:M28"/>
  <sheetViews>
    <sheetView topLeftCell="A18" zoomScale="55" zoomScaleNormal="55" workbookViewId="0">
      <selection activeCell="P25" sqref="P25"/>
    </sheetView>
  </sheetViews>
  <sheetFormatPr defaultRowHeight="15.5"/>
  <cols>
    <col min="1" max="1" width="27.4140625" style="2" customWidth="1"/>
    <col min="2" max="2" width="24.9140625" style="2" customWidth="1"/>
    <col min="3" max="3" width="8.08203125" style="44" customWidth="1"/>
    <col min="4" max="4" width="9" style="2" bestFit="1" customWidth="1"/>
    <col min="5" max="5" width="13.25" style="2" bestFit="1" customWidth="1"/>
    <col min="6" max="6" width="9.75" style="2" bestFit="1" customWidth="1"/>
    <col min="7" max="7" width="10.08203125" style="2" bestFit="1" customWidth="1"/>
    <col min="8" max="8" width="10" style="2" customWidth="1"/>
    <col min="9" max="9" width="18" style="2" bestFit="1" customWidth="1"/>
    <col min="10" max="10" width="9.6640625" style="2" bestFit="1" customWidth="1"/>
    <col min="11" max="11" width="13.4140625" style="2" bestFit="1" customWidth="1"/>
    <col min="12" max="12" width="13.33203125" style="2" bestFit="1" customWidth="1"/>
    <col min="13" max="13" width="16.6640625" style="2" bestFit="1" customWidth="1"/>
    <col min="14" max="16384" width="8.6640625" style="2"/>
  </cols>
  <sheetData>
    <row r="1" spans="1:13" ht="16" thickBot="1">
      <c r="A1" s="3"/>
      <c r="B1" s="3"/>
    </row>
    <row r="2" spans="1:13" ht="16" thickBot="1">
      <c r="A2" s="52" t="s">
        <v>8</v>
      </c>
      <c r="B2" s="53"/>
      <c r="D2" s="40" t="s">
        <v>0</v>
      </c>
      <c r="E2" s="41" t="s">
        <v>1</v>
      </c>
      <c r="F2" s="38" t="s">
        <v>14</v>
      </c>
      <c r="G2" s="38" t="s">
        <v>15</v>
      </c>
      <c r="H2" s="38" t="s">
        <v>19</v>
      </c>
      <c r="I2" s="38" t="s">
        <v>11</v>
      </c>
      <c r="J2" s="38" t="s">
        <v>12</v>
      </c>
      <c r="K2" s="38" t="s">
        <v>13</v>
      </c>
      <c r="L2" s="38" t="s">
        <v>3</v>
      </c>
      <c r="M2" s="39" t="s">
        <v>4</v>
      </c>
    </row>
    <row r="3" spans="1:13" ht="16" thickBot="1">
      <c r="A3" s="21" t="s">
        <v>9</v>
      </c>
      <c r="B3" s="24">
        <v>0.99</v>
      </c>
      <c r="C3" s="45">
        <v>2019</v>
      </c>
      <c r="D3" s="4" t="s">
        <v>21</v>
      </c>
      <c r="E3" s="1">
        <v>1636.836</v>
      </c>
      <c r="F3" s="35"/>
      <c r="G3" s="35"/>
      <c r="H3" s="36">
        <f>Table10567[[#This Row],[Adj Close]]/AVERAGE(Table10567[[#This Row],[Adj Close]])</f>
        <v>1</v>
      </c>
      <c r="I3" s="35"/>
      <c r="J3" s="35"/>
      <c r="K3" s="35"/>
      <c r="L3" s="35"/>
      <c r="M3" s="37"/>
    </row>
    <row r="4" spans="1:13">
      <c r="A4" s="21" t="s">
        <v>16</v>
      </c>
      <c r="B4" s="24">
        <v>0.22407906200598676</v>
      </c>
      <c r="C4" s="49">
        <v>2020</v>
      </c>
      <c r="D4" s="4" t="s">
        <v>22</v>
      </c>
      <c r="E4" s="1">
        <v>3244.6900999999998</v>
      </c>
      <c r="F4" s="5">
        <f>E4/H3</f>
        <v>3244.6900999999998</v>
      </c>
      <c r="G4" s="5">
        <f>F4-E3/H3</f>
        <v>1607.8540999999998</v>
      </c>
      <c r="H4" s="5">
        <f>$B$5*Table10567[[#This Row],[Adj Close]]/Table10567[[#This Row],[Level]]+(1-$B$5)*H3</f>
        <v>1</v>
      </c>
      <c r="I4" s="32"/>
      <c r="J4" s="33"/>
      <c r="K4" s="33"/>
      <c r="L4" s="33"/>
      <c r="M4" s="34"/>
    </row>
    <row r="5" spans="1:13" ht="16" thickBot="1">
      <c r="A5" s="23" t="s">
        <v>30</v>
      </c>
      <c r="B5" s="25">
        <v>0.26844846528049415</v>
      </c>
      <c r="C5" s="50"/>
      <c r="D5" s="4" t="s">
        <v>23</v>
      </c>
      <c r="E5" s="1">
        <v>3351.3103999999998</v>
      </c>
      <c r="F5" s="5">
        <f t="shared" ref="F5:F23" si="0">alpha*(E5)+(1-alpha)*(E4+G4)</f>
        <v>3366.3227379999998</v>
      </c>
      <c r="G5" s="5">
        <f>$B$4*(Table10567[[#This Row],[Level]]-F4)+(1-$B$4)*G4</f>
        <v>1274.8229888618737</v>
      </c>
      <c r="H5" s="5">
        <f>$B$5*Table10567[[#This Row],[Adj Close]]/Table10567[[#This Row],[Level]]+(1-$B$5)*H4</f>
        <v>0.99880283638556699</v>
      </c>
      <c r="I5" s="5">
        <f>(F4+G4)*H4</f>
        <v>4852.5441999999994</v>
      </c>
      <c r="J5" s="5">
        <f>Table10567[[#This Row],[Adj Close]]-Table10567[[#This Row],[Level]]</f>
        <v>-15.012338</v>
      </c>
      <c r="K5" s="5">
        <f t="shared" ref="K5:K23" si="1">ABS(J5)</f>
        <v>15.012338</v>
      </c>
      <c r="L5" s="5">
        <f t="shared" ref="L5:L23" si="2">J5^2</f>
        <v>225.370292226244</v>
      </c>
      <c r="M5" s="6">
        <f t="shared" ref="M5:M23" si="3">K5/E5</f>
        <v>4.4795426887345325E-3</v>
      </c>
    </row>
    <row r="6" spans="1:13">
      <c r="A6" s="54" t="s">
        <v>2</v>
      </c>
      <c r="B6" s="55"/>
      <c r="C6" s="50"/>
      <c r="D6" s="4" t="s">
        <v>24</v>
      </c>
      <c r="E6" s="1">
        <v>2977.6336000000001</v>
      </c>
      <c r="F6" s="5">
        <f t="shared" si="0"/>
        <v>2994.1185978886192</v>
      </c>
      <c r="G6" s="5">
        <f>$B$4*(Table10567[[#This Row],[Level]]-F5)+(1-$B$4)*G5</f>
        <v>905.75869470313364</v>
      </c>
      <c r="H6" s="5">
        <f>$B$5*Table10567[[#This Row],[Adj Close]]/Table10567[[#This Row],[Level]]+(1-$B$5)*H5</f>
        <v>0.99764619137937083</v>
      </c>
      <c r="I6" s="5">
        <f t="shared" ref="I6:I23" si="4">(F5+G5)*H5</f>
        <v>4635.5895160683931</v>
      </c>
      <c r="J6" s="5">
        <f>Table10567[[#This Row],[Adj Close]]-Table10567[[#This Row],[Level]]</f>
        <v>-16.484997888619091</v>
      </c>
      <c r="K6" s="5">
        <f t="shared" si="1"/>
        <v>16.484997888619091</v>
      </c>
      <c r="L6" s="5">
        <f t="shared" si="2"/>
        <v>271.75515538777591</v>
      </c>
      <c r="M6" s="6">
        <f t="shared" si="3"/>
        <v>5.5362748084986316E-3</v>
      </c>
    </row>
    <row r="7" spans="1:13" ht="16" thickBot="1">
      <c r="A7" s="21" t="s">
        <v>25</v>
      </c>
      <c r="B7" s="22">
        <f>AVERAGE(J4:J23)</f>
        <v>-4.0995487702814799</v>
      </c>
      <c r="C7" s="51"/>
      <c r="D7" s="4" t="s">
        <v>21</v>
      </c>
      <c r="E7" s="1">
        <v>2817.4089999999992</v>
      </c>
      <c r="F7" s="5">
        <f t="shared" si="0"/>
        <v>2828.0688329470304</v>
      </c>
      <c r="G7" s="5">
        <f>$B$4*(Table10567[[#This Row],[Level]]-F6)+(1-$B$4)*G6</f>
        <v>665.58886041586277</v>
      </c>
      <c r="H7" s="5">
        <f>$B$5*Table10567[[#This Row],[Adj Close]]/Table10567[[#This Row],[Level]]+(1-$B$5)*H6</f>
        <v>0.99726620554640311</v>
      </c>
      <c r="I7" s="5">
        <f t="shared" si="4"/>
        <v>3890.6977278010545</v>
      </c>
      <c r="J7" s="5">
        <f>Table10567[[#This Row],[Adj Close]]-Table10567[[#This Row],[Level]]</f>
        <v>-10.659832947031191</v>
      </c>
      <c r="K7" s="5">
        <f t="shared" si="1"/>
        <v>10.659832947031191</v>
      </c>
      <c r="L7" s="5">
        <f t="shared" si="2"/>
        <v>113.63203845861169</v>
      </c>
      <c r="M7" s="6">
        <f t="shared" si="3"/>
        <v>3.7835589177968813E-3</v>
      </c>
    </row>
    <row r="8" spans="1:13">
      <c r="A8" s="21" t="s">
        <v>26</v>
      </c>
      <c r="B8" s="10">
        <f>AVERAGE(K4:K23)</f>
        <v>6.0381983979993112</v>
      </c>
      <c r="C8" s="46">
        <v>2021</v>
      </c>
      <c r="D8" s="4" t="s">
        <v>22</v>
      </c>
      <c r="E8" s="1">
        <v>3299.7147000000004</v>
      </c>
      <c r="F8" s="5">
        <f t="shared" si="0"/>
        <v>3301.5475316041588</v>
      </c>
      <c r="G8" s="5">
        <f>$B$4*(Table10567[[#This Row],[Level]]-F7)+(1-$B$4)*G7</f>
        <v>622.54099556714721</v>
      </c>
      <c r="H8" s="5">
        <f>$B$5*Table10567[[#This Row],[Adj Close]]/Table10567[[#This Row],[Level]]+(1-$B$5)*H7</f>
        <v>0.99785106113648703</v>
      </c>
      <c r="I8" s="5">
        <f t="shared" si="4"/>
        <v>3484.1067513380112</v>
      </c>
      <c r="J8" s="5">
        <f>Table10567[[#This Row],[Adj Close]]-Table10567[[#This Row],[Level]]</f>
        <v>-1.8328316041584003</v>
      </c>
      <c r="K8" s="5">
        <f t="shared" si="1"/>
        <v>1.8328316041584003</v>
      </c>
      <c r="L8" s="5">
        <f t="shared" si="2"/>
        <v>3.3592716892018548</v>
      </c>
      <c r="M8" s="6">
        <f t="shared" si="3"/>
        <v>5.5545153772185217E-4</v>
      </c>
    </row>
    <row r="9" spans="1:13">
      <c r="A9" s="21" t="s">
        <v>27</v>
      </c>
      <c r="B9" s="10">
        <f>SQRT(AVERAGE(L4:L23))</f>
        <v>7.8388405288196816</v>
      </c>
      <c r="C9" s="47"/>
      <c r="D9" s="4" t="s">
        <v>23</v>
      </c>
      <c r="E9" s="1">
        <v>3375.4576000000002</v>
      </c>
      <c r="F9" s="5">
        <f t="shared" si="0"/>
        <v>3380.9255809556716</v>
      </c>
      <c r="G9" s="5">
        <f>$B$4*(Table10567[[#This Row],[Level]]-F8)+(1-$B$4)*G8</f>
        <v>500.82955206273965</v>
      </c>
      <c r="H9" s="5">
        <f>$B$5*Table10567[[#This Row],[Adj Close]]/Table10567[[#This Row],[Level]]+(1-$B$5)*H8</f>
        <v>0.9979937779783925</v>
      </c>
      <c r="I9" s="5">
        <f t="shared" si="4"/>
        <v>3915.6559008314021</v>
      </c>
      <c r="J9" s="5">
        <f>Table10567[[#This Row],[Adj Close]]-Table10567[[#This Row],[Level]]</f>
        <v>-5.4679809556714645</v>
      </c>
      <c r="K9" s="5">
        <f t="shared" si="1"/>
        <v>5.4679809556714645</v>
      </c>
      <c r="L9" s="5">
        <f t="shared" si="2"/>
        <v>29.89881573158582</v>
      </c>
      <c r="M9" s="6">
        <f t="shared" si="3"/>
        <v>1.6199228678421154E-3</v>
      </c>
    </row>
    <row r="10" spans="1:13" ht="16" thickBot="1">
      <c r="A10" s="23" t="s">
        <v>28</v>
      </c>
      <c r="B10" s="26">
        <f>AVERAGE(M4:M23)</f>
        <v>2.1173997015359572E-3</v>
      </c>
      <c r="C10" s="47"/>
      <c r="D10" s="4" t="s">
        <v>24</v>
      </c>
      <c r="E10" s="1">
        <v>3187.8076999999998</v>
      </c>
      <c r="F10" s="5">
        <f t="shared" si="0"/>
        <v>3194.6924945206274</v>
      </c>
      <c r="G10" s="5">
        <f>$B$4*(Table10567[[#This Row],[Level]]-F9)+(1-$B$4)*G9</f>
        <v>346.87320048879792</v>
      </c>
      <c r="H10" s="5">
        <f>$B$5*Table10567[[#This Row],[Adj Close]]/Table10567[[#This Row],[Level]]+(1-$B$5)*H9</f>
        <v>0.99795381924719739</v>
      </c>
      <c r="I10" s="5">
        <f t="shared" si="4"/>
        <v>3873.9674703880619</v>
      </c>
      <c r="J10" s="5">
        <f>Table10567[[#This Row],[Adj Close]]-Table10567[[#This Row],[Level]]</f>
        <v>-6.8847945206275654</v>
      </c>
      <c r="K10" s="5">
        <f t="shared" si="1"/>
        <v>6.8847945206275654</v>
      </c>
      <c r="L10" s="5">
        <f t="shared" si="2"/>
        <v>47.400395591263347</v>
      </c>
      <c r="M10" s="6">
        <f t="shared" si="3"/>
        <v>2.1597270502319087E-3</v>
      </c>
    </row>
    <row r="11" spans="1:13" ht="16" thickBot="1">
      <c r="A11" s="3"/>
      <c r="B11" s="3"/>
      <c r="C11" s="48"/>
      <c r="D11" s="4" t="s">
        <v>21</v>
      </c>
      <c r="E11" s="1">
        <v>3026.6756000000005</v>
      </c>
      <c r="F11" s="5">
        <f t="shared" si="0"/>
        <v>3031.7556530048887</v>
      </c>
      <c r="G11" s="5">
        <f>$B$4*(Table10567[[#This Row],[Level]]-F10)+(1-$B$4)*G10</f>
        <v>232.63544447518865</v>
      </c>
      <c r="H11" s="5">
        <f>$B$5*Table10567[[#This Row],[Adj Close]]/Table10567[[#This Row],[Level]]+(1-$B$5)*H10</f>
        <v>0.99805329725348546</v>
      </c>
      <c r="I11" s="5">
        <f t="shared" si="4"/>
        <v>3534.319011449511</v>
      </c>
      <c r="J11" s="5">
        <f>Table10567[[#This Row],[Adj Close]]-Table10567[[#This Row],[Level]]</f>
        <v>-5.0800530048882138</v>
      </c>
      <c r="K11" s="5">
        <f t="shared" si="1"/>
        <v>5.0800530048882138</v>
      </c>
      <c r="L11" s="5">
        <f t="shared" si="2"/>
        <v>25.806938532473769</v>
      </c>
      <c r="M11" s="6">
        <f t="shared" si="3"/>
        <v>1.6784266555980472E-3</v>
      </c>
    </row>
    <row r="12" spans="1:13">
      <c r="A12" s="54" t="s">
        <v>17</v>
      </c>
      <c r="B12" s="55"/>
      <c r="C12" s="49">
        <v>2022</v>
      </c>
      <c r="D12" s="4" t="s">
        <v>22</v>
      </c>
      <c r="E12" s="1">
        <v>2863.3120999999996</v>
      </c>
      <c r="F12" s="5">
        <f t="shared" si="0"/>
        <v>2867.2720894447516</v>
      </c>
      <c r="G12" s="5">
        <f>$B$4*(Table10567[[#This Row],[Level]]-F11)+(1-$B$4)*G11</f>
        <v>143.64938964988494</v>
      </c>
      <c r="H12" s="5">
        <f>$B$5*Table10567[[#This Row],[Adj Close]]/Table10567[[#This Row],[Level]]+(1-$B$5)*H11</f>
        <v>0.9982051324463016</v>
      </c>
      <c r="I12" s="5">
        <f t="shared" si="4"/>
        <v>3258.0362983649152</v>
      </c>
      <c r="J12" s="5">
        <f>Table10567[[#This Row],[Adj Close]]-Table10567[[#This Row],[Level]]</f>
        <v>-3.9599894447519546</v>
      </c>
      <c r="K12" s="5">
        <f t="shared" si="1"/>
        <v>3.9599894447519546</v>
      </c>
      <c r="L12" s="5">
        <f t="shared" si="2"/>
        <v>15.681516402546894</v>
      </c>
      <c r="M12" s="6">
        <f t="shared" si="3"/>
        <v>1.3830100619321084E-3</v>
      </c>
    </row>
    <row r="13" spans="1:13">
      <c r="A13" s="11" t="s">
        <v>29</v>
      </c>
      <c r="B13" s="43">
        <v>-559.75139548026061</v>
      </c>
      <c r="C13" s="50"/>
      <c r="D13" s="4" t="s">
        <v>23</v>
      </c>
      <c r="E13" s="1">
        <v>2518.6724000000013</v>
      </c>
      <c r="F13" s="5">
        <f t="shared" si="0"/>
        <v>2523.5552908965001</v>
      </c>
      <c r="G13" s="5">
        <f>$B$4*(Table10567[[#This Row],[Level]]-F12)+(1-$B$4)*G12</f>
        <v>34.440831345013308</v>
      </c>
      <c r="H13" s="5">
        <f>$B$5*Table10567[[#This Row],[Adj Close]]/Table10567[[#This Row],[Level]]+(1-$B$5)*H12</f>
        <v>0.99816753416795856</v>
      </c>
      <c r="I13" s="5">
        <f t="shared" si="4"/>
        <v>3005.5172738250762</v>
      </c>
      <c r="J13" s="5">
        <f>Table10567[[#This Row],[Adj Close]]-Table10567[[#This Row],[Level]]</f>
        <v>-4.8828908964987932</v>
      </c>
      <c r="K13" s="5">
        <f t="shared" si="1"/>
        <v>4.8828908964987932</v>
      </c>
      <c r="L13" s="5">
        <f t="shared" si="2"/>
        <v>23.842623507110787</v>
      </c>
      <c r="M13" s="6">
        <f t="shared" si="3"/>
        <v>1.9386764616544775E-3</v>
      </c>
    </row>
    <row r="14" spans="1:13">
      <c r="A14" s="13" t="s">
        <v>10</v>
      </c>
      <c r="B14" s="14">
        <v>0.01</v>
      </c>
      <c r="C14" s="50"/>
      <c r="D14" s="4" t="s">
        <v>24</v>
      </c>
      <c r="E14" s="1">
        <v>2067.7216000000003</v>
      </c>
      <c r="F14" s="5">
        <f t="shared" si="0"/>
        <v>2072.5755163134504</v>
      </c>
      <c r="G14" s="5">
        <f>$B$4*(Table10567[[#This Row],[Level]]-F13)+(1-$B$4)*G13</f>
        <v>-74.331762709724785</v>
      </c>
      <c r="H14" s="5">
        <f>$B$5*Table10567[[#This Row],[Adj Close]]/Table10567[[#This Row],[Level]]+(1-$B$5)*H13</f>
        <v>0.99803075769707594</v>
      </c>
      <c r="I14" s="5">
        <f t="shared" si="4"/>
        <v>2553.3086817490116</v>
      </c>
      <c r="J14" s="5">
        <f>Table10567[[#This Row],[Adj Close]]-Table10567[[#This Row],[Level]]</f>
        <v>-4.8539163134500996</v>
      </c>
      <c r="K14" s="5">
        <f t="shared" si="1"/>
        <v>4.8539163134500996</v>
      </c>
      <c r="L14" s="5">
        <f t="shared" si="2"/>
        <v>23.560503577977006</v>
      </c>
      <c r="M14" s="6">
        <f t="shared" si="3"/>
        <v>2.3474709136133698E-3</v>
      </c>
    </row>
    <row r="15" spans="1:13" ht="16" thickBot="1">
      <c r="A15" s="15" t="s">
        <v>18</v>
      </c>
      <c r="B15" s="16">
        <v>1.9952110291587277E-2</v>
      </c>
      <c r="C15" s="51"/>
      <c r="D15" s="4" t="s">
        <v>21</v>
      </c>
      <c r="E15" s="1">
        <v>1678.9902999999997</v>
      </c>
      <c r="F15" s="5">
        <f t="shared" si="0"/>
        <v>1682.1342953729024</v>
      </c>
      <c r="G15" s="5">
        <f>$B$4*(Table10567[[#This Row],[Level]]-F14)+(1-$B$4)*G14</f>
        <v>-145.16527360130829</v>
      </c>
      <c r="H15" s="5">
        <f>$B$5*Table10567[[#This Row],[Adj Close]]/Table10567[[#This Row],[Level]]+(1-$B$5)*H14</f>
        <v>0.9980576538050614</v>
      </c>
      <c r="I15" s="5">
        <f t="shared" si="4"/>
        <v>1994.3087274725754</v>
      </c>
      <c r="J15" s="5">
        <f>Table10567[[#This Row],[Adj Close]]-Table10567[[#This Row],[Level]]</f>
        <v>-3.1439953729027366</v>
      </c>
      <c r="K15" s="5">
        <f t="shared" si="1"/>
        <v>3.1439953729027366</v>
      </c>
      <c r="L15" s="5">
        <f t="shared" si="2"/>
        <v>9.8847069048338181</v>
      </c>
      <c r="M15" s="6">
        <f t="shared" si="3"/>
        <v>1.8725512427932055E-3</v>
      </c>
    </row>
    <row r="16" spans="1:13">
      <c r="A16" s="17" t="s">
        <v>20</v>
      </c>
      <c r="B16" s="18">
        <v>0.67064185151457945</v>
      </c>
      <c r="C16" s="46">
        <v>2023</v>
      </c>
      <c r="D16" s="4" t="s">
        <v>21</v>
      </c>
      <c r="E16" s="1">
        <v>1636.836</v>
      </c>
      <c r="F16" s="5">
        <f t="shared" si="0"/>
        <v>1635.8058902639871</v>
      </c>
      <c r="G16" s="5">
        <f>$B$4*(Table10567[[#This Row],[Level]]-F15)+(1-$B$4)*G15</f>
        <v>-123.01800081792382</v>
      </c>
      <c r="H16" s="5">
        <f>$B$5*Table10567[[#This Row],[Adj Close]]/Table10567[[#This Row],[Level]]+(1-$B$5)*H15</f>
        <v>0.99874812267710622</v>
      </c>
      <c r="I16" s="5">
        <f t="shared" si="4"/>
        <v>1533.9836958404178</v>
      </c>
      <c r="J16" s="5">
        <f>Table10567[[#This Row],[Adj Close]]-Table10567[[#This Row],[Level]]</f>
        <v>1.0301097360129461</v>
      </c>
      <c r="K16" s="5">
        <f t="shared" si="1"/>
        <v>1.0301097360129461</v>
      </c>
      <c r="L16" s="5">
        <f t="shared" si="2"/>
        <v>1.0611260682286614</v>
      </c>
      <c r="M16" s="6">
        <f t="shared" si="3"/>
        <v>6.293298387944462E-4</v>
      </c>
    </row>
    <row r="17" spans="1:13">
      <c r="A17" s="11" t="s">
        <v>5</v>
      </c>
      <c r="B17" s="43">
        <v>1113.0026190407714</v>
      </c>
      <c r="C17" s="47"/>
      <c r="D17" s="4" t="s">
        <v>22</v>
      </c>
      <c r="E17" s="1">
        <v>3244.6900999999998</v>
      </c>
      <c r="F17" s="5">
        <f t="shared" si="0"/>
        <v>3227.3813789918204</v>
      </c>
      <c r="G17" s="5">
        <f>$B$4*(Table10567[[#This Row],[Level]]-F16)+(1-$B$4)*G16</f>
        <v>261.18650004106109</v>
      </c>
      <c r="H17" s="5">
        <f>$B$5*Table10567[[#This Row],[Adj Close]]/Table10567[[#This Row],[Level]]+(1-$B$5)*H16</f>
        <v>1.0005238991892909</v>
      </c>
      <c r="I17" s="5">
        <f t="shared" si="4"/>
        <v>1510.8940645929174</v>
      </c>
      <c r="J17" s="5">
        <f>Table10567[[#This Row],[Adj Close]]-Table10567[[#This Row],[Level]]</f>
        <v>17.308721008179418</v>
      </c>
      <c r="K17" s="5">
        <f t="shared" si="1"/>
        <v>17.308721008179418</v>
      </c>
      <c r="L17" s="5">
        <f t="shared" si="2"/>
        <v>299.59182293899153</v>
      </c>
      <c r="M17" s="6">
        <f t="shared" si="3"/>
        <v>5.3344758589362416E-3</v>
      </c>
    </row>
    <row r="18" spans="1:13">
      <c r="A18" s="13" t="s">
        <v>10</v>
      </c>
      <c r="B18" s="14">
        <v>0.99</v>
      </c>
      <c r="C18" s="47"/>
      <c r="D18" s="4" t="s">
        <v>23</v>
      </c>
      <c r="E18" s="1">
        <v>3351.3103999999998</v>
      </c>
      <c r="F18" s="5">
        <f t="shared" si="0"/>
        <v>3352.8560620004105</v>
      </c>
      <c r="G18" s="5">
        <f>$B$4*(Table10567[[#This Row],[Level]]-F17)+(1-$B$4)*G17</f>
        <v>230.7763233772969</v>
      </c>
      <c r="H18" s="5">
        <f>$B$5*Table10567[[#This Row],[Adj Close]]/Table10567[[#This Row],[Level]]+(1-$B$5)*H17</f>
        <v>1.0002595048853082</v>
      </c>
      <c r="I18" s="5">
        <f t="shared" si="4"/>
        <v>3490.3955369164933</v>
      </c>
      <c r="J18" s="5">
        <f>Table10567[[#This Row],[Adj Close]]-Table10567[[#This Row],[Level]]</f>
        <v>-1.5456620004106298</v>
      </c>
      <c r="K18" s="5">
        <f t="shared" si="1"/>
        <v>1.5456620004106298</v>
      </c>
      <c r="L18" s="5">
        <f t="shared" si="2"/>
        <v>2.38907101951339</v>
      </c>
      <c r="M18" s="6">
        <f t="shared" si="3"/>
        <v>4.6121123260042698E-4</v>
      </c>
    </row>
    <row r="19" spans="1:13" ht="16" thickBot="1">
      <c r="A19" s="15" t="s">
        <v>18</v>
      </c>
      <c r="B19" s="16">
        <v>0.22407906200598676</v>
      </c>
      <c r="C19" s="48"/>
      <c r="D19" s="4" t="s">
        <v>24</v>
      </c>
      <c r="E19" s="1">
        <v>2977.6336000000001</v>
      </c>
      <c r="F19" s="5">
        <f t="shared" si="0"/>
        <v>2983.678131233773</v>
      </c>
      <c r="G19" s="5">
        <f>$B$4*(Table10567[[#This Row],[Level]]-F18)+(1-$B$4)*G18</f>
        <v>96.339136862222716</v>
      </c>
      <c r="H19" s="5">
        <f>$B$5*Table10567[[#This Row],[Adj Close]]/Table10567[[#This Row],[Level]]+(1-$B$5)*H18</f>
        <v>0.99964600065477838</v>
      </c>
      <c r="I19" s="5">
        <f t="shared" si="4"/>
        <v>3584.5623554888621</v>
      </c>
      <c r="J19" s="5">
        <f>Table10567[[#This Row],[Adj Close]]-Table10567[[#This Row],[Level]]</f>
        <v>-6.0445312337728865</v>
      </c>
      <c r="K19" s="5">
        <f t="shared" si="1"/>
        <v>6.0445312337728865</v>
      </c>
      <c r="L19" s="5">
        <f t="shared" si="2"/>
        <v>36.53635783605597</v>
      </c>
      <c r="M19" s="6">
        <f t="shared" si="3"/>
        <v>2.0299781792403491E-3</v>
      </c>
    </row>
    <row r="20" spans="1:13">
      <c r="A20" s="17" t="s">
        <v>20</v>
      </c>
      <c r="B20" s="18">
        <v>0.26844846528049415</v>
      </c>
      <c r="C20" s="49">
        <v>2024</v>
      </c>
      <c r="D20" s="4" t="s">
        <v>21</v>
      </c>
      <c r="E20" s="1">
        <v>2817.4089999999992</v>
      </c>
      <c r="F20" s="5">
        <f t="shared" si="0"/>
        <v>2819.9746373686216</v>
      </c>
      <c r="G20" s="5">
        <f>$B$4*(Table10567[[#This Row],[Level]]-F19)+(1-$B$4)*G19</f>
        <v>38.069028087263554</v>
      </c>
      <c r="H20" s="5">
        <f>$B$5*Table10567[[#This Row],[Adj Close]]/Table10567[[#This Row],[Level]]+(1-$B$5)*H19</f>
        <v>0.99949679449508955</v>
      </c>
      <c r="I20" s="5">
        <f t="shared" si="4"/>
        <v>3078.9269439998184</v>
      </c>
      <c r="J20" s="5">
        <f>Table10567[[#This Row],[Adj Close]]-Table10567[[#This Row],[Level]]</f>
        <v>-2.565637368622447</v>
      </c>
      <c r="K20" s="5">
        <f t="shared" si="1"/>
        <v>2.565637368622447</v>
      </c>
      <c r="L20" s="5">
        <f t="shared" si="2"/>
        <v>6.5824951072719138</v>
      </c>
      <c r="M20" s="6">
        <f t="shared" si="3"/>
        <v>9.1063717359547291E-4</v>
      </c>
    </row>
    <row r="21" spans="1:13">
      <c r="A21" s="11" t="s">
        <v>6</v>
      </c>
      <c r="B21" s="43">
        <v>1812.3574671346739</v>
      </c>
      <c r="C21" s="50"/>
      <c r="D21" s="4" t="s">
        <v>22</v>
      </c>
      <c r="E21" s="1">
        <v>2863.3120999999996</v>
      </c>
      <c r="F21" s="5">
        <f t="shared" si="0"/>
        <v>2863.2337592808726</v>
      </c>
      <c r="G21" s="5">
        <f>$B$4*(Table10567[[#This Row],[Level]]-F20)+(1-$B$4)*G20</f>
        <v>39.232019443289801</v>
      </c>
      <c r="H21" s="5">
        <f>$B$5*Table10567[[#This Row],[Adj Close]]/Table10567[[#This Row],[Level]]+(1-$B$5)*H20</f>
        <v>0.99963922423845797</v>
      </c>
      <c r="I21" s="5">
        <f t="shared" si="4"/>
        <v>2856.6054821501534</v>
      </c>
      <c r="J21" s="5">
        <f>Table10567[[#This Row],[Adj Close]]-Table10567[[#This Row],[Level]]</f>
        <v>7.8340719127027114E-2</v>
      </c>
      <c r="K21" s="5">
        <f t="shared" si="1"/>
        <v>7.8340719127027114E-2</v>
      </c>
      <c r="L21" s="5">
        <f t="shared" si="2"/>
        <v>6.1372682733397523E-3</v>
      </c>
      <c r="M21" s="6">
        <f t="shared" si="3"/>
        <v>2.736017464775395E-5</v>
      </c>
    </row>
    <row r="22" spans="1:13">
      <c r="A22" s="13" t="s">
        <v>10</v>
      </c>
      <c r="B22" s="14">
        <v>0.98999999999999988</v>
      </c>
      <c r="C22" s="50"/>
      <c r="D22" s="4" t="s">
        <v>23</v>
      </c>
      <c r="E22" s="1">
        <v>2518.6724000000013</v>
      </c>
      <c r="F22" s="5">
        <f t="shared" si="0"/>
        <v>2522.5111171944341</v>
      </c>
      <c r="G22" s="5">
        <f>$B$4*(Table10567[[#This Row],[Level]]-F21)+(1-$B$4)*G21</f>
        <v>-45.907864717093901</v>
      </c>
      <c r="H22" s="5">
        <f>$B$5*Table10567[[#This Row],[Adj Close]]/Table10567[[#This Row],[Level]]+(1-$B$5)*H21</f>
        <v>0.99932755334414325</v>
      </c>
      <c r="I22" s="5">
        <f t="shared" si="4"/>
        <v>2901.4186394224935</v>
      </c>
      <c r="J22" s="5">
        <f>Table10567[[#This Row],[Adj Close]]-Table10567[[#This Row],[Level]]</f>
        <v>-3.8387171944327747</v>
      </c>
      <c r="K22" s="5">
        <f t="shared" si="1"/>
        <v>3.8387171944327747</v>
      </c>
      <c r="L22" s="5">
        <f t="shared" si="2"/>
        <v>14.735749698833834</v>
      </c>
      <c r="M22" s="6">
        <f t="shared" si="3"/>
        <v>1.5241034103652277E-3</v>
      </c>
    </row>
    <row r="23" spans="1:13" ht="16" thickBot="1">
      <c r="A23" s="15" t="s">
        <v>18</v>
      </c>
      <c r="B23" s="16">
        <v>0.22900720499275401</v>
      </c>
      <c r="C23" s="51"/>
      <c r="D23" s="4" t="s">
        <v>24</v>
      </c>
      <c r="E23" s="1">
        <v>2067.7216000000003</v>
      </c>
      <c r="F23" s="5">
        <f t="shared" si="0"/>
        <v>2071.7720293528296</v>
      </c>
      <c r="G23" s="5">
        <f>$B$4*(Table10567[[#This Row],[Level]]-F22)+(1-$B$4)*G22</f>
        <v>-136.62206546557059</v>
      </c>
      <c r="H23" s="5">
        <f>$B$5*Table10567[[#This Row],[Adj Close]]/Table10567[[#This Row],[Level]]+(1-$B$5)*H22</f>
        <v>0.99898323896162733</v>
      </c>
      <c r="I23" s="5">
        <f t="shared" si="4"/>
        <v>2474.9378689023279</v>
      </c>
      <c r="J23" s="5">
        <f>Table10567[[#This Row],[Adj Close]]-Table10567[[#This Row],[Level]]</f>
        <v>-4.0504293528292692</v>
      </c>
      <c r="K23" s="5">
        <f t="shared" si="1"/>
        <v>4.0504293528292692</v>
      </c>
      <c r="L23" s="5">
        <f t="shared" si="2"/>
        <v>16.405977942260932</v>
      </c>
      <c r="M23" s="6">
        <f t="shared" si="3"/>
        <v>1.9588852545861439E-3</v>
      </c>
    </row>
    <row r="24" spans="1:13">
      <c r="A24" s="17" t="s">
        <v>20</v>
      </c>
      <c r="B24" s="18">
        <v>0.48337220356956689</v>
      </c>
      <c r="C24" s="29">
        <v>1</v>
      </c>
      <c r="D24" s="27" t="s">
        <v>21</v>
      </c>
      <c r="E24" s="42">
        <v>1678.9902999999997</v>
      </c>
      <c r="F24" s="8"/>
      <c r="G24" s="8"/>
      <c r="H24" s="8"/>
      <c r="I24" s="8">
        <f>($F$23+C24*$G$23)*$H$23</f>
        <v>1933.1823788005702</v>
      </c>
      <c r="J24" s="8"/>
      <c r="K24" s="8"/>
      <c r="L24" s="8"/>
      <c r="M24" s="9"/>
    </row>
    <row r="25" spans="1:13">
      <c r="A25" s="11" t="s">
        <v>7</v>
      </c>
      <c r="B25" s="12">
        <v>0.13588522101176259</v>
      </c>
      <c r="C25" s="30">
        <f>C24+1</f>
        <v>2</v>
      </c>
      <c r="D25" s="28" t="s">
        <v>22</v>
      </c>
      <c r="E25" s="7">
        <v>1706.5139999999997</v>
      </c>
      <c r="F25" s="8"/>
      <c r="G25" s="8"/>
      <c r="H25" s="8"/>
      <c r="I25" s="8">
        <f t="shared" ref="I25:I27" si="5">($F$23+C25*$G$23)*$H$23</f>
        <v>1796.6992253281469</v>
      </c>
      <c r="J25" s="8"/>
      <c r="K25" s="8"/>
      <c r="L25" s="8"/>
      <c r="M25" s="9"/>
    </row>
    <row r="26" spans="1:13">
      <c r="A26" s="13" t="s">
        <v>10</v>
      </c>
      <c r="B26" s="14">
        <v>0.9900000000000001</v>
      </c>
      <c r="C26" s="30">
        <f t="shared" ref="C26:C27" si="6">C25+1</f>
        <v>3</v>
      </c>
      <c r="D26" s="28" t="s">
        <v>23</v>
      </c>
      <c r="E26" s="7">
        <v>1904.8378999999995</v>
      </c>
      <c r="F26" s="8"/>
      <c r="G26" s="8"/>
      <c r="H26" s="8"/>
      <c r="I26" s="8">
        <f t="shared" si="5"/>
        <v>1660.2160718557238</v>
      </c>
      <c r="J26" s="8"/>
      <c r="K26" s="8"/>
      <c r="L26" s="8"/>
      <c r="M26" s="9"/>
    </row>
    <row r="27" spans="1:13" ht="16" thickBot="1">
      <c r="A27" s="15" t="s">
        <v>18</v>
      </c>
      <c r="B27" s="16">
        <v>0.22987270640978202</v>
      </c>
      <c r="C27" s="31">
        <f t="shared" si="6"/>
        <v>4</v>
      </c>
      <c r="D27" s="28" t="s">
        <v>24</v>
      </c>
      <c r="E27" s="7">
        <v>2155.6627999999996</v>
      </c>
      <c r="F27" s="8"/>
      <c r="G27" s="8"/>
      <c r="H27" s="8"/>
      <c r="I27" s="8">
        <f t="shared" si="5"/>
        <v>1523.7329183833006</v>
      </c>
      <c r="J27" s="8"/>
      <c r="K27" s="8"/>
      <c r="L27" s="8"/>
      <c r="M27" s="9"/>
    </row>
    <row r="28" spans="1:13" ht="16" thickBot="1">
      <c r="A28" s="19" t="s">
        <v>20</v>
      </c>
      <c r="B28" s="20">
        <v>0.13913726819173303</v>
      </c>
    </row>
  </sheetData>
  <mergeCells count="8">
    <mergeCell ref="C16:C19"/>
    <mergeCell ref="C20:C23"/>
    <mergeCell ref="A2:B2"/>
    <mergeCell ref="C4:C7"/>
    <mergeCell ref="A6:B6"/>
    <mergeCell ref="C8:C11"/>
    <mergeCell ref="A12:B12"/>
    <mergeCell ref="C12:C15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5CF4-D498-4518-89BC-A179DEF78950}">
  <dimension ref="A1:M28"/>
  <sheetViews>
    <sheetView topLeftCell="A15" zoomScale="40" zoomScaleNormal="40" workbookViewId="0">
      <selection activeCell="V43" sqref="V43"/>
    </sheetView>
  </sheetViews>
  <sheetFormatPr defaultRowHeight="15.5"/>
  <cols>
    <col min="1" max="1" width="27.4140625" style="2" customWidth="1"/>
    <col min="2" max="2" width="24.9140625" style="2" customWidth="1"/>
    <col min="3" max="3" width="8.08203125" style="44" customWidth="1"/>
    <col min="4" max="4" width="9" style="2" bestFit="1" customWidth="1"/>
    <col min="5" max="5" width="13.25" style="2" bestFit="1" customWidth="1"/>
    <col min="6" max="6" width="9.75" style="2" bestFit="1" customWidth="1"/>
    <col min="7" max="7" width="10.08203125" style="2" bestFit="1" customWidth="1"/>
    <col min="8" max="8" width="10" style="2" customWidth="1"/>
    <col min="9" max="9" width="18" style="2" bestFit="1" customWidth="1"/>
    <col min="10" max="10" width="9.6640625" style="2" bestFit="1" customWidth="1"/>
    <col min="11" max="11" width="13.4140625" style="2" bestFit="1" customWidth="1"/>
    <col min="12" max="12" width="13.33203125" style="2" bestFit="1" customWidth="1"/>
    <col min="13" max="13" width="16.6640625" style="2" bestFit="1" customWidth="1"/>
    <col min="14" max="16384" width="8.6640625" style="2"/>
  </cols>
  <sheetData>
    <row r="1" spans="1:13" ht="16" thickBot="1">
      <c r="A1" s="3"/>
      <c r="B1" s="3"/>
    </row>
    <row r="2" spans="1:13" ht="16" thickBot="1">
      <c r="A2" s="52" t="s">
        <v>8</v>
      </c>
      <c r="B2" s="53"/>
      <c r="D2" s="40" t="s">
        <v>0</v>
      </c>
      <c r="E2" s="41" t="s">
        <v>1</v>
      </c>
      <c r="F2" s="38" t="s">
        <v>14</v>
      </c>
      <c r="G2" s="38" t="s">
        <v>15</v>
      </c>
      <c r="H2" s="38" t="s">
        <v>19</v>
      </c>
      <c r="I2" s="38" t="s">
        <v>11</v>
      </c>
      <c r="J2" s="38" t="s">
        <v>12</v>
      </c>
      <c r="K2" s="38" t="s">
        <v>13</v>
      </c>
      <c r="L2" s="38" t="s">
        <v>3</v>
      </c>
      <c r="M2" s="39" t="s">
        <v>4</v>
      </c>
    </row>
    <row r="3" spans="1:13" ht="16" thickBot="1">
      <c r="A3" s="21" t="s">
        <v>9</v>
      </c>
      <c r="B3" s="24">
        <v>0.9900000000000001</v>
      </c>
      <c r="C3" s="45">
        <v>2019</v>
      </c>
      <c r="D3" s="4" t="s">
        <v>21</v>
      </c>
      <c r="E3" s="1">
        <v>4686.7195000000002</v>
      </c>
      <c r="F3" s="35"/>
      <c r="G3" s="35"/>
      <c r="H3" s="36">
        <f>Table105678[[#This Row],[Adj Close]]/AVERAGE(Table105678[[#This Row],[Adj Close]])</f>
        <v>1</v>
      </c>
      <c r="I3" s="35"/>
      <c r="J3" s="35"/>
      <c r="K3" s="35"/>
      <c r="L3" s="35"/>
      <c r="M3" s="37"/>
    </row>
    <row r="4" spans="1:13">
      <c r="A4" s="21" t="s">
        <v>16</v>
      </c>
      <c r="B4" s="24">
        <v>0.22987270640978202</v>
      </c>
      <c r="C4" s="49">
        <v>2020</v>
      </c>
      <c r="D4" s="4" t="s">
        <v>22</v>
      </c>
      <c r="E4" s="1">
        <v>9784.0901999999969</v>
      </c>
      <c r="F4" s="5">
        <f>E4/H3</f>
        <v>9784.0901999999969</v>
      </c>
      <c r="G4" s="5">
        <f>F4-E3/H3</f>
        <v>5097.3706999999968</v>
      </c>
      <c r="H4" s="5">
        <f>$B$5*Table105678[[#This Row],[Adj Close]]/Table105678[[#This Row],[Level]]+(1-$B$5)*H3</f>
        <v>1</v>
      </c>
      <c r="I4" s="32"/>
      <c r="J4" s="33"/>
      <c r="K4" s="33"/>
      <c r="L4" s="33"/>
      <c r="M4" s="34"/>
    </row>
    <row r="5" spans="1:13" ht="16" thickBot="1">
      <c r="A5" s="23" t="s">
        <v>30</v>
      </c>
      <c r="B5" s="25">
        <v>0.13913726819173303</v>
      </c>
      <c r="C5" s="50"/>
      <c r="D5" s="4" t="s">
        <v>23</v>
      </c>
      <c r="E5" s="1">
        <v>11005.040900000004</v>
      </c>
      <c r="F5" s="5">
        <f t="shared" ref="F5:F23" si="0">alpha*(E5)+(1-alpha)*(E4+G4)</f>
        <v>11043.805100000003</v>
      </c>
      <c r="G5" s="5">
        <f>$B$4*(Table105678[[#This Row],[Level]]-F4)+(1-$B$4)*G4</f>
        <v>4215.1983749848014</v>
      </c>
      <c r="H5" s="5">
        <f>$B$5*Table105678[[#This Row],[Adj Close]]/Table105678[[#This Row],[Level]]+(1-$B$5)*H4</f>
        <v>0.99951162259358983</v>
      </c>
      <c r="I5" s="5">
        <f>(F4+G4)*H4</f>
        <v>14881.460899999995</v>
      </c>
      <c r="J5" s="5">
        <f>Table105678[[#This Row],[Adj Close]]-Table105678[[#This Row],[Level]]</f>
        <v>-38.764199999999619</v>
      </c>
      <c r="K5" s="5">
        <f t="shared" ref="K5:K23" si="1">ABS(J5)</f>
        <v>38.764199999999619</v>
      </c>
      <c r="L5" s="5">
        <f t="shared" ref="L5:L23" si="2">J5^2</f>
        <v>1502.6632016399703</v>
      </c>
      <c r="M5" s="6">
        <f t="shared" ref="M5:M23" si="3">K5/E5</f>
        <v>3.5224039921559589E-3</v>
      </c>
    </row>
    <row r="6" spans="1:13">
      <c r="A6" s="54" t="s">
        <v>2</v>
      </c>
      <c r="B6" s="55"/>
      <c r="C6" s="50"/>
      <c r="D6" s="4" t="s">
        <v>24</v>
      </c>
      <c r="E6" s="1">
        <v>12968.916899999998</v>
      </c>
      <c r="F6" s="5">
        <f t="shared" si="0"/>
        <v>12991.430123749846</v>
      </c>
      <c r="G6" s="5">
        <f>$B$4*(Table105678[[#This Row],[Level]]-F5)+(1-$B$4)*G5</f>
        <v>3693.9451517537218</v>
      </c>
      <c r="H6" s="5">
        <f>$B$5*Table105678[[#This Row],[Adj Close]]/Table105678[[#This Row],[Level]]+(1-$B$5)*H5</f>
        <v>0.99933845910897146</v>
      </c>
      <c r="I6" s="5">
        <f t="shared" ref="I6:I23" si="4">(F5+G5)*H5</f>
        <v>15251.551322443289</v>
      </c>
      <c r="J6" s="5">
        <f>Table105678[[#This Row],[Adj Close]]-Table105678[[#This Row],[Level]]</f>
        <v>-22.513223749847384</v>
      </c>
      <c r="K6" s="5">
        <f t="shared" si="1"/>
        <v>22.513223749847384</v>
      </c>
      <c r="L6" s="5">
        <f t="shared" si="2"/>
        <v>506.84524361069231</v>
      </c>
      <c r="M6" s="6">
        <f t="shared" si="3"/>
        <v>1.7359370812104892E-3</v>
      </c>
    </row>
    <row r="7" spans="1:13" ht="16" thickBot="1">
      <c r="A7" s="21" t="s">
        <v>25</v>
      </c>
      <c r="B7" s="22">
        <f>AVERAGE(J4:J23)</f>
        <v>-16.551195806833245</v>
      </c>
      <c r="C7" s="51"/>
      <c r="D7" s="4" t="s">
        <v>21</v>
      </c>
      <c r="E7" s="1">
        <v>13310.424200000001</v>
      </c>
      <c r="F7" s="5">
        <f t="shared" si="0"/>
        <v>13343.948578517537</v>
      </c>
      <c r="G7" s="5">
        <f>$B$4*(Table105678[[#This Row],[Level]]-F6)+(1-$B$4)*G6</f>
        <v>2925.8423536476439</v>
      </c>
      <c r="H7" s="5">
        <f>$B$5*Table105678[[#This Row],[Adj Close]]/Table105678[[#This Row],[Level]]+(1-$B$5)*H6</f>
        <v>0.99908094561666627</v>
      </c>
      <c r="I7" s="5">
        <f t="shared" si="4"/>
        <v>16674.337217476666</v>
      </c>
      <c r="J7" s="5">
        <f>Table105678[[#This Row],[Adj Close]]-Table105678[[#This Row],[Level]]</f>
        <v>-33.524378517535297</v>
      </c>
      <c r="K7" s="5">
        <f t="shared" si="1"/>
        <v>33.524378517535297</v>
      </c>
      <c r="L7" s="5">
        <f t="shared" si="2"/>
        <v>1123.8839549869822</v>
      </c>
      <c r="M7" s="6">
        <f t="shared" si="3"/>
        <v>2.5186559056123315E-3</v>
      </c>
    </row>
    <row r="8" spans="1:13">
      <c r="A8" s="21" t="s">
        <v>26</v>
      </c>
      <c r="B8" s="10">
        <f>AVERAGE(K4:K23)</f>
        <v>24.210378492898407</v>
      </c>
      <c r="C8" s="46">
        <v>2021</v>
      </c>
      <c r="D8" s="4" t="s">
        <v>22</v>
      </c>
      <c r="E8" s="1">
        <v>13724.441400000005</v>
      </c>
      <c r="F8" s="5">
        <f t="shared" si="0"/>
        <v>13749.559651536481</v>
      </c>
      <c r="G8" s="5">
        <f>$B$4*(Table105678[[#This Row],[Level]]-F7)+(1-$B$4)*G7</f>
        <v>2346.5099683909339</v>
      </c>
      <c r="H8" s="5">
        <f>$B$5*Table105678[[#This Row],[Adj Close]]/Table105678[[#This Row],[Level]]+(1-$B$5)*H7</f>
        <v>0.99895463874531865</v>
      </c>
      <c r="I8" s="5">
        <f t="shared" si="4"/>
        <v>16254.83810949305</v>
      </c>
      <c r="J8" s="5">
        <f>Table105678[[#This Row],[Adj Close]]-Table105678[[#This Row],[Level]]</f>
        <v>-25.118251536476237</v>
      </c>
      <c r="K8" s="5">
        <f t="shared" si="1"/>
        <v>25.118251536476237</v>
      </c>
      <c r="L8" s="5">
        <f t="shared" si="2"/>
        <v>630.92656024969085</v>
      </c>
      <c r="M8" s="6">
        <f t="shared" si="3"/>
        <v>1.8301838890489362E-3</v>
      </c>
    </row>
    <row r="9" spans="1:13">
      <c r="A9" s="21" t="s">
        <v>27</v>
      </c>
      <c r="B9" s="10">
        <f>SQRT(AVERAGE(L4:L23))</f>
        <v>41.036655704194544</v>
      </c>
      <c r="C9" s="47"/>
      <c r="D9" s="4" t="s">
        <v>23</v>
      </c>
      <c r="E9" s="1">
        <v>15562.864399999999</v>
      </c>
      <c r="F9" s="5">
        <f t="shared" si="0"/>
        <v>15567.945269683907</v>
      </c>
      <c r="G9" s="5">
        <f>$B$4*(Table105678[[#This Row],[Level]]-F8)+(1-$B$4)*G8</f>
        <v>2225.1085946795511</v>
      </c>
      <c r="H9" s="5">
        <f>$B$5*Table105678[[#This Row],[Adj Close]]/Table105678[[#This Row],[Level]]+(1-$B$5)*H8</f>
        <v>0.99905467758733102</v>
      </c>
      <c r="I9" s="5">
        <f t="shared" si="4"/>
        <v>16079.243412394089</v>
      </c>
      <c r="J9" s="5">
        <f>Table105678[[#This Row],[Adj Close]]-Table105678[[#This Row],[Level]]</f>
        <v>-5.0808696839085314</v>
      </c>
      <c r="K9" s="5">
        <f t="shared" si="1"/>
        <v>5.0808696839085314</v>
      </c>
      <c r="L9" s="5">
        <f t="shared" si="2"/>
        <v>25.81523674486078</v>
      </c>
      <c r="M9" s="6">
        <f t="shared" si="3"/>
        <v>3.2647394164203678E-4</v>
      </c>
    </row>
    <row r="10" spans="1:13" ht="16" thickBot="1">
      <c r="A10" s="23" t="s">
        <v>28</v>
      </c>
      <c r="B10" s="26">
        <f>AVERAGE(M4:M23)</f>
        <v>1.6460886149960215E-3</v>
      </c>
      <c r="C10" s="47"/>
      <c r="D10" s="4" t="s">
        <v>24</v>
      </c>
      <c r="E10" s="1">
        <v>18135.7405</v>
      </c>
      <c r="F10" s="5">
        <f t="shared" si="0"/>
        <v>18132.262824946796</v>
      </c>
      <c r="G10" s="5">
        <f>$B$4*(Table105678[[#This Row],[Level]]-F9)+(1-$B$4)*G9</f>
        <v>2303.083476487292</v>
      </c>
      <c r="H10" s="5">
        <f>$B$5*Table105678[[#This Row],[Adj Close]]/Table105678[[#This Row],[Level]]+(1-$B$5)*H9</f>
        <v>0.99921289298013005</v>
      </c>
      <c r="I10" s="5">
        <f t="shared" si="4"/>
        <v>17776.233691755649</v>
      </c>
      <c r="J10" s="5">
        <f>Table105678[[#This Row],[Adj Close]]-Table105678[[#This Row],[Level]]</f>
        <v>3.4776750532037113</v>
      </c>
      <c r="K10" s="5">
        <f t="shared" si="1"/>
        <v>3.4776750532037113</v>
      </c>
      <c r="L10" s="5">
        <f t="shared" si="2"/>
        <v>12.094223775675436</v>
      </c>
      <c r="M10" s="6">
        <f t="shared" si="3"/>
        <v>1.9175809519350541E-4</v>
      </c>
    </row>
    <row r="11" spans="1:13" ht="16" thickBot="1">
      <c r="A11" s="3"/>
      <c r="B11" s="3"/>
      <c r="C11" s="48"/>
      <c r="D11" s="4" t="s">
        <v>21</v>
      </c>
      <c r="E11" s="1">
        <v>20246.863700000002</v>
      </c>
      <c r="F11" s="5">
        <f t="shared" si="0"/>
        <v>20248.783302764874</v>
      </c>
      <c r="G11" s="5">
        <f>$B$4*(Table105678[[#This Row],[Level]]-F10)+(1-$B$4)*G10</f>
        <v>2260.1977350672751</v>
      </c>
      <c r="H11" s="5">
        <f>$B$5*Table105678[[#This Row],[Adj Close]]/Table105678[[#This Row],[Level]]+(1-$B$5)*H10</f>
        <v>0.99930921856319921</v>
      </c>
      <c r="I11" s="5">
        <f t="shared" si="4"/>
        <v>20419.261496906758</v>
      </c>
      <c r="J11" s="5">
        <f>Table105678[[#This Row],[Adj Close]]-Table105678[[#This Row],[Level]]</f>
        <v>-1.919602764872252</v>
      </c>
      <c r="K11" s="5">
        <f t="shared" si="1"/>
        <v>1.919602764872252</v>
      </c>
      <c r="L11" s="5">
        <f t="shared" si="2"/>
        <v>3.6848747749051944</v>
      </c>
      <c r="M11" s="6">
        <f t="shared" si="3"/>
        <v>9.4809882326231683E-5</v>
      </c>
    </row>
    <row r="12" spans="1:13">
      <c r="A12" s="54" t="s">
        <v>17</v>
      </c>
      <c r="B12" s="55"/>
      <c r="C12" s="49">
        <v>2022</v>
      </c>
      <c r="D12" s="4" t="s">
        <v>22</v>
      </c>
      <c r="E12" s="1">
        <v>18236.253800000002</v>
      </c>
      <c r="F12" s="5">
        <f t="shared" si="0"/>
        <v>18278.961876350677</v>
      </c>
      <c r="G12" s="5">
        <f>$B$4*(Table105678[[#This Row],[Level]]-F11)+(1-$B$4)*G11</f>
        <v>1287.8317822522922</v>
      </c>
      <c r="H12" s="5">
        <f>$B$5*Table105678[[#This Row],[Adj Close]]/Table105678[[#This Row],[Level]]+(1-$B$5)*H11</f>
        <v>0.99908024324399203</v>
      </c>
      <c r="I12" s="5">
        <f t="shared" si="4"/>
        <v>22493.432251569913</v>
      </c>
      <c r="J12" s="5">
        <f>Table105678[[#This Row],[Adj Close]]-Table105678[[#This Row],[Level]]</f>
        <v>-42.708076350674673</v>
      </c>
      <c r="K12" s="5">
        <f t="shared" si="1"/>
        <v>42.708076350674673</v>
      </c>
      <c r="L12" s="5">
        <f t="shared" si="2"/>
        <v>1823.9797855750573</v>
      </c>
      <c r="M12" s="6">
        <f t="shared" si="3"/>
        <v>2.3419325492538751E-3</v>
      </c>
    </row>
    <row r="13" spans="1:13">
      <c r="A13" s="11" t="s">
        <v>29</v>
      </c>
      <c r="B13" s="43">
        <v>-559.75139548026061</v>
      </c>
      <c r="C13" s="50"/>
      <c r="D13" s="4" t="s">
        <v>23</v>
      </c>
      <c r="E13" s="1">
        <v>16486.222600000001</v>
      </c>
      <c r="F13" s="5">
        <f t="shared" si="0"/>
        <v>16516.601229822525</v>
      </c>
      <c r="G13" s="5">
        <f>$B$4*(Table105678[[#This Row],[Level]]-F12)+(1-$B$4)*G12</f>
        <v>586.6757935779051</v>
      </c>
      <c r="H13" s="5">
        <f>$B$5*Table105678[[#This Row],[Adj Close]]/Table105678[[#This Row],[Level]]+(1-$B$5)*H12</f>
        <v>0.99895230349806863</v>
      </c>
      <c r="I13" s="5">
        <f t="shared" si="4"/>
        <v>19548.796967942053</v>
      </c>
      <c r="J13" s="5">
        <f>Table105678[[#This Row],[Adj Close]]-Table105678[[#This Row],[Level]]</f>
        <v>-30.37862982252409</v>
      </c>
      <c r="K13" s="5">
        <f t="shared" si="1"/>
        <v>30.37862982252409</v>
      </c>
      <c r="L13" s="5">
        <f t="shared" si="2"/>
        <v>922.86114989395003</v>
      </c>
      <c r="M13" s="6">
        <f t="shared" si="3"/>
        <v>1.8426676965118795E-3</v>
      </c>
    </row>
    <row r="14" spans="1:13">
      <c r="A14" s="13" t="s">
        <v>10</v>
      </c>
      <c r="B14" s="14">
        <v>0.01</v>
      </c>
      <c r="C14" s="50"/>
      <c r="D14" s="4" t="s">
        <v>24</v>
      </c>
      <c r="E14" s="1">
        <v>16594.727800000001</v>
      </c>
      <c r="F14" s="5">
        <f t="shared" si="0"/>
        <v>16599.509505935777</v>
      </c>
      <c r="G14" s="5">
        <f>$B$4*(Table105678[[#This Row],[Level]]-F13)+(1-$B$4)*G13</f>
        <v>470.87339093696812</v>
      </c>
      <c r="H14" s="5">
        <f>$B$5*Table105678[[#This Row],[Adj Close]]/Table105678[[#This Row],[Level]]+(1-$B$5)*H13</f>
        <v>0.99905799681637664</v>
      </c>
      <c r="I14" s="5">
        <f t="shared" si="4"/>
        <v>17085.357979891451</v>
      </c>
      <c r="J14" s="5">
        <f>Table105678[[#This Row],[Adj Close]]-Table105678[[#This Row],[Level]]</f>
        <v>-4.7817059357766993</v>
      </c>
      <c r="K14" s="5">
        <f t="shared" si="1"/>
        <v>4.7817059357766993</v>
      </c>
      <c r="L14" s="5">
        <f t="shared" si="2"/>
        <v>22.864711656242118</v>
      </c>
      <c r="M14" s="6">
        <f t="shared" si="3"/>
        <v>2.8814609033699844E-4</v>
      </c>
    </row>
    <row r="15" spans="1:13" ht="16" thickBot="1">
      <c r="A15" s="15" t="s">
        <v>18</v>
      </c>
      <c r="B15" s="16">
        <v>1.9952110291587277E-2</v>
      </c>
      <c r="C15" s="51"/>
      <c r="D15" s="4" t="s">
        <v>21</v>
      </c>
      <c r="E15" s="1">
        <v>14883.925599999997</v>
      </c>
      <c r="F15" s="5">
        <f t="shared" si="0"/>
        <v>14905.742355909366</v>
      </c>
      <c r="G15" s="5">
        <f>$B$4*(Table105678[[#This Row],[Level]]-F14)+(1-$B$4)*G14</f>
        <v>-26.718388618618576</v>
      </c>
      <c r="H15" s="5">
        <f>$B$5*Table105678[[#This Row],[Adj Close]]/Table105678[[#This Row],[Level]]+(1-$B$5)*H14</f>
        <v>0.99898541661972906</v>
      </c>
      <c r="I15" s="5">
        <f t="shared" si="4"/>
        <v>17054.302541838224</v>
      </c>
      <c r="J15" s="5">
        <f>Table105678[[#This Row],[Adj Close]]-Table105678[[#This Row],[Level]]</f>
        <v>-21.816755909369022</v>
      </c>
      <c r="K15" s="5">
        <f t="shared" si="1"/>
        <v>21.816755909369022</v>
      </c>
      <c r="L15" s="5">
        <f t="shared" si="2"/>
        <v>475.97083840898813</v>
      </c>
      <c r="M15" s="6">
        <f t="shared" si="3"/>
        <v>1.4657931311729364E-3</v>
      </c>
    </row>
    <row r="16" spans="1:13">
      <c r="A16" s="17" t="s">
        <v>20</v>
      </c>
      <c r="B16" s="18">
        <v>0.67064185151457945</v>
      </c>
      <c r="C16" s="46">
        <v>2023</v>
      </c>
      <c r="D16" s="4" t="s">
        <v>22</v>
      </c>
      <c r="E16" s="1">
        <v>15611.565899999996</v>
      </c>
      <c r="F16" s="5">
        <f t="shared" si="0"/>
        <v>15604.022313113808</v>
      </c>
      <c r="G16" s="5">
        <f>$B$4*(Table105678[[#This Row],[Level]]-F15)+(1-$B$4)*G15</f>
        <v>139.93894327834352</v>
      </c>
      <c r="H16" s="5">
        <f>$B$5*Table105678[[#This Row],[Adj Close]]/Table105678[[#This Row],[Level]]+(1-$B$5)*H15</f>
        <v>0.99919384730740268</v>
      </c>
      <c r="I16" s="5">
        <f t="shared" si="4"/>
        <v>14863.927956858881</v>
      </c>
      <c r="J16" s="5">
        <f>Table105678[[#This Row],[Adj Close]]-Table105678[[#This Row],[Level]]</f>
        <v>7.543586886187768</v>
      </c>
      <c r="K16" s="5">
        <f t="shared" si="1"/>
        <v>7.543586886187768</v>
      </c>
      <c r="L16" s="5">
        <f t="shared" si="2"/>
        <v>56.905703109464064</v>
      </c>
      <c r="M16" s="6">
        <f t="shared" si="3"/>
        <v>4.8320501188082418E-4</v>
      </c>
    </row>
    <row r="17" spans="1:13">
      <c r="A17" s="11" t="s">
        <v>5</v>
      </c>
      <c r="B17" s="43">
        <v>1113.0026190407714</v>
      </c>
      <c r="C17" s="47"/>
      <c r="D17" s="4" t="s">
        <v>23</v>
      </c>
      <c r="E17" s="1">
        <v>19225.945000000007</v>
      </c>
      <c r="F17" s="5">
        <f t="shared" si="0"/>
        <v>19191.200598432792</v>
      </c>
      <c r="G17" s="5">
        <f>$B$4*(Table105678[[#This Row],[Level]]-F16)+(1-$B$4)*G16</f>
        <v>932.36518047550169</v>
      </c>
      <c r="H17" s="5">
        <f>$B$5*Table105678[[#This Row],[Adj Close]]/Table105678[[#This Row],[Level]]+(1-$B$5)*H16</f>
        <v>0.99955791202819411</v>
      </c>
      <c r="I17" s="5">
        <f t="shared" si="4"/>
        <v>15731.269219633163</v>
      </c>
      <c r="J17" s="5">
        <f>Table105678[[#This Row],[Adj Close]]-Table105678[[#This Row],[Level]]</f>
        <v>34.744401567215391</v>
      </c>
      <c r="K17" s="5">
        <f t="shared" si="1"/>
        <v>34.744401567215391</v>
      </c>
      <c r="L17" s="5">
        <f t="shared" si="2"/>
        <v>1207.1734402639192</v>
      </c>
      <c r="M17" s="6">
        <f t="shared" si="3"/>
        <v>1.8071622262112671E-3</v>
      </c>
    </row>
    <row r="18" spans="1:13">
      <c r="A18" s="13" t="s">
        <v>10</v>
      </c>
      <c r="B18" s="14">
        <v>0.99</v>
      </c>
      <c r="C18" s="47"/>
      <c r="D18" s="4" t="s">
        <v>24</v>
      </c>
      <c r="E18" s="1">
        <v>20640.952799999995</v>
      </c>
      <c r="F18" s="5">
        <f t="shared" si="0"/>
        <v>20636.126373804753</v>
      </c>
      <c r="G18" s="5">
        <f>$B$4*(Table105678[[#This Row],[Level]]-F17)+(1-$B$4)*G17</f>
        <v>1050.1888716233586</v>
      </c>
      <c r="H18" s="5">
        <f>$B$5*Table105678[[#This Row],[Adj Close]]/Table105678[[#This Row],[Level]]+(1-$B$5)*H17</f>
        <v>0.99965196469527762</v>
      </c>
      <c r="I18" s="5">
        <f t="shared" si="4"/>
        <v>20114.669392527594</v>
      </c>
      <c r="J18" s="5">
        <f>Table105678[[#This Row],[Adj Close]]-Table105678[[#This Row],[Level]]</f>
        <v>4.826426195242675</v>
      </c>
      <c r="K18" s="5">
        <f t="shared" si="1"/>
        <v>4.826426195242675</v>
      </c>
      <c r="L18" s="5">
        <f t="shared" si="2"/>
        <v>23.294389818124685</v>
      </c>
      <c r="M18" s="6">
        <f t="shared" si="3"/>
        <v>2.3382768431322976E-4</v>
      </c>
    </row>
    <row r="19" spans="1:13" ht="16" thickBot="1">
      <c r="A19" s="15" t="s">
        <v>18</v>
      </c>
      <c r="B19" s="16">
        <v>0.22407906200598676</v>
      </c>
      <c r="C19" s="48"/>
      <c r="D19" s="4" t="s">
        <v>21</v>
      </c>
      <c r="E19" s="1">
        <v>22279.893500000006</v>
      </c>
      <c r="F19" s="5">
        <f t="shared" si="0"/>
        <v>22274.005981716236</v>
      </c>
      <c r="G19" s="5">
        <f>$B$4*(Table105678[[#This Row],[Level]]-F18)+(1-$B$4)*G18</f>
        <v>1185.2829317058674</v>
      </c>
      <c r="H19" s="5">
        <f>$B$5*Table105678[[#This Row],[Adj Close]]/Table105678[[#This Row],[Level]]+(1-$B$5)*H18</f>
        <v>0.99973716647075195</v>
      </c>
      <c r="I19" s="5">
        <f t="shared" si="4"/>
        <v>21678.767642093364</v>
      </c>
      <c r="J19" s="5">
        <f>Table105678[[#This Row],[Adj Close]]-Table105678[[#This Row],[Level]]</f>
        <v>5.8875182837691682</v>
      </c>
      <c r="K19" s="5">
        <f t="shared" si="1"/>
        <v>5.8875182837691682</v>
      </c>
      <c r="L19" s="5">
        <f t="shared" si="2"/>
        <v>34.66287154171625</v>
      </c>
      <c r="M19" s="6">
        <f t="shared" si="3"/>
        <v>2.6425253261507588E-4</v>
      </c>
    </row>
    <row r="20" spans="1:13">
      <c r="A20" s="17" t="s">
        <v>20</v>
      </c>
      <c r="B20" s="18">
        <v>0.26844846528049415</v>
      </c>
      <c r="C20" s="49">
        <v>2024</v>
      </c>
      <c r="D20" s="4" t="s">
        <v>22</v>
      </c>
      <c r="E20" s="1">
        <v>24583.469499999999</v>
      </c>
      <c r="F20" s="5">
        <f t="shared" si="0"/>
        <v>24572.286569317057</v>
      </c>
      <c r="G20" s="5">
        <f>$B$4*(Table105678[[#This Row],[Level]]-F19)+(1-$B$4)*G19</f>
        <v>1441.1307150941834</v>
      </c>
      <c r="H20" s="5">
        <f>$B$5*Table105678[[#This Row],[Adj Close]]/Table105678[[#This Row],[Level]]+(1-$B$5)*H19</f>
        <v>0.99983705825110047</v>
      </c>
      <c r="I20" s="5">
        <f t="shared" si="4"/>
        <v>23453.12302572334</v>
      </c>
      <c r="J20" s="5">
        <f>Table105678[[#This Row],[Adj Close]]-Table105678[[#This Row],[Level]]</f>
        <v>11.182930682942242</v>
      </c>
      <c r="K20" s="5">
        <f t="shared" si="1"/>
        <v>11.182930682942242</v>
      </c>
      <c r="L20" s="5">
        <f t="shared" si="2"/>
        <v>125.05793865949104</v>
      </c>
      <c r="M20" s="6">
        <f t="shared" si="3"/>
        <v>4.5489635557512511E-4</v>
      </c>
    </row>
    <row r="21" spans="1:13">
      <c r="A21" s="11" t="s">
        <v>6</v>
      </c>
      <c r="B21" s="43">
        <v>1812.3574671346739</v>
      </c>
      <c r="C21" s="50"/>
      <c r="D21" s="4" t="s">
        <v>23</v>
      </c>
      <c r="E21" s="1">
        <v>26534.569900000002</v>
      </c>
      <c r="F21" s="5">
        <f t="shared" si="0"/>
        <v>26529.470203150944</v>
      </c>
      <c r="G21" s="5">
        <f>$B$4*(Table105678[[#This Row],[Level]]-F20)+(1-$B$4)*G20</f>
        <v>1559.7571961755464</v>
      </c>
      <c r="H21" s="5">
        <f>$B$5*Table105678[[#This Row],[Adj Close]]/Table105678[[#This Row],[Level]]+(1-$B$5)*H20</f>
        <v>0.99988647554647814</v>
      </c>
      <c r="I21" s="5">
        <f t="shared" si="4"/>
        <v>26009.178612704065</v>
      </c>
      <c r="J21" s="5">
        <f>Table105678[[#This Row],[Adj Close]]-Table105678[[#This Row],[Level]]</f>
        <v>5.0996968490580912</v>
      </c>
      <c r="K21" s="5">
        <f t="shared" si="1"/>
        <v>5.0996968490580912</v>
      </c>
      <c r="L21" s="5">
        <f t="shared" si="2"/>
        <v>26.006907952293023</v>
      </c>
      <c r="M21" s="6">
        <f t="shared" si="3"/>
        <v>1.9219067308334591E-4</v>
      </c>
    </row>
    <row r="22" spans="1:13">
      <c r="A22" s="13" t="s">
        <v>10</v>
      </c>
      <c r="B22" s="14">
        <v>0.98999999999999988</v>
      </c>
      <c r="C22" s="50"/>
      <c r="D22" s="4" t="s">
        <v>24</v>
      </c>
      <c r="E22" s="1">
        <v>27332.858600000003</v>
      </c>
      <c r="F22" s="5">
        <f t="shared" si="0"/>
        <v>27340.473284961761</v>
      </c>
      <c r="G22" s="5">
        <f>$B$4*(Table105678[[#This Row],[Level]]-F21)+(1-$B$4)*G21</f>
        <v>1387.6390614710665</v>
      </c>
      <c r="H22" s="5">
        <f>$B$5*Table105678[[#This Row],[Adj Close]]/Table105678[[#This Row],[Level]]+(1-$B$5)*H21</f>
        <v>0.99986351945152152</v>
      </c>
      <c r="I22" s="5">
        <f t="shared" si="4"/>
        <v>28086.038585136132</v>
      </c>
      <c r="J22" s="5">
        <f>Table105678[[#This Row],[Adj Close]]-Table105678[[#This Row],[Level]]</f>
        <v>-7.6146849617580301</v>
      </c>
      <c r="K22" s="5">
        <f t="shared" si="1"/>
        <v>7.6146849617580301</v>
      </c>
      <c r="L22" s="5">
        <f t="shared" si="2"/>
        <v>57.983427066823893</v>
      </c>
      <c r="M22" s="6">
        <f t="shared" si="3"/>
        <v>2.785908738341049E-4</v>
      </c>
    </row>
    <row r="23" spans="1:13" ht="16" thickBot="1">
      <c r="A23" s="15" t="s">
        <v>18</v>
      </c>
      <c r="B23" s="16">
        <v>0.22900720499275401</v>
      </c>
      <c r="C23" s="51"/>
      <c r="D23" s="4" t="s">
        <v>21</v>
      </c>
      <c r="E23" s="1">
        <v>13419.040000000005</v>
      </c>
      <c r="F23" s="5">
        <f t="shared" si="0"/>
        <v>13572.054576614713</v>
      </c>
      <c r="G23" s="5">
        <f>$B$4*(Table105678[[#This Row],[Level]]-F22)+(1-$B$4)*G22</f>
        <v>-2096.3249565800288</v>
      </c>
      <c r="H23" s="5">
        <f>$B$5*Table105678[[#This Row],[Adj Close]]/Table105678[[#This Row],[Level]]+(1-$B$5)*H22</f>
        <v>0.99831384227344722</v>
      </c>
      <c r="I23" s="5">
        <f t="shared" si="4"/>
        <v>28724.191517903033</v>
      </c>
      <c r="J23" s="5">
        <f>Table105678[[#This Row],[Adj Close]]-Table105678[[#This Row],[Level]]</f>
        <v>-153.01457661470886</v>
      </c>
      <c r="K23" s="5">
        <f t="shared" si="1"/>
        <v>153.01457661470886</v>
      </c>
      <c r="L23" s="5">
        <f t="shared" si="2"/>
        <v>23413.460656578605</v>
      </c>
      <c r="M23" s="6">
        <f t="shared" si="3"/>
        <v>1.1402796072946262E-2</v>
      </c>
    </row>
    <row r="24" spans="1:13">
      <c r="A24" s="17" t="s">
        <v>20</v>
      </c>
      <c r="B24" s="18">
        <v>0.48337220356956689</v>
      </c>
      <c r="C24" s="29">
        <v>1</v>
      </c>
      <c r="D24" s="27"/>
      <c r="E24" s="42"/>
      <c r="F24" s="8"/>
      <c r="G24" s="8"/>
      <c r="H24" s="8"/>
      <c r="I24" s="8">
        <f>($F$23+C24*$G$23)*$H$23</f>
        <v>11456.379729868033</v>
      </c>
      <c r="J24" s="8"/>
      <c r="K24" s="8"/>
      <c r="L24" s="8"/>
      <c r="M24" s="9"/>
    </row>
    <row r="25" spans="1:13">
      <c r="A25" s="11" t="s">
        <v>7</v>
      </c>
      <c r="B25" s="12">
        <v>0.13588522101176259</v>
      </c>
      <c r="C25" s="30">
        <f>C24+1</f>
        <v>2</v>
      </c>
      <c r="D25" s="28"/>
      <c r="E25" s="7"/>
      <c r="F25" s="8"/>
      <c r="G25" s="8"/>
      <c r="H25" s="8"/>
      <c r="I25" s="8">
        <f t="shared" ref="I25:I27" si="5">($F$23+C25*$G$23)*$H$23</f>
        <v>9363.5895078109061</v>
      </c>
      <c r="J25" s="8"/>
      <c r="K25" s="8"/>
      <c r="L25" s="8"/>
      <c r="M25" s="9"/>
    </row>
    <row r="26" spans="1:13">
      <c r="A26" s="13" t="s">
        <v>10</v>
      </c>
      <c r="B26" s="14">
        <v>0.9900000000000001</v>
      </c>
      <c r="C26" s="30">
        <f t="shared" ref="C26:C27" si="6">C25+1</f>
        <v>3</v>
      </c>
      <c r="D26" s="28"/>
      <c r="E26" s="7"/>
      <c r="F26" s="8"/>
      <c r="G26" s="8"/>
      <c r="H26" s="8"/>
      <c r="I26" s="8">
        <f t="shared" si="5"/>
        <v>7270.7992857537802</v>
      </c>
      <c r="J26" s="8"/>
      <c r="K26" s="8"/>
      <c r="L26" s="8"/>
      <c r="M26" s="9"/>
    </row>
    <row r="27" spans="1:13" ht="16" thickBot="1">
      <c r="A27" s="15" t="s">
        <v>18</v>
      </c>
      <c r="B27" s="16">
        <v>0.22987270640978202</v>
      </c>
      <c r="C27" s="31">
        <f t="shared" si="6"/>
        <v>4</v>
      </c>
      <c r="D27" s="28"/>
      <c r="E27" s="7"/>
      <c r="F27" s="8"/>
      <c r="G27" s="8"/>
      <c r="H27" s="8"/>
      <c r="I27" s="8">
        <f t="shared" si="5"/>
        <v>5178.0090636966543</v>
      </c>
      <c r="J27" s="8"/>
      <c r="K27" s="8"/>
      <c r="L27" s="8"/>
      <c r="M27" s="9"/>
    </row>
    <row r="28" spans="1:13" ht="16" thickBot="1">
      <c r="A28" s="19" t="s">
        <v>20</v>
      </c>
      <c r="B28" s="20">
        <v>0.13913726819173303</v>
      </c>
    </row>
  </sheetData>
  <mergeCells count="8">
    <mergeCell ref="C16:C19"/>
    <mergeCell ref="C20:C23"/>
    <mergeCell ref="A2:B2"/>
    <mergeCell ref="C4:C7"/>
    <mergeCell ref="A6:B6"/>
    <mergeCell ref="C8:C11"/>
    <mergeCell ref="A12:B12"/>
    <mergeCell ref="C12:C15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3c. AAPL -Holt Winter theo quý </vt:lpstr>
      <vt:lpstr>3c. SONY -Holt Winter theo quý</vt:lpstr>
      <vt:lpstr>3c. NVDA -Holt Winter theo quý</vt:lpstr>
      <vt:lpstr>3c. INTC -Holt Winter theo quý</vt:lpstr>
      <vt:lpstr>3c. MSFT -Holt Winter theo quý</vt:lpstr>
      <vt:lpstr>'3c. AAPL -Holt Winter theo quý '!alpha</vt:lpstr>
      <vt:lpstr>'3c. INTC -Holt Winter theo quý'!alpha</vt:lpstr>
      <vt:lpstr>'3c. MSFT -Holt Winter theo quý'!alpha</vt:lpstr>
      <vt:lpstr>'3c. NVDA -Holt Winter theo quý'!alpha</vt:lpstr>
      <vt:lpstr>'3c. SONY -Holt Winter theo quý'!alpha</vt:lpstr>
      <vt:lpstr>'3c. AAPL -Holt Winter theo quý '!beta</vt:lpstr>
      <vt:lpstr>'3c. INTC -Holt Winter theo quý'!beta</vt:lpstr>
      <vt:lpstr>'3c. MSFT -Holt Winter theo quý'!beta</vt:lpstr>
      <vt:lpstr>'3c. NVDA -Holt Winter theo quý'!beta</vt:lpstr>
      <vt:lpstr>'3c. SONY -Holt Winter theo quý'!beta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Linh</dc:creator>
  <cp:lastModifiedBy>Administrator</cp:lastModifiedBy>
  <dcterms:created xsi:type="dcterms:W3CDTF">2024-11-27T02:58:11Z</dcterms:created>
  <dcterms:modified xsi:type="dcterms:W3CDTF">2024-12-14T17:48:26Z</dcterms:modified>
</cp:coreProperties>
</file>