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franc\UfbaAulas1\FinançasProjetos\EEGN2024_2025\"/>
    </mc:Choice>
  </mc:AlternateContent>
  <xr:revisionPtr revIDLastSave="0" documentId="13_ncr:1_{E0479E51-4562-4334-BE67-D78765AFEA80}" xr6:coauthVersionLast="47" xr6:coauthVersionMax="47" xr10:uidLastSave="{00000000-0000-0000-0000-000000000000}"/>
  <bookViews>
    <workbookView xWindow="-120" yWindow="-120" windowWidth="20730" windowHeight="11160" tabRatio="657" activeTab="1" xr2:uid="{00000000-000D-0000-FFFF-FFFF00000000}"/>
  </bookViews>
  <sheets>
    <sheet name="Parâmetros" sheetId="13" r:id="rId1"/>
    <sheet name="Análise" sheetId="12" r:id="rId2"/>
    <sheet name="InvInicial" sheetId="1" r:id="rId3"/>
    <sheet name="CustosTotais" sheetId="2" r:id="rId4"/>
    <sheet name="CustosVariáveis" sheetId="5" r:id="rId5"/>
    <sheet name="CustosFixos" sheetId="7" r:id="rId6"/>
    <sheet name="MãoObraDireta" sheetId="3" r:id="rId7"/>
    <sheet name="MãoObraIndireta" sheetId="4" r:id="rId8"/>
    <sheet name="Depreciação" sheetId="8" r:id="rId9"/>
    <sheet name="Receitas" sheetId="6" r:id="rId10"/>
    <sheet name="ImpostComissões" sheetId="9" r:id="rId11"/>
    <sheet name="DRE" sheetId="10" r:id="rId12"/>
    <sheet name="Financ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8" l="1"/>
  <c r="C8" i="8"/>
  <c r="C7" i="8"/>
  <c r="C12" i="4"/>
  <c r="D12" i="4" s="1"/>
  <c r="C8" i="4"/>
  <c r="D8" i="4" s="1"/>
  <c r="C7" i="4"/>
  <c r="D7" i="4" s="1"/>
  <c r="C10" i="3"/>
  <c r="D10" i="3" s="1"/>
  <c r="C9" i="3"/>
  <c r="D9" i="3" s="1"/>
  <c r="C8" i="3"/>
  <c r="D8" i="3" s="1"/>
  <c r="C7" i="3"/>
  <c r="D7" i="3" s="1"/>
  <c r="C8" i="7"/>
  <c r="C7" i="7"/>
  <c r="C10" i="2" s="1"/>
  <c r="C6" i="7"/>
  <c r="C12" i="5"/>
  <c r="C11" i="5"/>
  <c r="C10" i="5"/>
  <c r="C9" i="5"/>
  <c r="C8" i="5"/>
  <c r="C7" i="5"/>
  <c r="E53" i="1"/>
  <c r="E52" i="1"/>
  <c r="E51" i="1"/>
  <c r="D44" i="1"/>
  <c r="D43" i="1"/>
  <c r="D42" i="1"/>
  <c r="D41" i="1"/>
  <c r="D40" i="1"/>
  <c r="D34" i="1"/>
  <c r="D27" i="1"/>
  <c r="D26" i="1"/>
  <c r="D25" i="1"/>
  <c r="D24" i="1"/>
  <c r="D23" i="1"/>
  <c r="D17" i="1"/>
  <c r="D16" i="1"/>
  <c r="D15" i="1"/>
  <c r="D14" i="1"/>
  <c r="D13" i="1"/>
  <c r="D12" i="1"/>
  <c r="D6" i="1"/>
  <c r="I39" i="10"/>
  <c r="H39" i="10"/>
  <c r="G39" i="10"/>
  <c r="F39" i="10"/>
  <c r="E39" i="10"/>
  <c r="J39" i="10" s="1"/>
  <c r="D39" i="10"/>
  <c r="C39" i="10"/>
  <c r="J37" i="10"/>
  <c r="I37" i="10"/>
  <c r="H37" i="10"/>
  <c r="G37" i="10"/>
  <c r="F37" i="10"/>
  <c r="E37" i="10"/>
  <c r="D37" i="10"/>
  <c r="C37" i="10"/>
  <c r="J36" i="10"/>
  <c r="I36" i="10"/>
  <c r="H36" i="10"/>
  <c r="G36" i="10"/>
  <c r="F36" i="10"/>
  <c r="E36" i="10"/>
  <c r="D36" i="10"/>
  <c r="C36" i="10"/>
  <c r="J35" i="10"/>
  <c r="I35" i="10"/>
  <c r="I34" i="10" s="1"/>
  <c r="H35" i="10"/>
  <c r="H34" i="10" s="1"/>
  <c r="G35" i="10"/>
  <c r="G34" i="10" s="1"/>
  <c r="F35" i="10"/>
  <c r="F34" i="10" s="1"/>
  <c r="E35" i="10"/>
  <c r="E34" i="10" s="1"/>
  <c r="D35" i="10"/>
  <c r="D34" i="10" s="1"/>
  <c r="C35" i="10"/>
  <c r="C34" i="10" s="1"/>
  <c r="J34" i="10"/>
  <c r="J32" i="10"/>
  <c r="I32" i="10"/>
  <c r="H32" i="10"/>
  <c r="G32" i="10"/>
  <c r="F32" i="10"/>
  <c r="E32" i="10"/>
  <c r="D32" i="10"/>
  <c r="C32" i="10"/>
  <c r="J30" i="10"/>
  <c r="I30" i="10"/>
  <c r="H30" i="10"/>
  <c r="G30" i="10"/>
  <c r="F30" i="10"/>
  <c r="E30" i="10"/>
  <c r="D30" i="10"/>
  <c r="C30" i="10"/>
  <c r="J29" i="10"/>
  <c r="J31" i="10" s="1"/>
  <c r="J33" i="10" s="1"/>
  <c r="J38" i="10" s="1"/>
  <c r="I29" i="10"/>
  <c r="H29" i="10"/>
  <c r="G29" i="10"/>
  <c r="F29" i="10"/>
  <c r="E29" i="10"/>
  <c r="D29" i="10"/>
  <c r="C29" i="10"/>
  <c r="C7" i="6"/>
  <c r="C6" i="6"/>
  <c r="B6" i="13"/>
  <c r="J23" i="12"/>
  <c r="B8" i="12"/>
  <c r="D19" i="11"/>
  <c r="E10" i="11" s="1"/>
  <c r="D9" i="11"/>
  <c r="E9" i="11" s="1"/>
  <c r="C12" i="12" s="1"/>
  <c r="C9" i="11"/>
  <c r="D31" i="10" l="1"/>
  <c r="G31" i="10"/>
  <c r="G33" i="10" s="1"/>
  <c r="G38" i="10" s="1"/>
  <c r="G40" i="10" s="1"/>
  <c r="H31" i="10"/>
  <c r="H33" i="10" s="1"/>
  <c r="H38" i="10" s="1"/>
  <c r="H40" i="10" s="1"/>
  <c r="H41" i="10" s="1"/>
  <c r="H44" i="10" s="1"/>
  <c r="C31" i="10"/>
  <c r="C33" i="10" s="1"/>
  <c r="C38" i="10" s="1"/>
  <c r="C40" i="10" s="1"/>
  <c r="C41" i="10" s="1"/>
  <c r="C44" i="10" s="1"/>
  <c r="E31" i="10"/>
  <c r="E33" i="10" s="1"/>
  <c r="E38" i="10" s="1"/>
  <c r="E40" i="10" s="1"/>
  <c r="F31" i="10"/>
  <c r="F33" i="10" s="1"/>
  <c r="F38" i="10" s="1"/>
  <c r="F40" i="10" s="1"/>
  <c r="I31" i="10"/>
  <c r="I33" i="10" s="1"/>
  <c r="I38" i="10" s="1"/>
  <c r="I40" i="10" s="1"/>
  <c r="J40" i="10" s="1"/>
  <c r="F41" i="10"/>
  <c r="F44" i="10" s="1"/>
  <c r="G41" i="10"/>
  <c r="G44" i="10" s="1"/>
  <c r="E41" i="10"/>
  <c r="I41" i="10"/>
  <c r="I44" i="10" s="1"/>
  <c r="C8" i="6"/>
  <c r="D10" i="11"/>
  <c r="D17" i="10" s="1"/>
  <c r="C10" i="11"/>
  <c r="C17" i="10" s="1"/>
  <c r="E17" i="10"/>
  <c r="E19" i="11"/>
  <c r="F9" i="11"/>
  <c r="D12" i="12" s="1"/>
  <c r="D7" i="6"/>
  <c r="E7" i="6" s="1"/>
  <c r="F7" i="6" s="1"/>
  <c r="G7" i="6" s="1"/>
  <c r="H7" i="6" s="1"/>
  <c r="I7" i="6" s="1"/>
  <c r="C11" i="7"/>
  <c r="C10" i="7"/>
  <c r="C9" i="7"/>
  <c r="C15" i="10" s="1"/>
  <c r="C9" i="8"/>
  <c r="D8" i="8"/>
  <c r="D11" i="7" s="1"/>
  <c r="B24" i="8"/>
  <c r="B20" i="8"/>
  <c r="B21" i="8"/>
  <c r="B22" i="8"/>
  <c r="B23" i="8"/>
  <c r="B19" i="8"/>
  <c r="B14" i="8"/>
  <c r="B15" i="8"/>
  <c r="B16" i="8"/>
  <c r="B17" i="8"/>
  <c r="B18" i="8"/>
  <c r="B13" i="8"/>
  <c r="B12" i="8"/>
  <c r="D7" i="8"/>
  <c r="E7" i="8" s="1"/>
  <c r="D6" i="8"/>
  <c r="D8" i="7"/>
  <c r="E8" i="7" s="1"/>
  <c r="F8" i="7" s="1"/>
  <c r="G8" i="7" s="1"/>
  <c r="H8" i="7" s="1"/>
  <c r="I8" i="7" s="1"/>
  <c r="D7" i="7"/>
  <c r="D6" i="7"/>
  <c r="D7" i="5"/>
  <c r="C13" i="2"/>
  <c r="D13" i="2" s="1"/>
  <c r="E13" i="2" s="1"/>
  <c r="F13" i="2" s="1"/>
  <c r="G13" i="2" s="1"/>
  <c r="H13" i="2" s="1"/>
  <c r="I13" i="2" s="1"/>
  <c r="E12" i="4"/>
  <c r="F12" i="4" s="1"/>
  <c r="G12" i="4" s="1"/>
  <c r="H12" i="4" s="1"/>
  <c r="I12" i="4" s="1"/>
  <c r="D6" i="4"/>
  <c r="E6" i="4" s="1"/>
  <c r="C13" i="4"/>
  <c r="E8" i="4"/>
  <c r="F8" i="4" s="1"/>
  <c r="G8" i="4" s="1"/>
  <c r="H8" i="4" s="1"/>
  <c r="I8" i="4" s="1"/>
  <c r="E7" i="4"/>
  <c r="F7" i="4" s="1"/>
  <c r="G7" i="4" s="1"/>
  <c r="G6" i="4" s="1"/>
  <c r="C6" i="4"/>
  <c r="E8" i="3"/>
  <c r="F8" i="3" s="1"/>
  <c r="G8" i="3" s="1"/>
  <c r="H8" i="3" s="1"/>
  <c r="I8" i="3" s="1"/>
  <c r="E9" i="3"/>
  <c r="F9" i="3" s="1"/>
  <c r="G9" i="3" s="1"/>
  <c r="H9" i="3" s="1"/>
  <c r="I9" i="3" s="1"/>
  <c r="E10" i="3"/>
  <c r="F10" i="3" s="1"/>
  <c r="G10" i="3" s="1"/>
  <c r="H10" i="3" s="1"/>
  <c r="I10" i="3" s="1"/>
  <c r="E7" i="3"/>
  <c r="F7" i="3" s="1"/>
  <c r="G7" i="3" s="1"/>
  <c r="H7" i="3" s="1"/>
  <c r="I7" i="3" s="1"/>
  <c r="D6" i="3"/>
  <c r="D12" i="3" s="1"/>
  <c r="C6" i="3"/>
  <c r="C12" i="3" s="1"/>
  <c r="E55" i="1"/>
  <c r="E44" i="1"/>
  <c r="E43" i="1"/>
  <c r="E42" i="1"/>
  <c r="E41" i="1"/>
  <c r="E40" i="1"/>
  <c r="E34" i="1"/>
  <c r="E36" i="1" s="1"/>
  <c r="E27" i="1"/>
  <c r="C23" i="8" s="1"/>
  <c r="E26" i="1"/>
  <c r="C22" i="8" s="1"/>
  <c r="E25" i="1"/>
  <c r="C21" i="8" s="1"/>
  <c r="E24" i="1"/>
  <c r="C20" i="8" s="1"/>
  <c r="E23" i="1"/>
  <c r="C19" i="8" s="1"/>
  <c r="E13" i="1"/>
  <c r="C14" i="8" s="1"/>
  <c r="E14" i="1"/>
  <c r="C15" i="8" s="1"/>
  <c r="E15" i="1"/>
  <c r="C16" i="8" s="1"/>
  <c r="E16" i="1"/>
  <c r="C17" i="8" s="1"/>
  <c r="E17" i="1"/>
  <c r="C18" i="8" s="1"/>
  <c r="E12" i="1"/>
  <c r="C13" i="8" s="1"/>
  <c r="E6" i="1"/>
  <c r="C12" i="8" s="1"/>
  <c r="D9" i="7" l="1"/>
  <c r="D15" i="10" s="1"/>
  <c r="E6" i="8"/>
  <c r="E10" i="7"/>
  <c r="F7" i="8"/>
  <c r="G7" i="8" s="1"/>
  <c r="H7" i="8" s="1"/>
  <c r="I7" i="8" s="1"/>
  <c r="C11" i="4"/>
  <c r="C14" i="4" s="1"/>
  <c r="D13" i="4"/>
  <c r="D11" i="4" s="1"/>
  <c r="D14" i="4" s="1"/>
  <c r="H7" i="4"/>
  <c r="H6" i="4" s="1"/>
  <c r="F6" i="4"/>
  <c r="G2" i="4" s="1"/>
  <c r="E8" i="1"/>
  <c r="E7" i="5"/>
  <c r="F7" i="5" s="1"/>
  <c r="D33" i="10"/>
  <c r="D38" i="10" s="1"/>
  <c r="D40" i="10" s="1"/>
  <c r="J41" i="10"/>
  <c r="E44" i="10"/>
  <c r="J44" i="10" s="1"/>
  <c r="D6" i="6"/>
  <c r="E6" i="6" s="1"/>
  <c r="F6" i="6" s="1"/>
  <c r="G6" i="6" s="1"/>
  <c r="H6" i="6" s="1"/>
  <c r="I6" i="6" s="1"/>
  <c r="F6" i="3"/>
  <c r="F12" i="3" s="1"/>
  <c r="F14" i="3" s="1"/>
  <c r="H13" i="5" s="1"/>
  <c r="E7" i="7"/>
  <c r="D10" i="2"/>
  <c r="E6" i="3"/>
  <c r="D14" i="3"/>
  <c r="E8" i="8"/>
  <c r="E6" i="7"/>
  <c r="F6" i="7" s="1"/>
  <c r="G6" i="7" s="1"/>
  <c r="H6" i="7" s="1"/>
  <c r="I6" i="7" s="1"/>
  <c r="C24" i="8"/>
  <c r="C25" i="8" s="1"/>
  <c r="D10" i="7"/>
  <c r="C14" i="3"/>
  <c r="G9" i="11"/>
  <c r="E12" i="12" s="1"/>
  <c r="D6" i="9"/>
  <c r="F19" i="11"/>
  <c r="F10" i="11"/>
  <c r="F17" i="10" s="1"/>
  <c r="D8" i="5"/>
  <c r="J13" i="2"/>
  <c r="J7" i="3"/>
  <c r="J10" i="3"/>
  <c r="J9" i="3"/>
  <c r="E13" i="4"/>
  <c r="F13" i="4" s="1"/>
  <c r="G13" i="4" s="1"/>
  <c r="H13" i="4" s="1"/>
  <c r="I13" i="4" s="1"/>
  <c r="J8" i="4"/>
  <c r="E47" i="1"/>
  <c r="E30" i="1"/>
  <c r="E19" i="1"/>
  <c r="I7" i="4" l="1"/>
  <c r="I6" i="4" s="1"/>
  <c r="E9" i="7"/>
  <c r="E15" i="10" s="1"/>
  <c r="C10" i="12" s="1"/>
  <c r="F6" i="8"/>
  <c r="E11" i="7"/>
  <c r="F8" i="8"/>
  <c r="G8" i="8" s="1"/>
  <c r="H8" i="8" s="1"/>
  <c r="I8" i="8" s="1"/>
  <c r="F2" i="4"/>
  <c r="E11" i="4"/>
  <c r="E14" i="4" s="1"/>
  <c r="E13" i="10" s="1"/>
  <c r="E57" i="1"/>
  <c r="B7" i="12" s="1"/>
  <c r="B13" i="12" s="1"/>
  <c r="L7" i="12" s="1"/>
  <c r="M7" i="12" s="1"/>
  <c r="M15" i="12" s="1"/>
  <c r="D41" i="10"/>
  <c r="D44" i="10" s="1"/>
  <c r="E10" i="2"/>
  <c r="F7" i="7"/>
  <c r="G7" i="7" s="1"/>
  <c r="H7" i="7" s="1"/>
  <c r="I7" i="7" s="1"/>
  <c r="G6" i="3"/>
  <c r="G12" i="3" s="1"/>
  <c r="G14" i="3" s="1"/>
  <c r="I13" i="5" s="1"/>
  <c r="J8" i="3"/>
  <c r="J6" i="3" s="1"/>
  <c r="J12" i="3" s="1"/>
  <c r="J14" i="3" s="1"/>
  <c r="E8" i="6"/>
  <c r="E7" i="10" s="1"/>
  <c r="D8" i="6"/>
  <c r="D7" i="10" s="1"/>
  <c r="H6" i="3"/>
  <c r="H12" i="3" s="1"/>
  <c r="H14" i="3" s="1"/>
  <c r="D13" i="10"/>
  <c r="D12" i="7"/>
  <c r="D13" i="7" s="1"/>
  <c r="D14" i="7" s="1"/>
  <c r="C6" i="2"/>
  <c r="E13" i="5"/>
  <c r="F10" i="7"/>
  <c r="E12" i="7"/>
  <c r="C13" i="10"/>
  <c r="C12" i="7"/>
  <c r="C13" i="7" s="1"/>
  <c r="C14" i="7" s="1"/>
  <c r="D6" i="2"/>
  <c r="F13" i="5"/>
  <c r="E12" i="3"/>
  <c r="E14" i="3" s="1"/>
  <c r="H9" i="11"/>
  <c r="F12" i="12" s="1"/>
  <c r="C7" i="10"/>
  <c r="D10" i="9"/>
  <c r="C19" i="9"/>
  <c r="D9" i="9"/>
  <c r="D8" i="9"/>
  <c r="G19" i="11"/>
  <c r="G10" i="11"/>
  <c r="G17" i="10" s="1"/>
  <c r="G7" i="5"/>
  <c r="H7" i="5" s="1"/>
  <c r="I7" i="5" s="1"/>
  <c r="J7" i="5" s="1"/>
  <c r="K7" i="5" s="1"/>
  <c r="D9" i="5"/>
  <c r="E8" i="5"/>
  <c r="J8" i="7"/>
  <c r="I6" i="3"/>
  <c r="F6" i="2"/>
  <c r="J7" i="4" l="1"/>
  <c r="J6" i="4" s="1"/>
  <c r="E13" i="7"/>
  <c r="G6" i="8"/>
  <c r="F9" i="7"/>
  <c r="F15" i="10" s="1"/>
  <c r="D10" i="12" s="1"/>
  <c r="F6" i="9"/>
  <c r="F9" i="9" s="1"/>
  <c r="G6" i="2"/>
  <c r="F10" i="2"/>
  <c r="E6" i="9"/>
  <c r="E9" i="9" s="1"/>
  <c r="J13" i="5"/>
  <c r="H6" i="2"/>
  <c r="D15" i="7"/>
  <c r="D12" i="2" s="1"/>
  <c r="D14" i="10"/>
  <c r="D12" i="10" s="1"/>
  <c r="F11" i="7"/>
  <c r="C15" i="7"/>
  <c r="C12" i="2" s="1"/>
  <c r="C14" i="10"/>
  <c r="C12" i="10" s="1"/>
  <c r="G10" i="7"/>
  <c r="J6" i="2"/>
  <c r="L13" i="5"/>
  <c r="G13" i="5"/>
  <c r="E6" i="2"/>
  <c r="G10" i="2"/>
  <c r="I9" i="11"/>
  <c r="G12" i="12" s="1"/>
  <c r="D11" i="9"/>
  <c r="C8" i="10" s="1"/>
  <c r="C9" i="10" s="1"/>
  <c r="H19" i="11"/>
  <c r="H10" i="11"/>
  <c r="H17" i="10" s="1"/>
  <c r="F8" i="5"/>
  <c r="D10" i="5"/>
  <c r="E9" i="5"/>
  <c r="F9" i="5" s="1"/>
  <c r="G9" i="5" s="1"/>
  <c r="H9" i="5" s="1"/>
  <c r="I9" i="5" s="1"/>
  <c r="J9" i="5" s="1"/>
  <c r="K9" i="5" s="1"/>
  <c r="E14" i="7"/>
  <c r="I12" i="3"/>
  <c r="I14" i="3" s="1"/>
  <c r="K13" i="5" s="1"/>
  <c r="F11" i="4"/>
  <c r="F14" i="4" s="1"/>
  <c r="D19" i="9" l="1"/>
  <c r="E19" i="9"/>
  <c r="F10" i="9"/>
  <c r="H6" i="8"/>
  <c r="G9" i="7"/>
  <c r="G15" i="10" s="1"/>
  <c r="E10" i="12" s="1"/>
  <c r="F8" i="9"/>
  <c r="E10" i="9"/>
  <c r="E8" i="9"/>
  <c r="I10" i="7"/>
  <c r="H10" i="7"/>
  <c r="J7" i="8"/>
  <c r="E15" i="7"/>
  <c r="E12" i="2" s="1"/>
  <c r="E14" i="10"/>
  <c r="E12" i="10" s="1"/>
  <c r="G11" i="7"/>
  <c r="F13" i="10"/>
  <c r="F12" i="7"/>
  <c r="I10" i="2"/>
  <c r="H10" i="2"/>
  <c r="J9" i="11"/>
  <c r="I10" i="11"/>
  <c r="I17" i="10" s="1"/>
  <c r="I19" i="11"/>
  <c r="E10" i="5"/>
  <c r="D11" i="5"/>
  <c r="G8" i="5"/>
  <c r="H8" i="5" s="1"/>
  <c r="I8" i="5" s="1"/>
  <c r="J8" i="5" s="1"/>
  <c r="K8" i="5" s="1"/>
  <c r="I6" i="2"/>
  <c r="G11" i="4"/>
  <c r="G14" i="4" s="1"/>
  <c r="J12" i="4"/>
  <c r="F11" i="9" l="1"/>
  <c r="E11" i="9"/>
  <c r="D8" i="10" s="1"/>
  <c r="D9" i="10" s="1"/>
  <c r="I6" i="8"/>
  <c r="H9" i="7"/>
  <c r="H15" i="10" s="1"/>
  <c r="F10" i="12" s="1"/>
  <c r="J10" i="7"/>
  <c r="J10" i="2"/>
  <c r="J7" i="7"/>
  <c r="G13" i="10"/>
  <c r="G12" i="7"/>
  <c r="G13" i="7" s="1"/>
  <c r="G14" i="7" s="1"/>
  <c r="F13" i="7"/>
  <c r="F14" i="7" s="1"/>
  <c r="I11" i="7"/>
  <c r="H11" i="7"/>
  <c r="J7" i="6"/>
  <c r="L9" i="5"/>
  <c r="E8" i="10"/>
  <c r="E9" i="10" s="1"/>
  <c r="J17" i="10"/>
  <c r="E11" i="5"/>
  <c r="D12" i="5"/>
  <c r="E12" i="5" s="1"/>
  <c r="F10" i="5"/>
  <c r="E6" i="5"/>
  <c r="C7" i="2" s="1"/>
  <c r="I11" i="4"/>
  <c r="I14" i="4" s="1"/>
  <c r="H11" i="4"/>
  <c r="H14" i="4" s="1"/>
  <c r="I9" i="7" l="1"/>
  <c r="I15" i="10" s="1"/>
  <c r="G10" i="12" s="1"/>
  <c r="J6" i="8"/>
  <c r="C26" i="8" s="1"/>
  <c r="G11" i="12" s="1"/>
  <c r="J8" i="8"/>
  <c r="J11" i="7"/>
  <c r="G15" i="7"/>
  <c r="G12" i="2" s="1"/>
  <c r="G14" i="10"/>
  <c r="G12" i="10" s="1"/>
  <c r="H13" i="10"/>
  <c r="H12" i="7"/>
  <c r="H13" i="7" s="1"/>
  <c r="I13" i="10"/>
  <c r="I12" i="7"/>
  <c r="J6" i="7"/>
  <c r="F15" i="7"/>
  <c r="F12" i="2" s="1"/>
  <c r="F14" i="10"/>
  <c r="F12" i="10" s="1"/>
  <c r="F11" i="5"/>
  <c r="C8" i="2"/>
  <c r="F12" i="5"/>
  <c r="C9" i="2"/>
  <c r="G10" i="5"/>
  <c r="H10" i="5" s="1"/>
  <c r="I10" i="5" s="1"/>
  <c r="J10" i="5" s="1"/>
  <c r="K10" i="5" s="1"/>
  <c r="F6" i="5"/>
  <c r="L7" i="5"/>
  <c r="E14" i="5"/>
  <c r="J9" i="7"/>
  <c r="J15" i="10" s="1"/>
  <c r="J13" i="4"/>
  <c r="J11" i="4" s="1"/>
  <c r="J14" i="4" s="1"/>
  <c r="J13" i="10" s="1"/>
  <c r="I13" i="7" l="1"/>
  <c r="I14" i="7" s="1"/>
  <c r="I15" i="7" s="1"/>
  <c r="I12" i="2" s="1"/>
  <c r="H14" i="7"/>
  <c r="J12" i="7"/>
  <c r="C11" i="2"/>
  <c r="C14" i="2" s="1"/>
  <c r="F14" i="5"/>
  <c r="D7" i="2"/>
  <c r="G12" i="5"/>
  <c r="H12" i="5" s="1"/>
  <c r="I12" i="5" s="1"/>
  <c r="J12" i="5" s="1"/>
  <c r="K12" i="5" s="1"/>
  <c r="D9" i="2"/>
  <c r="G11" i="5"/>
  <c r="H11" i="5" s="1"/>
  <c r="I11" i="5" s="1"/>
  <c r="J11" i="5" s="1"/>
  <c r="K11" i="5" s="1"/>
  <c r="D8" i="2"/>
  <c r="G6" i="5"/>
  <c r="J13" i="7" l="1"/>
  <c r="I14" i="10"/>
  <c r="I12" i="10" s="1"/>
  <c r="J14" i="7"/>
  <c r="J14" i="10" s="1"/>
  <c r="J12" i="10" s="1"/>
  <c r="H15" i="7"/>
  <c r="H14" i="10"/>
  <c r="H12" i="10" s="1"/>
  <c r="C10" i="10"/>
  <c r="C11" i="10" s="1"/>
  <c r="C16" i="10" s="1"/>
  <c r="D11" i="2"/>
  <c r="E8" i="2"/>
  <c r="G14" i="5"/>
  <c r="E7" i="2"/>
  <c r="E9" i="2"/>
  <c r="H6" i="5"/>
  <c r="H12" i="2" l="1"/>
  <c r="J12" i="2" s="1"/>
  <c r="J15" i="7"/>
  <c r="C18" i="10"/>
  <c r="F9" i="2"/>
  <c r="D10" i="10"/>
  <c r="D11" i="10" s="1"/>
  <c r="D16" i="10" s="1"/>
  <c r="D14" i="2"/>
  <c r="H14" i="5"/>
  <c r="F7" i="2"/>
  <c r="F8" i="2"/>
  <c r="E11" i="2"/>
  <c r="I6" i="5"/>
  <c r="L8" i="5"/>
  <c r="C19" i="10" l="1"/>
  <c r="C22" i="10" s="1"/>
  <c r="F11" i="2"/>
  <c r="F10" i="10" s="1"/>
  <c r="G8" i="2"/>
  <c r="E10" i="10"/>
  <c r="E11" i="10" s="1"/>
  <c r="E16" i="10" s="1"/>
  <c r="E14" i="2"/>
  <c r="G9" i="2"/>
  <c r="I14" i="5"/>
  <c r="G7" i="2"/>
  <c r="D18" i="10"/>
  <c r="J6" i="5"/>
  <c r="D19" i="10" l="1"/>
  <c r="D22" i="10" s="1"/>
  <c r="F14" i="2"/>
  <c r="G11" i="2"/>
  <c r="G14" i="2" s="1"/>
  <c r="I9" i="2"/>
  <c r="H9" i="2"/>
  <c r="J14" i="5"/>
  <c r="H7" i="2"/>
  <c r="E18" i="10"/>
  <c r="I8" i="2"/>
  <c r="H8" i="2"/>
  <c r="L10" i="5"/>
  <c r="L6" i="5" s="1"/>
  <c r="K6" i="5"/>
  <c r="J8" i="2" l="1"/>
  <c r="E19" i="10"/>
  <c r="E22" i="10" s="1"/>
  <c r="G10" i="10"/>
  <c r="L11" i="5"/>
  <c r="J9" i="2"/>
  <c r="H11" i="2"/>
  <c r="L12" i="5"/>
  <c r="K14" i="5"/>
  <c r="I7" i="2"/>
  <c r="I11" i="2" s="1"/>
  <c r="J7" i="2" l="1"/>
  <c r="L14" i="5"/>
  <c r="C9" i="12"/>
  <c r="C13" i="12" s="1"/>
  <c r="L8" i="12" s="1"/>
  <c r="M8" i="12" s="1"/>
  <c r="I10" i="10"/>
  <c r="I14" i="2"/>
  <c r="H14" i="2"/>
  <c r="H10" i="10"/>
  <c r="J11" i="2"/>
  <c r="J14" i="2" l="1"/>
  <c r="J10" i="10"/>
  <c r="F8" i="6" l="1"/>
  <c r="G6" i="9" s="1"/>
  <c r="F19" i="9" s="1"/>
  <c r="F7" i="10" l="1"/>
  <c r="G8" i="6"/>
  <c r="H6" i="9" s="1"/>
  <c r="H10" i="9" s="1"/>
  <c r="H8" i="6"/>
  <c r="I8" i="6"/>
  <c r="J6" i="6"/>
  <c r="J8" i="6" s="1"/>
  <c r="G9" i="9"/>
  <c r="G8" i="9"/>
  <c r="G10" i="9"/>
  <c r="G7" i="10" l="1"/>
  <c r="H9" i="9"/>
  <c r="H8" i="9"/>
  <c r="G19" i="9"/>
  <c r="J6" i="9"/>
  <c r="I7" i="10"/>
  <c r="J7" i="10"/>
  <c r="K6" i="9"/>
  <c r="J19" i="9" s="1"/>
  <c r="G11" i="9"/>
  <c r="H7" i="10"/>
  <c r="I6" i="9"/>
  <c r="H11" i="9" l="1"/>
  <c r="G8" i="10" s="1"/>
  <c r="G9" i="10" s="1"/>
  <c r="G11" i="10" s="1"/>
  <c r="G16" i="10" s="1"/>
  <c r="G18" i="10" s="1"/>
  <c r="G19" i="10" s="1"/>
  <c r="G22" i="10" s="1"/>
  <c r="E9" i="12" s="1"/>
  <c r="E13" i="12" s="1"/>
  <c r="L10" i="12" s="1"/>
  <c r="M10" i="12" s="1"/>
  <c r="J8" i="9"/>
  <c r="J9" i="9"/>
  <c r="J10" i="9"/>
  <c r="I19" i="9"/>
  <c r="I10" i="9"/>
  <c r="I8" i="9"/>
  <c r="I9" i="9"/>
  <c r="H19" i="9"/>
  <c r="F8" i="10"/>
  <c r="F9" i="10" s="1"/>
  <c r="F11" i="10" s="1"/>
  <c r="F16" i="10" s="1"/>
  <c r="F18" i="10" s="1"/>
  <c r="K9" i="9" l="1"/>
  <c r="J11" i="9"/>
  <c r="I8" i="10" s="1"/>
  <c r="I9" i="10" s="1"/>
  <c r="I11" i="10" s="1"/>
  <c r="I16" i="10" s="1"/>
  <c r="I18" i="10" s="1"/>
  <c r="I19" i="10" s="1"/>
  <c r="I22" i="10" s="1"/>
  <c r="G9" i="12" s="1"/>
  <c r="G13" i="12" s="1"/>
  <c r="L12" i="12" s="1"/>
  <c r="M12" i="12" s="1"/>
  <c r="I11" i="9"/>
  <c r="K8" i="9"/>
  <c r="F19" i="10"/>
  <c r="K10" i="9"/>
  <c r="H8" i="10" l="1"/>
  <c r="H9" i="10" s="1"/>
  <c r="H11" i="10" s="1"/>
  <c r="H16" i="10" s="1"/>
  <c r="H18" i="10" s="1"/>
  <c r="K11" i="9"/>
  <c r="J8" i="10" s="1"/>
  <c r="J9" i="10" s="1"/>
  <c r="J11" i="10" s="1"/>
  <c r="J16" i="10" s="1"/>
  <c r="F22" i="10"/>
  <c r="D9" i="12" l="1"/>
  <c r="D13" i="12" s="1"/>
  <c r="L9" i="12" s="1"/>
  <c r="H19" i="10"/>
  <c r="J19" i="10" s="1"/>
  <c r="J18" i="10"/>
  <c r="H22" i="10" l="1"/>
  <c r="M9" i="12"/>
  <c r="F9" i="12" l="1"/>
  <c r="F13" i="12" s="1"/>
  <c r="L11" i="12" s="1"/>
  <c r="J22" i="10"/>
  <c r="M11" i="12" l="1"/>
  <c r="M17" i="12"/>
  <c r="M14" i="12" l="1"/>
  <c r="M16" i="12" s="1"/>
  <c r="J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admlab02</author>
  </authors>
  <commentList>
    <comment ref="A10" authorId="0" shapeId="0" xr:uid="{E0264D43-D2F5-4BE2-B200-DEF08425A6F6}">
      <text>
        <r>
          <rPr>
            <b/>
            <sz val="9"/>
            <color indexed="81"/>
            <rFont val="Segoe UI"/>
            <family val="2"/>
          </rPr>
          <t>admlab02:</t>
        </r>
        <r>
          <rPr>
            <sz val="9"/>
            <color indexed="81"/>
            <rFont val="Segoe UI"/>
            <family val="2"/>
          </rPr>
          <t xml:space="preserve">
Como a depreciação não representa saída de caixa, então para fazer o fluxo de caixa descontado ele volta a ser acrescentado ao RESULTADO LÍQUIDO</t>
        </r>
      </text>
    </comment>
  </commentList>
</comments>
</file>

<file path=xl/sharedStrings.xml><?xml version="1.0" encoding="utf-8"?>
<sst xmlns="http://schemas.openxmlformats.org/spreadsheetml/2006/main" count="365" uniqueCount="175">
  <si>
    <t>Investimento Inicial</t>
  </si>
  <si>
    <t>Instalações</t>
  </si>
  <si>
    <t>Quantidade</t>
  </si>
  <si>
    <t>Valor unitário</t>
  </si>
  <si>
    <t>Subtotal</t>
  </si>
  <si>
    <t>R$</t>
  </si>
  <si>
    <t>Item</t>
  </si>
  <si>
    <t>Câmara de climatização</t>
  </si>
  <si>
    <t>Subtotal 1</t>
  </si>
  <si>
    <t>Equipamentos</t>
  </si>
  <si>
    <t>Tacho a gás</t>
  </si>
  <si>
    <t>Dosadora de bancada</t>
  </si>
  <si>
    <t>Tabuleiros</t>
  </si>
  <si>
    <t>Mesa preparo/resfriamento</t>
  </si>
  <si>
    <t>Balança de chão</t>
  </si>
  <si>
    <t>Balança de mesa</t>
  </si>
  <si>
    <t>Subtotal 2</t>
  </si>
  <si>
    <t>Escritório</t>
  </si>
  <si>
    <t>Telefax</t>
  </si>
  <si>
    <t>Cadeiras</t>
  </si>
  <si>
    <t>Poltrona</t>
  </si>
  <si>
    <t>Mesa de centro</t>
  </si>
  <si>
    <t>Mesa de escritório</t>
  </si>
  <si>
    <t>Subtotal 3</t>
  </si>
  <si>
    <t>Subtotal 4</t>
  </si>
  <si>
    <t>Veículos</t>
  </si>
  <si>
    <t>Pick up VW ano 2007</t>
  </si>
  <si>
    <t>Elaboração de questionários</t>
  </si>
  <si>
    <t>Pesquisa mercado de mão de obra</t>
  </si>
  <si>
    <t>Gasto com registro de marca no INPI</t>
  </si>
  <si>
    <t>Publicidade para desenvolver marca</t>
  </si>
  <si>
    <t>Registro da empresa</t>
  </si>
  <si>
    <t>Subtotal 5</t>
  </si>
  <si>
    <t>Subtotal 6</t>
  </si>
  <si>
    <t>Espécie</t>
  </si>
  <si>
    <t>Capital de giro</t>
  </si>
  <si>
    <t>Estoque de materiais diretos</t>
  </si>
  <si>
    <t>Custo fixo</t>
  </si>
  <si>
    <t>Reserva de capital para vendas a prazo</t>
  </si>
  <si>
    <t>Total do investimento inicial</t>
  </si>
  <si>
    <t>Custos totais</t>
  </si>
  <si>
    <t>Descrição</t>
  </si>
  <si>
    <t>Mês 1</t>
  </si>
  <si>
    <t>Mês 12</t>
  </si>
  <si>
    <t>Ano 1</t>
  </si>
  <si>
    <t>Ano 2</t>
  </si>
  <si>
    <t>Ano 3</t>
  </si>
  <si>
    <t>Ano 4</t>
  </si>
  <si>
    <t>Ano 5</t>
  </si>
  <si>
    <t>Total geral</t>
  </si>
  <si>
    <t>Mâo de obra direta com encargos</t>
  </si>
  <si>
    <t>Materiais diretos</t>
  </si>
  <si>
    <t>Fretes</t>
  </si>
  <si>
    <t>Embalagens</t>
  </si>
  <si>
    <t>Aluguel de local para produção</t>
  </si>
  <si>
    <t>Total custos diretos</t>
  </si>
  <si>
    <t>Custos indiretos de fabricação</t>
  </si>
  <si>
    <t>Quantidade produzida</t>
  </si>
  <si>
    <t>Custo unitário</t>
  </si>
  <si>
    <t>Mão de Obra Direta</t>
  </si>
  <si>
    <t>1.1</t>
  </si>
  <si>
    <t>1.2</t>
  </si>
  <si>
    <t>1.3</t>
  </si>
  <si>
    <t>1.4</t>
  </si>
  <si>
    <t>Encargos sociais (86,20%)</t>
  </si>
  <si>
    <t>Operador de tacho e preparo (2)</t>
  </si>
  <si>
    <t>Operador de câmara</t>
  </si>
  <si>
    <t>Ajudantes (2)</t>
  </si>
  <si>
    <t>Operador de carga/descarga</t>
  </si>
  <si>
    <t>Total mão de obra direta</t>
  </si>
  <si>
    <t>Mão de obra indireta</t>
  </si>
  <si>
    <t>Custos mão de obra direta s/ encargos</t>
  </si>
  <si>
    <t>Mão de obra indireta sem encargos</t>
  </si>
  <si>
    <t>Estagiária</t>
  </si>
  <si>
    <t>Honorários pagos a contador autônomo</t>
  </si>
  <si>
    <t>Diretoria com encargos</t>
  </si>
  <si>
    <t>2.1</t>
  </si>
  <si>
    <t>2.1.1</t>
  </si>
  <si>
    <t>Honorários da Diretoria</t>
  </si>
  <si>
    <t>Encargos sobre honorários (25%)</t>
  </si>
  <si>
    <t>Total mão de obra indireta</t>
  </si>
  <si>
    <t>Custos Variáveis</t>
  </si>
  <si>
    <t xml:space="preserve">Valor </t>
  </si>
  <si>
    <t>por lote</t>
  </si>
  <si>
    <t>Lotes</t>
  </si>
  <si>
    <t>(qtade)</t>
  </si>
  <si>
    <t>Goiaba</t>
  </si>
  <si>
    <t>Xarope de glucose</t>
  </si>
  <si>
    <t>Açúcar</t>
  </si>
  <si>
    <t>Celofane</t>
  </si>
  <si>
    <t>MOD com encargos</t>
  </si>
  <si>
    <t>Total de custos variáveis</t>
  </si>
  <si>
    <t>Quantidade de lotes</t>
  </si>
  <si>
    <t>Custos Fixos</t>
  </si>
  <si>
    <t>Água, luz e telefone</t>
  </si>
  <si>
    <t>Material de limpeza</t>
  </si>
  <si>
    <t>Depreciação</t>
  </si>
  <si>
    <t>Manutenção e conservação</t>
  </si>
  <si>
    <t>Seguros</t>
  </si>
  <si>
    <t>Mão de obra indireta com encargos</t>
  </si>
  <si>
    <t>Total de custos fixos</t>
  </si>
  <si>
    <t>Outros (3%sobre total custos fixos)</t>
  </si>
  <si>
    <t>Depreciação, Manutenção, Conservação e Seguros</t>
  </si>
  <si>
    <t>Total</t>
  </si>
  <si>
    <t>Valor residual</t>
  </si>
  <si>
    <t>Itens dpreciáveis</t>
  </si>
  <si>
    <t>Receitas</t>
  </si>
  <si>
    <t>Receitas à vista</t>
  </si>
  <si>
    <t>Receitas a prazo (30 dias)</t>
  </si>
  <si>
    <t>Receitas operacionais</t>
  </si>
  <si>
    <t>Preço/lote</t>
  </si>
  <si>
    <t>Parcela à vista das vendas</t>
  </si>
  <si>
    <t>Cálculo da comissão de vendas (10% das receitas)</t>
  </si>
  <si>
    <t>Comissão de vendas</t>
  </si>
  <si>
    <t>Impostos e Contribuições</t>
  </si>
  <si>
    <t>Receita operacional</t>
  </si>
  <si>
    <t>Impostos</t>
  </si>
  <si>
    <t>IPI</t>
  </si>
  <si>
    <t>PIS</t>
  </si>
  <si>
    <t>COFINS</t>
  </si>
  <si>
    <t>2.2</t>
  </si>
  <si>
    <t>2.3</t>
  </si>
  <si>
    <t>Total de impostos a pagar</t>
  </si>
  <si>
    <t>Alíquota</t>
  </si>
  <si>
    <t>Demonstração dos resultados</t>
  </si>
  <si>
    <t>Receita bruta de vendas</t>
  </si>
  <si>
    <t>Lucro líquido</t>
  </si>
  <si>
    <t>(-) Deduções</t>
  </si>
  <si>
    <t>Receita líquida de vendas</t>
  </si>
  <si>
    <t>Margem de contribuição</t>
  </si>
  <si>
    <t>(-) Custo dos produtos vendidos</t>
  </si>
  <si>
    <t>(-) Despesas operacionais</t>
  </si>
  <si>
    <t>6.1</t>
  </si>
  <si>
    <t>6.2</t>
  </si>
  <si>
    <t>6.3</t>
  </si>
  <si>
    <t>Despesas administrativas</t>
  </si>
  <si>
    <t>Despesas gerais</t>
  </si>
  <si>
    <t>Resultado operacional</t>
  </si>
  <si>
    <t>(-) IR (15%)</t>
  </si>
  <si>
    <t>Despesas Financeiras</t>
  </si>
  <si>
    <t>Valor do financiamento</t>
  </si>
  <si>
    <t>Amortização</t>
  </si>
  <si>
    <t>Juros</t>
  </si>
  <si>
    <t>Numero de meses</t>
  </si>
  <si>
    <t>Taxa de juros</t>
  </si>
  <si>
    <t>Saldo devedor</t>
  </si>
  <si>
    <t>Despesas financeiras</t>
  </si>
  <si>
    <t>Investimento inicial</t>
  </si>
  <si>
    <t>Recebimento Financiamento</t>
  </si>
  <si>
    <t>Resultado antes do IR</t>
  </si>
  <si>
    <t>Lucro</t>
  </si>
  <si>
    <t>Fluxo de caixa</t>
  </si>
  <si>
    <t xml:space="preserve">Depreciação </t>
  </si>
  <si>
    <t>Ano 0</t>
  </si>
  <si>
    <t>Análise financeira</t>
  </si>
  <si>
    <t>Taxa de desconto</t>
  </si>
  <si>
    <t>Total Fluxo de caixa descontado</t>
  </si>
  <si>
    <t>Investimento lnicial</t>
  </si>
  <si>
    <t>Valor presente líquido</t>
  </si>
  <si>
    <t>Mensal</t>
  </si>
  <si>
    <t>O autor do livro Segredo de Luíza</t>
  </si>
  <si>
    <t>cometeu um pequeno erro ao</t>
  </si>
  <si>
    <t>retirar o recebimento do primeiro mês</t>
  </si>
  <si>
    <t>R$ 16800 que é vendido a prazo</t>
  </si>
  <si>
    <t>Valor presente</t>
  </si>
  <si>
    <t>Val presente total</t>
  </si>
  <si>
    <t>Observação sobre o livro</t>
  </si>
  <si>
    <t>=-CustosFixos!E6-CustosFixos!E8-CustosFixos!E10-CustosFixos!E11-CustosFixos!E14</t>
  </si>
  <si>
    <t>Taxa de crescimento</t>
  </si>
  <si>
    <t>Fator de atualização</t>
  </si>
  <si>
    <t>Amortização da dívida</t>
  </si>
  <si>
    <t>TIR</t>
  </si>
  <si>
    <t>Parâmetros</t>
  </si>
  <si>
    <t>Usa valor residual</t>
  </si>
  <si>
    <t>1: Sim; 0:Não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</si>
</sst>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#,##0.00_ ;\-#,##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43" fontId="2" fillId="0" borderId="0" xfId="0" applyNumberFormat="1" applyFont="1"/>
    <xf numFmtId="43" fontId="3" fillId="0" borderId="0" xfId="0" applyNumberFormat="1" applyFont="1"/>
    <xf numFmtId="164" fontId="0" fillId="0" borderId="0" xfId="0" applyNumberFormat="1"/>
    <xf numFmtId="43" fontId="0" fillId="0" borderId="1" xfId="1" applyFont="1" applyBorder="1"/>
    <xf numFmtId="43" fontId="0" fillId="0" borderId="1" xfId="0" applyNumberFormat="1" applyBorder="1"/>
    <xf numFmtId="43" fontId="2" fillId="0" borderId="0" xfId="1" applyFont="1"/>
    <xf numFmtId="0" fontId="2" fillId="0" borderId="2" xfId="0" applyFont="1" applyBorder="1"/>
    <xf numFmtId="43" fontId="2" fillId="0" borderId="2" xfId="1" applyFont="1" applyBorder="1"/>
    <xf numFmtId="43" fontId="2" fillId="0" borderId="2" xfId="0" applyNumberFormat="1" applyFont="1" applyBorder="1"/>
    <xf numFmtId="0" fontId="0" fillId="0" borderId="2" xfId="0" applyBorder="1"/>
    <xf numFmtId="43" fontId="0" fillId="0" borderId="2" xfId="1" applyFont="1" applyBorder="1"/>
    <xf numFmtId="165" fontId="0" fillId="0" borderId="2" xfId="1" applyNumberFormat="1" applyFont="1" applyBorder="1"/>
    <xf numFmtId="165" fontId="0" fillId="0" borderId="2" xfId="0" applyNumberFormat="1" applyBorder="1"/>
    <xf numFmtId="2" fontId="0" fillId="0" borderId="2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43" fontId="2" fillId="0" borderId="0" xfId="1" applyFont="1" applyBorder="1"/>
    <xf numFmtId="43" fontId="1" fillId="0" borderId="0" xfId="1" applyFont="1" applyBorder="1"/>
    <xf numFmtId="43" fontId="1" fillId="0" borderId="1" xfId="1" applyFont="1" applyBorder="1"/>
    <xf numFmtId="43" fontId="1" fillId="0" borderId="0" xfId="1" applyFont="1"/>
    <xf numFmtId="0" fontId="2" fillId="0" borderId="1" xfId="0" applyFont="1" applyBorder="1" applyAlignment="1">
      <alignment horizontal="left"/>
    </xf>
    <xf numFmtId="43" fontId="2" fillId="0" borderId="1" xfId="0" applyNumberFormat="1" applyFont="1" applyBorder="1"/>
    <xf numFmtId="0" fontId="0" fillId="0" borderId="1" xfId="0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9" fontId="0" fillId="0" borderId="1" xfId="0" applyNumberFormat="1" applyBorder="1"/>
    <xf numFmtId="0" fontId="6" fillId="0" borderId="0" xfId="0" applyFont="1"/>
    <xf numFmtId="165" fontId="0" fillId="0" borderId="0" xfId="1" applyNumberFormat="1" applyFont="1"/>
    <xf numFmtId="9" fontId="0" fillId="0" borderId="0" xfId="2" applyFont="1"/>
    <xf numFmtId="0" fontId="0" fillId="0" borderId="0" xfId="0" quotePrefix="1"/>
    <xf numFmtId="0" fontId="0" fillId="2" borderId="0" xfId="0" applyFill="1"/>
    <xf numFmtId="9" fontId="8" fillId="0" borderId="1" xfId="0" applyNumberFormat="1" applyFont="1" applyBorder="1"/>
    <xf numFmtId="9" fontId="7" fillId="0" borderId="0" xfId="0" applyNumberFormat="1" applyFont="1"/>
    <xf numFmtId="43" fontId="0" fillId="0" borderId="0" xfId="1" applyFont="1" applyFill="1"/>
    <xf numFmtId="43" fontId="1" fillId="0" borderId="0" xfId="1" applyFont="1" applyFill="1"/>
    <xf numFmtId="43" fontId="2" fillId="0" borderId="0" xfId="1" applyFont="1" applyFill="1"/>
    <xf numFmtId="43" fontId="2" fillId="0" borderId="1" xfId="1" applyFont="1" applyFill="1" applyBorder="1"/>
    <xf numFmtId="166" fontId="1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6" fontId="2" fillId="0" borderId="0" xfId="0" applyNumberFormat="1" applyFon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1" applyNumberFormat="1" applyFont="1"/>
    <xf numFmtId="4" fontId="0" fillId="0" borderId="1" xfId="0" applyNumberFormat="1" applyBorder="1"/>
    <xf numFmtId="4" fontId="0" fillId="0" borderId="1" xfId="1" applyNumberFormat="1" applyFont="1" applyBorder="1"/>
    <xf numFmtId="4" fontId="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143C-743E-4AF6-80C6-4E1E9DB37EBA}">
  <dimension ref="A1:H17"/>
  <sheetViews>
    <sheetView workbookViewId="0">
      <selection activeCell="B3" sqref="B3"/>
    </sheetView>
  </sheetViews>
  <sheetFormatPr defaultRowHeight="15" x14ac:dyDescent="0.25"/>
  <cols>
    <col min="1" max="1" width="24.85546875" customWidth="1"/>
    <col min="2" max="2" width="18" customWidth="1"/>
    <col min="3" max="4" width="10.5703125" bestFit="1" customWidth="1"/>
    <col min="5" max="8" width="11.5703125" bestFit="1" customWidth="1"/>
    <col min="9" max="9" width="11.5703125" customWidth="1"/>
    <col min="10" max="10" width="13.28515625" bestFit="1" customWidth="1"/>
  </cols>
  <sheetData>
    <row r="1" spans="1:8" x14ac:dyDescent="0.25">
      <c r="A1" s="1" t="s">
        <v>172</v>
      </c>
    </row>
    <row r="2" spans="1:8" x14ac:dyDescent="0.25">
      <c r="A2" t="s">
        <v>169</v>
      </c>
      <c r="B2" s="37">
        <v>0</v>
      </c>
    </row>
    <row r="3" spans="1:8" x14ac:dyDescent="0.25">
      <c r="A3" t="s">
        <v>168</v>
      </c>
      <c r="B3" s="37">
        <v>0.05</v>
      </c>
      <c r="H3" s="8"/>
    </row>
    <row r="4" spans="1:8" x14ac:dyDescent="0.25">
      <c r="A4" t="s">
        <v>92</v>
      </c>
      <c r="B4" s="8">
        <v>16000</v>
      </c>
      <c r="C4" t="s">
        <v>159</v>
      </c>
    </row>
    <row r="5" spans="1:8" x14ac:dyDescent="0.25">
      <c r="A5" t="s">
        <v>110</v>
      </c>
      <c r="B5">
        <v>1.5</v>
      </c>
    </row>
    <row r="6" spans="1:8" x14ac:dyDescent="0.25">
      <c r="A6" t="s">
        <v>111</v>
      </c>
      <c r="B6">
        <f>7200/24000</f>
        <v>0.3</v>
      </c>
    </row>
    <row r="7" spans="1:8" x14ac:dyDescent="0.25">
      <c r="A7" t="s">
        <v>173</v>
      </c>
      <c r="B7">
        <v>1</v>
      </c>
      <c r="C7" t="s">
        <v>174</v>
      </c>
    </row>
    <row r="8" spans="1:8" x14ac:dyDescent="0.25">
      <c r="B8" s="37"/>
    </row>
    <row r="9" spans="1:8" x14ac:dyDescent="0.25">
      <c r="B9" s="37"/>
    </row>
    <row r="10" spans="1:8" x14ac:dyDescent="0.25">
      <c r="B10" s="37"/>
    </row>
    <row r="11" spans="1:8" x14ac:dyDescent="0.25">
      <c r="B11" s="37"/>
    </row>
    <row r="12" spans="1:8" x14ac:dyDescent="0.25">
      <c r="B12" s="46"/>
    </row>
    <row r="13" spans="1:8" x14ac:dyDescent="0.25">
      <c r="B13" s="37"/>
    </row>
    <row r="14" spans="1:8" x14ac:dyDescent="0.25">
      <c r="B14" s="37"/>
    </row>
    <row r="15" spans="1:8" x14ac:dyDescent="0.25">
      <c r="B15" s="37"/>
    </row>
    <row r="16" spans="1:8" x14ac:dyDescent="0.25">
      <c r="B16" s="37"/>
    </row>
    <row r="17" spans="2:2" x14ac:dyDescent="0.25">
      <c r="B17" s="37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9"/>
  <sheetViews>
    <sheetView workbookViewId="0">
      <selection activeCell="A10" sqref="A10:XFD19"/>
    </sheetView>
  </sheetViews>
  <sheetFormatPr defaultRowHeight="15" x14ac:dyDescent="0.25"/>
  <cols>
    <col min="2" max="2" width="23.42578125" bestFit="1" customWidth="1"/>
    <col min="3" max="4" width="10.5703125" bestFit="1" customWidth="1"/>
    <col min="5" max="8" width="11.5703125" bestFit="1" customWidth="1"/>
    <col min="9" max="9" width="11.5703125" customWidth="1"/>
    <col min="10" max="10" width="13.28515625" bestFit="1" customWidth="1"/>
    <col min="14" max="14" width="10.5703125" bestFit="1" customWidth="1"/>
    <col min="15" max="15" width="11.5703125" bestFit="1" customWidth="1"/>
  </cols>
  <sheetData>
    <row r="2" spans="1:10" ht="18.75" x14ac:dyDescent="0.3">
      <c r="A2" s="3" t="s">
        <v>106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45">
        <v>0.05</v>
      </c>
      <c r="G5" s="10"/>
      <c r="H5" s="10"/>
      <c r="I5" s="10"/>
      <c r="J5" s="10"/>
    </row>
    <row r="6" spans="1:10" x14ac:dyDescent="0.25">
      <c r="A6" s="26">
        <v>1</v>
      </c>
      <c r="B6" t="s">
        <v>107</v>
      </c>
      <c r="C6" s="33">
        <f>Parâmetros!B6*Parâmetros!B5*Parâmetros!B4</f>
        <v>7199.9999999999991</v>
      </c>
      <c r="D6" s="33">
        <f>C6</f>
        <v>7199.9999999999991</v>
      </c>
      <c r="E6" s="33">
        <f>D6*12</f>
        <v>86399.999999999985</v>
      </c>
      <c r="F6" s="33">
        <f>E6*(1+Parâmetros!$B$3)</f>
        <v>90719.999999999985</v>
      </c>
      <c r="G6" s="33">
        <f>F6*(1+Parâmetros!$B$3)</f>
        <v>95255.999999999985</v>
      </c>
      <c r="H6" s="33">
        <f>G6*(1+Parâmetros!$B$3)</f>
        <v>100018.79999999999</v>
      </c>
      <c r="I6" s="33">
        <f>H6*(1+Parâmetros!$B$3)</f>
        <v>105019.73999999999</v>
      </c>
      <c r="J6" s="33">
        <f>SUM(E6:I6)</f>
        <v>477414.53999999992</v>
      </c>
    </row>
    <row r="7" spans="1:10" s="44" customFormat="1" x14ac:dyDescent="0.25">
      <c r="A7" s="26">
        <v>2</v>
      </c>
      <c r="B7" t="s">
        <v>108</v>
      </c>
      <c r="C7" s="47">
        <f>(1-Parâmetros!B6)*Parâmetros!B4*Parâmetros!B5</f>
        <v>16800</v>
      </c>
      <c r="D7" s="48">
        <f>C7</f>
        <v>16800</v>
      </c>
      <c r="E7" s="48">
        <f>D7*12</f>
        <v>201600</v>
      </c>
      <c r="F7" s="48">
        <f>E7*(1+Parâmetros!$B$3)</f>
        <v>211680</v>
      </c>
      <c r="G7" s="48">
        <f>F7*(1+Parâmetros!$B$3)</f>
        <v>222264</v>
      </c>
      <c r="H7" s="48">
        <f>G7*(1+Parâmetros!$B$3)</f>
        <v>233377.2</v>
      </c>
      <c r="I7" s="48">
        <f>H7*(1+Parâmetros!$B$3)</f>
        <v>245046.06000000003</v>
      </c>
      <c r="J7" s="48">
        <f>SUM(E7:I7)</f>
        <v>1113967.26</v>
      </c>
    </row>
    <row r="8" spans="1:10" x14ac:dyDescent="0.25">
      <c r="A8" s="36">
        <v>3</v>
      </c>
      <c r="B8" s="6" t="s">
        <v>109</v>
      </c>
      <c r="C8" s="16">
        <f>C7+C6</f>
        <v>24000</v>
      </c>
      <c r="D8" s="16">
        <f t="shared" ref="D8:G8" si="0">D7+D6</f>
        <v>24000</v>
      </c>
      <c r="E8" s="16">
        <f t="shared" si="0"/>
        <v>288000</v>
      </c>
      <c r="F8" s="16">
        <f t="shared" si="0"/>
        <v>302400</v>
      </c>
      <c r="G8" s="16">
        <f t="shared" si="0"/>
        <v>317520</v>
      </c>
      <c r="H8" s="16">
        <f t="shared" ref="H8" si="1">H7+H6</f>
        <v>333396</v>
      </c>
      <c r="I8" s="16">
        <f t="shared" ref="I8" si="2">I7+I6</f>
        <v>350065.80000000005</v>
      </c>
      <c r="J8" s="16">
        <f t="shared" ref="J8" si="3">J7+J6</f>
        <v>1591381.7999999998</v>
      </c>
    </row>
    <row r="9" spans="1:10" x14ac:dyDescent="0.25">
      <c r="A9" s="26"/>
      <c r="C9" s="9"/>
      <c r="D9" s="9"/>
      <c r="E9" s="9"/>
      <c r="F9" s="9"/>
      <c r="G9" s="9"/>
      <c r="H9" s="9"/>
      <c r="I9" s="9"/>
      <c r="J9" s="9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19"/>
  <sheetViews>
    <sheetView workbookViewId="0">
      <selection activeCell="D6" sqref="D6"/>
    </sheetView>
  </sheetViews>
  <sheetFormatPr defaultRowHeight="15" x14ac:dyDescent="0.25"/>
  <cols>
    <col min="2" max="2" width="25.7109375" customWidth="1"/>
    <col min="3" max="3" width="13.5703125" customWidth="1"/>
    <col min="4" max="5" width="10.5703125" bestFit="1" customWidth="1"/>
    <col min="6" max="10" width="11.5703125" bestFit="1" customWidth="1"/>
    <col min="11" max="11" width="13.28515625" bestFit="1" customWidth="1"/>
  </cols>
  <sheetData>
    <row r="2" spans="1:11" ht="18.75" x14ac:dyDescent="0.3">
      <c r="A2" s="3" t="s">
        <v>114</v>
      </c>
    </row>
    <row r="4" spans="1:11" x14ac:dyDescent="0.25">
      <c r="A4" s="1" t="s">
        <v>6</v>
      </c>
      <c r="B4" s="1" t="s">
        <v>41</v>
      </c>
      <c r="C4" s="1" t="s">
        <v>123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</row>
    <row r="5" spans="1:1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26">
        <v>1</v>
      </c>
      <c r="B6" t="s">
        <v>115</v>
      </c>
      <c r="D6" s="33">
        <f>Receitas!C8</f>
        <v>24000</v>
      </c>
      <c r="E6" s="33">
        <f>Receitas!D8</f>
        <v>24000</v>
      </c>
      <c r="F6" s="33">
        <f>Receitas!E8</f>
        <v>288000</v>
      </c>
      <c r="G6" s="33">
        <f>Receitas!F8</f>
        <v>302400</v>
      </c>
      <c r="H6" s="33">
        <f>Receitas!G8</f>
        <v>317520</v>
      </c>
      <c r="I6" s="33">
        <f>Receitas!H8</f>
        <v>333396</v>
      </c>
      <c r="J6" s="33">
        <f>Receitas!I8</f>
        <v>350065.80000000005</v>
      </c>
      <c r="K6" s="33">
        <f>Receitas!J8</f>
        <v>1591381.7999999998</v>
      </c>
    </row>
    <row r="7" spans="1:11" x14ac:dyDescent="0.25">
      <c r="A7" s="26">
        <v>2</v>
      </c>
      <c r="B7" t="s">
        <v>116</v>
      </c>
    </row>
    <row r="8" spans="1:11" x14ac:dyDescent="0.25">
      <c r="A8" s="5" t="s">
        <v>76</v>
      </c>
      <c r="B8" t="s">
        <v>117</v>
      </c>
      <c r="C8" s="37">
        <v>0.08</v>
      </c>
      <c r="D8" s="9">
        <f>$C$8*D6</f>
        <v>1920</v>
      </c>
      <c r="E8" s="9">
        <f t="shared" ref="E8:J8" si="0">$C$8*E6</f>
        <v>1920</v>
      </c>
      <c r="F8" s="9">
        <f t="shared" si="0"/>
        <v>23040</v>
      </c>
      <c r="G8" s="9">
        <f t="shared" si="0"/>
        <v>24192</v>
      </c>
      <c r="H8" s="9">
        <f>$C$8*H6</f>
        <v>25401.600000000002</v>
      </c>
      <c r="I8" s="9">
        <f t="shared" si="0"/>
        <v>26671.68</v>
      </c>
      <c r="J8" s="9">
        <f t="shared" si="0"/>
        <v>28005.264000000003</v>
      </c>
      <c r="K8" s="9">
        <f>SUM(F8:J8)</f>
        <v>127310.54399999999</v>
      </c>
    </row>
    <row r="9" spans="1:11" x14ac:dyDescent="0.25">
      <c r="A9" s="5" t="s">
        <v>120</v>
      </c>
      <c r="B9" t="s">
        <v>118</v>
      </c>
      <c r="C9" s="38">
        <v>6.4999999999999997E-3</v>
      </c>
      <c r="D9" s="9">
        <f t="shared" ref="D9:J9" si="1">$C$9*D6</f>
        <v>156</v>
      </c>
      <c r="E9" s="9">
        <f t="shared" si="1"/>
        <v>156</v>
      </c>
      <c r="F9" s="9">
        <f t="shared" si="1"/>
        <v>1872</v>
      </c>
      <c r="G9" s="9">
        <f t="shared" si="1"/>
        <v>1965.6</v>
      </c>
      <c r="H9" s="9">
        <f t="shared" si="1"/>
        <v>2063.88</v>
      </c>
      <c r="I9" s="9">
        <f t="shared" si="1"/>
        <v>2167.0740000000001</v>
      </c>
      <c r="J9" s="9">
        <f t="shared" si="1"/>
        <v>2275.4277000000002</v>
      </c>
      <c r="K9" s="9">
        <f t="shared" ref="K9:K11" si="2">SUM(F9:J9)</f>
        <v>10343.9817</v>
      </c>
    </row>
    <row r="10" spans="1:11" x14ac:dyDescent="0.25">
      <c r="A10" s="7" t="s">
        <v>121</v>
      </c>
      <c r="B10" s="6" t="s">
        <v>119</v>
      </c>
      <c r="C10" s="39">
        <v>0.03</v>
      </c>
      <c r="D10" s="16">
        <f>$C$10*D6</f>
        <v>720</v>
      </c>
      <c r="E10" s="16">
        <f t="shared" ref="E10:J10" si="3">$C$10*E6</f>
        <v>720</v>
      </c>
      <c r="F10" s="16">
        <f t="shared" si="3"/>
        <v>8640</v>
      </c>
      <c r="G10" s="16">
        <f t="shared" si="3"/>
        <v>9072</v>
      </c>
      <c r="H10" s="16">
        <f t="shared" si="3"/>
        <v>9525.6</v>
      </c>
      <c r="I10" s="16">
        <f>$C$10*I6</f>
        <v>10001.879999999999</v>
      </c>
      <c r="J10" s="16">
        <f t="shared" si="3"/>
        <v>10501.974</v>
      </c>
      <c r="K10" s="16">
        <f t="shared" si="2"/>
        <v>47741.453999999998</v>
      </c>
    </row>
    <row r="11" spans="1:11" x14ac:dyDescent="0.25">
      <c r="B11" s="1" t="s">
        <v>122</v>
      </c>
      <c r="C11" s="1"/>
      <c r="D11" s="12">
        <f>SUM(D8:D10)</f>
        <v>2796</v>
      </c>
      <c r="E11" s="12">
        <f t="shared" ref="E11:I11" si="4">SUM(E8:E10)</f>
        <v>2796</v>
      </c>
      <c r="F11" s="12">
        <f t="shared" si="4"/>
        <v>33552</v>
      </c>
      <c r="G11" s="12">
        <f t="shared" si="4"/>
        <v>35229.599999999999</v>
      </c>
      <c r="H11" s="12">
        <f t="shared" si="4"/>
        <v>36991.08</v>
      </c>
      <c r="I11" s="12">
        <f t="shared" si="4"/>
        <v>38840.633999999998</v>
      </c>
      <c r="J11" s="12">
        <f>SUM(J8:J10)</f>
        <v>40782.665700000005</v>
      </c>
      <c r="K11" s="12">
        <f t="shared" si="2"/>
        <v>185395.97970000003</v>
      </c>
    </row>
    <row r="15" spans="1:11" x14ac:dyDescent="0.25">
      <c r="A15" t="s">
        <v>112</v>
      </c>
    </row>
    <row r="17" spans="1:10" x14ac:dyDescent="0.25">
      <c r="A17" s="1" t="s">
        <v>6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45</v>
      </c>
      <c r="G17" s="1" t="s">
        <v>46</v>
      </c>
      <c r="H17" s="1" t="s">
        <v>47</v>
      </c>
      <c r="I17" s="1" t="s">
        <v>48</v>
      </c>
      <c r="J17" s="1" t="s">
        <v>49</v>
      </c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26">
        <v>1</v>
      </c>
      <c r="B19" t="s">
        <v>113</v>
      </c>
      <c r="C19" s="33">
        <f>0.1*D6</f>
        <v>2400</v>
      </c>
      <c r="D19" s="33">
        <f t="shared" ref="D19:I19" si="5">0.1*E6</f>
        <v>2400</v>
      </c>
      <c r="E19" s="33">
        <f t="shared" si="5"/>
        <v>28800</v>
      </c>
      <c r="F19" s="33">
        <f t="shared" si="5"/>
        <v>30240</v>
      </c>
      <c r="G19" s="33">
        <f>0.1*H6</f>
        <v>31752</v>
      </c>
      <c r="H19" s="33">
        <f t="shared" si="5"/>
        <v>33339.599999999999</v>
      </c>
      <c r="I19" s="33">
        <f t="shared" si="5"/>
        <v>35006.580000000009</v>
      </c>
      <c r="J19" s="33">
        <f>0.1*K6</f>
        <v>159138.18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L44"/>
  <sheetViews>
    <sheetView topLeftCell="A4" workbookViewId="0">
      <selection activeCell="I14" sqref="I14"/>
    </sheetView>
  </sheetViews>
  <sheetFormatPr defaultRowHeight="15" x14ac:dyDescent="0.25"/>
  <cols>
    <col min="2" max="2" width="28.7109375" customWidth="1"/>
    <col min="3" max="4" width="10.5703125" bestFit="1" customWidth="1"/>
    <col min="5" max="9" width="11.5703125" bestFit="1" customWidth="1"/>
    <col min="10" max="10" width="13.28515625" bestFit="1" customWidth="1"/>
    <col min="12" max="12" width="9.5703125" bestFit="1" customWidth="1"/>
  </cols>
  <sheetData>
    <row r="3" spans="1:12" ht="18.75" x14ac:dyDescent="0.3">
      <c r="A3" s="3" t="s">
        <v>124</v>
      </c>
    </row>
    <row r="5" spans="1:12" x14ac:dyDescent="0.25">
      <c r="A5" s="1" t="s">
        <v>6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2" x14ac:dyDescent="0.25">
      <c r="A7" s="26">
        <v>1</v>
      </c>
      <c r="B7" t="s">
        <v>125</v>
      </c>
      <c r="C7" s="51">
        <f>Receitas!C8</f>
        <v>24000</v>
      </c>
      <c r="D7" s="51">
        <f>Receitas!D8</f>
        <v>24000</v>
      </c>
      <c r="E7" s="51">
        <f>Receitas!E8</f>
        <v>288000</v>
      </c>
      <c r="F7" s="51">
        <f>Receitas!F8</f>
        <v>302400</v>
      </c>
      <c r="G7" s="51">
        <f>Receitas!G8</f>
        <v>317520</v>
      </c>
      <c r="H7" s="51">
        <f>Receitas!H8</f>
        <v>333396</v>
      </c>
      <c r="I7" s="51">
        <f>Receitas!I8</f>
        <v>350065.80000000005</v>
      </c>
      <c r="J7" s="51">
        <f>Receitas!J8</f>
        <v>1591381.7999999998</v>
      </c>
    </row>
    <row r="8" spans="1:12" x14ac:dyDescent="0.25">
      <c r="A8" s="26">
        <v>2</v>
      </c>
      <c r="B8" t="s">
        <v>127</v>
      </c>
      <c r="C8" s="52">
        <f>-(ImpostComissões!D11+ImpostComissões!C19)</f>
        <v>-5196</v>
      </c>
      <c r="D8" s="52">
        <f>-(ImpostComissões!E11+ImpostComissões!D19)</f>
        <v>-5196</v>
      </c>
      <c r="E8" s="52">
        <f>-(ImpostComissões!F11+ImpostComissões!E19)</f>
        <v>-62352</v>
      </c>
      <c r="F8" s="52">
        <f>-(ImpostComissões!G11+ImpostComissões!F19)</f>
        <v>-65469.599999999999</v>
      </c>
      <c r="G8" s="52">
        <f>-(ImpostComissões!H11+ImpostComissões!G19)</f>
        <v>-68743.08</v>
      </c>
      <c r="H8" s="52">
        <f>-(ImpostComissões!I11+ImpostComissões!H19)</f>
        <v>-72180.233999999997</v>
      </c>
      <c r="I8" s="52">
        <f>-(ImpostComissões!J11+ImpostComissões!I19)</f>
        <v>-75789.245700000014</v>
      </c>
      <c r="J8" s="52">
        <f>-(ImpostComissões!K11+ImpostComissões!J19)</f>
        <v>-344534.15970000002</v>
      </c>
    </row>
    <row r="9" spans="1:12" x14ac:dyDescent="0.25">
      <c r="A9" s="26">
        <v>3</v>
      </c>
      <c r="B9" t="s">
        <v>128</v>
      </c>
      <c r="C9" s="52">
        <f>C7+C8</f>
        <v>18804</v>
      </c>
      <c r="D9" s="52">
        <f t="shared" ref="D9:J9" si="0">D7+D8</f>
        <v>18804</v>
      </c>
      <c r="E9" s="52">
        <f t="shared" si="0"/>
        <v>225648</v>
      </c>
      <c r="F9" s="52">
        <f t="shared" si="0"/>
        <v>236930.4</v>
      </c>
      <c r="G9" s="52">
        <f t="shared" si="0"/>
        <v>248776.91999999998</v>
      </c>
      <c r="H9" s="52">
        <f t="shared" si="0"/>
        <v>261215.766</v>
      </c>
      <c r="I9" s="52">
        <f t="shared" si="0"/>
        <v>274276.55430000002</v>
      </c>
      <c r="J9" s="52">
        <f t="shared" si="0"/>
        <v>1246847.6402999999</v>
      </c>
    </row>
    <row r="10" spans="1:12" x14ac:dyDescent="0.25">
      <c r="A10" s="26">
        <v>4</v>
      </c>
      <c r="B10" t="s">
        <v>130</v>
      </c>
      <c r="C10" s="52">
        <f>-CustosTotais!C11</f>
        <v>-11498.919999999998</v>
      </c>
      <c r="D10" s="52">
        <f>-CustosTotais!D11</f>
        <v>-11498.919999999998</v>
      </c>
      <c r="E10" s="52">
        <f>-CustosTotais!E11</f>
        <v>-137987.04</v>
      </c>
      <c r="F10" s="52">
        <f>-CustosTotais!F11</f>
        <v>-144886.39199999999</v>
      </c>
      <c r="G10" s="52">
        <f>-CustosTotais!G11</f>
        <v>-152130.71160000001</v>
      </c>
      <c r="H10" s="52">
        <f>-CustosTotais!H11</f>
        <v>-159737.24718000001</v>
      </c>
      <c r="I10" s="52">
        <f>-CustosTotais!I11</f>
        <v>-167724.10953900003</v>
      </c>
      <c r="J10" s="52">
        <f>-CustosTotais!J11</f>
        <v>-762465.5003190001</v>
      </c>
    </row>
    <row r="11" spans="1:12" x14ac:dyDescent="0.25">
      <c r="A11" s="26">
        <v>5</v>
      </c>
      <c r="B11" t="s">
        <v>129</v>
      </c>
      <c r="C11" s="52">
        <f>C9+C10</f>
        <v>7305.0800000000017</v>
      </c>
      <c r="D11" s="52">
        <f t="shared" ref="D11:E11" si="1">D9+D10</f>
        <v>7305.0800000000017</v>
      </c>
      <c r="E11" s="52">
        <f t="shared" si="1"/>
        <v>87660.959999999992</v>
      </c>
      <c r="F11" s="52">
        <f>F9+F10</f>
        <v>92044.008000000002</v>
      </c>
      <c r="G11" s="52">
        <f t="shared" ref="G11" si="2">G9+G10</f>
        <v>96646.208399999974</v>
      </c>
      <c r="H11" s="52">
        <f t="shared" ref="H11" si="3">H9+H10</f>
        <v>101478.51882</v>
      </c>
      <c r="I11" s="52">
        <f>I9+I10</f>
        <v>106552.44476099999</v>
      </c>
      <c r="J11" s="52">
        <f t="shared" ref="J11" si="4">J9+J10</f>
        <v>484382.13998099975</v>
      </c>
    </row>
    <row r="12" spans="1:12" x14ac:dyDescent="0.25">
      <c r="A12" s="26">
        <v>6</v>
      </c>
      <c r="B12" t="s">
        <v>131</v>
      </c>
      <c r="C12" s="52">
        <f>SUM(C13:C15)</f>
        <v>-1932.0829900000001</v>
      </c>
      <c r="D12" s="52">
        <f t="shared" ref="D12:F12" si="5">SUM(D13:D15)</f>
        <v>-1932.0829900000001</v>
      </c>
      <c r="E12" s="52">
        <f t="shared" si="5"/>
        <v>-23184.995879999999</v>
      </c>
      <c r="F12" s="52">
        <f t="shared" si="5"/>
        <v>-24069.49338</v>
      </c>
      <c r="G12" s="52">
        <f>SUM(G13:G15)</f>
        <v>-24998.215755000001</v>
      </c>
      <c r="H12" s="52">
        <f t="shared" ref="H12" si="6">SUM(H13:H15)</f>
        <v>-25973.374248749999</v>
      </c>
      <c r="I12" s="52">
        <f t="shared" ref="I12" si="7">SUM(I13:I15)</f>
        <v>-26997.290667187503</v>
      </c>
      <c r="J12" s="52">
        <f>SUM(J13:J15)</f>
        <v>-125223.36993093749</v>
      </c>
    </row>
    <row r="13" spans="1:12" x14ac:dyDescent="0.25">
      <c r="A13" s="5" t="s">
        <v>132</v>
      </c>
      <c r="B13" t="s">
        <v>135</v>
      </c>
      <c r="C13" s="52">
        <f>-MãoObraIndireta!C14</f>
        <v>-920</v>
      </c>
      <c r="D13" s="52">
        <f>-MãoObraIndireta!D14</f>
        <v>-920</v>
      </c>
      <c r="E13" s="52">
        <f>-MãoObraIndireta!E14</f>
        <v>-11040</v>
      </c>
      <c r="F13" s="52">
        <f>-MãoObraIndireta!F14</f>
        <v>-11592</v>
      </c>
      <c r="G13" s="52">
        <f>-MãoObraIndireta!G14</f>
        <v>-12171.6</v>
      </c>
      <c r="H13" s="52">
        <f>-MãoObraIndireta!H14</f>
        <v>-12780.18</v>
      </c>
      <c r="I13" s="52">
        <f>-MãoObraIndireta!I14</f>
        <v>-13419.189000000002</v>
      </c>
      <c r="J13" s="52">
        <f>-MãoObraIndireta!J14</f>
        <v>-61002.968999999997</v>
      </c>
    </row>
    <row r="14" spans="1:12" x14ac:dyDescent="0.25">
      <c r="A14" s="5" t="s">
        <v>133</v>
      </c>
      <c r="B14" t="s">
        <v>136</v>
      </c>
      <c r="C14" s="52">
        <f>-CustosFixos!C6-CustosFixos!C8-CustosFixos!C10-CustosFixos!C11-CustosFixos!C14</f>
        <v>-567.49999000000003</v>
      </c>
      <c r="D14" s="52">
        <f>-CustosFixos!D6-CustosFixos!D8-CustosFixos!D10-CustosFixos!D11-CustosFixos!D14</f>
        <v>-567.49999000000003</v>
      </c>
      <c r="E14" s="52">
        <f>-CustosFixos!E6-CustosFixos!E8-CustosFixos!E10-CustosFixos!E11-CustosFixos!E14</f>
        <v>-6809.9998800000003</v>
      </c>
      <c r="F14" s="52">
        <f>-CustosFixos!F6-CustosFixos!F8-CustosFixos!F10-CustosFixos!F11-CustosFixos!F14</f>
        <v>-7142.4973799999998</v>
      </c>
      <c r="G14" s="52">
        <f>-CustosFixos!G6-CustosFixos!G8-CustosFixos!G10-CustosFixos!G11-CustosFixos!G14</f>
        <v>-7491.6197550000015</v>
      </c>
      <c r="H14" s="52">
        <f>-CustosFixos!H6-CustosFixos!H8-CustosFixos!H10-CustosFixos!H11-CustosFixos!H14</f>
        <v>-7858.1982487500009</v>
      </c>
      <c r="I14" s="52">
        <f>-CustosFixos!I6-CustosFixos!I8-CustosFixos!I10-CustosFixos!I11-CustosFixos!I14</f>
        <v>-8243.1056671875012</v>
      </c>
      <c r="J14" s="52">
        <f>-CustosFixos!J6-CustosFixos!J8-CustosFixos!J10-CustosFixos!J11-CustosFixos!J14</f>
        <v>-37545.4209309375</v>
      </c>
      <c r="L14" s="9"/>
    </row>
    <row r="15" spans="1:12" x14ac:dyDescent="0.25">
      <c r="A15" s="5" t="s">
        <v>134</v>
      </c>
      <c r="B15" t="s">
        <v>152</v>
      </c>
      <c r="C15" s="52">
        <f>-CustosFixos!C9</f>
        <v>-444.58300000000003</v>
      </c>
      <c r="D15" s="52">
        <f>-CustosFixos!D9</f>
        <v>-444.58300000000003</v>
      </c>
      <c r="E15" s="52">
        <f>-CustosFixos!E9</f>
        <v>-5334.9960000000001</v>
      </c>
      <c r="F15" s="52">
        <f>-CustosFixos!F9</f>
        <v>-5334.9960000000001</v>
      </c>
      <c r="G15" s="52">
        <f>-CustosFixos!G9</f>
        <v>-5334.9960000000001</v>
      </c>
      <c r="H15" s="52">
        <f>-CustosFixos!H9</f>
        <v>-5334.9960000000001</v>
      </c>
      <c r="I15" s="52">
        <f>-CustosFixos!I9</f>
        <v>-5334.9960000000001</v>
      </c>
      <c r="J15" s="52">
        <f>-CustosFixos!J9</f>
        <v>-26674.98</v>
      </c>
    </row>
    <row r="16" spans="1:12" x14ac:dyDescent="0.25">
      <c r="A16" s="26">
        <v>7</v>
      </c>
      <c r="B16" t="s">
        <v>137</v>
      </c>
      <c r="C16" s="52">
        <f t="shared" ref="C16:J16" si="8">C11+C12</f>
        <v>5372.9970100000019</v>
      </c>
      <c r="D16" s="52">
        <f t="shared" si="8"/>
        <v>5372.9970100000019</v>
      </c>
      <c r="E16" s="52">
        <f t="shared" si="8"/>
        <v>64475.96411999999</v>
      </c>
      <c r="F16" s="52">
        <f t="shared" si="8"/>
        <v>67974.514620000002</v>
      </c>
      <c r="G16" s="52">
        <f t="shared" si="8"/>
        <v>71647.992644999977</v>
      </c>
      <c r="H16" s="52">
        <f t="shared" si="8"/>
        <v>75505.144571249999</v>
      </c>
      <c r="I16" s="52">
        <f t="shared" si="8"/>
        <v>79555.154093812482</v>
      </c>
      <c r="J16" s="52">
        <f t="shared" si="8"/>
        <v>359158.77005006227</v>
      </c>
    </row>
    <row r="17" spans="1:10" x14ac:dyDescent="0.25">
      <c r="A17" s="26">
        <v>8</v>
      </c>
      <c r="B17" t="s">
        <v>146</v>
      </c>
      <c r="C17" s="52">
        <f>-Financ!C10</f>
        <v>0</v>
      </c>
      <c r="D17" s="52">
        <f>-Financ!D10</f>
        <v>0</v>
      </c>
      <c r="E17" s="52">
        <f>-Financ!E10</f>
        <v>0</v>
      </c>
      <c r="F17" s="52">
        <f>-Financ!F10</f>
        <v>0</v>
      </c>
      <c r="G17" s="52">
        <f>-Financ!G10</f>
        <v>0</v>
      </c>
      <c r="H17" s="52">
        <f>-Financ!H10</f>
        <v>0</v>
      </c>
      <c r="I17" s="52">
        <f>-Financ!I10</f>
        <v>0</v>
      </c>
      <c r="J17" s="52">
        <f>SUM(E17:I17)</f>
        <v>0</v>
      </c>
    </row>
    <row r="18" spans="1:10" x14ac:dyDescent="0.25">
      <c r="A18" s="26">
        <v>9</v>
      </c>
      <c r="B18" t="s">
        <v>149</v>
      </c>
      <c r="C18" s="52">
        <f>C16+C17</f>
        <v>5372.9970100000019</v>
      </c>
      <c r="D18" s="52">
        <f t="shared" ref="D18:F18" si="9">D16+D17</f>
        <v>5372.9970100000019</v>
      </c>
      <c r="E18" s="52">
        <f t="shared" si="9"/>
        <v>64475.96411999999</v>
      </c>
      <c r="F18" s="52">
        <f t="shared" si="9"/>
        <v>67974.514620000002</v>
      </c>
      <c r="G18" s="52">
        <f>G16+G17</f>
        <v>71647.992644999977</v>
      </c>
      <c r="H18" s="52">
        <f t="shared" ref="H18" si="10">H16+H17</f>
        <v>75505.144571249999</v>
      </c>
      <c r="I18" s="52">
        <f t="shared" ref="I18" si="11">I16+I17</f>
        <v>79555.154093812482</v>
      </c>
      <c r="J18" s="52">
        <f>SUM(E18:I18)</f>
        <v>359158.77005006245</v>
      </c>
    </row>
    <row r="19" spans="1:10" x14ac:dyDescent="0.25">
      <c r="A19" s="26">
        <v>10</v>
      </c>
      <c r="B19" t="s">
        <v>138</v>
      </c>
      <c r="C19" s="52">
        <f>-0.15*C18</f>
        <v>-805.94955150000021</v>
      </c>
      <c r="D19" s="52">
        <f t="shared" ref="D19:I19" si="12">-0.15*D18</f>
        <v>-805.94955150000021</v>
      </c>
      <c r="E19" s="52">
        <f t="shared" si="12"/>
        <v>-9671.3946179999984</v>
      </c>
      <c r="F19" s="52">
        <f t="shared" si="12"/>
        <v>-10196.177193</v>
      </c>
      <c r="G19" s="52">
        <f t="shared" si="12"/>
        <v>-10747.198896749996</v>
      </c>
      <c r="H19" s="52">
        <f t="shared" si="12"/>
        <v>-11325.771685687499</v>
      </c>
      <c r="I19" s="52">
        <f t="shared" si="12"/>
        <v>-11933.273114071872</v>
      </c>
      <c r="J19" s="52">
        <f>SUM(E19:I19)</f>
        <v>-53873.815507509367</v>
      </c>
    </row>
    <row r="20" spans="1:10" x14ac:dyDescent="0.25">
      <c r="A20" s="26"/>
      <c r="C20" s="52"/>
      <c r="D20" s="52"/>
      <c r="E20" s="52"/>
      <c r="F20" s="52"/>
      <c r="G20" s="52"/>
      <c r="H20" s="52"/>
      <c r="I20" s="52"/>
      <c r="J20" s="52"/>
    </row>
    <row r="21" spans="1:10" x14ac:dyDescent="0.25">
      <c r="A21" s="36"/>
      <c r="B21" s="6"/>
      <c r="C21" s="53"/>
      <c r="D21" s="53"/>
      <c r="E21" s="53"/>
      <c r="F21" s="53"/>
      <c r="G21" s="53"/>
      <c r="H21" s="53"/>
      <c r="I21" s="53"/>
      <c r="J21" s="53"/>
    </row>
    <row r="22" spans="1:10" x14ac:dyDescent="0.25">
      <c r="B22" s="1" t="s">
        <v>126</v>
      </c>
      <c r="C22" s="54">
        <f>C18+C19</f>
        <v>4567.047458500002</v>
      </c>
      <c r="D22" s="54">
        <f t="shared" ref="D22:I22" si="13">D18+D19</f>
        <v>4567.047458500002</v>
      </c>
      <c r="E22" s="54">
        <f t="shared" si="13"/>
        <v>54804.569501999991</v>
      </c>
      <c r="F22" s="54">
        <f t="shared" si="13"/>
        <v>57778.337427000006</v>
      </c>
      <c r="G22" s="54">
        <f t="shared" si="13"/>
        <v>60900.793748249984</v>
      </c>
      <c r="H22" s="54">
        <f t="shared" si="13"/>
        <v>64179.372885562501</v>
      </c>
      <c r="I22" s="54">
        <f t="shared" si="13"/>
        <v>67621.880979740614</v>
      </c>
      <c r="J22" s="54">
        <f>SUM(E22:I22)</f>
        <v>305284.95454255311</v>
      </c>
    </row>
    <row r="25" spans="1:10" x14ac:dyDescent="0.25">
      <c r="E25" s="9"/>
    </row>
    <row r="27" spans="1:10" x14ac:dyDescent="0.25">
      <c r="A27" s="1" t="s">
        <v>6</v>
      </c>
      <c r="B27" s="1" t="s">
        <v>41</v>
      </c>
      <c r="C27" s="1" t="s">
        <v>42</v>
      </c>
      <c r="D27" s="1" t="s">
        <v>43</v>
      </c>
      <c r="E27" s="1" t="s">
        <v>44</v>
      </c>
      <c r="F27" s="1" t="s">
        <v>45</v>
      </c>
      <c r="G27" s="1" t="s">
        <v>46</v>
      </c>
      <c r="H27" s="1" t="s">
        <v>47</v>
      </c>
      <c r="I27" s="1" t="s">
        <v>48</v>
      </c>
      <c r="J27" s="1" t="s">
        <v>49</v>
      </c>
    </row>
    <row r="28" spans="1:10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26">
        <v>1</v>
      </c>
      <c r="B29" t="s">
        <v>125</v>
      </c>
      <c r="C29" s="33">
        <f>Receitas!C20</f>
        <v>0</v>
      </c>
      <c r="D29" s="33">
        <f>Receitas!D20</f>
        <v>0</v>
      </c>
      <c r="E29" s="33">
        <f>Receitas!E20</f>
        <v>0</v>
      </c>
      <c r="F29" s="33">
        <f>Receitas!F20</f>
        <v>0</v>
      </c>
      <c r="G29" s="33">
        <f>Receitas!G20</f>
        <v>0</v>
      </c>
      <c r="H29" s="33">
        <f>Receitas!H20</f>
        <v>0</v>
      </c>
      <c r="I29" s="33">
        <f>Receitas!I20</f>
        <v>0</v>
      </c>
      <c r="J29" s="33">
        <f>Receitas!J20</f>
        <v>0</v>
      </c>
    </row>
    <row r="30" spans="1:10" x14ac:dyDescent="0.25">
      <c r="A30" s="26">
        <v>2</v>
      </c>
      <c r="B30" t="s">
        <v>127</v>
      </c>
      <c r="C30" s="9">
        <f>-(ImpostComissões!D33+ImpostComissões!C41)</f>
        <v>0</v>
      </c>
      <c r="D30" s="9">
        <f>-(ImpostComissões!E33+ImpostComissões!D41)</f>
        <v>0</v>
      </c>
      <c r="E30" s="9">
        <f>-(ImpostComissões!F33+ImpostComissões!E41)</f>
        <v>0</v>
      </c>
      <c r="F30" s="9">
        <f>-(ImpostComissões!G33+ImpostComissões!F41)</f>
        <v>0</v>
      </c>
      <c r="G30" s="9">
        <f>-(ImpostComissões!H33+ImpostComissões!G41)</f>
        <v>0</v>
      </c>
      <c r="H30" s="9">
        <f>-(ImpostComissões!I33+ImpostComissões!H41)</f>
        <v>0</v>
      </c>
      <c r="I30" s="9">
        <f>-(ImpostComissões!J33+ImpostComissões!I41)</f>
        <v>0</v>
      </c>
      <c r="J30" s="9">
        <f>-(ImpostComissões!K33+ImpostComissões!J41)</f>
        <v>0</v>
      </c>
    </row>
    <row r="31" spans="1:10" x14ac:dyDescent="0.25">
      <c r="A31" s="26">
        <v>3</v>
      </c>
      <c r="B31" t="s">
        <v>128</v>
      </c>
      <c r="C31" s="9">
        <f>C29+C30</f>
        <v>0</v>
      </c>
      <c r="D31" s="9">
        <f t="shared" ref="D31:J31" si="14">D29+D30</f>
        <v>0</v>
      </c>
      <c r="E31" s="9">
        <f t="shared" si="14"/>
        <v>0</v>
      </c>
      <c r="F31" s="9">
        <f t="shared" si="14"/>
        <v>0</v>
      </c>
      <c r="G31" s="9">
        <f t="shared" si="14"/>
        <v>0</v>
      </c>
      <c r="H31" s="9">
        <f t="shared" si="14"/>
        <v>0</v>
      </c>
      <c r="I31" s="9">
        <f t="shared" si="14"/>
        <v>0</v>
      </c>
      <c r="J31" s="9">
        <f t="shared" si="14"/>
        <v>0</v>
      </c>
    </row>
    <row r="32" spans="1:10" x14ac:dyDescent="0.25">
      <c r="A32" s="26">
        <v>4</v>
      </c>
      <c r="B32" t="s">
        <v>130</v>
      </c>
      <c r="C32" s="9">
        <f>-CustosTotais!C33</f>
        <v>0</v>
      </c>
      <c r="D32" s="9">
        <f>-CustosTotais!D33</f>
        <v>0</v>
      </c>
      <c r="E32" s="9">
        <f>-CustosTotais!E33</f>
        <v>0</v>
      </c>
      <c r="F32" s="9">
        <f>-CustosTotais!F33</f>
        <v>0</v>
      </c>
      <c r="G32" s="9">
        <f>-CustosTotais!G33</f>
        <v>0</v>
      </c>
      <c r="H32" s="9">
        <f>-CustosTotais!H33</f>
        <v>0</v>
      </c>
      <c r="I32" s="9">
        <f>-CustosTotais!I33</f>
        <v>0</v>
      </c>
      <c r="J32" s="9">
        <f>-CustosTotais!J33</f>
        <v>0</v>
      </c>
    </row>
    <row r="33" spans="1:10" x14ac:dyDescent="0.25">
      <c r="A33" s="26">
        <v>5</v>
      </c>
      <c r="B33" t="s">
        <v>129</v>
      </c>
      <c r="C33" s="9">
        <f>C31+C32</f>
        <v>0</v>
      </c>
      <c r="D33" s="9">
        <f>D31+D32</f>
        <v>0</v>
      </c>
      <c r="E33" s="9">
        <f t="shared" ref="E33" si="15">E31+E32</f>
        <v>0</v>
      </c>
      <c r="F33" s="9">
        <f>F31+F32</f>
        <v>0</v>
      </c>
      <c r="G33" s="9">
        <f t="shared" ref="G33:H33" si="16">G31+G32</f>
        <v>0</v>
      </c>
      <c r="H33" s="9">
        <f t="shared" si="16"/>
        <v>0</v>
      </c>
      <c r="I33" s="9">
        <f>I31+I32</f>
        <v>0</v>
      </c>
      <c r="J33" s="9">
        <f t="shared" ref="J33" si="17">J31+J32</f>
        <v>0</v>
      </c>
    </row>
    <row r="34" spans="1:10" x14ac:dyDescent="0.25">
      <c r="A34" s="26">
        <v>6</v>
      </c>
      <c r="B34" t="s">
        <v>131</v>
      </c>
      <c r="C34" s="9">
        <f>SUM(C35:C37)</f>
        <v>0</v>
      </c>
      <c r="D34" s="9">
        <f t="shared" ref="D34:F34" si="18">SUM(D35:D37)</f>
        <v>0</v>
      </c>
      <c r="E34" s="9">
        <f t="shared" si="18"/>
        <v>0</v>
      </c>
      <c r="F34" s="9">
        <f t="shared" si="18"/>
        <v>0</v>
      </c>
      <c r="G34" s="9">
        <f>SUM(G35:G37)</f>
        <v>0</v>
      </c>
      <c r="H34" s="9">
        <f t="shared" ref="H34:I34" si="19">SUM(H35:H37)</f>
        <v>0</v>
      </c>
      <c r="I34" s="9">
        <f t="shared" si="19"/>
        <v>0</v>
      </c>
      <c r="J34" s="9">
        <f>SUM(J35:J37)</f>
        <v>0</v>
      </c>
    </row>
    <row r="35" spans="1:10" x14ac:dyDescent="0.25">
      <c r="A35" s="5" t="s">
        <v>132</v>
      </c>
      <c r="B35" t="s">
        <v>135</v>
      </c>
      <c r="C35" s="9">
        <f>-MãoObraIndireta!C36</f>
        <v>0</v>
      </c>
      <c r="D35" s="9">
        <f>-MãoObraIndireta!D36</f>
        <v>0</v>
      </c>
      <c r="E35" s="9">
        <f>-MãoObraIndireta!E36</f>
        <v>0</v>
      </c>
      <c r="F35" s="9">
        <f>-MãoObraIndireta!F36</f>
        <v>0</v>
      </c>
      <c r="G35" s="9">
        <f>-MãoObraIndireta!G36</f>
        <v>0</v>
      </c>
      <c r="H35" s="9">
        <f>-MãoObraIndireta!H36</f>
        <v>0</v>
      </c>
      <c r="I35" s="9">
        <f>-MãoObraIndireta!I36</f>
        <v>0</v>
      </c>
      <c r="J35" s="9">
        <f>-MãoObraIndireta!J36</f>
        <v>0</v>
      </c>
    </row>
    <row r="36" spans="1:10" x14ac:dyDescent="0.25">
      <c r="A36" s="5" t="s">
        <v>133</v>
      </c>
      <c r="B36" t="s">
        <v>136</v>
      </c>
      <c r="C36" s="9">
        <f>-CustosFixos!C28-CustosFixos!C30-CustosFixos!C32-CustosFixos!C33-CustosFixos!C36</f>
        <v>0</v>
      </c>
      <c r="D36" s="9">
        <f>-CustosFixos!D28-CustosFixos!D30-CustosFixos!D32-CustosFixos!D33-CustosFixos!D36</f>
        <v>0</v>
      </c>
      <c r="E36" s="9">
        <f>-CustosFixos!E28-CustosFixos!E30-CustosFixos!E32-CustosFixos!E33-CustosFixos!E36</f>
        <v>0</v>
      </c>
      <c r="F36" s="9">
        <f>-CustosFixos!F28-CustosFixos!F30-CustosFixos!F32-CustosFixos!F33-CustosFixos!F36</f>
        <v>0</v>
      </c>
      <c r="G36" s="9">
        <f>-CustosFixos!G28-CustosFixos!G30-CustosFixos!G32-CustosFixos!G33-CustosFixos!G36</f>
        <v>0</v>
      </c>
      <c r="H36" s="9">
        <f>-CustosFixos!H28-CustosFixos!H30-CustosFixos!H32-CustosFixos!H33-CustosFixos!H36</f>
        <v>0</v>
      </c>
      <c r="I36" s="9">
        <f>-CustosFixos!I28-CustosFixos!I30-CustosFixos!I32-CustosFixos!I33-CustosFixos!I36</f>
        <v>0</v>
      </c>
      <c r="J36" s="9">
        <f>-CustosFixos!J28-CustosFixos!J30-CustosFixos!J32-CustosFixos!J33-CustosFixos!J36</f>
        <v>0</v>
      </c>
    </row>
    <row r="37" spans="1:10" x14ac:dyDescent="0.25">
      <c r="A37" s="5" t="s">
        <v>134</v>
      </c>
      <c r="B37" t="s">
        <v>152</v>
      </c>
      <c r="C37" s="9">
        <f>-CustosFixos!C31</f>
        <v>0</v>
      </c>
      <c r="D37" s="9">
        <f>-CustosFixos!D31</f>
        <v>0</v>
      </c>
      <c r="E37" s="9">
        <f>-CustosFixos!E31</f>
        <v>0</v>
      </c>
      <c r="F37" s="9">
        <f>-CustosFixos!F31</f>
        <v>0</v>
      </c>
      <c r="G37" s="9">
        <f>-CustosFixos!G31</f>
        <v>0</v>
      </c>
      <c r="H37" s="9">
        <f>-CustosFixos!H31</f>
        <v>0</v>
      </c>
      <c r="I37" s="9">
        <f>-CustosFixos!I31</f>
        <v>0</v>
      </c>
      <c r="J37" s="9">
        <f>-CustosFixos!J31</f>
        <v>0</v>
      </c>
    </row>
    <row r="38" spans="1:10" x14ac:dyDescent="0.25">
      <c r="A38" s="26">
        <v>7</v>
      </c>
      <c r="B38" t="s">
        <v>137</v>
      </c>
      <c r="C38" s="9">
        <f t="shared" ref="C38:J38" si="20">C33+C34</f>
        <v>0</v>
      </c>
      <c r="D38" s="9">
        <f t="shared" si="20"/>
        <v>0</v>
      </c>
      <c r="E38" s="9">
        <f t="shared" si="20"/>
        <v>0</v>
      </c>
      <c r="F38" s="9">
        <f t="shared" si="20"/>
        <v>0</v>
      </c>
      <c r="G38" s="9">
        <f t="shared" si="20"/>
        <v>0</v>
      </c>
      <c r="H38" s="9">
        <f t="shared" si="20"/>
        <v>0</v>
      </c>
      <c r="I38" s="9">
        <f t="shared" si="20"/>
        <v>0</v>
      </c>
      <c r="J38" s="9">
        <f t="shared" si="20"/>
        <v>0</v>
      </c>
    </row>
    <row r="39" spans="1:10" x14ac:dyDescent="0.25">
      <c r="A39" s="26">
        <v>8</v>
      </c>
      <c r="B39" t="s">
        <v>146</v>
      </c>
      <c r="C39" s="9">
        <f>-Financ!C32</f>
        <v>0</v>
      </c>
      <c r="D39" s="9">
        <f>-Financ!D32</f>
        <v>0</v>
      </c>
      <c r="E39" s="9">
        <f>-Financ!E32</f>
        <v>0</v>
      </c>
      <c r="F39" s="9">
        <f>-Financ!F32</f>
        <v>0</v>
      </c>
      <c r="G39" s="9">
        <f>-Financ!G32</f>
        <v>0</v>
      </c>
      <c r="H39" s="9">
        <f>-Financ!H32</f>
        <v>0</v>
      </c>
      <c r="I39" s="9">
        <f>-Financ!I32</f>
        <v>0</v>
      </c>
      <c r="J39" s="9">
        <f>SUM(E39:I39)</f>
        <v>0</v>
      </c>
    </row>
    <row r="40" spans="1:10" x14ac:dyDescent="0.25">
      <c r="A40" s="26">
        <v>9</v>
      </c>
      <c r="B40" t="s">
        <v>149</v>
      </c>
      <c r="C40" s="9">
        <f>C38+C39</f>
        <v>0</v>
      </c>
      <c r="D40" s="9">
        <f t="shared" ref="D40:F40" si="21">D38+D39</f>
        <v>0</v>
      </c>
      <c r="E40" s="9">
        <f t="shared" si="21"/>
        <v>0</v>
      </c>
      <c r="F40" s="9">
        <f t="shared" si="21"/>
        <v>0</v>
      </c>
      <c r="G40" s="9">
        <f>G38+G39</f>
        <v>0</v>
      </c>
      <c r="H40" s="9">
        <f t="shared" ref="H40:I40" si="22">H38+H39</f>
        <v>0</v>
      </c>
      <c r="I40" s="9">
        <f t="shared" si="22"/>
        <v>0</v>
      </c>
      <c r="J40" s="9">
        <f>SUM(E40:I40)</f>
        <v>0</v>
      </c>
    </row>
    <row r="41" spans="1:10" x14ac:dyDescent="0.25">
      <c r="A41" s="26">
        <v>10</v>
      </c>
      <c r="B41" t="s">
        <v>138</v>
      </c>
      <c r="C41" s="9">
        <f>-0.15*C40</f>
        <v>0</v>
      </c>
      <c r="D41" s="9">
        <f t="shared" ref="D41:I41" si="23">-0.15*D40</f>
        <v>0</v>
      </c>
      <c r="E41" s="9">
        <f t="shared" si="23"/>
        <v>0</v>
      </c>
      <c r="F41" s="9">
        <f t="shared" si="23"/>
        <v>0</v>
      </c>
      <c r="G41" s="9">
        <f t="shared" si="23"/>
        <v>0</v>
      </c>
      <c r="H41" s="9">
        <f t="shared" si="23"/>
        <v>0</v>
      </c>
      <c r="I41" s="9">
        <f t="shared" si="23"/>
        <v>0</v>
      </c>
      <c r="J41" s="9">
        <f>SUM(E41:I41)</f>
        <v>0</v>
      </c>
    </row>
    <row r="42" spans="1:10" x14ac:dyDescent="0.25">
      <c r="A42" s="26"/>
      <c r="C42" s="9"/>
      <c r="D42" s="9"/>
      <c r="E42" s="9"/>
      <c r="F42" s="9"/>
      <c r="G42" s="9"/>
      <c r="H42" s="9"/>
      <c r="I42" s="9"/>
      <c r="J42" s="9"/>
    </row>
    <row r="43" spans="1:10" x14ac:dyDescent="0.25">
      <c r="A43" s="36"/>
      <c r="B43" s="6"/>
      <c r="C43" s="16"/>
      <c r="D43" s="16"/>
      <c r="E43" s="16"/>
      <c r="F43" s="16"/>
      <c r="G43" s="16"/>
      <c r="H43" s="16"/>
      <c r="I43" s="16"/>
      <c r="J43" s="16"/>
    </row>
    <row r="44" spans="1:10" x14ac:dyDescent="0.25">
      <c r="B44" s="1" t="s">
        <v>126</v>
      </c>
      <c r="C44" s="12">
        <f>C40+C41</f>
        <v>0</v>
      </c>
      <c r="D44" s="12">
        <f t="shared" ref="D44:I44" si="24">D40+D41</f>
        <v>0</v>
      </c>
      <c r="E44" s="12">
        <f t="shared" si="24"/>
        <v>0</v>
      </c>
      <c r="F44" s="12">
        <f t="shared" si="24"/>
        <v>0</v>
      </c>
      <c r="G44" s="12">
        <f t="shared" si="24"/>
        <v>0</v>
      </c>
      <c r="H44" s="12">
        <f t="shared" si="24"/>
        <v>0</v>
      </c>
      <c r="I44" s="12">
        <f t="shared" si="24"/>
        <v>0</v>
      </c>
      <c r="J44" s="12">
        <f>SUM(E44:I44)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 D10:J1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19"/>
  <sheetViews>
    <sheetView workbookViewId="0">
      <selection activeCell="D4" sqref="D4"/>
    </sheetView>
  </sheetViews>
  <sheetFormatPr defaultRowHeight="15" x14ac:dyDescent="0.25"/>
  <cols>
    <col min="2" max="2" width="14.42578125" customWidth="1"/>
    <col min="4" max="10" width="10.5703125" bestFit="1" customWidth="1"/>
  </cols>
  <sheetData>
    <row r="2" spans="1:10" ht="18.75" x14ac:dyDescent="0.3">
      <c r="A2" s="3" t="s">
        <v>139</v>
      </c>
    </row>
    <row r="3" spans="1:10" ht="15.75" x14ac:dyDescent="0.25">
      <c r="A3" s="40" t="s">
        <v>140</v>
      </c>
      <c r="D3" s="8">
        <v>0</v>
      </c>
    </row>
    <row r="4" spans="1:10" ht="15.75" x14ac:dyDescent="0.25">
      <c r="A4" s="40" t="s">
        <v>143</v>
      </c>
      <c r="D4" s="41">
        <v>60</v>
      </c>
    </row>
    <row r="5" spans="1:10" ht="15.75" x14ac:dyDescent="0.25">
      <c r="A5" s="40" t="s">
        <v>144</v>
      </c>
      <c r="D5" s="42">
        <v>0.12</v>
      </c>
    </row>
    <row r="7" spans="1:10" x14ac:dyDescent="0.25">
      <c r="A7" s="1" t="s">
        <v>6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</row>
    <row r="8" spans="1:10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 s="26">
        <v>1</v>
      </c>
      <c r="B9" t="s">
        <v>141</v>
      </c>
      <c r="C9" s="33">
        <f>D3/60</f>
        <v>0</v>
      </c>
      <c r="D9" s="33">
        <f>D3/60</f>
        <v>0</v>
      </c>
      <c r="E9" s="33">
        <f>D9*12</f>
        <v>0</v>
      </c>
      <c r="F9" s="33">
        <f>E9</f>
        <v>0</v>
      </c>
      <c r="G9" s="33">
        <f t="shared" ref="G9:I9" si="0">F9</f>
        <v>0</v>
      </c>
      <c r="H9" s="33">
        <f t="shared" si="0"/>
        <v>0</v>
      </c>
      <c r="I9" s="33">
        <f t="shared" si="0"/>
        <v>0</v>
      </c>
      <c r="J9" s="33">
        <f>SUM(E9:I9)</f>
        <v>0</v>
      </c>
    </row>
    <row r="10" spans="1:10" x14ac:dyDescent="0.25">
      <c r="B10" t="s">
        <v>142</v>
      </c>
      <c r="C10" s="9">
        <f>E10/12</f>
        <v>0</v>
      </c>
      <c r="D10" s="9">
        <f>E10/12</f>
        <v>0</v>
      </c>
      <c r="E10" s="9">
        <f>$D$5*D19</f>
        <v>0</v>
      </c>
      <c r="F10" s="9">
        <f>$D$5*E19</f>
        <v>0</v>
      </c>
      <c r="G10" s="9">
        <f>$D$5*F19</f>
        <v>0</v>
      </c>
      <c r="H10" s="9">
        <f>$D$5*G19</f>
        <v>0</v>
      </c>
      <c r="I10" s="9">
        <f>$D$5*H19</f>
        <v>0</v>
      </c>
      <c r="J10" s="9"/>
    </row>
    <row r="17" spans="1:9" x14ac:dyDescent="0.25">
      <c r="A17" s="1" t="s">
        <v>145</v>
      </c>
      <c r="E17" s="1" t="s">
        <v>44</v>
      </c>
      <c r="F17" s="1" t="s">
        <v>45</v>
      </c>
      <c r="G17" s="1" t="s">
        <v>46</v>
      </c>
      <c r="H17" s="1" t="s">
        <v>47</v>
      </c>
      <c r="I17" s="1" t="s">
        <v>48</v>
      </c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D19" s="9">
        <f>D3</f>
        <v>0</v>
      </c>
      <c r="E19" s="9">
        <f>D19-E9</f>
        <v>0</v>
      </c>
      <c r="F19" s="9">
        <f t="shared" ref="F19:H19" si="1">E19-F9</f>
        <v>0</v>
      </c>
      <c r="G19" s="9">
        <f t="shared" si="1"/>
        <v>0</v>
      </c>
      <c r="H19" s="9">
        <f t="shared" si="1"/>
        <v>0</v>
      </c>
      <c r="I19" s="9">
        <f>H19-I9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24"/>
  <sheetViews>
    <sheetView tabSelected="1" workbookViewId="0">
      <selection activeCell="G12" sqref="G12"/>
    </sheetView>
  </sheetViews>
  <sheetFormatPr defaultRowHeight="15" x14ac:dyDescent="0.25"/>
  <cols>
    <col min="1" max="1" width="27" bestFit="1" customWidth="1"/>
    <col min="2" max="2" width="10.5703125" bestFit="1" customWidth="1"/>
    <col min="3" max="3" width="11.5703125" bestFit="1" customWidth="1"/>
    <col min="4" max="7" width="10.5703125" bestFit="1" customWidth="1"/>
    <col min="9" max="9" width="18" customWidth="1"/>
    <col min="10" max="10" width="12" customWidth="1"/>
    <col min="12" max="12" width="10.5703125" bestFit="1" customWidth="1"/>
    <col min="13" max="13" width="12.140625" customWidth="1"/>
    <col min="14" max="14" width="11.5703125" bestFit="1" customWidth="1"/>
  </cols>
  <sheetData>
    <row r="2" spans="1:15" ht="21" x14ac:dyDescent="0.35">
      <c r="A2" s="4" t="s">
        <v>154</v>
      </c>
    </row>
    <row r="3" spans="1:15" ht="21" x14ac:dyDescent="0.35">
      <c r="A3" s="4"/>
    </row>
    <row r="4" spans="1:15" x14ac:dyDescent="0.25">
      <c r="A4" t="s">
        <v>155</v>
      </c>
      <c r="B4" s="37">
        <v>0.18</v>
      </c>
    </row>
    <row r="5" spans="1:15" ht="18.75" x14ac:dyDescent="0.3">
      <c r="K5" s="3" t="s">
        <v>151</v>
      </c>
    </row>
    <row r="6" spans="1:15" x14ac:dyDescent="0.25">
      <c r="A6" s="10" t="s">
        <v>41</v>
      </c>
      <c r="B6" s="10" t="s">
        <v>153</v>
      </c>
      <c r="C6" s="10" t="s">
        <v>44</v>
      </c>
      <c r="D6" s="10" t="s">
        <v>45</v>
      </c>
      <c r="E6" s="10" t="s">
        <v>46</v>
      </c>
      <c r="F6" s="10" t="s">
        <v>47</v>
      </c>
      <c r="G6" s="10" t="s">
        <v>48</v>
      </c>
      <c r="K6" s="6"/>
      <c r="L6" s="6"/>
      <c r="M6" s="6"/>
    </row>
    <row r="7" spans="1:15" x14ac:dyDescent="0.25">
      <c r="A7" t="s">
        <v>147</v>
      </c>
      <c r="B7" s="9">
        <f>-InvInicial!E57</f>
        <v>-40847.08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K7">
        <v>0</v>
      </c>
      <c r="L7" s="55">
        <f>B13</f>
        <v>-40847.08</v>
      </c>
      <c r="M7" s="56">
        <f>L7</f>
        <v>-40847.08</v>
      </c>
    </row>
    <row r="8" spans="1:15" x14ac:dyDescent="0.25">
      <c r="A8" t="s">
        <v>148</v>
      </c>
      <c r="B8" s="9">
        <f>Financ!D3</f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K8">
        <v>1</v>
      </c>
      <c r="L8" s="55">
        <f>C13</f>
        <v>60139.56550199999</v>
      </c>
      <c r="M8" s="57">
        <f>L8/(1+$B$4)^K8</f>
        <v>50965.733476271183</v>
      </c>
    </row>
    <row r="9" spans="1:15" x14ac:dyDescent="0.25">
      <c r="A9" t="s">
        <v>150</v>
      </c>
      <c r="C9" s="9">
        <f>DRE!E22</f>
        <v>54804.569501999991</v>
      </c>
      <c r="D9" s="9">
        <f>DRE!F22</f>
        <v>57778.337427000006</v>
      </c>
      <c r="E9" s="9">
        <f>DRE!G22</f>
        <v>60900.793748249984</v>
      </c>
      <c r="F9" s="9">
        <f>DRE!H22</f>
        <v>64179.372885562501</v>
      </c>
      <c r="G9" s="9">
        <f>DRE!I22</f>
        <v>67621.880979740614</v>
      </c>
      <c r="K9">
        <v>2</v>
      </c>
      <c r="L9" s="55">
        <f>D13</f>
        <v>63113.333427000005</v>
      </c>
      <c r="M9" s="57">
        <f t="shared" ref="M9:M11" si="0">L9/(1+$B$4)^K9</f>
        <v>45327.013377621384</v>
      </c>
    </row>
    <row r="10" spans="1:15" x14ac:dyDescent="0.25">
      <c r="A10" t="s">
        <v>96</v>
      </c>
      <c r="C10" s="9">
        <f>-DRE!E15</f>
        <v>5334.9960000000001</v>
      </c>
      <c r="D10" s="9">
        <f>-DRE!F15</f>
        <v>5334.9960000000001</v>
      </c>
      <c r="E10" s="9">
        <f>-DRE!G15</f>
        <v>5334.9960000000001</v>
      </c>
      <c r="F10" s="9">
        <f>-DRE!H15</f>
        <v>5334.9960000000001</v>
      </c>
      <c r="G10" s="9">
        <f>-DRE!I15</f>
        <v>5334.9960000000001</v>
      </c>
      <c r="K10">
        <v>3</v>
      </c>
      <c r="L10" s="55">
        <f>E13</f>
        <v>66235.789748249983</v>
      </c>
      <c r="M10" s="57">
        <f t="shared" si="0"/>
        <v>40313.146517079396</v>
      </c>
    </row>
    <row r="11" spans="1:15" x14ac:dyDescent="0.25">
      <c r="A11" t="s">
        <v>104</v>
      </c>
      <c r="C11" s="9"/>
      <c r="D11" s="9"/>
      <c r="E11" s="9"/>
      <c r="F11" s="9"/>
      <c r="G11" s="9">
        <f>Depreciação!C26*Parâmetros!B7</f>
        <v>1400.0200000000004</v>
      </c>
      <c r="K11">
        <v>4</v>
      </c>
      <c r="L11" s="55">
        <f>F13</f>
        <v>69514.368885562508</v>
      </c>
      <c r="M11" s="57">
        <f t="shared" si="0"/>
        <v>35854.738134381383</v>
      </c>
    </row>
    <row r="12" spans="1:15" x14ac:dyDescent="0.25">
      <c r="A12" s="6" t="s">
        <v>170</v>
      </c>
      <c r="B12" s="6"/>
      <c r="C12" s="16">
        <f>-Financ!E9</f>
        <v>0</v>
      </c>
      <c r="D12" s="16">
        <f>-Financ!F9</f>
        <v>0</v>
      </c>
      <c r="E12" s="16">
        <f>-Financ!G9</f>
        <v>0</v>
      </c>
      <c r="F12" s="16">
        <f>-Financ!H9</f>
        <v>0</v>
      </c>
      <c r="G12" s="16">
        <f>-Financ!I9</f>
        <v>0</v>
      </c>
      <c r="K12" s="6">
        <v>5</v>
      </c>
      <c r="L12" s="58">
        <f>G13</f>
        <v>74356.896979740617</v>
      </c>
      <c r="M12" s="59">
        <f>L12/(1+$B$4)^K12</f>
        <v>32502.084960143384</v>
      </c>
      <c r="O12" s="37"/>
    </row>
    <row r="13" spans="1:15" x14ac:dyDescent="0.25">
      <c r="A13" s="1" t="s">
        <v>151</v>
      </c>
      <c r="B13" s="12">
        <f>SUM(B7:B12)</f>
        <v>-40847.08</v>
      </c>
      <c r="C13" s="12">
        <f t="shared" ref="C13:E13" si="1">SUM(C7:C12)</f>
        <v>60139.56550199999</v>
      </c>
      <c r="D13" s="12">
        <f t="shared" si="1"/>
        <v>63113.333427000005</v>
      </c>
      <c r="E13" s="12">
        <f t="shared" si="1"/>
        <v>66235.789748249983</v>
      </c>
      <c r="F13" s="12">
        <f>SUM(F7:F12)</f>
        <v>69514.368885562508</v>
      </c>
      <c r="G13" s="12">
        <f t="shared" ref="G13" si="2">SUM(G7:G12)</f>
        <v>74356.896979740617</v>
      </c>
      <c r="L13" s="55"/>
      <c r="M13" s="55"/>
    </row>
    <row r="14" spans="1:15" ht="18.75" x14ac:dyDescent="0.3">
      <c r="C14" s="9"/>
      <c r="I14" s="3" t="s">
        <v>156</v>
      </c>
      <c r="L14" s="55"/>
      <c r="M14" s="60">
        <f>SUM(M8:M12)</f>
        <v>204962.71646549672</v>
      </c>
      <c r="O14" s="37"/>
    </row>
    <row r="15" spans="1:15" ht="18.75" x14ac:dyDescent="0.3">
      <c r="I15" s="3" t="s">
        <v>157</v>
      </c>
      <c r="L15" s="55"/>
      <c r="M15" s="55">
        <f>M7</f>
        <v>-40847.08</v>
      </c>
    </row>
    <row r="16" spans="1:15" ht="18.75" x14ac:dyDescent="0.3">
      <c r="I16" s="3" t="s">
        <v>158</v>
      </c>
      <c r="L16" s="55"/>
      <c r="M16" s="55">
        <f>M14+M15</f>
        <v>164115.63646549673</v>
      </c>
    </row>
    <row r="17" spans="3:13" ht="18.75" x14ac:dyDescent="0.3">
      <c r="I17" s="3" t="s">
        <v>171</v>
      </c>
      <c r="M17" s="38">
        <f>IRR(L7:L12)</f>
        <v>1.5032083400367227</v>
      </c>
    </row>
    <row r="18" spans="3:13" x14ac:dyDescent="0.25">
      <c r="I18" s="1" t="s">
        <v>166</v>
      </c>
    </row>
    <row r="19" spans="3:13" x14ac:dyDescent="0.25">
      <c r="J19" t="s">
        <v>160</v>
      </c>
    </row>
    <row r="20" spans="3:13" x14ac:dyDescent="0.25">
      <c r="J20" t="s">
        <v>161</v>
      </c>
    </row>
    <row r="21" spans="3:13" x14ac:dyDescent="0.25">
      <c r="C21" s="9"/>
      <c r="J21" t="s">
        <v>162</v>
      </c>
    </row>
    <row r="22" spans="3:13" x14ac:dyDescent="0.25">
      <c r="J22" t="s">
        <v>163</v>
      </c>
    </row>
    <row r="23" spans="3:13" x14ac:dyDescent="0.25">
      <c r="I23" t="s">
        <v>164</v>
      </c>
      <c r="J23" s="8">
        <f>16800/(1+B4)</f>
        <v>14237.28813559322</v>
      </c>
    </row>
    <row r="24" spans="3:13" x14ac:dyDescent="0.25">
      <c r="I24" t="s">
        <v>165</v>
      </c>
      <c r="J24" s="8">
        <f>M16-J23</f>
        <v>149878.3483299035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"/>
  <sheetViews>
    <sheetView topLeftCell="A41" workbookViewId="0">
      <selection activeCell="B60" sqref="B60"/>
    </sheetView>
  </sheetViews>
  <sheetFormatPr defaultRowHeight="15" x14ac:dyDescent="0.25"/>
  <cols>
    <col min="2" max="2" width="35.5703125" bestFit="1" customWidth="1"/>
    <col min="3" max="3" width="11.42578125" bestFit="1" customWidth="1"/>
    <col min="4" max="4" width="13.28515625" bestFit="1" customWidth="1"/>
    <col min="5" max="5" width="13.28515625" customWidth="1"/>
  </cols>
  <sheetData>
    <row r="2" spans="1:5" ht="21" x14ac:dyDescent="0.35">
      <c r="A2" s="4" t="s">
        <v>0</v>
      </c>
    </row>
    <row r="4" spans="1:5" x14ac:dyDescent="0.25">
      <c r="A4" s="1" t="s">
        <v>6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 s="10"/>
      <c r="B5" s="10"/>
      <c r="C5" s="10"/>
      <c r="D5" s="11" t="s">
        <v>5</v>
      </c>
      <c r="E5" s="11" t="s">
        <v>5</v>
      </c>
    </row>
    <row r="6" spans="1:5" x14ac:dyDescent="0.25">
      <c r="A6">
        <v>1</v>
      </c>
      <c r="B6" t="s">
        <v>7</v>
      </c>
      <c r="C6">
        <v>1</v>
      </c>
      <c r="D6" s="8">
        <f>2000*(1+Parâmetros!$B$2)</f>
        <v>2000</v>
      </c>
      <c r="E6" s="8">
        <f>D6*C6</f>
        <v>2000</v>
      </c>
    </row>
    <row r="7" spans="1:5" x14ac:dyDescent="0.25">
      <c r="A7" s="6"/>
      <c r="B7" s="6"/>
      <c r="C7" s="6"/>
      <c r="D7" s="6"/>
      <c r="E7" s="6"/>
    </row>
    <row r="8" spans="1:5" x14ac:dyDescent="0.25">
      <c r="A8" s="1" t="s">
        <v>8</v>
      </c>
      <c r="B8" s="1"/>
      <c r="C8" s="1"/>
      <c r="D8" s="1"/>
      <c r="E8" s="12">
        <f>SUM(E6:E7)</f>
        <v>2000</v>
      </c>
    </row>
    <row r="10" spans="1:5" x14ac:dyDescent="0.25">
      <c r="A10" s="1" t="s">
        <v>6</v>
      </c>
      <c r="B10" s="1" t="s">
        <v>9</v>
      </c>
      <c r="C10" s="1" t="s">
        <v>2</v>
      </c>
      <c r="D10" s="1" t="s">
        <v>3</v>
      </c>
      <c r="E10" s="1" t="s">
        <v>4</v>
      </c>
    </row>
    <row r="11" spans="1:5" x14ac:dyDescent="0.25">
      <c r="A11" s="10"/>
      <c r="B11" s="10"/>
      <c r="C11" s="10"/>
      <c r="D11" s="11" t="s">
        <v>5</v>
      </c>
      <c r="E11" s="11" t="s">
        <v>5</v>
      </c>
    </row>
    <row r="12" spans="1:5" x14ac:dyDescent="0.25">
      <c r="A12">
        <v>1</v>
      </c>
      <c r="B12" t="s">
        <v>10</v>
      </c>
      <c r="C12">
        <v>1</v>
      </c>
      <c r="D12" s="8">
        <f>5730*(1+Parâmetros!$B$2)</f>
        <v>5730</v>
      </c>
      <c r="E12" s="8">
        <f>C12*D12</f>
        <v>5730</v>
      </c>
    </row>
    <row r="13" spans="1:5" x14ac:dyDescent="0.25">
      <c r="A13">
        <v>2</v>
      </c>
      <c r="B13" t="s">
        <v>11</v>
      </c>
      <c r="C13">
        <v>1</v>
      </c>
      <c r="D13" s="8">
        <f>7500*(1+Parâmetros!$B$2)</f>
        <v>7500</v>
      </c>
      <c r="E13" s="8">
        <f t="shared" ref="E13:E17" si="0">C13*D13</f>
        <v>7500</v>
      </c>
    </row>
    <row r="14" spans="1:5" x14ac:dyDescent="0.25">
      <c r="A14">
        <v>3</v>
      </c>
      <c r="B14" t="s">
        <v>12</v>
      </c>
      <c r="C14">
        <v>15</v>
      </c>
      <c r="D14" s="8">
        <f>35*(1+Parâmetros!$B$2)</f>
        <v>35</v>
      </c>
      <c r="E14" s="8">
        <f t="shared" si="0"/>
        <v>525</v>
      </c>
    </row>
    <row r="15" spans="1:5" x14ac:dyDescent="0.25">
      <c r="A15">
        <v>4</v>
      </c>
      <c r="B15" t="s">
        <v>13</v>
      </c>
      <c r="C15">
        <v>3</v>
      </c>
      <c r="D15" s="8">
        <f>1100*(1+Parâmetros!$B$2)</f>
        <v>1100</v>
      </c>
      <c r="E15" s="8">
        <f t="shared" si="0"/>
        <v>3300</v>
      </c>
    </row>
    <row r="16" spans="1:5" x14ac:dyDescent="0.25">
      <c r="A16">
        <v>5</v>
      </c>
      <c r="B16" t="s">
        <v>14</v>
      </c>
      <c r="C16">
        <v>1</v>
      </c>
      <c r="D16" s="8">
        <f>450*(1+Parâmetros!$B$2)</f>
        <v>450</v>
      </c>
      <c r="E16" s="8">
        <f t="shared" si="0"/>
        <v>450</v>
      </c>
    </row>
    <row r="17" spans="1:5" x14ac:dyDescent="0.25">
      <c r="A17">
        <v>6</v>
      </c>
      <c r="B17" t="s">
        <v>15</v>
      </c>
      <c r="C17">
        <v>1</v>
      </c>
      <c r="D17" s="8">
        <f>270*(1+Parâmetros!$B$2)</f>
        <v>270</v>
      </c>
      <c r="E17" s="8">
        <f t="shared" si="0"/>
        <v>270</v>
      </c>
    </row>
    <row r="18" spans="1:5" x14ac:dyDescent="0.25">
      <c r="A18" s="6"/>
      <c r="B18" s="6"/>
      <c r="C18" s="6"/>
      <c r="D18" s="6"/>
      <c r="E18" s="6"/>
    </row>
    <row r="19" spans="1:5" x14ac:dyDescent="0.25">
      <c r="A19" s="1" t="s">
        <v>16</v>
      </c>
      <c r="B19" s="1"/>
      <c r="C19" s="1"/>
      <c r="D19" s="1"/>
      <c r="E19" s="12">
        <f>SUM(E12:E17)</f>
        <v>17775</v>
      </c>
    </row>
    <row r="21" spans="1:5" x14ac:dyDescent="0.25">
      <c r="A21" s="1" t="s">
        <v>6</v>
      </c>
      <c r="B21" s="1" t="s">
        <v>9</v>
      </c>
      <c r="C21" s="1" t="s">
        <v>2</v>
      </c>
      <c r="D21" s="1" t="s">
        <v>3</v>
      </c>
      <c r="E21" s="1" t="s">
        <v>4</v>
      </c>
    </row>
    <row r="22" spans="1:5" x14ac:dyDescent="0.25">
      <c r="A22" s="10"/>
      <c r="B22" s="10" t="s">
        <v>17</v>
      </c>
      <c r="C22" s="10"/>
      <c r="D22" s="11" t="s">
        <v>5</v>
      </c>
      <c r="E22" s="11" t="s">
        <v>5</v>
      </c>
    </row>
    <row r="23" spans="1:5" x14ac:dyDescent="0.25">
      <c r="A23">
        <v>1</v>
      </c>
      <c r="B23" t="s">
        <v>22</v>
      </c>
      <c r="C23">
        <v>2</v>
      </c>
      <c r="D23" s="8">
        <f>120*(1+Parâmetros!$B$2)</f>
        <v>120</v>
      </c>
      <c r="E23" s="8">
        <f>C23*D23</f>
        <v>240</v>
      </c>
    </row>
    <row r="24" spans="1:5" x14ac:dyDescent="0.25">
      <c r="A24">
        <v>2</v>
      </c>
      <c r="B24" t="s">
        <v>18</v>
      </c>
      <c r="C24">
        <v>1</v>
      </c>
      <c r="D24" s="8">
        <f>260*(1+Parâmetros!$B$2)</f>
        <v>260</v>
      </c>
      <c r="E24" s="8">
        <f t="shared" ref="E24:E27" si="1">C24*D24</f>
        <v>260</v>
      </c>
    </row>
    <row r="25" spans="1:5" x14ac:dyDescent="0.25">
      <c r="A25">
        <v>3</v>
      </c>
      <c r="B25" t="s">
        <v>19</v>
      </c>
      <c r="C25">
        <v>6</v>
      </c>
      <c r="D25" s="8">
        <f>15*(1+Parâmetros!$B$2)</f>
        <v>15</v>
      </c>
      <c r="E25" s="8">
        <f t="shared" si="1"/>
        <v>90</v>
      </c>
    </row>
    <row r="26" spans="1:5" x14ac:dyDescent="0.25">
      <c r="A26">
        <v>4</v>
      </c>
      <c r="B26" t="s">
        <v>20</v>
      </c>
      <c r="C26">
        <v>1</v>
      </c>
      <c r="D26" s="8">
        <f>110*(1+Parâmetros!$B$2)</f>
        <v>110</v>
      </c>
      <c r="E26" s="8">
        <f t="shared" si="1"/>
        <v>110</v>
      </c>
    </row>
    <row r="27" spans="1:5" x14ac:dyDescent="0.25">
      <c r="A27">
        <v>5</v>
      </c>
      <c r="B27" t="s">
        <v>21</v>
      </c>
      <c r="C27">
        <v>1</v>
      </c>
      <c r="D27" s="8">
        <f>100*(1+Parâmetros!$B$2)</f>
        <v>100</v>
      </c>
      <c r="E27" s="8">
        <f t="shared" si="1"/>
        <v>100</v>
      </c>
    </row>
    <row r="28" spans="1:5" x14ac:dyDescent="0.25">
      <c r="D28" s="8"/>
      <c r="E28" s="8"/>
    </row>
    <row r="29" spans="1:5" x14ac:dyDescent="0.25">
      <c r="A29" s="6"/>
      <c r="B29" s="6"/>
      <c r="C29" s="6"/>
      <c r="D29" s="6"/>
      <c r="E29" s="6"/>
    </row>
    <row r="30" spans="1:5" x14ac:dyDescent="0.25">
      <c r="A30" s="1" t="s">
        <v>23</v>
      </c>
      <c r="B30" s="1"/>
      <c r="C30" s="1"/>
      <c r="D30" s="1"/>
      <c r="E30" s="12">
        <f>SUM(E23:E28)</f>
        <v>800</v>
      </c>
    </row>
    <row r="32" spans="1:5" x14ac:dyDescent="0.25">
      <c r="A32" s="1" t="s">
        <v>6</v>
      </c>
      <c r="B32" s="1" t="s">
        <v>25</v>
      </c>
      <c r="C32" s="1" t="s">
        <v>2</v>
      </c>
      <c r="D32" s="1" t="s">
        <v>3</v>
      </c>
      <c r="E32" s="1" t="s">
        <v>4</v>
      </c>
    </row>
    <row r="33" spans="1:5" x14ac:dyDescent="0.25">
      <c r="A33" s="10"/>
      <c r="B33" s="10"/>
      <c r="C33" s="10"/>
      <c r="D33" s="11" t="s">
        <v>5</v>
      </c>
      <c r="E33" s="11" t="s">
        <v>5</v>
      </c>
    </row>
    <row r="34" spans="1:5" x14ac:dyDescent="0.25">
      <c r="A34">
        <v>1</v>
      </c>
      <c r="B34" t="s">
        <v>26</v>
      </c>
      <c r="C34">
        <v>1</v>
      </c>
      <c r="D34" s="8">
        <f>7500*(1+Parâmetros!$B$2)</f>
        <v>7500</v>
      </c>
      <c r="E34" s="8">
        <f>D34*C34</f>
        <v>7500</v>
      </c>
    </row>
    <row r="35" spans="1:5" x14ac:dyDescent="0.25">
      <c r="A35" s="6"/>
      <c r="B35" s="6"/>
      <c r="C35" s="6"/>
      <c r="D35" s="6"/>
      <c r="E35" s="6"/>
    </row>
    <row r="36" spans="1:5" x14ac:dyDescent="0.25">
      <c r="A36" s="1" t="s">
        <v>24</v>
      </c>
      <c r="B36" s="1"/>
      <c r="C36" s="1"/>
      <c r="D36" s="1"/>
      <c r="E36" s="12">
        <f>SUM(E34:E35)</f>
        <v>7500</v>
      </c>
    </row>
    <row r="38" spans="1:5" x14ac:dyDescent="0.25">
      <c r="A38" s="1" t="s">
        <v>6</v>
      </c>
      <c r="B38" s="1" t="s">
        <v>34</v>
      </c>
      <c r="C38" s="1" t="s">
        <v>2</v>
      </c>
      <c r="D38" s="1" t="s">
        <v>3</v>
      </c>
      <c r="E38" s="1" t="s">
        <v>4</v>
      </c>
    </row>
    <row r="39" spans="1:5" x14ac:dyDescent="0.25">
      <c r="A39" s="10"/>
      <c r="B39" s="10"/>
      <c r="C39" s="10"/>
      <c r="D39" s="11" t="s">
        <v>5</v>
      </c>
      <c r="E39" s="11" t="s">
        <v>5</v>
      </c>
    </row>
    <row r="40" spans="1:5" x14ac:dyDescent="0.25">
      <c r="A40">
        <v>1</v>
      </c>
      <c r="B40" t="s">
        <v>27</v>
      </c>
      <c r="C40">
        <v>1</v>
      </c>
      <c r="D40" s="8">
        <f>50*(1+Parâmetros!$B$2)</f>
        <v>50</v>
      </c>
      <c r="E40" s="8">
        <f>C40*D40</f>
        <v>50</v>
      </c>
    </row>
    <row r="41" spans="1:5" x14ac:dyDescent="0.25">
      <c r="A41">
        <v>2</v>
      </c>
      <c r="B41" t="s">
        <v>28</v>
      </c>
      <c r="C41">
        <v>1</v>
      </c>
      <c r="D41" s="8">
        <f>240*(1+Parâmetros!$B$2)</f>
        <v>240</v>
      </c>
      <c r="E41" s="8">
        <f t="shared" ref="E41:E44" si="2">C41*D41</f>
        <v>240</v>
      </c>
    </row>
    <row r="42" spans="1:5" x14ac:dyDescent="0.25">
      <c r="A42">
        <v>3</v>
      </c>
      <c r="B42" t="s">
        <v>29</v>
      </c>
      <c r="C42">
        <v>1</v>
      </c>
      <c r="D42" s="8">
        <f>320*(1+Parâmetros!$B$2)</f>
        <v>320</v>
      </c>
      <c r="E42" s="8">
        <f t="shared" si="2"/>
        <v>320</v>
      </c>
    </row>
    <row r="43" spans="1:5" x14ac:dyDescent="0.25">
      <c r="A43">
        <v>4</v>
      </c>
      <c r="B43" t="s">
        <v>30</v>
      </c>
      <c r="C43">
        <v>1</v>
      </c>
      <c r="D43" s="8">
        <f>400*(1+Parâmetros!$B$2)</f>
        <v>400</v>
      </c>
      <c r="E43" s="8">
        <f t="shared" si="2"/>
        <v>400</v>
      </c>
    </row>
    <row r="44" spans="1:5" x14ac:dyDescent="0.25">
      <c r="A44">
        <v>5</v>
      </c>
      <c r="B44" t="s">
        <v>31</v>
      </c>
      <c r="C44">
        <v>1</v>
      </c>
      <c r="D44" s="8">
        <f>160*(1+Parâmetros!$B$2)</f>
        <v>160</v>
      </c>
      <c r="E44" s="8">
        <f t="shared" si="2"/>
        <v>160</v>
      </c>
    </row>
    <row r="45" spans="1:5" x14ac:dyDescent="0.25">
      <c r="D45" s="8"/>
      <c r="E45" s="8"/>
    </row>
    <row r="46" spans="1:5" x14ac:dyDescent="0.25">
      <c r="A46" s="6"/>
      <c r="B46" s="6"/>
      <c r="C46" s="6"/>
      <c r="D46" s="6"/>
      <c r="E46" s="6"/>
    </row>
    <row r="47" spans="1:5" x14ac:dyDescent="0.25">
      <c r="A47" s="1" t="s">
        <v>32</v>
      </c>
      <c r="B47" s="1"/>
      <c r="C47" s="1"/>
      <c r="D47" s="1"/>
      <c r="E47" s="12">
        <f>SUM(E40:E45)</f>
        <v>1170</v>
      </c>
    </row>
    <row r="49" spans="1:5" x14ac:dyDescent="0.25">
      <c r="A49" s="1" t="s">
        <v>6</v>
      </c>
      <c r="B49" s="1" t="s">
        <v>35</v>
      </c>
      <c r="C49" s="1" t="s">
        <v>2</v>
      </c>
      <c r="D49" s="1" t="s">
        <v>3</v>
      </c>
      <c r="E49" s="1" t="s">
        <v>4</v>
      </c>
    </row>
    <row r="50" spans="1:5" x14ac:dyDescent="0.25">
      <c r="A50" s="10"/>
      <c r="B50" s="10"/>
      <c r="C50" s="10"/>
      <c r="D50" s="11" t="s">
        <v>5</v>
      </c>
      <c r="E50" s="11" t="s">
        <v>5</v>
      </c>
    </row>
    <row r="51" spans="1:5" x14ac:dyDescent="0.25">
      <c r="A51">
        <v>1</v>
      </c>
      <c r="B51" t="s">
        <v>36</v>
      </c>
      <c r="D51" s="8"/>
      <c r="E51" s="8">
        <f>7070*(1+Parâmetros!$B$2)</f>
        <v>7070</v>
      </c>
    </row>
    <row r="52" spans="1:5" x14ac:dyDescent="0.25">
      <c r="A52">
        <v>2</v>
      </c>
      <c r="B52" t="s">
        <v>37</v>
      </c>
      <c r="D52" s="8"/>
      <c r="E52" s="8">
        <f>2532.08*(1+Parâmetros!$B$2)</f>
        <v>2532.08</v>
      </c>
    </row>
    <row r="53" spans="1:5" x14ac:dyDescent="0.25">
      <c r="A53">
        <v>3</v>
      </c>
      <c r="B53" t="s">
        <v>38</v>
      </c>
      <c r="D53" s="8"/>
      <c r="E53" s="8">
        <f>2000*(1+Parâmetros!$B$2)</f>
        <v>2000</v>
      </c>
    </row>
    <row r="54" spans="1:5" x14ac:dyDescent="0.25">
      <c r="A54" s="6"/>
      <c r="B54" s="6"/>
      <c r="C54" s="6"/>
      <c r="D54" s="6"/>
      <c r="E54" s="6"/>
    </row>
    <row r="55" spans="1:5" x14ac:dyDescent="0.25">
      <c r="A55" s="1" t="s">
        <v>33</v>
      </c>
      <c r="B55" s="1"/>
      <c r="C55" s="1"/>
      <c r="D55" s="1"/>
      <c r="E55" s="12">
        <f>SUM(E51:E53)</f>
        <v>11602.08</v>
      </c>
    </row>
    <row r="57" spans="1:5" ht="15.75" x14ac:dyDescent="0.25">
      <c r="A57" s="2" t="s">
        <v>39</v>
      </c>
      <c r="E57" s="13">
        <f>E8+E19+E30+E36+E47+E55</f>
        <v>40847.08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workbookViewId="0">
      <selection activeCell="C14" sqref="C14"/>
    </sheetView>
  </sheetViews>
  <sheetFormatPr defaultRowHeight="15" x14ac:dyDescent="0.25"/>
  <cols>
    <col min="2" max="2" width="30.85546875" bestFit="1" customWidth="1"/>
    <col min="3" max="3" width="11.5703125" bestFit="1" customWidth="1"/>
    <col min="4" max="4" width="10.5703125" bestFit="1" customWidth="1"/>
    <col min="5" max="5" width="11.5703125" bestFit="1" customWidth="1"/>
    <col min="6" max="6" width="13.5703125" customWidth="1"/>
    <col min="7" max="10" width="11.5703125" bestFit="1" customWidth="1"/>
  </cols>
  <sheetData>
    <row r="2" spans="1:10" ht="21" x14ac:dyDescent="0.35">
      <c r="A2" s="4" t="s">
        <v>40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1</v>
      </c>
      <c r="B6" t="s">
        <v>50</v>
      </c>
      <c r="C6" s="8">
        <f>MãoObraDireta!C14</f>
        <v>2346.12</v>
      </c>
      <c r="D6" s="8">
        <f>MãoObraDireta!D14</f>
        <v>2346.12</v>
      </c>
      <c r="E6" s="8">
        <f>MãoObraDireta!E14</f>
        <v>28153.440000000002</v>
      </c>
      <c r="F6" s="8">
        <f>MãoObraDireta!F14</f>
        <v>29561.112000000001</v>
      </c>
      <c r="G6" s="8">
        <f>MãoObraDireta!G14</f>
        <v>31039.167600000001</v>
      </c>
      <c r="H6" s="8">
        <f>MãoObraDireta!H14</f>
        <v>32591.125980000001</v>
      </c>
      <c r="I6" s="8">
        <f>MãoObraDireta!I14</f>
        <v>34220.682279000008</v>
      </c>
      <c r="J6" s="8">
        <f>MãoObraDireta!J14</f>
        <v>155565.52785899997</v>
      </c>
    </row>
    <row r="7" spans="1:10" x14ac:dyDescent="0.25">
      <c r="A7">
        <v>2</v>
      </c>
      <c r="B7" t="s">
        <v>51</v>
      </c>
      <c r="C7" s="8">
        <f>CustosVariáveis!E6</f>
        <v>7070</v>
      </c>
      <c r="D7" s="8">
        <f>CustosVariáveis!F6</f>
        <v>7070</v>
      </c>
      <c r="E7" s="8">
        <f>CustosVariáveis!G6</f>
        <v>84840</v>
      </c>
      <c r="F7" s="8">
        <f>CustosVariáveis!H6</f>
        <v>89082</v>
      </c>
      <c r="G7" s="8">
        <f>CustosVariáveis!I6</f>
        <v>93536.1</v>
      </c>
      <c r="H7" s="8">
        <f>CustosVariáveis!J6</f>
        <v>98212.905000000013</v>
      </c>
      <c r="I7" s="8">
        <f>CustosVariáveis!K6</f>
        <v>103123.55025000001</v>
      </c>
      <c r="J7" s="9">
        <f t="shared" ref="J7:J13" si="0">SUM(E7:I7)</f>
        <v>468794.55525000003</v>
      </c>
    </row>
    <row r="8" spans="1:10" x14ac:dyDescent="0.25">
      <c r="A8">
        <v>3</v>
      </c>
      <c r="B8" t="s">
        <v>52</v>
      </c>
      <c r="C8" s="8">
        <f>CustosVariáveis!E11</f>
        <v>282.8</v>
      </c>
      <c r="D8" s="8">
        <f>CustosVariáveis!F11</f>
        <v>282.8</v>
      </c>
      <c r="E8" s="8">
        <f>CustosVariáveis!G11</f>
        <v>3393.6000000000004</v>
      </c>
      <c r="F8" s="8">
        <f>CustosVariáveis!H11</f>
        <v>3563.2800000000007</v>
      </c>
      <c r="G8" s="8">
        <f>CustosVariáveis!I11</f>
        <v>3741.4440000000009</v>
      </c>
      <c r="H8" s="8">
        <f>CustosVariáveis!J11</f>
        <v>3928.5162000000009</v>
      </c>
      <c r="I8" s="8">
        <f>CustosVariáveis!K11</f>
        <v>4124.9420100000016</v>
      </c>
      <c r="J8" s="9">
        <f t="shared" si="0"/>
        <v>18751.782210000005</v>
      </c>
    </row>
    <row r="9" spans="1:10" x14ac:dyDescent="0.25">
      <c r="A9">
        <v>4</v>
      </c>
      <c r="B9" t="s">
        <v>53</v>
      </c>
      <c r="C9" s="8">
        <f>CustosVariáveis!E12</f>
        <v>1200</v>
      </c>
      <c r="D9" s="8">
        <f>CustosVariáveis!F12</f>
        <v>1200</v>
      </c>
      <c r="E9" s="8">
        <f>CustosVariáveis!G12</f>
        <v>14400</v>
      </c>
      <c r="F9" s="8">
        <f>CustosVariáveis!H12</f>
        <v>15120</v>
      </c>
      <c r="G9" s="8">
        <f>CustosVariáveis!I12</f>
        <v>15876</v>
      </c>
      <c r="H9" s="8">
        <f>CustosVariáveis!J12</f>
        <v>16669.8</v>
      </c>
      <c r="I9" s="8">
        <f>CustosVariáveis!K12</f>
        <v>17503.29</v>
      </c>
      <c r="J9" s="9">
        <f t="shared" si="0"/>
        <v>79569.09</v>
      </c>
    </row>
    <row r="10" spans="1:10" x14ac:dyDescent="0.25">
      <c r="A10" s="6">
        <v>5</v>
      </c>
      <c r="B10" s="6" t="s">
        <v>54</v>
      </c>
      <c r="C10" s="15">
        <f>CustosFixos!C7</f>
        <v>600</v>
      </c>
      <c r="D10" s="15">
        <f>CustosFixos!D7</f>
        <v>600</v>
      </c>
      <c r="E10" s="15">
        <f>CustosFixos!E7</f>
        <v>7200</v>
      </c>
      <c r="F10" s="15">
        <f>CustosFixos!F7</f>
        <v>7560</v>
      </c>
      <c r="G10" s="15">
        <f>CustosFixos!G7</f>
        <v>7938</v>
      </c>
      <c r="H10" s="15">
        <f>CustosFixos!H7</f>
        <v>8334.9</v>
      </c>
      <c r="I10" s="15">
        <f>CustosFixos!I7</f>
        <v>8751.6450000000004</v>
      </c>
      <c r="J10" s="16">
        <f t="shared" si="0"/>
        <v>39784.544999999998</v>
      </c>
    </row>
    <row r="11" spans="1:10" x14ac:dyDescent="0.25">
      <c r="A11" s="18">
        <v>6</v>
      </c>
      <c r="B11" s="18" t="s">
        <v>55</v>
      </c>
      <c r="C11" s="19">
        <f>SUM(C6:C10)</f>
        <v>11498.919999999998</v>
      </c>
      <c r="D11" s="19">
        <f>SUM(D6:D10)</f>
        <v>11498.919999999998</v>
      </c>
      <c r="E11" s="19">
        <f>SUM(E6:E10)</f>
        <v>137987.04</v>
      </c>
      <c r="F11" s="19">
        <f t="shared" ref="F11:G11" si="1">SUM(F6:F10)</f>
        <v>144886.39199999999</v>
      </c>
      <c r="G11" s="19">
        <f t="shared" si="1"/>
        <v>152130.71160000001</v>
      </c>
      <c r="H11" s="19">
        <f>SUM(H6:H10)</f>
        <v>159737.24718000001</v>
      </c>
      <c r="I11" s="19">
        <f t="shared" ref="I11" si="2">SUM(I6:I10)</f>
        <v>167724.10953900003</v>
      </c>
      <c r="J11" s="20">
        <f t="shared" si="0"/>
        <v>762465.5003190001</v>
      </c>
    </row>
    <row r="12" spans="1:10" x14ac:dyDescent="0.25">
      <c r="A12" s="18">
        <v>7</v>
      </c>
      <c r="B12" s="18" t="s">
        <v>56</v>
      </c>
      <c r="C12" s="19">
        <f>CustosFixos!C15-CustosFixos!C7</f>
        <v>1932.0829899999999</v>
      </c>
      <c r="D12" s="19">
        <f>CustosFixos!D15-CustosFixos!D7</f>
        <v>1932.0829899999999</v>
      </c>
      <c r="E12" s="19">
        <f>CustosFixos!E15-CustosFixos!E7</f>
        <v>23184.995879999999</v>
      </c>
      <c r="F12" s="19">
        <f>CustosFixos!F15-CustosFixos!F7</f>
        <v>24069.49338</v>
      </c>
      <c r="G12" s="19">
        <f>CustosFixos!G15-CustosFixos!G7</f>
        <v>24998.215755000005</v>
      </c>
      <c r="H12" s="19">
        <f>CustosFixos!H15-CustosFixos!H7</f>
        <v>25973.374248750006</v>
      </c>
      <c r="I12" s="19">
        <f>CustosFixos!I15-CustosFixos!I7</f>
        <v>26997.290667187506</v>
      </c>
      <c r="J12" s="20">
        <f t="shared" si="0"/>
        <v>125223.36993093754</v>
      </c>
    </row>
    <row r="13" spans="1:10" x14ac:dyDescent="0.25">
      <c r="A13" s="21">
        <v>8</v>
      </c>
      <c r="B13" s="21" t="s">
        <v>57</v>
      </c>
      <c r="C13" s="23">
        <f>Parâmetros!B4</f>
        <v>16000</v>
      </c>
      <c r="D13" s="23">
        <f>C13</f>
        <v>16000</v>
      </c>
      <c r="E13" s="23">
        <f>+D13*12</f>
        <v>192000</v>
      </c>
      <c r="F13" s="23">
        <f>E13*1.05</f>
        <v>201600</v>
      </c>
      <c r="G13" s="23">
        <f t="shared" ref="G13:H13" si="3">F13*1.05</f>
        <v>211680</v>
      </c>
      <c r="H13" s="23">
        <f t="shared" si="3"/>
        <v>222264</v>
      </c>
      <c r="I13" s="23">
        <f>H13*1.05</f>
        <v>233377.2</v>
      </c>
      <c r="J13" s="24">
        <f t="shared" si="0"/>
        <v>1060921.2</v>
      </c>
    </row>
    <row r="14" spans="1:10" x14ac:dyDescent="0.25">
      <c r="A14" s="21"/>
      <c r="B14" s="21" t="s">
        <v>58</v>
      </c>
      <c r="C14" s="25">
        <f>(C11+C12)/C13</f>
        <v>0.83943768687499987</v>
      </c>
      <c r="D14" s="25">
        <f>(D11+D12)/D13</f>
        <v>0.83943768687499987</v>
      </c>
      <c r="E14" s="22">
        <f>(E11+E12)/E13</f>
        <v>0.83943768687500009</v>
      </c>
      <c r="F14" s="22">
        <f t="shared" ref="F14:G14" si="4">(F11+F12)/F13</f>
        <v>0.83807482827380952</v>
      </c>
      <c r="G14" s="22">
        <f t="shared" si="4"/>
        <v>0.83677686770124726</v>
      </c>
      <c r="H14" s="22">
        <f>(H11+H12)/H13</f>
        <v>0.83554071477499736</v>
      </c>
      <c r="I14" s="22">
        <f t="shared" ref="I14" si="5">(I11+I12)/I13</f>
        <v>0.83436342627380711</v>
      </c>
      <c r="J14" s="22">
        <f>(J11+J12)/J13</f>
        <v>0.83671517757392133</v>
      </c>
    </row>
    <row r="17" spans="3:3" x14ac:dyDescent="0.25">
      <c r="C17" s="9"/>
    </row>
  </sheetData>
  <pageMargins left="0.511811024" right="0.511811024" top="0.78740157499999996" bottom="0.78740157499999996" header="0.31496062000000002" footer="0.31496062000000002"/>
  <ignoredErrors>
    <ignoredError sqref="E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4"/>
  <sheetViews>
    <sheetView workbookViewId="0">
      <selection activeCell="C12" sqref="C12"/>
    </sheetView>
  </sheetViews>
  <sheetFormatPr defaultRowHeight="15" x14ac:dyDescent="0.25"/>
  <cols>
    <col min="2" max="2" width="30.85546875" bestFit="1" customWidth="1"/>
    <col min="3" max="3" width="13" customWidth="1"/>
    <col min="4" max="4" width="12" customWidth="1"/>
    <col min="5" max="6" width="10.5703125" bestFit="1" customWidth="1"/>
    <col min="7" max="12" width="11.5703125" bestFit="1" customWidth="1"/>
  </cols>
  <sheetData>
    <row r="2" spans="1:12" ht="18.75" x14ac:dyDescent="0.3">
      <c r="A2" s="3" t="s">
        <v>81</v>
      </c>
    </row>
    <row r="4" spans="1:12" x14ac:dyDescent="0.25">
      <c r="A4" s="1" t="s">
        <v>6</v>
      </c>
      <c r="B4" s="1" t="s">
        <v>41</v>
      </c>
      <c r="C4" s="1" t="s">
        <v>82</v>
      </c>
      <c r="D4" s="1" t="s">
        <v>84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</row>
    <row r="5" spans="1:12" x14ac:dyDescent="0.25">
      <c r="A5" s="10"/>
      <c r="B5" s="10"/>
      <c r="C5" s="10" t="s">
        <v>83</v>
      </c>
      <c r="D5" s="10" t="s">
        <v>85</v>
      </c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27">
        <v>1</v>
      </c>
      <c r="B6" s="1" t="s">
        <v>51</v>
      </c>
      <c r="C6" s="1"/>
      <c r="D6" s="1"/>
      <c r="E6" s="17">
        <f>SUM(E7:E10)</f>
        <v>7070</v>
      </c>
      <c r="F6" s="17">
        <f t="shared" ref="F6:L6" si="0">SUM(F7:F10)</f>
        <v>7070</v>
      </c>
      <c r="G6" s="17">
        <f t="shared" si="0"/>
        <v>84840</v>
      </c>
      <c r="H6" s="17">
        <f t="shared" si="0"/>
        <v>89082</v>
      </c>
      <c r="I6" s="17">
        <f t="shared" si="0"/>
        <v>93536.1</v>
      </c>
      <c r="J6" s="17">
        <f t="shared" si="0"/>
        <v>98212.905000000013</v>
      </c>
      <c r="K6" s="17">
        <f t="shared" si="0"/>
        <v>103123.55025000001</v>
      </c>
      <c r="L6" s="17">
        <f t="shared" si="0"/>
        <v>468794.55524999998</v>
      </c>
    </row>
    <row r="7" spans="1:12" x14ac:dyDescent="0.25">
      <c r="A7" s="5" t="s">
        <v>60</v>
      </c>
      <c r="B7" t="s">
        <v>86</v>
      </c>
      <c r="C7" s="14">
        <f>2240/16000*(1+Parâmetros!$B$2)</f>
        <v>0.14000000000000001</v>
      </c>
      <c r="D7">
        <f>Parâmetros!B4</f>
        <v>16000</v>
      </c>
      <c r="E7" s="8">
        <f>+D7*C7</f>
        <v>2240</v>
      </c>
      <c r="F7" s="9">
        <f>E7</f>
        <v>2240</v>
      </c>
      <c r="G7" s="9">
        <f>F7*12</f>
        <v>26880</v>
      </c>
      <c r="H7" s="9">
        <f>G7*(1+Parâmetros!$B$3)</f>
        <v>28224</v>
      </c>
      <c r="I7" s="9">
        <f>H7*(1+Parâmetros!$B$3)</f>
        <v>29635.200000000001</v>
      </c>
      <c r="J7" s="9">
        <f>I7*(1+Parâmetros!$B$3)</f>
        <v>31116.960000000003</v>
      </c>
      <c r="K7" s="9">
        <f>J7*(1+Parâmetros!$B$3)</f>
        <v>32672.808000000005</v>
      </c>
      <c r="L7" s="9">
        <f>SUM(G7:K7)</f>
        <v>148528.96799999999</v>
      </c>
    </row>
    <row r="8" spans="1:12" x14ac:dyDescent="0.25">
      <c r="A8" s="5" t="s">
        <v>61</v>
      </c>
      <c r="B8" t="s">
        <v>87</v>
      </c>
      <c r="C8">
        <f>1680/16000*(1+Parâmetros!$B$2)</f>
        <v>0.105</v>
      </c>
      <c r="D8">
        <f>D7</f>
        <v>16000</v>
      </c>
      <c r="E8" s="8">
        <f>+D8*C8</f>
        <v>1680</v>
      </c>
      <c r="F8" s="9">
        <f t="shared" ref="F8:F12" si="1">E8</f>
        <v>1680</v>
      </c>
      <c r="G8" s="9">
        <f t="shared" ref="G8:G12" si="2">F8*12</f>
        <v>20160</v>
      </c>
      <c r="H8" s="9">
        <f>G8*(1+Parâmetros!$B$3)</f>
        <v>21168</v>
      </c>
      <c r="I8" s="9">
        <f>H8*(1+Parâmetros!$B$3)</f>
        <v>22226.400000000001</v>
      </c>
      <c r="J8" s="9">
        <f>I8*(1+Parâmetros!$B$3)</f>
        <v>23337.72</v>
      </c>
      <c r="K8" s="9">
        <f>J8*(1+Parâmetros!$B$3)</f>
        <v>24504.606000000003</v>
      </c>
      <c r="L8" s="9">
        <f t="shared" ref="L8:L11" si="3">SUM(G8:K8)</f>
        <v>111396.726</v>
      </c>
    </row>
    <row r="9" spans="1:12" x14ac:dyDescent="0.25">
      <c r="A9" s="5" t="s">
        <v>62</v>
      </c>
      <c r="B9" t="s">
        <v>88</v>
      </c>
      <c r="C9">
        <f>2100/16000*(1+Parâmetros!$B$2)</f>
        <v>0.13125000000000001</v>
      </c>
      <c r="D9">
        <f>D8</f>
        <v>16000</v>
      </c>
      <c r="E9" s="8">
        <f>+D9*C9</f>
        <v>2100</v>
      </c>
      <c r="F9" s="9">
        <f t="shared" si="1"/>
        <v>2100</v>
      </c>
      <c r="G9" s="9">
        <f t="shared" si="2"/>
        <v>25200</v>
      </c>
      <c r="H9" s="9">
        <f>G9*(1+Parâmetros!$B$3)</f>
        <v>26460</v>
      </c>
      <c r="I9" s="9">
        <f>H9*(1+Parâmetros!$B$3)</f>
        <v>27783</v>
      </c>
      <c r="J9" s="9">
        <f>I9*(1+Parâmetros!$B$3)</f>
        <v>29172.15</v>
      </c>
      <c r="K9" s="9">
        <f>J9*(1+Parâmetros!$B$3)</f>
        <v>30630.757500000003</v>
      </c>
      <c r="L9" s="9">
        <f t="shared" si="3"/>
        <v>139245.9075</v>
      </c>
    </row>
    <row r="10" spans="1:12" x14ac:dyDescent="0.25">
      <c r="A10" s="5" t="s">
        <v>63</v>
      </c>
      <c r="B10" t="s">
        <v>89</v>
      </c>
      <c r="C10">
        <f>1050/16000*(1+Parâmetros!$B$2)</f>
        <v>6.5625000000000003E-2</v>
      </c>
      <c r="D10">
        <f>D9</f>
        <v>16000</v>
      </c>
      <c r="E10" s="8">
        <f>+D10*C10</f>
        <v>1050</v>
      </c>
      <c r="F10" s="9">
        <f t="shared" si="1"/>
        <v>1050</v>
      </c>
      <c r="G10" s="9">
        <f t="shared" si="2"/>
        <v>12600</v>
      </c>
      <c r="H10" s="9">
        <f>G10*(1+Parâmetros!$B$3)</f>
        <v>13230</v>
      </c>
      <c r="I10" s="9">
        <f>H10*(1+Parâmetros!$B$3)</f>
        <v>13891.5</v>
      </c>
      <c r="J10" s="9">
        <f>I10*(1+Parâmetros!$B$3)</f>
        <v>14586.075000000001</v>
      </c>
      <c r="K10" s="9">
        <f>J10*(1+Parâmetros!$B$3)</f>
        <v>15315.378750000002</v>
      </c>
      <c r="L10" s="9">
        <f t="shared" si="3"/>
        <v>69622.953750000001</v>
      </c>
    </row>
    <row r="11" spans="1:12" x14ac:dyDescent="0.25">
      <c r="A11" s="27">
        <v>2</v>
      </c>
      <c r="B11" s="1" t="s">
        <v>52</v>
      </c>
      <c r="C11">
        <f>282.8/16000*(1+Parâmetros!$B$2)</f>
        <v>1.7675E-2</v>
      </c>
      <c r="D11">
        <f>D10</f>
        <v>16000</v>
      </c>
      <c r="E11" s="17">
        <f>C11*D11</f>
        <v>282.8</v>
      </c>
      <c r="F11" s="17">
        <f t="shared" si="1"/>
        <v>282.8</v>
      </c>
      <c r="G11" s="17">
        <f t="shared" si="2"/>
        <v>3393.6000000000004</v>
      </c>
      <c r="H11" s="49">
        <f>G11*(1+Parâmetros!$B$3)</f>
        <v>3563.2800000000007</v>
      </c>
      <c r="I11" s="49">
        <f>H11*(1+Parâmetros!$B$3)</f>
        <v>3741.4440000000009</v>
      </c>
      <c r="J11" s="49">
        <f>I11*(1+Parâmetros!$B$3)</f>
        <v>3928.5162000000009</v>
      </c>
      <c r="K11" s="49">
        <f>J11*(1+Parâmetros!$B$3)</f>
        <v>4124.9420100000016</v>
      </c>
      <c r="L11" s="17">
        <f t="shared" si="3"/>
        <v>18751.782210000005</v>
      </c>
    </row>
    <row r="12" spans="1:12" x14ac:dyDescent="0.25">
      <c r="A12" s="27">
        <v>3</v>
      </c>
      <c r="B12" s="1" t="s">
        <v>53</v>
      </c>
      <c r="C12">
        <f>1200/16000*(1+Parâmetros!$B$2)</f>
        <v>7.4999999999999997E-2</v>
      </c>
      <c r="D12">
        <f>D11</f>
        <v>16000</v>
      </c>
      <c r="E12" s="17">
        <f>C12*D12</f>
        <v>1200</v>
      </c>
      <c r="F12" s="17">
        <f t="shared" si="1"/>
        <v>1200</v>
      </c>
      <c r="G12" s="17">
        <f t="shared" si="2"/>
        <v>14400</v>
      </c>
      <c r="H12" s="49">
        <f>G12*(1+Parâmetros!$B$3)</f>
        <v>15120</v>
      </c>
      <c r="I12" s="49">
        <f>H12*(1+Parâmetros!$B$3)</f>
        <v>15876</v>
      </c>
      <c r="J12" s="49">
        <f>I12*(1+Parâmetros!$B$3)</f>
        <v>16669.8</v>
      </c>
      <c r="K12" s="49">
        <f>J12*(1+Parâmetros!$B$3)</f>
        <v>17503.29</v>
      </c>
      <c r="L12" s="17">
        <f t="shared" ref="L12" si="4">SUM(G12:K12)</f>
        <v>79569.09</v>
      </c>
    </row>
    <row r="13" spans="1:12" x14ac:dyDescent="0.25">
      <c r="A13" s="28">
        <v>4</v>
      </c>
      <c r="B13" s="34" t="s">
        <v>90</v>
      </c>
      <c r="C13" s="10"/>
      <c r="D13" s="10"/>
      <c r="E13" s="35">
        <f>MãoObraDireta!C14</f>
        <v>2346.12</v>
      </c>
      <c r="F13" s="35">
        <f>MãoObraDireta!D14</f>
        <v>2346.12</v>
      </c>
      <c r="G13" s="35">
        <f>MãoObraDireta!E14</f>
        <v>28153.440000000002</v>
      </c>
      <c r="H13" s="35">
        <f>MãoObraDireta!F14</f>
        <v>29561.112000000001</v>
      </c>
      <c r="I13" s="35">
        <f>MãoObraDireta!G14</f>
        <v>31039.167600000001</v>
      </c>
      <c r="J13" s="35">
        <f>MãoObraDireta!H14</f>
        <v>32591.125980000001</v>
      </c>
      <c r="K13" s="35">
        <f>MãoObraDireta!I14</f>
        <v>34220.682279000008</v>
      </c>
      <c r="L13" s="35">
        <f>MãoObraDireta!J14</f>
        <v>155565.52785899997</v>
      </c>
    </row>
    <row r="14" spans="1:12" x14ac:dyDescent="0.25">
      <c r="A14" s="1"/>
      <c r="B14" s="1" t="s">
        <v>91</v>
      </c>
      <c r="C14" s="1"/>
      <c r="D14" s="1"/>
      <c r="E14" s="12">
        <f>E6+E11+E12+E13</f>
        <v>10898.919999999998</v>
      </c>
      <c r="F14" s="12">
        <f t="shared" ref="F14:L14" si="5">F6+F11+F12+F13</f>
        <v>10898.919999999998</v>
      </c>
      <c r="G14" s="12">
        <f t="shared" si="5"/>
        <v>130787.04000000001</v>
      </c>
      <c r="H14" s="12">
        <f t="shared" si="5"/>
        <v>137326.39199999999</v>
      </c>
      <c r="I14" s="12">
        <f t="shared" si="5"/>
        <v>144192.71160000001</v>
      </c>
      <c r="J14" s="12">
        <f t="shared" si="5"/>
        <v>151402.34718000001</v>
      </c>
      <c r="K14" s="12">
        <f t="shared" si="5"/>
        <v>158972.46453900001</v>
      </c>
      <c r="L14" s="12">
        <f t="shared" si="5"/>
        <v>722680.95531899994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9"/>
  <sheetViews>
    <sheetView workbookViewId="0">
      <selection activeCell="C8" sqref="C8"/>
    </sheetView>
  </sheetViews>
  <sheetFormatPr defaultRowHeight="15" x14ac:dyDescent="0.25"/>
  <cols>
    <col min="2" max="2" width="32.5703125" bestFit="1" customWidth="1"/>
    <col min="3" max="4" width="9.5703125" bestFit="1" customWidth="1"/>
    <col min="5" max="9" width="10.5703125" bestFit="1" customWidth="1"/>
    <col min="10" max="10" width="11.5703125" bestFit="1" customWidth="1"/>
  </cols>
  <sheetData>
    <row r="2" spans="1:10" ht="18.75" x14ac:dyDescent="0.3">
      <c r="A2" s="3" t="s">
        <v>93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26">
        <v>1</v>
      </c>
      <c r="B6" t="s">
        <v>94</v>
      </c>
      <c r="C6" s="33">
        <f>150*(1+Parâmetros!$B$2)</f>
        <v>150</v>
      </c>
      <c r="D6" s="33">
        <f>C6</f>
        <v>150</v>
      </c>
      <c r="E6" s="48">
        <f>D6*12</f>
        <v>1800</v>
      </c>
      <c r="F6" s="48">
        <f>+E6*(1+Parâmetros!$B$3)</f>
        <v>1890</v>
      </c>
      <c r="G6" s="48">
        <f>+F6*(1+Parâmetros!$B$3)</f>
        <v>1984.5</v>
      </c>
      <c r="H6" s="48">
        <f>+G6*(1+Parâmetros!$B$3)</f>
        <v>2083.7249999999999</v>
      </c>
      <c r="I6" s="48">
        <f>+H6*(1+Parâmetros!$B$3)</f>
        <v>2187.9112500000001</v>
      </c>
      <c r="J6" s="33">
        <f>SUM(E6:I6)</f>
        <v>9946.1362499999996</v>
      </c>
    </row>
    <row r="7" spans="1:10" x14ac:dyDescent="0.25">
      <c r="A7" s="26">
        <v>2</v>
      </c>
      <c r="B7" t="s">
        <v>54</v>
      </c>
      <c r="C7" s="8">
        <f>600*(1+Parâmetros!$B$2)</f>
        <v>600</v>
      </c>
      <c r="D7" s="33">
        <f t="shared" ref="D7:D8" si="0">C7</f>
        <v>600</v>
      </c>
      <c r="E7" s="48">
        <f t="shared" ref="E7:E8" si="1">D7*12</f>
        <v>7200</v>
      </c>
      <c r="F7" s="48">
        <f>+E7*(1+Parâmetros!$B$3)</f>
        <v>7560</v>
      </c>
      <c r="G7" s="48">
        <f>+F7*(1+Parâmetros!$B$3)</f>
        <v>7938</v>
      </c>
      <c r="H7" s="48">
        <f>+G7*(1+Parâmetros!$B$3)</f>
        <v>8334.9</v>
      </c>
      <c r="I7" s="48">
        <f>+H7*(1+Parâmetros!$B$3)</f>
        <v>8751.6450000000004</v>
      </c>
      <c r="J7" s="33">
        <f t="shared" ref="J7:J9" si="2">SUM(E7:I7)</f>
        <v>39784.544999999998</v>
      </c>
    </row>
    <row r="8" spans="1:10" x14ac:dyDescent="0.25">
      <c r="A8" s="26">
        <v>3</v>
      </c>
      <c r="B8" t="s">
        <v>95</v>
      </c>
      <c r="C8" s="8">
        <f>70*(1+Parâmetros!$B$2)</f>
        <v>70</v>
      </c>
      <c r="D8" s="33">
        <f t="shared" si="0"/>
        <v>70</v>
      </c>
      <c r="E8" s="48">
        <f t="shared" si="1"/>
        <v>840</v>
      </c>
      <c r="F8" s="48">
        <f>+E8*(1+Parâmetros!$B$3)</f>
        <v>882</v>
      </c>
      <c r="G8" s="48">
        <f>+F8*(1+Parâmetros!$B$3)</f>
        <v>926.1</v>
      </c>
      <c r="H8" s="48">
        <f>+G8*(1+Parâmetros!$B$3)</f>
        <v>972.40500000000009</v>
      </c>
      <c r="I8" s="48">
        <f>+H8*(1+Parâmetros!$B$3)</f>
        <v>1021.0252500000001</v>
      </c>
      <c r="J8" s="33">
        <f t="shared" si="2"/>
        <v>4641.5302499999998</v>
      </c>
    </row>
    <row r="9" spans="1:10" x14ac:dyDescent="0.25">
      <c r="A9" s="26">
        <v>4</v>
      </c>
      <c r="B9" t="s">
        <v>96</v>
      </c>
      <c r="C9" s="8">
        <f>Depreciação!C6</f>
        <v>444.58300000000003</v>
      </c>
      <c r="D9" s="8">
        <f>Depreciação!D6</f>
        <v>444.58300000000003</v>
      </c>
      <c r="E9" s="47">
        <f>Depreciação!E6</f>
        <v>5334.9960000000001</v>
      </c>
      <c r="F9" s="8">
        <f>Depreciação!F6</f>
        <v>5334.9960000000001</v>
      </c>
      <c r="G9" s="8">
        <f>Depreciação!G6</f>
        <v>5334.9960000000001</v>
      </c>
      <c r="H9" s="8">
        <f>Depreciação!H6</f>
        <v>5334.9960000000001</v>
      </c>
      <c r="I9" s="8">
        <f>Depreciação!I6</f>
        <v>5334.9960000000001</v>
      </c>
      <c r="J9" s="33">
        <f t="shared" si="2"/>
        <v>26674.98</v>
      </c>
    </row>
    <row r="10" spans="1:10" x14ac:dyDescent="0.25">
      <c r="A10" s="26">
        <v>5</v>
      </c>
      <c r="B10" t="s">
        <v>97</v>
      </c>
      <c r="C10" s="8">
        <f>Depreciação!C7</f>
        <v>193.59</v>
      </c>
      <c r="D10" s="8">
        <f>Depreciação!D7</f>
        <v>193.59</v>
      </c>
      <c r="E10" s="47">
        <f>Depreciação!E7</f>
        <v>2323.08</v>
      </c>
      <c r="F10" s="8">
        <f>Depreciação!F7</f>
        <v>2439.2339999999999</v>
      </c>
      <c r="G10" s="8">
        <f>Depreciação!G7</f>
        <v>2561.1957000000002</v>
      </c>
      <c r="H10" s="8">
        <f>Depreciação!H7</f>
        <v>2689.2554850000001</v>
      </c>
      <c r="I10" s="8">
        <f>Depreciação!I7</f>
        <v>2823.7182592500003</v>
      </c>
      <c r="J10" s="33">
        <f t="shared" ref="J10" si="3">SUM(E10:I10)</f>
        <v>12836.48344425</v>
      </c>
    </row>
    <row r="11" spans="1:10" x14ac:dyDescent="0.25">
      <c r="A11" s="26">
        <v>6</v>
      </c>
      <c r="B11" t="s">
        <v>98</v>
      </c>
      <c r="C11" s="8">
        <f>Depreciação!C8</f>
        <v>80.16</v>
      </c>
      <c r="D11" s="8">
        <f>Depreciação!D8</f>
        <v>80.16</v>
      </c>
      <c r="E11" s="47">
        <f>Depreciação!E8</f>
        <v>961.92</v>
      </c>
      <c r="F11" s="8">
        <f>Depreciação!F8</f>
        <v>1010.016</v>
      </c>
      <c r="G11" s="8">
        <f>Depreciação!G8</f>
        <v>1060.5168000000001</v>
      </c>
      <c r="H11" s="8">
        <f>Depreciação!H8</f>
        <v>1113.5426400000001</v>
      </c>
      <c r="I11" s="8">
        <f>Depreciação!I8</f>
        <v>1169.2197720000001</v>
      </c>
      <c r="J11" s="33">
        <f t="shared" ref="J11" si="4">SUM(E11:I11)</f>
        <v>5315.215212000001</v>
      </c>
    </row>
    <row r="12" spans="1:10" x14ac:dyDescent="0.25">
      <c r="A12" s="26">
        <v>7</v>
      </c>
      <c r="B12" t="s">
        <v>99</v>
      </c>
      <c r="C12" s="8">
        <f>MãoObraIndireta!C14</f>
        <v>920</v>
      </c>
      <c r="D12" s="8">
        <f>MãoObraIndireta!D14</f>
        <v>920</v>
      </c>
      <c r="E12" s="47">
        <f>MãoObraIndireta!E14</f>
        <v>11040</v>
      </c>
      <c r="F12" s="8">
        <f>MãoObraIndireta!F14</f>
        <v>11592</v>
      </c>
      <c r="G12" s="8">
        <f>MãoObraIndireta!G14</f>
        <v>12171.6</v>
      </c>
      <c r="H12" s="8">
        <f>MãoObraIndireta!H14</f>
        <v>12780.18</v>
      </c>
      <c r="I12" s="8">
        <f>MãoObraIndireta!I14</f>
        <v>13419.189000000002</v>
      </c>
      <c r="J12" s="33">
        <f t="shared" ref="J12:J15" si="5">SUM(E12:I12)</f>
        <v>61002.968999999997</v>
      </c>
    </row>
    <row r="13" spans="1:10" x14ac:dyDescent="0.25">
      <c r="B13" s="1" t="s">
        <v>4</v>
      </c>
      <c r="C13" s="17">
        <f>SUM(C6:C12)</f>
        <v>2458.3330000000001</v>
      </c>
      <c r="D13" s="17">
        <f>SUM(D6:D12)</f>
        <v>2458.3330000000001</v>
      </c>
      <c r="E13" s="49">
        <f t="shared" ref="E13:G13" si="6">SUM(E6:E12)</f>
        <v>29499.995999999999</v>
      </c>
      <c r="F13" s="17">
        <f t="shared" si="6"/>
        <v>30708.245999999999</v>
      </c>
      <c r="G13" s="17">
        <f t="shared" si="6"/>
        <v>31976.908500000005</v>
      </c>
      <c r="H13" s="17">
        <f>SUM(H6:H12)</f>
        <v>33309.004125000007</v>
      </c>
      <c r="I13" s="17">
        <f>SUM(I6:I12)</f>
        <v>34707.704531250005</v>
      </c>
      <c r="J13" s="17">
        <f t="shared" si="5"/>
        <v>160201.85915625002</v>
      </c>
    </row>
    <row r="14" spans="1:10" x14ac:dyDescent="0.25">
      <c r="A14" s="26">
        <v>8</v>
      </c>
      <c r="B14" t="s">
        <v>101</v>
      </c>
      <c r="C14" s="8">
        <f t="shared" ref="C14:I14" si="7">C13*0.03</f>
        <v>73.749989999999997</v>
      </c>
      <c r="D14" s="8">
        <f t="shared" si="7"/>
        <v>73.749989999999997</v>
      </c>
      <c r="E14" s="47">
        <f t="shared" si="7"/>
        <v>884.99987999999996</v>
      </c>
      <c r="F14" s="8">
        <f t="shared" si="7"/>
        <v>921.24737999999991</v>
      </c>
      <c r="G14" s="8">
        <f t="shared" si="7"/>
        <v>959.30725500000017</v>
      </c>
      <c r="H14" s="8">
        <f t="shared" si="7"/>
        <v>999.27012375000015</v>
      </c>
      <c r="I14" s="8">
        <f t="shared" si="7"/>
        <v>1041.2311359375001</v>
      </c>
      <c r="J14" s="33">
        <f>SUM(E14:I14)</f>
        <v>4806.0557746875002</v>
      </c>
    </row>
    <row r="15" spans="1:10" x14ac:dyDescent="0.25">
      <c r="A15" s="6"/>
      <c r="B15" s="10" t="s">
        <v>100</v>
      </c>
      <c r="C15" s="29">
        <f>C13+C14</f>
        <v>2532.0829899999999</v>
      </c>
      <c r="D15" s="29">
        <f t="shared" ref="D15:F15" si="8">D13+D14</f>
        <v>2532.0829899999999</v>
      </c>
      <c r="E15" s="50">
        <f t="shared" si="8"/>
        <v>30384.995879999999</v>
      </c>
      <c r="F15" s="29">
        <f t="shared" si="8"/>
        <v>31629.49338</v>
      </c>
      <c r="G15" s="29">
        <f>G13+G14</f>
        <v>32936.215755000005</v>
      </c>
      <c r="H15" s="29">
        <f t="shared" ref="H15" si="9">H13+H14</f>
        <v>34308.274248750007</v>
      </c>
      <c r="I15" s="29">
        <f t="shared" ref="I15" si="10">I13+I14</f>
        <v>35748.935667187507</v>
      </c>
      <c r="J15" s="29">
        <f t="shared" si="5"/>
        <v>165007.91493093752</v>
      </c>
    </row>
    <row r="17" spans="5:6" x14ac:dyDescent="0.25">
      <c r="E17" s="43" t="s">
        <v>167</v>
      </c>
    </row>
    <row r="19" spans="5:6" x14ac:dyDescent="0.25">
      <c r="E19" s="9"/>
      <c r="F19" s="9"/>
    </row>
  </sheetData>
  <pageMargins left="0.511811024" right="0.511811024" top="0.78740157499999996" bottom="0.78740157499999996" header="0.31496062000000002" footer="0.31496062000000002"/>
  <ignoredErrors>
    <ignoredError sqref="J9 D9:I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4"/>
  <sheetViews>
    <sheetView workbookViewId="0">
      <selection activeCell="C8" sqref="C8"/>
    </sheetView>
  </sheetViews>
  <sheetFormatPr defaultRowHeight="15" x14ac:dyDescent="0.25"/>
  <cols>
    <col min="2" max="2" width="35.28515625" bestFit="1" customWidth="1"/>
    <col min="3" max="4" width="9.5703125" bestFit="1" customWidth="1"/>
    <col min="5" max="9" width="10.5703125" bestFit="1" customWidth="1"/>
    <col min="10" max="10" width="11.5703125" bestFit="1" customWidth="1"/>
  </cols>
  <sheetData>
    <row r="2" spans="1:10" ht="21" x14ac:dyDescent="0.35">
      <c r="A2" s="4" t="s">
        <v>59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27">
        <v>1</v>
      </c>
      <c r="B6" s="1" t="s">
        <v>71</v>
      </c>
      <c r="C6" s="17">
        <f>SUM(C7:C10)</f>
        <v>1260</v>
      </c>
      <c r="D6" s="17">
        <f>SUM(D7:D10)</f>
        <v>1260</v>
      </c>
      <c r="E6" s="17">
        <f>SUM(E7:E10)</f>
        <v>15120</v>
      </c>
      <c r="F6" s="17">
        <f t="shared" ref="F6:J6" si="0">SUM(F7:F10)</f>
        <v>15876</v>
      </c>
      <c r="G6" s="17">
        <f t="shared" si="0"/>
        <v>16669.8</v>
      </c>
      <c r="H6" s="17">
        <f t="shared" si="0"/>
        <v>17503.29</v>
      </c>
      <c r="I6" s="17">
        <f t="shared" si="0"/>
        <v>18378.454500000003</v>
      </c>
      <c r="J6" s="17">
        <f t="shared" si="0"/>
        <v>83547.544499999989</v>
      </c>
    </row>
    <row r="7" spans="1:10" x14ac:dyDescent="0.25">
      <c r="A7" s="5" t="s">
        <v>60</v>
      </c>
      <c r="B7" t="s">
        <v>65</v>
      </c>
      <c r="C7" s="8">
        <f>560*(1+Parâmetros!$B$2)</f>
        <v>560</v>
      </c>
      <c r="D7" s="8">
        <f>C7</f>
        <v>560</v>
      </c>
      <c r="E7" s="8">
        <f>+D7*12</f>
        <v>6720</v>
      </c>
      <c r="F7" s="8">
        <f>+E7*(1+Parâmetros!$B$3)</f>
        <v>7056</v>
      </c>
      <c r="G7" s="8">
        <f>+F7*(1+Parâmetros!$B$3)</f>
        <v>7408.8</v>
      </c>
      <c r="H7" s="8">
        <f>+G7*(1+Parâmetros!$B$3)</f>
        <v>7779.2400000000007</v>
      </c>
      <c r="I7" s="8">
        <f>+H7*(1+Parâmetros!$B$3)</f>
        <v>8168.2020000000011</v>
      </c>
      <c r="J7" s="8">
        <f>SUM(E7:I7)</f>
        <v>37132.241999999998</v>
      </c>
    </row>
    <row r="8" spans="1:10" x14ac:dyDescent="0.25">
      <c r="A8" s="5" t="s">
        <v>61</v>
      </c>
      <c r="B8" t="s">
        <v>66</v>
      </c>
      <c r="C8" s="8">
        <f>280*(1+Parâmetros!$B$2)</f>
        <v>280</v>
      </c>
      <c r="D8" s="8">
        <f>C8</f>
        <v>280</v>
      </c>
      <c r="E8" s="8">
        <f t="shared" ref="E8:E10" si="1">+D8*12</f>
        <v>3360</v>
      </c>
      <c r="F8" s="8">
        <f>+E8*(1+Parâmetros!$B$3)</f>
        <v>3528</v>
      </c>
      <c r="G8" s="8">
        <f>+F8*(1+Parâmetros!$B$3)</f>
        <v>3704.4</v>
      </c>
      <c r="H8" s="8">
        <f>+G8*(1+Parâmetros!$B$3)</f>
        <v>3889.6200000000003</v>
      </c>
      <c r="I8" s="8">
        <f>+H8*(1+Parâmetros!$B$3)</f>
        <v>4084.1010000000006</v>
      </c>
      <c r="J8" s="8">
        <f t="shared" ref="J8:J10" si="2">SUM(E8:I8)</f>
        <v>18566.120999999999</v>
      </c>
    </row>
    <row r="9" spans="1:10" x14ac:dyDescent="0.25">
      <c r="A9" s="5" t="s">
        <v>62</v>
      </c>
      <c r="B9" t="s">
        <v>67</v>
      </c>
      <c r="C9" s="8">
        <f>280*(1+Parâmetros!$B$2)</f>
        <v>280</v>
      </c>
      <c r="D9" s="8">
        <f>C9</f>
        <v>280</v>
      </c>
      <c r="E9" s="8">
        <f t="shared" si="1"/>
        <v>3360</v>
      </c>
      <c r="F9" s="8">
        <f>+E9*(1+Parâmetros!$B$3)</f>
        <v>3528</v>
      </c>
      <c r="G9" s="8">
        <f>+F9*(1+Parâmetros!$B$3)</f>
        <v>3704.4</v>
      </c>
      <c r="H9" s="8">
        <f>+G9*(1+Parâmetros!$B$3)</f>
        <v>3889.6200000000003</v>
      </c>
      <c r="I9" s="8">
        <f>+H9*(1+Parâmetros!$B$3)</f>
        <v>4084.1010000000006</v>
      </c>
      <c r="J9" s="8">
        <f t="shared" si="2"/>
        <v>18566.120999999999</v>
      </c>
    </row>
    <row r="10" spans="1:10" x14ac:dyDescent="0.25">
      <c r="A10" s="7" t="s">
        <v>63</v>
      </c>
      <c r="B10" s="6" t="s">
        <v>68</v>
      </c>
      <c r="C10" s="15">
        <f>140*(1+Parâmetros!$B$2)</f>
        <v>140</v>
      </c>
      <c r="D10" s="15">
        <f>C10</f>
        <v>140</v>
      </c>
      <c r="E10" s="15">
        <f t="shared" si="1"/>
        <v>1680</v>
      </c>
      <c r="F10" s="15">
        <f>+E10*(1+Parâmetros!$B$3)</f>
        <v>1764</v>
      </c>
      <c r="G10" s="15">
        <f>+F10*(1+Parâmetros!$B$3)</f>
        <v>1852.2</v>
      </c>
      <c r="H10" s="15">
        <f>+G10*(1+Parâmetros!$B$3)</f>
        <v>1944.8100000000002</v>
      </c>
      <c r="I10" s="15">
        <f>+H10*(1+Parâmetros!$B$3)</f>
        <v>2042.0505000000003</v>
      </c>
      <c r="J10" s="15">
        <f t="shared" si="2"/>
        <v>9283.0604999999996</v>
      </c>
    </row>
    <row r="11" spans="1:10" x14ac:dyDescent="0.25"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28">
        <v>2</v>
      </c>
      <c r="B12" s="10" t="s">
        <v>64</v>
      </c>
      <c r="C12" s="29">
        <f>C6*0.862</f>
        <v>1086.1199999999999</v>
      </c>
      <c r="D12" s="29">
        <f>D6*0.862</f>
        <v>1086.1199999999999</v>
      </c>
      <c r="E12" s="29">
        <f>E6*0.862</f>
        <v>13033.44</v>
      </c>
      <c r="F12" s="29">
        <f t="shared" ref="F12:J12" si="3">F6*0.862</f>
        <v>13685.111999999999</v>
      </c>
      <c r="G12" s="29">
        <f t="shared" si="3"/>
        <v>14369.3676</v>
      </c>
      <c r="H12" s="29">
        <f t="shared" si="3"/>
        <v>15087.83598</v>
      </c>
      <c r="I12" s="29">
        <f t="shared" si="3"/>
        <v>15842.227779000003</v>
      </c>
      <c r="J12" s="29">
        <f t="shared" si="3"/>
        <v>72017.983358999991</v>
      </c>
    </row>
    <row r="13" spans="1:10" x14ac:dyDescent="0.25">
      <c r="C13" s="8"/>
      <c r="D13" s="8"/>
      <c r="E13" s="8"/>
      <c r="F13" s="8"/>
      <c r="G13" s="8"/>
      <c r="H13" s="8"/>
      <c r="I13" s="8"/>
      <c r="J13" s="8"/>
    </row>
    <row r="14" spans="1:10" x14ac:dyDescent="0.25">
      <c r="B14" s="1" t="s">
        <v>69</v>
      </c>
      <c r="C14" s="17">
        <f>C6+C12</f>
        <v>2346.12</v>
      </c>
      <c r="D14" s="17">
        <f>D6+D12</f>
        <v>2346.12</v>
      </c>
      <c r="E14" s="17">
        <f>+E6+E12</f>
        <v>28153.440000000002</v>
      </c>
      <c r="F14" s="17">
        <f t="shared" ref="F14:J14" si="4">+F6+F12</f>
        <v>29561.112000000001</v>
      </c>
      <c r="G14" s="17">
        <f t="shared" si="4"/>
        <v>31039.167600000001</v>
      </c>
      <c r="H14" s="17">
        <f t="shared" si="4"/>
        <v>32591.125980000001</v>
      </c>
      <c r="I14" s="17">
        <f t="shared" si="4"/>
        <v>34220.682279000008</v>
      </c>
      <c r="J14" s="17">
        <f t="shared" si="4"/>
        <v>155565.52785899997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4"/>
  <sheetViews>
    <sheetView workbookViewId="0">
      <selection activeCell="E6" sqref="E6"/>
    </sheetView>
  </sheetViews>
  <sheetFormatPr defaultRowHeight="15" x14ac:dyDescent="0.25"/>
  <cols>
    <col min="2" max="2" width="36.42578125" bestFit="1" customWidth="1"/>
    <col min="3" max="4" width="9.5703125" bestFit="1" customWidth="1"/>
    <col min="5" max="10" width="10.5703125" bestFit="1" customWidth="1"/>
  </cols>
  <sheetData>
    <row r="2" spans="1:10" ht="21" x14ac:dyDescent="0.35">
      <c r="A2" s="4" t="s">
        <v>70</v>
      </c>
      <c r="F2">
        <f>F6/E6</f>
        <v>1.05</v>
      </c>
      <c r="G2">
        <f>G6/F6</f>
        <v>1.05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27">
        <v>1</v>
      </c>
      <c r="B6" s="1" t="s">
        <v>72</v>
      </c>
      <c r="C6" s="17">
        <f>SUM(C7:C9)</f>
        <v>420</v>
      </c>
      <c r="D6" s="17">
        <f>SUM(D7:D9)</f>
        <v>420</v>
      </c>
      <c r="E6" s="17">
        <f>+D6*12</f>
        <v>5040</v>
      </c>
      <c r="F6" s="17">
        <f>F7+F8</f>
        <v>5292</v>
      </c>
      <c r="G6" s="17">
        <f t="shared" ref="G6:I6" si="0">G7+G8</f>
        <v>5556.6</v>
      </c>
      <c r="H6" s="17">
        <f t="shared" si="0"/>
        <v>5834.43</v>
      </c>
      <c r="I6" s="17">
        <f t="shared" si="0"/>
        <v>6126.1515000000009</v>
      </c>
      <c r="J6" s="17">
        <f>SUM(J7:J9)</f>
        <v>27849.181499999999</v>
      </c>
    </row>
    <row r="7" spans="1:10" x14ac:dyDescent="0.25">
      <c r="A7" s="5" t="s">
        <v>60</v>
      </c>
      <c r="B7" t="s">
        <v>73</v>
      </c>
      <c r="C7" s="8">
        <f>300*(1+Parâmetros!$B$2)</f>
        <v>300</v>
      </c>
      <c r="D7" s="8">
        <f>C7</f>
        <v>300</v>
      </c>
      <c r="E7" s="8">
        <f>+D7*12</f>
        <v>3600</v>
      </c>
      <c r="F7" s="8">
        <f>+E7*(1+Parâmetros!$B$3)</f>
        <v>3780</v>
      </c>
      <c r="G7" s="8">
        <f>+F7*(1+Parâmetros!$B$3)</f>
        <v>3969</v>
      </c>
      <c r="H7" s="8">
        <f>+G7*(1+Parâmetros!$B$3)</f>
        <v>4167.45</v>
      </c>
      <c r="I7" s="8">
        <f>+H7*(1+Parâmetros!$B$3)</f>
        <v>4375.8225000000002</v>
      </c>
      <c r="J7" s="8">
        <f>SUM(E7:I7)</f>
        <v>19892.272499999999</v>
      </c>
    </row>
    <row r="8" spans="1:10" x14ac:dyDescent="0.25">
      <c r="A8" s="5" t="s">
        <v>61</v>
      </c>
      <c r="B8" t="s">
        <v>74</v>
      </c>
      <c r="C8" s="8">
        <f>120*(1+Parâmetros!$B$2)</f>
        <v>120</v>
      </c>
      <c r="D8" s="8">
        <f>C8</f>
        <v>120</v>
      </c>
      <c r="E8" s="8">
        <f t="shared" ref="E8" si="1">+D8*12</f>
        <v>1440</v>
      </c>
      <c r="F8" s="8">
        <f>+E8*(1+Parâmetros!$B$3)</f>
        <v>1512</v>
      </c>
      <c r="G8" s="8">
        <f>+F8*(1+Parâmetros!$B$3)</f>
        <v>1587.6000000000001</v>
      </c>
      <c r="H8" s="8">
        <f>+G8*(1+Parâmetros!$B$3)</f>
        <v>1666.9800000000002</v>
      </c>
      <c r="I8" s="8">
        <f>+H8*(1+Parâmetros!$B$3)</f>
        <v>1750.3290000000004</v>
      </c>
      <c r="J8" s="8">
        <f t="shared" ref="J8" si="2">SUM(E8:I8)</f>
        <v>7956.9090000000015</v>
      </c>
    </row>
    <row r="9" spans="1:10" x14ac:dyDescent="0.25">
      <c r="A9" s="7"/>
      <c r="B9" s="6"/>
      <c r="C9" s="15"/>
      <c r="D9" s="15"/>
      <c r="E9" s="15"/>
      <c r="F9" s="15"/>
      <c r="G9" s="15"/>
      <c r="H9" s="15"/>
      <c r="I9" s="15"/>
      <c r="J9" s="15"/>
    </row>
    <row r="10" spans="1:10" x14ac:dyDescent="0.25"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27">
        <v>2</v>
      </c>
      <c r="B11" s="1" t="s">
        <v>75</v>
      </c>
      <c r="C11" s="30">
        <f t="shared" ref="C11:J11" si="3">+C12+C13</f>
        <v>500</v>
      </c>
      <c r="D11" s="30">
        <f t="shared" si="3"/>
        <v>500</v>
      </c>
      <c r="E11" s="30">
        <f t="shared" si="3"/>
        <v>6000</v>
      </c>
      <c r="F11" s="30">
        <f t="shared" si="3"/>
        <v>6300</v>
      </c>
      <c r="G11" s="30">
        <f t="shared" si="3"/>
        <v>6615</v>
      </c>
      <c r="H11" s="30">
        <f t="shared" si="3"/>
        <v>6945.75</v>
      </c>
      <c r="I11" s="30">
        <f t="shared" si="3"/>
        <v>7293.0375000000004</v>
      </c>
      <c r="J11" s="30">
        <f t="shared" si="3"/>
        <v>33153.787499999999</v>
      </c>
    </row>
    <row r="12" spans="1:10" x14ac:dyDescent="0.25">
      <c r="A12" s="5" t="s">
        <v>76</v>
      </c>
      <c r="B12" t="s">
        <v>78</v>
      </c>
      <c r="C12" s="31">
        <f>400*(1+Parâmetros!$B$2)</f>
        <v>400</v>
      </c>
      <c r="D12" s="31">
        <f>C12</f>
        <v>400</v>
      </c>
      <c r="E12" s="31">
        <f>D12*12</f>
        <v>4800</v>
      </c>
      <c r="F12" s="31">
        <f>+E12*(1+Parâmetros!$B$3)</f>
        <v>5040</v>
      </c>
      <c r="G12" s="31">
        <f>+F12*(1+Parâmetros!$B$3)</f>
        <v>5292</v>
      </c>
      <c r="H12" s="31">
        <f>+G12*(1+Parâmetros!$B$3)</f>
        <v>5556.6</v>
      </c>
      <c r="I12" s="31">
        <f>+H12*(1+Parâmetros!$B$3)</f>
        <v>5834.43</v>
      </c>
      <c r="J12" s="31">
        <f>SUM(E12:I12)</f>
        <v>26523.03</v>
      </c>
    </row>
    <row r="13" spans="1:10" x14ac:dyDescent="0.25">
      <c r="A13" s="7" t="s">
        <v>77</v>
      </c>
      <c r="B13" s="6" t="s">
        <v>79</v>
      </c>
      <c r="C13" s="15">
        <f>C12*0.25</f>
        <v>100</v>
      </c>
      <c r="D13" s="15">
        <f>C13</f>
        <v>100</v>
      </c>
      <c r="E13" s="32">
        <f>D13*12</f>
        <v>1200</v>
      </c>
      <c r="F13" s="32">
        <f>+E13*(1+Parâmetros!$B$3)</f>
        <v>1260</v>
      </c>
      <c r="G13" s="32">
        <f>+F13*(1+Parâmetros!$B$3)</f>
        <v>1323</v>
      </c>
      <c r="H13" s="32">
        <f>+G13*(1+Parâmetros!$B$3)</f>
        <v>1389.15</v>
      </c>
      <c r="I13" s="32">
        <f>+H13*(1+Parâmetros!$B$3)</f>
        <v>1458.6075000000001</v>
      </c>
      <c r="J13" s="32">
        <f>SUM(E13:I13)</f>
        <v>6630.7574999999997</v>
      </c>
    </row>
    <row r="14" spans="1:10" x14ac:dyDescent="0.25">
      <c r="B14" s="1" t="s">
        <v>80</v>
      </c>
      <c r="C14" s="17">
        <f>C6+C11</f>
        <v>920</v>
      </c>
      <c r="D14" s="17">
        <f>D6+D11</f>
        <v>920</v>
      </c>
      <c r="E14" s="17">
        <f t="shared" ref="E14:J14" si="4">+E6+E11</f>
        <v>11040</v>
      </c>
      <c r="F14" s="17">
        <f t="shared" si="4"/>
        <v>11592</v>
      </c>
      <c r="G14" s="17">
        <f t="shared" si="4"/>
        <v>12171.6</v>
      </c>
      <c r="H14" s="17">
        <f t="shared" si="4"/>
        <v>12780.18</v>
      </c>
      <c r="I14" s="17">
        <f t="shared" si="4"/>
        <v>13419.189000000002</v>
      </c>
      <c r="J14" s="17">
        <f t="shared" si="4"/>
        <v>61002.968999999997</v>
      </c>
    </row>
  </sheetData>
  <pageMargins left="0.511811024" right="0.511811024" top="0.78740157499999996" bottom="0.78740157499999996" header="0.31496062000000002" footer="0.31496062000000002"/>
  <ignoredErrors>
    <ignoredError sqref="E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26"/>
  <sheetViews>
    <sheetView topLeftCell="A9" workbookViewId="0">
      <selection activeCell="F11" sqref="F11"/>
    </sheetView>
  </sheetViews>
  <sheetFormatPr defaultRowHeight="15" x14ac:dyDescent="0.25"/>
  <cols>
    <col min="2" max="2" width="28.7109375" bestFit="1" customWidth="1"/>
    <col min="3" max="3" width="10.5703125" bestFit="1" customWidth="1"/>
    <col min="4" max="4" width="9.5703125" bestFit="1" customWidth="1"/>
    <col min="5" max="5" width="10.5703125" bestFit="1" customWidth="1"/>
    <col min="6" max="9" width="9.5703125" bestFit="1" customWidth="1"/>
    <col min="10" max="10" width="10.5703125" bestFit="1" customWidth="1"/>
  </cols>
  <sheetData>
    <row r="2" spans="1:10" ht="18.75" x14ac:dyDescent="0.3">
      <c r="A2" s="3" t="s">
        <v>102</v>
      </c>
    </row>
    <row r="4" spans="1:10" x14ac:dyDescent="0.25">
      <c r="A4" s="1" t="s">
        <v>6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 s="26">
        <v>1</v>
      </c>
      <c r="B6" t="s">
        <v>96</v>
      </c>
      <c r="C6" s="33">
        <f>444.583*(1+Parâmetros!$B$2)</f>
        <v>444.58300000000003</v>
      </c>
      <c r="D6" s="33">
        <f>C6</f>
        <v>444.58300000000003</v>
      </c>
      <c r="E6" s="33">
        <f>D6*12</f>
        <v>5334.9960000000001</v>
      </c>
      <c r="F6" s="33">
        <f>E6</f>
        <v>5334.9960000000001</v>
      </c>
      <c r="G6" s="33">
        <f t="shared" ref="G6:I6" si="0">F6</f>
        <v>5334.9960000000001</v>
      </c>
      <c r="H6" s="33">
        <f t="shared" si="0"/>
        <v>5334.9960000000001</v>
      </c>
      <c r="I6" s="33">
        <f t="shared" si="0"/>
        <v>5334.9960000000001</v>
      </c>
      <c r="J6" s="33">
        <f>SUM(E6:I6)</f>
        <v>26674.98</v>
      </c>
    </row>
    <row r="7" spans="1:10" x14ac:dyDescent="0.25">
      <c r="A7" s="26">
        <v>2</v>
      </c>
      <c r="B7" t="s">
        <v>97</v>
      </c>
      <c r="C7" s="8">
        <f>193.59*(1+Parâmetros!$B$2)</f>
        <v>193.59</v>
      </c>
      <c r="D7" s="33">
        <f t="shared" ref="D7:D8" si="1">C7</f>
        <v>193.59</v>
      </c>
      <c r="E7" s="33">
        <f t="shared" ref="E7:E8" si="2">D7*12</f>
        <v>2323.08</v>
      </c>
      <c r="F7" s="33">
        <f>+E7*(1+Parâmetros!$B$3)</f>
        <v>2439.2339999999999</v>
      </c>
      <c r="G7" s="33">
        <f>+F7*(1+Parâmetros!$B$3)</f>
        <v>2561.1957000000002</v>
      </c>
      <c r="H7" s="33">
        <f>+G7*(1+Parâmetros!$B$3)</f>
        <v>2689.2554850000001</v>
      </c>
      <c r="I7" s="33">
        <f>+H7*(1+Parâmetros!$B$3)</f>
        <v>2823.7182592500003</v>
      </c>
      <c r="J7" s="33">
        <f t="shared" ref="J7" si="3">SUM(E7:I7)</f>
        <v>12836.48344425</v>
      </c>
    </row>
    <row r="8" spans="1:10" x14ac:dyDescent="0.25">
      <c r="A8" s="36">
        <v>3</v>
      </c>
      <c r="B8" s="6" t="s">
        <v>98</v>
      </c>
      <c r="C8" s="6">
        <f>80.16*(1+Parâmetros!$B$2)</f>
        <v>80.16</v>
      </c>
      <c r="D8" s="32">
        <f t="shared" si="1"/>
        <v>80.16</v>
      </c>
      <c r="E8" s="32">
        <f t="shared" si="2"/>
        <v>961.92</v>
      </c>
      <c r="F8" s="33">
        <f>+E8*(1+Parâmetros!$B$3)</f>
        <v>1010.016</v>
      </c>
      <c r="G8" s="33">
        <f>+F8*(1+Parâmetros!$B$3)</f>
        <v>1060.5168000000001</v>
      </c>
      <c r="H8" s="33">
        <f>+G8*(1+Parâmetros!$B$3)</f>
        <v>1113.5426400000001</v>
      </c>
      <c r="I8" s="33">
        <f>+H8*(1+Parâmetros!$B$3)</f>
        <v>1169.2197720000001</v>
      </c>
      <c r="J8" s="32">
        <f t="shared" ref="J8" si="4">SUM(E8:I8)</f>
        <v>5315.215212000001</v>
      </c>
    </row>
    <row r="9" spans="1:10" x14ac:dyDescent="0.25">
      <c r="B9" s="1" t="s">
        <v>103</v>
      </c>
      <c r="C9" s="12">
        <f>SUM(C6:C8)</f>
        <v>718.33299999999997</v>
      </c>
      <c r="D9" s="1"/>
      <c r="E9" s="1"/>
      <c r="F9" s="1"/>
      <c r="G9" s="1"/>
      <c r="H9" s="1"/>
      <c r="I9" s="1"/>
      <c r="J9" s="1"/>
    </row>
    <row r="11" spans="1:10" x14ac:dyDescent="0.25">
      <c r="B11" s="10" t="s">
        <v>105</v>
      </c>
      <c r="C11" s="6"/>
    </row>
    <row r="12" spans="1:10" x14ac:dyDescent="0.25">
      <c r="B12" s="9" t="str">
        <f>InvInicial!B6</f>
        <v>Câmara de climatização</v>
      </c>
      <c r="C12" s="9">
        <f>InvInicial!E6</f>
        <v>2000</v>
      </c>
    </row>
    <row r="13" spans="1:10" x14ac:dyDescent="0.25">
      <c r="B13" t="str">
        <f>InvInicial!B12</f>
        <v>Tacho a gás</v>
      </c>
      <c r="C13" s="9">
        <f>InvInicial!E12</f>
        <v>5730</v>
      </c>
    </row>
    <row r="14" spans="1:10" x14ac:dyDescent="0.25">
      <c r="B14" t="str">
        <f>InvInicial!B13</f>
        <v>Dosadora de bancada</v>
      </c>
      <c r="C14" s="9">
        <f>InvInicial!E13</f>
        <v>7500</v>
      </c>
    </row>
    <row r="15" spans="1:10" x14ac:dyDescent="0.25">
      <c r="B15" t="str">
        <f>InvInicial!B14</f>
        <v>Tabuleiros</v>
      </c>
      <c r="C15" s="9">
        <f>InvInicial!E14</f>
        <v>525</v>
      </c>
    </row>
    <row r="16" spans="1:10" x14ac:dyDescent="0.25">
      <c r="B16" t="str">
        <f>InvInicial!B15</f>
        <v>Mesa preparo/resfriamento</v>
      </c>
      <c r="C16" s="9">
        <f>InvInicial!E15</f>
        <v>3300</v>
      </c>
    </row>
    <row r="17" spans="2:5" x14ac:dyDescent="0.25">
      <c r="B17" t="str">
        <f>InvInicial!B16</f>
        <v>Balança de chão</v>
      </c>
      <c r="C17" s="9">
        <f>InvInicial!E16</f>
        <v>450</v>
      </c>
    </row>
    <row r="18" spans="2:5" x14ac:dyDescent="0.25">
      <c r="B18" t="str">
        <f>InvInicial!B17</f>
        <v>Balança de mesa</v>
      </c>
      <c r="C18" s="9">
        <f>InvInicial!E17</f>
        <v>270</v>
      </c>
    </row>
    <row r="19" spans="2:5" x14ac:dyDescent="0.25">
      <c r="B19" t="str">
        <f>InvInicial!B23</f>
        <v>Mesa de escritório</v>
      </c>
      <c r="C19" s="9">
        <f>InvInicial!E23</f>
        <v>240</v>
      </c>
    </row>
    <row r="20" spans="2:5" x14ac:dyDescent="0.25">
      <c r="B20" t="str">
        <f>InvInicial!B24</f>
        <v>Telefax</v>
      </c>
      <c r="C20" s="9">
        <f>InvInicial!E24</f>
        <v>260</v>
      </c>
    </row>
    <row r="21" spans="2:5" x14ac:dyDescent="0.25">
      <c r="B21" t="str">
        <f>InvInicial!B25</f>
        <v>Cadeiras</v>
      </c>
      <c r="C21" s="9">
        <f>InvInicial!E25</f>
        <v>90</v>
      </c>
    </row>
    <row r="22" spans="2:5" x14ac:dyDescent="0.25">
      <c r="B22" t="str">
        <f>InvInicial!B26</f>
        <v>Poltrona</v>
      </c>
      <c r="C22" s="9">
        <f>InvInicial!E26</f>
        <v>110</v>
      </c>
    </row>
    <row r="23" spans="2:5" x14ac:dyDescent="0.25">
      <c r="B23" t="str">
        <f>InvInicial!B27</f>
        <v>Mesa de centro</v>
      </c>
      <c r="C23" s="9">
        <f>InvInicial!E27</f>
        <v>100</v>
      </c>
    </row>
    <row r="24" spans="2:5" x14ac:dyDescent="0.25">
      <c r="B24" s="6" t="str">
        <f>InvInicial!B34</f>
        <v>Pick up VW ano 2007</v>
      </c>
      <c r="C24" s="16">
        <f>InvInicial!E34</f>
        <v>7500</v>
      </c>
    </row>
    <row r="25" spans="2:5" x14ac:dyDescent="0.25">
      <c r="B25" s="1" t="s">
        <v>103</v>
      </c>
      <c r="C25" s="12">
        <f>SUM(C12:C24)</f>
        <v>28075</v>
      </c>
      <c r="E25" s="9"/>
    </row>
    <row r="26" spans="2:5" x14ac:dyDescent="0.25">
      <c r="B26" s="1" t="s">
        <v>104</v>
      </c>
      <c r="C26" s="12">
        <f>C25-J6</f>
        <v>1400.0200000000004</v>
      </c>
      <c r="E26" s="9"/>
    </row>
  </sheetData>
  <pageMargins left="0.511811024" right="0.511811024" top="0.78740157499999996" bottom="0.78740157499999996" header="0.31496062000000002" footer="0.31496062000000002"/>
  <ignoredErrors>
    <ignoredError sqref="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Parâmetros</vt:lpstr>
      <vt:lpstr>Análise</vt:lpstr>
      <vt:lpstr>InvInicial</vt:lpstr>
      <vt:lpstr>CustosTotais</vt:lpstr>
      <vt:lpstr>CustosVariáveis</vt:lpstr>
      <vt:lpstr>CustosFixos</vt:lpstr>
      <vt:lpstr>MãoObraDireta</vt:lpstr>
      <vt:lpstr>MãoObraIndireta</vt:lpstr>
      <vt:lpstr>Depreciação</vt:lpstr>
      <vt:lpstr>Receitas</vt:lpstr>
      <vt:lpstr>ImpostComissões</vt:lpstr>
      <vt:lpstr>DRE</vt:lpstr>
      <vt:lpstr>Financ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Pedroh</dc:creator>
  <cp:lastModifiedBy>Lenovo</cp:lastModifiedBy>
  <dcterms:created xsi:type="dcterms:W3CDTF">2013-07-07T12:19:15Z</dcterms:created>
  <dcterms:modified xsi:type="dcterms:W3CDTF">2024-11-25T11:13:25Z</dcterms:modified>
</cp:coreProperties>
</file>