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1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umnosuaicl-my.sharepoint.com/personal/paolflores_alumnos_uai_cl/Documents/pasantia onedrive/"/>
    </mc:Choice>
  </mc:AlternateContent>
  <xr:revisionPtr revIDLastSave="2182" documentId="8_{BE65A9D8-53F1-2349-BE1B-ABABFDA14876}" xr6:coauthVersionLast="47" xr6:coauthVersionMax="47" xr10:uidLastSave="{A4E77204-F668-664C-88BD-1297D92D17BA}"/>
  <bookViews>
    <workbookView xWindow="0" yWindow="0" windowWidth="28800" windowHeight="18000" activeTab="7" xr2:uid="{79F3EA45-C7E7-604B-BD7B-3A5228B6D2FC}"/>
  </bookViews>
  <sheets>
    <sheet name="Tasa de descuento" sheetId="7" r:id="rId1"/>
    <sheet name="Tablas optimista" sheetId="1" r:id="rId2"/>
    <sheet name="Evaluación (anterior)" sheetId="2" state="hidden" r:id="rId3"/>
    <sheet name="Evaluación optimista" sheetId="3" r:id="rId4"/>
    <sheet name="Evaluación optimista beneficios" sheetId="8" r:id="rId5"/>
    <sheet name="Tablas pesimista" sheetId="5" r:id="rId6"/>
    <sheet name="Evaluación pesimista" sheetId="4" r:id="rId7"/>
    <sheet name="Sensibilidad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6" i="4" l="1"/>
  <c r="AI140" i="6"/>
  <c r="W140" i="6"/>
  <c r="AI114" i="6"/>
  <c r="W114" i="6"/>
  <c r="AI88" i="6"/>
  <c r="W88" i="6"/>
  <c r="AI62" i="6"/>
  <c r="W62" i="6"/>
  <c r="AM34" i="6"/>
  <c r="AG34" i="6"/>
  <c r="AA34" i="6"/>
  <c r="W34" i="6"/>
  <c r="O34" i="6"/>
  <c r="E34" i="6" a="1"/>
  <c r="E34" i="6" s="1"/>
  <c r="AM8" i="6"/>
  <c r="AA8" i="6"/>
  <c r="O8" i="6"/>
  <c r="E8" i="6" a="1"/>
  <c r="E8" i="6" s="1"/>
  <c r="E98" i="8"/>
  <c r="AI37" i="8"/>
  <c r="W37" i="8"/>
  <c r="AI9" i="8"/>
  <c r="W9" i="8"/>
  <c r="AI34" i="3"/>
  <c r="W34" i="3"/>
  <c r="AM33" i="4"/>
  <c r="AM7" i="4"/>
  <c r="AI8" i="3"/>
  <c r="W8" i="3"/>
  <c r="G19" i="4"/>
  <c r="G20" i="4"/>
  <c r="F19" i="4"/>
  <c r="E19" i="4"/>
  <c r="E46" i="4"/>
  <c r="F45" i="4"/>
  <c r="E45" i="4"/>
  <c r="D46" i="4"/>
  <c r="E49" i="4"/>
  <c r="E48" i="4"/>
  <c r="E47" i="4"/>
  <c r="E20" i="4"/>
  <c r="D116" i="8"/>
  <c r="D89" i="8"/>
  <c r="D76" i="8"/>
  <c r="G115" i="8"/>
  <c r="F115" i="8"/>
  <c r="D115" i="8"/>
  <c r="E113" i="8"/>
  <c r="G112" i="8"/>
  <c r="F112" i="8"/>
  <c r="D112" i="8"/>
  <c r="E111" i="8"/>
  <c r="D104" i="8"/>
  <c r="D108" i="8" s="1"/>
  <c r="E102" i="8" a="1"/>
  <c r="E102" i="8" s="1"/>
  <c r="AN101" i="8"/>
  <c r="AM101" i="8"/>
  <c r="AM104" i="8" s="1"/>
  <c r="AL101" i="8"/>
  <c r="AL104" i="8" s="1"/>
  <c r="AK101" i="8"/>
  <c r="AK104" i="8" s="1"/>
  <c r="AJ101" i="8"/>
  <c r="AJ104" i="8" s="1"/>
  <c r="AI101" i="8"/>
  <c r="AI104" i="8" s="1"/>
  <c r="AH101" i="8"/>
  <c r="AH104" i="8" s="1"/>
  <c r="AG101" i="8"/>
  <c r="AG104" i="8" s="1"/>
  <c r="AF101" i="8"/>
  <c r="AE101" i="8"/>
  <c r="AD101" i="8"/>
  <c r="AD104" i="8" s="1"/>
  <c r="AC101" i="8"/>
  <c r="AC104" i="8" s="1"/>
  <c r="AB101" i="8"/>
  <c r="AA101" i="8"/>
  <c r="AA104" i="8" s="1"/>
  <c r="Z101" i="8"/>
  <c r="Z104" i="8" s="1"/>
  <c r="Y101" i="8"/>
  <c r="Y104" i="8" s="1"/>
  <c r="X101" i="8"/>
  <c r="X104" i="8" s="1"/>
  <c r="W101" i="8"/>
  <c r="W104" i="8" s="1"/>
  <c r="V101" i="8"/>
  <c r="U101" i="8"/>
  <c r="U104" i="8" s="1"/>
  <c r="T101" i="8"/>
  <c r="S101" i="8"/>
  <c r="R101" i="8"/>
  <c r="R104" i="8" s="1"/>
  <c r="Q101" i="8"/>
  <c r="Q104" i="8" s="1"/>
  <c r="P101" i="8"/>
  <c r="O101" i="8"/>
  <c r="O104" i="8" s="1"/>
  <c r="N101" i="8"/>
  <c r="N104" i="8" s="1"/>
  <c r="M101" i="8"/>
  <c r="M104" i="8" s="1"/>
  <c r="L101" i="8"/>
  <c r="K101" i="8"/>
  <c r="J101" i="8"/>
  <c r="I101" i="8"/>
  <c r="H101" i="8"/>
  <c r="G101" i="8"/>
  <c r="F101" i="8"/>
  <c r="E101" i="8"/>
  <c r="AN99" i="8"/>
  <c r="AH99" i="8"/>
  <c r="AE99" i="8"/>
  <c r="AB99" i="8"/>
  <c r="V99" i="8"/>
  <c r="S99" i="8"/>
  <c r="P99" i="8"/>
  <c r="E99" i="8" a="1"/>
  <c r="G88" i="8"/>
  <c r="F88" i="8"/>
  <c r="E88" i="8"/>
  <c r="D88" i="8"/>
  <c r="G85" i="8"/>
  <c r="F85" i="8"/>
  <c r="E85" i="8"/>
  <c r="D85" i="8"/>
  <c r="D80" i="8"/>
  <c r="AN74" i="8"/>
  <c r="AF74" i="8"/>
  <c r="AB74" i="8"/>
  <c r="T74" i="8"/>
  <c r="P74" i="8"/>
  <c r="E74" i="8" a="1"/>
  <c r="E74" i="8" s="1"/>
  <c r="E87" i="8" s="1"/>
  <c r="AN73" i="8"/>
  <c r="AM73" i="8"/>
  <c r="AL73" i="8"/>
  <c r="AK73" i="8"/>
  <c r="AJ73" i="8"/>
  <c r="AI73" i="8"/>
  <c r="AH73" i="8"/>
  <c r="AG73" i="8"/>
  <c r="AF73" i="8"/>
  <c r="AE73" i="8"/>
  <c r="AD73" i="8"/>
  <c r="AC73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O73" i="8"/>
  <c r="N73" i="8"/>
  <c r="M73" i="8"/>
  <c r="L73" i="8"/>
  <c r="K73" i="8"/>
  <c r="J73" i="8"/>
  <c r="I73" i="8"/>
  <c r="H73" i="8"/>
  <c r="G73" i="8"/>
  <c r="F73" i="8"/>
  <c r="E73" i="8"/>
  <c r="AN71" i="8"/>
  <c r="AH71" i="8"/>
  <c r="AE71" i="8"/>
  <c r="G84" i="8" s="1"/>
  <c r="AB71" i="8"/>
  <c r="V71" i="8"/>
  <c r="S71" i="8"/>
  <c r="P71" i="8"/>
  <c r="E71" i="8" a="1"/>
  <c r="B67" i="8"/>
  <c r="B66" i="8"/>
  <c r="C55" i="1"/>
  <c r="D50" i="1"/>
  <c r="C39" i="1" s="1"/>
  <c r="D39" i="1" s="1"/>
  <c r="D51" i="1"/>
  <c r="C40" i="1" s="1"/>
  <c r="D40" i="1" s="1"/>
  <c r="F38" i="1"/>
  <c r="F39" i="1"/>
  <c r="F40" i="1"/>
  <c r="F41" i="1"/>
  <c r="F42" i="1"/>
  <c r="D53" i="1"/>
  <c r="C42" i="1" s="1"/>
  <c r="D42" i="1" s="1"/>
  <c r="D52" i="1"/>
  <c r="C41" i="1" s="1"/>
  <c r="D41" i="1" s="1"/>
  <c r="D49" i="1"/>
  <c r="C38" i="1" s="1"/>
  <c r="D38" i="1" s="1"/>
  <c r="D42" i="8"/>
  <c r="D14" i="8"/>
  <c r="H98" i="8" l="1"/>
  <c r="P98" i="8"/>
  <c r="X98" i="8"/>
  <c r="AF98" i="8"/>
  <c r="AN98" i="8"/>
  <c r="L36" i="8"/>
  <c r="T36" i="8"/>
  <c r="AB36" i="8"/>
  <c r="AJ36" i="8"/>
  <c r="I98" i="8"/>
  <c r="Q98" i="8"/>
  <c r="Y98" i="8"/>
  <c r="AG98" i="8"/>
  <c r="E36" i="8"/>
  <c r="M36" i="8"/>
  <c r="U36" i="8"/>
  <c r="AC36" i="8"/>
  <c r="AK36" i="8"/>
  <c r="J98" i="8"/>
  <c r="R98" i="8"/>
  <c r="Z98" i="8"/>
  <c r="AH98" i="8"/>
  <c r="F36" i="8"/>
  <c r="N36" i="8"/>
  <c r="V36" i="8"/>
  <c r="AD36" i="8"/>
  <c r="AL36" i="8"/>
  <c r="K98" i="8"/>
  <c r="S98" i="8"/>
  <c r="AA98" i="8"/>
  <c r="AI98" i="8"/>
  <c r="G36" i="8"/>
  <c r="O36" i="8"/>
  <c r="W36" i="8"/>
  <c r="AE36" i="8"/>
  <c r="AM36" i="8"/>
  <c r="L98" i="8"/>
  <c r="T98" i="8"/>
  <c r="AB98" i="8"/>
  <c r="AJ98" i="8"/>
  <c r="H36" i="8"/>
  <c r="P36" i="8"/>
  <c r="X36" i="8"/>
  <c r="AF36" i="8"/>
  <c r="AN36" i="8"/>
  <c r="M98" i="8"/>
  <c r="U98" i="8"/>
  <c r="AC98" i="8"/>
  <c r="AK98" i="8"/>
  <c r="I36" i="8"/>
  <c r="Q36" i="8"/>
  <c r="Y36" i="8"/>
  <c r="AG36" i="8"/>
  <c r="F98" i="8"/>
  <c r="N98" i="8"/>
  <c r="V98" i="8"/>
  <c r="AD98" i="8"/>
  <c r="AL98" i="8"/>
  <c r="J36" i="8"/>
  <c r="R36" i="8"/>
  <c r="Z36" i="8"/>
  <c r="AH36" i="8"/>
  <c r="G98" i="8"/>
  <c r="O98" i="8"/>
  <c r="W98" i="8"/>
  <c r="AE98" i="8"/>
  <c r="AM98" i="8"/>
  <c r="K36" i="8"/>
  <c r="T102" i="8" s="1"/>
  <c r="T104" i="8" s="1"/>
  <c r="S36" i="8"/>
  <c r="AA36" i="8"/>
  <c r="AI36" i="8"/>
  <c r="L70" i="8"/>
  <c r="L76" i="8" s="1"/>
  <c r="T70" i="8"/>
  <c r="T76" i="8" s="1"/>
  <c r="AB70" i="8"/>
  <c r="AB76" i="8" s="1"/>
  <c r="AJ70" i="8"/>
  <c r="AJ76" i="8" s="1"/>
  <c r="I8" i="8"/>
  <c r="Q8" i="8"/>
  <c r="Y8" i="8"/>
  <c r="AG8" i="8"/>
  <c r="M70" i="8"/>
  <c r="M76" i="8" s="1"/>
  <c r="U70" i="8"/>
  <c r="U76" i="8" s="1"/>
  <c r="AC70" i="8"/>
  <c r="AK70" i="8"/>
  <c r="AK76" i="8" s="1"/>
  <c r="J8" i="8"/>
  <c r="R8" i="8"/>
  <c r="Z8" i="8"/>
  <c r="AH8" i="8"/>
  <c r="F70" i="8"/>
  <c r="F76" i="8" s="1"/>
  <c r="N70" i="8"/>
  <c r="N76" i="8" s="1"/>
  <c r="V70" i="8"/>
  <c r="V76" i="8" s="1"/>
  <c r="AD70" i="8"/>
  <c r="AD76" i="8" s="1"/>
  <c r="AL70" i="8"/>
  <c r="AL76" i="8" s="1"/>
  <c r="K8" i="8"/>
  <c r="S8" i="8"/>
  <c r="AA8" i="8"/>
  <c r="AI8" i="8"/>
  <c r="G70" i="8"/>
  <c r="G76" i="8" s="1"/>
  <c r="O70" i="8"/>
  <c r="O76" i="8" s="1"/>
  <c r="W70" i="8"/>
  <c r="W76" i="8" s="1"/>
  <c r="AE70" i="8"/>
  <c r="AE76" i="8" s="1"/>
  <c r="AM70" i="8"/>
  <c r="AM76" i="8" s="1"/>
  <c r="L8" i="8"/>
  <c r="T8" i="8"/>
  <c r="AB8" i="8"/>
  <c r="AJ8" i="8"/>
  <c r="H70" i="8"/>
  <c r="H76" i="8" s="1"/>
  <c r="P70" i="8"/>
  <c r="P76" i="8" s="1"/>
  <c r="X70" i="8"/>
  <c r="X76" i="8" s="1"/>
  <c r="AF70" i="8"/>
  <c r="AF76" i="8" s="1"/>
  <c r="AN70" i="8"/>
  <c r="AN76" i="8" s="1"/>
  <c r="M8" i="8"/>
  <c r="U8" i="8"/>
  <c r="AC8" i="8"/>
  <c r="AK8" i="8"/>
  <c r="I70" i="8"/>
  <c r="I76" i="8" s="1"/>
  <c r="Q70" i="8"/>
  <c r="Y70" i="8"/>
  <c r="Y76" i="8" s="1"/>
  <c r="AG70" i="8"/>
  <c r="AG76" i="8" s="1"/>
  <c r="E70" i="8"/>
  <c r="F8" i="8"/>
  <c r="N8" i="8"/>
  <c r="V8" i="8"/>
  <c r="AD8" i="8"/>
  <c r="AL8" i="8"/>
  <c r="O8" i="8"/>
  <c r="AM8" i="8"/>
  <c r="J70" i="8"/>
  <c r="J76" i="8" s="1"/>
  <c r="R70" i="8"/>
  <c r="R76" i="8" s="1"/>
  <c r="Z70" i="8"/>
  <c r="Z76" i="8" s="1"/>
  <c r="AH70" i="8"/>
  <c r="AH76" i="8" s="1"/>
  <c r="E8" i="8"/>
  <c r="G8" i="8"/>
  <c r="W8" i="8"/>
  <c r="AE8" i="8"/>
  <c r="K70" i="8"/>
  <c r="K76" i="8" s="1"/>
  <c r="S70" i="8"/>
  <c r="S76" i="8" s="1"/>
  <c r="AA70" i="8"/>
  <c r="AA76" i="8" s="1"/>
  <c r="AI70" i="8"/>
  <c r="AI76" i="8" s="1"/>
  <c r="H8" i="8"/>
  <c r="P8" i="8"/>
  <c r="X8" i="8"/>
  <c r="AF8" i="8"/>
  <c r="AN8" i="8"/>
  <c r="V104" i="8"/>
  <c r="F111" i="8"/>
  <c r="AB102" i="8"/>
  <c r="F114" i="8" s="1"/>
  <c r="F116" i="8" s="1"/>
  <c r="I104" i="8"/>
  <c r="E114" i="8"/>
  <c r="G113" i="8"/>
  <c r="AF102" i="8"/>
  <c r="AF104" i="8" s="1"/>
  <c r="F87" i="8"/>
  <c r="G111" i="8"/>
  <c r="P102" i="8"/>
  <c r="E115" i="8" s="1"/>
  <c r="E116" i="8" s="1"/>
  <c r="E86" i="8"/>
  <c r="G86" i="8"/>
  <c r="G87" i="8"/>
  <c r="D120" i="8"/>
  <c r="D93" i="8"/>
  <c r="J104" i="8"/>
  <c r="K104" i="8"/>
  <c r="S104" i="8"/>
  <c r="L104" i="8"/>
  <c r="F86" i="8"/>
  <c r="G104" i="8"/>
  <c r="AE104" i="8"/>
  <c r="F113" i="8"/>
  <c r="H104" i="8"/>
  <c r="E71" i="8"/>
  <c r="F84" i="8"/>
  <c r="F104" i="8"/>
  <c r="E99" i="8"/>
  <c r="G54" i="8"/>
  <c r="F54" i="8"/>
  <c r="E54" i="8"/>
  <c r="D54" i="8"/>
  <c r="G51" i="8"/>
  <c r="F51" i="8"/>
  <c r="E51" i="8"/>
  <c r="D51" i="8"/>
  <c r="D46" i="8"/>
  <c r="E40" i="8" a="1"/>
  <c r="AB40" i="8" s="1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AN37" i="8"/>
  <c r="AM37" i="8"/>
  <c r="AH37" i="8"/>
  <c r="AG37" i="8"/>
  <c r="AF37" i="8"/>
  <c r="AE37" i="8"/>
  <c r="AD37" i="8"/>
  <c r="AC37" i="8"/>
  <c r="AB37" i="8"/>
  <c r="AA37" i="8"/>
  <c r="V37" i="8"/>
  <c r="U37" i="8"/>
  <c r="T37" i="8"/>
  <c r="S37" i="8"/>
  <c r="R37" i="8"/>
  <c r="Q37" i="8"/>
  <c r="P37" i="8"/>
  <c r="O37" i="8"/>
  <c r="E37" i="8" a="1"/>
  <c r="G26" i="8"/>
  <c r="F26" i="8"/>
  <c r="E26" i="8"/>
  <c r="D26" i="8"/>
  <c r="G25" i="8"/>
  <c r="F25" i="8"/>
  <c r="G23" i="8"/>
  <c r="F23" i="8"/>
  <c r="E23" i="8"/>
  <c r="D23" i="8"/>
  <c r="D18" i="8"/>
  <c r="E12" i="8" a="1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AN9" i="8"/>
  <c r="AM9" i="8"/>
  <c r="AH9" i="8"/>
  <c r="AG9" i="8"/>
  <c r="AF9" i="8"/>
  <c r="AE9" i="8"/>
  <c r="AD9" i="8"/>
  <c r="AC9" i="8"/>
  <c r="AB9" i="8"/>
  <c r="AA9" i="8"/>
  <c r="V9" i="8"/>
  <c r="U9" i="8"/>
  <c r="T9" i="8"/>
  <c r="S9" i="8"/>
  <c r="R9" i="8"/>
  <c r="Q9" i="8"/>
  <c r="P9" i="8"/>
  <c r="O9" i="8"/>
  <c r="E9" i="8" a="1"/>
  <c r="B4" i="8"/>
  <c r="B3" i="8"/>
  <c r="O21" i="1"/>
  <c r="G5" i="7"/>
  <c r="J5" i="7" s="1"/>
  <c r="G156" i="6"/>
  <c r="F156" i="6"/>
  <c r="E156" i="6"/>
  <c r="D156" i="6"/>
  <c r="G153" i="6"/>
  <c r="F153" i="6"/>
  <c r="E153" i="6"/>
  <c r="D153" i="6"/>
  <c r="D157" i="6" s="1"/>
  <c r="D145" i="6"/>
  <c r="D149" i="6" s="1"/>
  <c r="AN140" i="6"/>
  <c r="AM140" i="6"/>
  <c r="AH140" i="6"/>
  <c r="AG140" i="6"/>
  <c r="AF140" i="6"/>
  <c r="AE140" i="6"/>
  <c r="AD140" i="6"/>
  <c r="AC140" i="6"/>
  <c r="AB140" i="6"/>
  <c r="AA140" i="6"/>
  <c r="V140" i="6"/>
  <c r="U140" i="6"/>
  <c r="T140" i="6"/>
  <c r="S140" i="6"/>
  <c r="R140" i="6"/>
  <c r="Q140" i="6"/>
  <c r="P140" i="6"/>
  <c r="O140" i="6"/>
  <c r="G130" i="6"/>
  <c r="F130" i="6"/>
  <c r="E130" i="6"/>
  <c r="D130" i="6"/>
  <c r="G127" i="6"/>
  <c r="F127" i="6"/>
  <c r="E127" i="6"/>
  <c r="D127" i="6"/>
  <c r="D119" i="6"/>
  <c r="D123" i="6" s="1"/>
  <c r="AN114" i="6"/>
  <c r="AM114" i="6"/>
  <c r="AH114" i="6"/>
  <c r="AG114" i="6"/>
  <c r="AF114" i="6"/>
  <c r="AE114" i="6"/>
  <c r="AD114" i="6"/>
  <c r="AC114" i="6"/>
  <c r="AB114" i="6"/>
  <c r="AA114" i="6"/>
  <c r="V114" i="6"/>
  <c r="U114" i="6"/>
  <c r="T114" i="6"/>
  <c r="S114" i="6"/>
  <c r="R114" i="6"/>
  <c r="Q114" i="6"/>
  <c r="P114" i="6"/>
  <c r="O114" i="6"/>
  <c r="AN88" i="6"/>
  <c r="AM88" i="6"/>
  <c r="AH88" i="6"/>
  <c r="AG88" i="6"/>
  <c r="AF88" i="6"/>
  <c r="AE88" i="6"/>
  <c r="AD88" i="6"/>
  <c r="AC88" i="6"/>
  <c r="AB88" i="6"/>
  <c r="AA88" i="6"/>
  <c r="V88" i="6"/>
  <c r="U88" i="6"/>
  <c r="T88" i="6"/>
  <c r="S88" i="6"/>
  <c r="R88" i="6"/>
  <c r="Q88" i="6"/>
  <c r="P88" i="6"/>
  <c r="O88" i="6"/>
  <c r="AN62" i="6"/>
  <c r="AM62" i="6"/>
  <c r="AH62" i="6"/>
  <c r="AG62" i="6"/>
  <c r="AF62" i="6"/>
  <c r="AE62" i="6"/>
  <c r="AD62" i="6"/>
  <c r="AC62" i="6"/>
  <c r="AB62" i="6"/>
  <c r="AA62" i="6"/>
  <c r="V62" i="6"/>
  <c r="U62" i="6"/>
  <c r="T62" i="6"/>
  <c r="S62" i="6"/>
  <c r="R62" i="6"/>
  <c r="Q62" i="6"/>
  <c r="P62" i="6"/>
  <c r="O62" i="6"/>
  <c r="F74" i="6"/>
  <c r="G104" i="6"/>
  <c r="F104" i="6"/>
  <c r="E104" i="6"/>
  <c r="D104" i="6"/>
  <c r="G101" i="6"/>
  <c r="F101" i="6"/>
  <c r="E101" i="6"/>
  <c r="D101" i="6"/>
  <c r="D105" i="6" s="1"/>
  <c r="D109" i="6" s="1"/>
  <c r="D93" i="6"/>
  <c r="D97" i="6" s="1"/>
  <c r="G78" i="6"/>
  <c r="F78" i="6"/>
  <c r="E78" i="6"/>
  <c r="D78" i="6"/>
  <c r="G77" i="6"/>
  <c r="F77" i="6"/>
  <c r="G75" i="6"/>
  <c r="F75" i="6"/>
  <c r="E75" i="6"/>
  <c r="D75" i="6"/>
  <c r="D67" i="6"/>
  <c r="D71" i="6" s="1"/>
  <c r="G20" i="6"/>
  <c r="F20" i="6"/>
  <c r="G50" i="6"/>
  <c r="F50" i="6"/>
  <c r="E50" i="6"/>
  <c r="D50" i="6"/>
  <c r="G47" i="6"/>
  <c r="F47" i="6"/>
  <c r="E47" i="6"/>
  <c r="D47" i="6"/>
  <c r="D39" i="6"/>
  <c r="D43" i="6" s="1"/>
  <c r="G24" i="6"/>
  <c r="F24" i="6"/>
  <c r="E24" i="6"/>
  <c r="D24" i="6"/>
  <c r="G23" i="6"/>
  <c r="F23" i="6"/>
  <c r="G21" i="6"/>
  <c r="F21" i="6"/>
  <c r="E21" i="6"/>
  <c r="D21" i="6"/>
  <c r="D13" i="6"/>
  <c r="D17" i="6" s="1"/>
  <c r="B4" i="6"/>
  <c r="B3" i="6"/>
  <c r="G47" i="3"/>
  <c r="F47" i="3"/>
  <c r="E47" i="3"/>
  <c r="E50" i="3"/>
  <c r="D47" i="3"/>
  <c r="F21" i="3"/>
  <c r="F23" i="3"/>
  <c r="G21" i="3"/>
  <c r="E21" i="3"/>
  <c r="D21" i="3"/>
  <c r="D20" i="4"/>
  <c r="F20" i="4"/>
  <c r="G46" i="4"/>
  <c r="AG33" i="4"/>
  <c r="AA33" i="4"/>
  <c r="W33" i="4"/>
  <c r="O33" i="4"/>
  <c r="AA7" i="4"/>
  <c r="O7" i="4"/>
  <c r="AN34" i="3"/>
  <c r="AM34" i="3"/>
  <c r="AB34" i="3"/>
  <c r="AC34" i="3"/>
  <c r="AD34" i="3"/>
  <c r="AE34" i="3"/>
  <c r="AF34" i="3"/>
  <c r="AG34" i="3"/>
  <c r="AH34" i="3"/>
  <c r="AA34" i="3"/>
  <c r="P34" i="3"/>
  <c r="Q34" i="3"/>
  <c r="R34" i="3"/>
  <c r="S34" i="3"/>
  <c r="T34" i="3"/>
  <c r="U34" i="3"/>
  <c r="V34" i="3"/>
  <c r="O34" i="3"/>
  <c r="AN8" i="3"/>
  <c r="AM8" i="3"/>
  <c r="AB8" i="3"/>
  <c r="AC8" i="3"/>
  <c r="AD8" i="3"/>
  <c r="AE8" i="3"/>
  <c r="AF8" i="3"/>
  <c r="AG8" i="3"/>
  <c r="AH8" i="3"/>
  <c r="AA8" i="3"/>
  <c r="P8" i="3"/>
  <c r="Q8" i="3"/>
  <c r="R8" i="3"/>
  <c r="S8" i="3"/>
  <c r="T8" i="3"/>
  <c r="U8" i="3"/>
  <c r="V8" i="3"/>
  <c r="O8" i="3"/>
  <c r="I5" i="1"/>
  <c r="D33" i="5"/>
  <c r="E33" i="5"/>
  <c r="F33" i="5"/>
  <c r="G33" i="5"/>
  <c r="C33" i="5"/>
  <c r="E5" i="5"/>
  <c r="I5" i="5" s="1"/>
  <c r="E11" i="5"/>
  <c r="G11" i="5" s="1"/>
  <c r="E9" i="5"/>
  <c r="G9" i="5" s="1"/>
  <c r="E7" i="5"/>
  <c r="G7" i="5" s="1"/>
  <c r="F32" i="5"/>
  <c r="E32" i="5"/>
  <c r="C32" i="5"/>
  <c r="D23" i="5"/>
  <c r="E23" i="5" s="1"/>
  <c r="D22" i="5"/>
  <c r="E22" i="5" s="1"/>
  <c r="D21" i="5"/>
  <c r="E21" i="5" s="1"/>
  <c r="D20" i="5"/>
  <c r="E20" i="5" s="1"/>
  <c r="D19" i="5"/>
  <c r="E19" i="5" s="1"/>
  <c r="D18" i="5"/>
  <c r="E18" i="5" s="1"/>
  <c r="E12" i="5"/>
  <c r="G12" i="5" s="1"/>
  <c r="E10" i="5"/>
  <c r="G10" i="5" s="1"/>
  <c r="E8" i="5"/>
  <c r="G8" i="5" s="1"/>
  <c r="E6" i="5"/>
  <c r="G6" i="5" s="1"/>
  <c r="G49" i="4"/>
  <c r="F49" i="4"/>
  <c r="D49" i="4"/>
  <c r="D50" i="4" s="1"/>
  <c r="D54" i="4" s="1"/>
  <c r="D38" i="4"/>
  <c r="D42" i="4" s="1"/>
  <c r="G23" i="4"/>
  <c r="F23" i="4"/>
  <c r="E23" i="4"/>
  <c r="D23" i="4"/>
  <c r="D24" i="4" s="1"/>
  <c r="D28" i="4" s="1"/>
  <c r="D12" i="4"/>
  <c r="D16" i="4" s="1"/>
  <c r="B4" i="4"/>
  <c r="B3" i="4"/>
  <c r="E6" i="1"/>
  <c r="G6" i="1" s="1"/>
  <c r="E8" i="1"/>
  <c r="G8" i="1" s="1"/>
  <c r="E9" i="1"/>
  <c r="G9" i="1" s="1"/>
  <c r="E10" i="1"/>
  <c r="G10" i="1" s="1"/>
  <c r="E11" i="1"/>
  <c r="G11" i="1" s="1"/>
  <c r="E12" i="1"/>
  <c r="G12" i="1" s="1"/>
  <c r="E7" i="1"/>
  <c r="G7" i="1" s="1"/>
  <c r="G5" i="1"/>
  <c r="G50" i="3"/>
  <c r="F50" i="3"/>
  <c r="D50" i="3"/>
  <c r="D51" i="3" s="1"/>
  <c r="D55" i="3" s="1"/>
  <c r="D39" i="3"/>
  <c r="D43" i="3" s="1"/>
  <c r="G24" i="3"/>
  <c r="F24" i="3"/>
  <c r="E24" i="3"/>
  <c r="D24" i="3"/>
  <c r="G23" i="3"/>
  <c r="D13" i="3"/>
  <c r="D17" i="3" s="1"/>
  <c r="B4" i="3"/>
  <c r="B3" i="3"/>
  <c r="E38" i="2"/>
  <c r="E39" i="2"/>
  <c r="C40" i="2"/>
  <c r="F39" i="2"/>
  <c r="D39" i="2"/>
  <c r="C39" i="2"/>
  <c r="F38" i="2"/>
  <c r="AM27" i="2"/>
  <c r="AL27" i="2"/>
  <c r="AG27" i="2"/>
  <c r="AF27" i="2"/>
  <c r="AE27" i="2"/>
  <c r="AD27" i="2"/>
  <c r="AC27" i="2"/>
  <c r="AB27" i="2"/>
  <c r="F36" i="2" s="1"/>
  <c r="AA27" i="2"/>
  <c r="Z27" i="2"/>
  <c r="P27" i="2"/>
  <c r="Q27" i="2"/>
  <c r="E36" i="2" s="1"/>
  <c r="R27" i="2"/>
  <c r="S27" i="2"/>
  <c r="T27" i="2"/>
  <c r="U27" i="2"/>
  <c r="O27" i="2"/>
  <c r="N27" i="2"/>
  <c r="C31" i="2"/>
  <c r="A1" i="2"/>
  <c r="A2" i="2"/>
  <c r="F16" i="2"/>
  <c r="F17" i="2"/>
  <c r="F14" i="2"/>
  <c r="E17" i="2"/>
  <c r="D17" i="2"/>
  <c r="E16" i="2"/>
  <c r="E14" i="2"/>
  <c r="C17" i="2"/>
  <c r="C18" i="2" s="1"/>
  <c r="C9" i="2"/>
  <c r="F33" i="1"/>
  <c r="F32" i="1"/>
  <c r="E32" i="1"/>
  <c r="E33" i="1"/>
  <c r="C32" i="1"/>
  <c r="C33" i="1"/>
  <c r="D19" i="1"/>
  <c r="E19" i="1" s="1"/>
  <c r="D20" i="1"/>
  <c r="E20" i="1" s="1"/>
  <c r="D21" i="1"/>
  <c r="E21" i="1" s="1"/>
  <c r="F21" i="1" s="1"/>
  <c r="D22" i="1"/>
  <c r="E22" i="1" s="1"/>
  <c r="G22" i="1" s="1"/>
  <c r="D23" i="1"/>
  <c r="E23" i="1" s="1"/>
  <c r="F23" i="1" s="1"/>
  <c r="D18" i="1"/>
  <c r="E18" i="1" s="1"/>
  <c r="G18" i="1" s="1"/>
  <c r="E83" i="8" l="1"/>
  <c r="E89" i="8" s="1"/>
  <c r="E76" i="8"/>
  <c r="F83" i="8"/>
  <c r="F89" i="8" s="1"/>
  <c r="Q76" i="8"/>
  <c r="AN102" i="8"/>
  <c r="AN104" i="8" s="1"/>
  <c r="G83" i="8"/>
  <c r="G89" i="8" s="1"/>
  <c r="AC76" i="8"/>
  <c r="R42" i="8"/>
  <c r="AB104" i="8"/>
  <c r="G50" i="8"/>
  <c r="P104" i="8"/>
  <c r="D27" i="8"/>
  <c r="D31" i="8" s="1"/>
  <c r="E104" i="8"/>
  <c r="E112" i="8"/>
  <c r="E120" i="8" s="1"/>
  <c r="E84" i="8"/>
  <c r="E93" i="8" s="1"/>
  <c r="AB42" i="8"/>
  <c r="I14" i="8"/>
  <c r="Y14" i="8"/>
  <c r="G22" i="8"/>
  <c r="AG14" i="8"/>
  <c r="G42" i="8"/>
  <c r="L42" i="8"/>
  <c r="AH42" i="8"/>
  <c r="J42" i="8"/>
  <c r="AJ42" i="8"/>
  <c r="K14" i="8"/>
  <c r="S14" i="8"/>
  <c r="AA14" i="8"/>
  <c r="AI14" i="8"/>
  <c r="M42" i="8"/>
  <c r="U42" i="8"/>
  <c r="AK42" i="8"/>
  <c r="L14" i="8"/>
  <c r="AB14" i="8"/>
  <c r="G14" i="8"/>
  <c r="AE14" i="8"/>
  <c r="Y42" i="8"/>
  <c r="P14" i="8"/>
  <c r="AN14" i="8"/>
  <c r="N42" i="8"/>
  <c r="V42" i="8"/>
  <c r="AD42" i="8"/>
  <c r="AL42" i="8"/>
  <c r="M14" i="8"/>
  <c r="U14" i="8"/>
  <c r="AK14" i="8"/>
  <c r="W42" i="8"/>
  <c r="AM42" i="8"/>
  <c r="F14" i="8"/>
  <c r="N14" i="8"/>
  <c r="AD14" i="8"/>
  <c r="AG42" i="8"/>
  <c r="H14" i="8"/>
  <c r="O42" i="8"/>
  <c r="AE42" i="8"/>
  <c r="V14" i="8"/>
  <c r="AL14" i="8"/>
  <c r="X42" i="8"/>
  <c r="O14" i="8"/>
  <c r="AM14" i="8"/>
  <c r="I42" i="8"/>
  <c r="F42" i="8"/>
  <c r="X14" i="8"/>
  <c r="K42" i="8"/>
  <c r="S42" i="8"/>
  <c r="AA42" i="8"/>
  <c r="AI42" i="8"/>
  <c r="H42" i="8"/>
  <c r="J14" i="8"/>
  <c r="R14" i="8"/>
  <c r="Z14" i="8"/>
  <c r="AH14" i="8"/>
  <c r="T14" i="8"/>
  <c r="AJ14" i="8"/>
  <c r="W14" i="8"/>
  <c r="AF14" i="8"/>
  <c r="Q14" i="8"/>
  <c r="Z42" i="8"/>
  <c r="G52" i="8"/>
  <c r="E24" i="8"/>
  <c r="F52" i="8"/>
  <c r="F22" i="8"/>
  <c r="G24" i="8"/>
  <c r="D55" i="8"/>
  <c r="D59" i="8" s="1"/>
  <c r="E52" i="8"/>
  <c r="F24" i="8"/>
  <c r="AF40" i="8"/>
  <c r="AF42" i="8" s="1"/>
  <c r="AN40" i="8"/>
  <c r="E9" i="8"/>
  <c r="E12" i="8"/>
  <c r="E25" i="8" s="1"/>
  <c r="E37" i="8"/>
  <c r="E40" i="8"/>
  <c r="P40" i="8"/>
  <c r="T40" i="8"/>
  <c r="F53" i="8" s="1"/>
  <c r="F50" i="8"/>
  <c r="D25" i="6"/>
  <c r="D79" i="6"/>
  <c r="F126" i="6"/>
  <c r="G74" i="6"/>
  <c r="D131" i="6"/>
  <c r="D135" i="6" s="1"/>
  <c r="I11" i="1"/>
  <c r="D51" i="6"/>
  <c r="G126" i="6"/>
  <c r="G152" i="6"/>
  <c r="F34" i="1"/>
  <c r="E65" i="6" a="1"/>
  <c r="E11" i="6" a="1"/>
  <c r="E11" i="6" s="1"/>
  <c r="E23" i="6" s="1"/>
  <c r="I7" i="1"/>
  <c r="D161" i="6"/>
  <c r="F152" i="6"/>
  <c r="G100" i="6"/>
  <c r="D83" i="6"/>
  <c r="F100" i="6"/>
  <c r="G46" i="6"/>
  <c r="D55" i="6"/>
  <c r="D29" i="6"/>
  <c r="F46" i="6"/>
  <c r="D25" i="3"/>
  <c r="D29" i="3" s="1"/>
  <c r="I11" i="5"/>
  <c r="I10" i="5"/>
  <c r="G5" i="5"/>
  <c r="E117" i="6" s="1" a="1"/>
  <c r="E117" i="6" s="1"/>
  <c r="I9" i="5"/>
  <c r="I8" i="5"/>
  <c r="I7" i="5"/>
  <c r="I6" i="5"/>
  <c r="I12" i="5"/>
  <c r="I10" i="1"/>
  <c r="I6" i="1"/>
  <c r="I9" i="1"/>
  <c r="I8" i="1"/>
  <c r="I12" i="1"/>
  <c r="F18" i="5"/>
  <c r="G18" i="5"/>
  <c r="F22" i="5"/>
  <c r="G22" i="5"/>
  <c r="F20" i="5"/>
  <c r="G20" i="5"/>
  <c r="E34" i="5"/>
  <c r="F34" i="5"/>
  <c r="F46" i="3"/>
  <c r="C34" i="5"/>
  <c r="G21" i="5"/>
  <c r="F21" i="5"/>
  <c r="G19" i="5"/>
  <c r="F19" i="5"/>
  <c r="G23" i="5"/>
  <c r="F23" i="5"/>
  <c r="G45" i="4"/>
  <c r="G20" i="3"/>
  <c r="C34" i="1"/>
  <c r="T6" i="2" s="1"/>
  <c r="T9" i="2" s="1"/>
  <c r="F18" i="1"/>
  <c r="E11" i="3" a="1"/>
  <c r="E11" i="3" s="1"/>
  <c r="E23" i="3" s="1"/>
  <c r="E34" i="1"/>
  <c r="F20" i="1"/>
  <c r="G20" i="1"/>
  <c r="G19" i="1"/>
  <c r="E88" i="6" s="1" a="1"/>
  <c r="E88" i="6" s="1"/>
  <c r="F19" i="1"/>
  <c r="F22" i="1"/>
  <c r="G23" i="1"/>
  <c r="G21" i="1"/>
  <c r="D29" i="2" a="1"/>
  <c r="F20" i="3"/>
  <c r="G46" i="3"/>
  <c r="D7" i="2" a="1"/>
  <c r="D7" i="2" s="1"/>
  <c r="G114" i="8" l="1"/>
  <c r="G116" i="8" s="1"/>
  <c r="F120" i="8"/>
  <c r="G120" i="8" s="1"/>
  <c r="E22" i="8"/>
  <c r="E14" i="8"/>
  <c r="F93" i="8"/>
  <c r="G93" i="8" s="1"/>
  <c r="D78" i="8"/>
  <c r="D77" i="8"/>
  <c r="E80" i="8"/>
  <c r="F80" i="8" s="1"/>
  <c r="G80" i="8" s="1"/>
  <c r="H80" i="8" s="1"/>
  <c r="D91" i="8"/>
  <c r="D90" i="8"/>
  <c r="D118" i="8"/>
  <c r="D117" i="8"/>
  <c r="D106" i="8"/>
  <c r="E108" i="8"/>
  <c r="F108" i="8" s="1"/>
  <c r="G108" i="8" s="1"/>
  <c r="D105" i="8"/>
  <c r="AN42" i="8"/>
  <c r="P42" i="8"/>
  <c r="T42" i="8"/>
  <c r="F21" i="8"/>
  <c r="F27" i="8" s="1"/>
  <c r="E21" i="8"/>
  <c r="E42" i="8"/>
  <c r="E49" i="8"/>
  <c r="AC14" i="8"/>
  <c r="G21" i="8"/>
  <c r="G27" i="8" s="1"/>
  <c r="AC42" i="8"/>
  <c r="G49" i="8"/>
  <c r="F49" i="8"/>
  <c r="F55" i="8" s="1"/>
  <c r="Q42" i="8"/>
  <c r="E53" i="8"/>
  <c r="E50" i="8"/>
  <c r="G53" i="8"/>
  <c r="AL90" i="6"/>
  <c r="AL93" i="6" s="1"/>
  <c r="AD90" i="6"/>
  <c r="AD93" i="6" s="1"/>
  <c r="V90" i="6"/>
  <c r="V93" i="6" s="1"/>
  <c r="N90" i="6"/>
  <c r="N93" i="6" s="1"/>
  <c r="F90" i="6"/>
  <c r="AN64" i="6"/>
  <c r="AN67" i="6" s="1"/>
  <c r="AF64" i="6"/>
  <c r="AF67" i="6" s="1"/>
  <c r="X64" i="6"/>
  <c r="X67" i="6" s="1"/>
  <c r="P64" i="6"/>
  <c r="P67" i="6" s="1"/>
  <c r="H64" i="6"/>
  <c r="AK90" i="6"/>
  <c r="AK93" i="6" s="1"/>
  <c r="AC90" i="6"/>
  <c r="U90" i="6"/>
  <c r="U93" i="6" s="1"/>
  <c r="M90" i="6"/>
  <c r="M93" i="6" s="1"/>
  <c r="E90" i="6"/>
  <c r="AM64" i="6"/>
  <c r="AM67" i="6" s="1"/>
  <c r="AE64" i="6"/>
  <c r="AE67" i="6" s="1"/>
  <c r="W64" i="6"/>
  <c r="W67" i="6" s="1"/>
  <c r="O64" i="6"/>
  <c r="O67" i="6" s="1"/>
  <c r="G64" i="6"/>
  <c r="AJ90" i="6"/>
  <c r="AJ93" i="6" s="1"/>
  <c r="AB90" i="6"/>
  <c r="T90" i="6"/>
  <c r="L90" i="6"/>
  <c r="AL64" i="6"/>
  <c r="AL67" i="6" s="1"/>
  <c r="AD64" i="6"/>
  <c r="AD67" i="6" s="1"/>
  <c r="V64" i="6"/>
  <c r="V67" i="6" s="1"/>
  <c r="N64" i="6"/>
  <c r="N67" i="6" s="1"/>
  <c r="F64" i="6"/>
  <c r="AI90" i="6"/>
  <c r="AI93" i="6" s="1"/>
  <c r="AA90" i="6"/>
  <c r="AA93" i="6" s="1"/>
  <c r="S90" i="6"/>
  <c r="S93" i="6" s="1"/>
  <c r="K90" i="6"/>
  <c r="AK64" i="6"/>
  <c r="AK67" i="6" s="1"/>
  <c r="AC64" i="6"/>
  <c r="U64" i="6"/>
  <c r="U67" i="6" s="1"/>
  <c r="M64" i="6"/>
  <c r="M67" i="6" s="1"/>
  <c r="E64" i="6"/>
  <c r="AH90" i="6"/>
  <c r="AH93" i="6" s="1"/>
  <c r="Z90" i="6"/>
  <c r="Z93" i="6" s="1"/>
  <c r="R90" i="6"/>
  <c r="R93" i="6" s="1"/>
  <c r="J90" i="6"/>
  <c r="AJ64" i="6"/>
  <c r="AJ67" i="6" s="1"/>
  <c r="AB64" i="6"/>
  <c r="AB67" i="6" s="1"/>
  <c r="T64" i="6"/>
  <c r="T67" i="6" s="1"/>
  <c r="L64" i="6"/>
  <c r="L67" i="6" s="1"/>
  <c r="AG90" i="6"/>
  <c r="AG93" i="6" s="1"/>
  <c r="Y90" i="6"/>
  <c r="Y93" i="6" s="1"/>
  <c r="Q90" i="6"/>
  <c r="I90" i="6"/>
  <c r="AI64" i="6"/>
  <c r="AI67" i="6" s="1"/>
  <c r="AA64" i="6"/>
  <c r="AA67" i="6" s="1"/>
  <c r="S64" i="6"/>
  <c r="S67" i="6" s="1"/>
  <c r="K64" i="6"/>
  <c r="AE90" i="6"/>
  <c r="AE93" i="6" s="1"/>
  <c r="O90" i="6"/>
  <c r="O93" i="6" s="1"/>
  <c r="Q64" i="6"/>
  <c r="Q67" i="6" s="1"/>
  <c r="AN90" i="6"/>
  <c r="AF90" i="6"/>
  <c r="X90" i="6"/>
  <c r="X93" i="6" s="1"/>
  <c r="P90" i="6"/>
  <c r="H90" i="6"/>
  <c r="AH64" i="6"/>
  <c r="AH67" i="6" s="1"/>
  <c r="Z64" i="6"/>
  <c r="Z67" i="6" s="1"/>
  <c r="R64" i="6"/>
  <c r="J64" i="6"/>
  <c r="AM90" i="6"/>
  <c r="AM93" i="6" s="1"/>
  <c r="W90" i="6"/>
  <c r="W93" i="6" s="1"/>
  <c r="G90" i="6"/>
  <c r="AG64" i="6"/>
  <c r="AG67" i="6" s="1"/>
  <c r="Y64" i="6"/>
  <c r="Y67" i="6" s="1"/>
  <c r="I64" i="6"/>
  <c r="E46" i="6"/>
  <c r="E33" i="4" a="1"/>
  <c r="E33" i="4" s="1"/>
  <c r="E34" i="3" a="1"/>
  <c r="E34" i="3" s="1"/>
  <c r="E114" i="6" a="1"/>
  <c r="E114" i="6" s="1"/>
  <c r="E62" i="6" a="1"/>
  <c r="E62" i="6" s="1"/>
  <c r="E74" i="6" s="1"/>
  <c r="E8" i="3" a="1"/>
  <c r="E8" i="3" s="1"/>
  <c r="E140" i="6" a="1"/>
  <c r="E140" i="6" s="1"/>
  <c r="E10" i="4" a="1"/>
  <c r="E10" i="4" s="1"/>
  <c r="E143" i="6" a="1"/>
  <c r="E143" i="6" s="1"/>
  <c r="AL10" i="3"/>
  <c r="AL13" i="3" s="1"/>
  <c r="Y10" i="3"/>
  <c r="Y13" i="3" s="1"/>
  <c r="K10" i="3"/>
  <c r="K13" i="3" s="1"/>
  <c r="K67" i="6"/>
  <c r="E65" i="6"/>
  <c r="E77" i="6" s="1"/>
  <c r="AH10" i="3"/>
  <c r="AH13" i="3" s="1"/>
  <c r="AJ10" i="3"/>
  <c r="AJ13" i="3" s="1"/>
  <c r="H6" i="2"/>
  <c r="Z6" i="2"/>
  <c r="Z9" i="2" s="1"/>
  <c r="AL36" i="3"/>
  <c r="AL39" i="3" s="1"/>
  <c r="AH36" i="3"/>
  <c r="AH39" i="3" s="1"/>
  <c r="E37" i="3" a="1"/>
  <c r="E37" i="3" s="1"/>
  <c r="E91" i="6" a="1"/>
  <c r="E37" i="6" a="1"/>
  <c r="Y36" i="3"/>
  <c r="Y39" i="3" s="1"/>
  <c r="S10" i="3"/>
  <c r="S13" i="3" s="1"/>
  <c r="AK142" i="6"/>
  <c r="AK145" i="6" s="1"/>
  <c r="AC142" i="6"/>
  <c r="AC145" i="6" s="1"/>
  <c r="U142" i="6"/>
  <c r="U145" i="6" s="1"/>
  <c r="M142" i="6"/>
  <c r="M145" i="6" s="1"/>
  <c r="E142" i="6"/>
  <c r="AH116" i="6"/>
  <c r="AH119" i="6" s="1"/>
  <c r="Z116" i="6"/>
  <c r="Z119" i="6" s="1"/>
  <c r="R116" i="6"/>
  <c r="R119" i="6" s="1"/>
  <c r="J116" i="6"/>
  <c r="E10" i="6"/>
  <c r="E13" i="6" s="1"/>
  <c r="M10" i="6"/>
  <c r="M13" i="6" s="1"/>
  <c r="U10" i="6"/>
  <c r="U13" i="6" s="1"/>
  <c r="AC10" i="6"/>
  <c r="AK10" i="6"/>
  <c r="AK13" i="6" s="1"/>
  <c r="AJ36" i="6"/>
  <c r="AJ39" i="6" s="1"/>
  <c r="AB36" i="6"/>
  <c r="T36" i="6"/>
  <c r="L36" i="6"/>
  <c r="AJ142" i="6"/>
  <c r="AJ145" i="6" s="1"/>
  <c r="AB142" i="6"/>
  <c r="T142" i="6"/>
  <c r="L142" i="6"/>
  <c r="L145" i="6" s="1"/>
  <c r="AG116" i="6"/>
  <c r="AG119" i="6" s="1"/>
  <c r="Y116" i="6"/>
  <c r="Y119" i="6" s="1"/>
  <c r="Q116" i="6"/>
  <c r="I116" i="6"/>
  <c r="F10" i="6"/>
  <c r="N10" i="6"/>
  <c r="N13" i="6" s="1"/>
  <c r="V10" i="6"/>
  <c r="V13" i="6" s="1"/>
  <c r="AD10" i="6"/>
  <c r="AD13" i="6" s="1"/>
  <c r="AL10" i="6"/>
  <c r="AL13" i="6" s="1"/>
  <c r="AI36" i="6"/>
  <c r="AI39" i="6" s="1"/>
  <c r="AA36" i="6"/>
  <c r="AA39" i="6" s="1"/>
  <c r="S36" i="6"/>
  <c r="S39" i="6" s="1"/>
  <c r="K36" i="6"/>
  <c r="AH36" i="6"/>
  <c r="AH39" i="6" s="1"/>
  <c r="Z36" i="6"/>
  <c r="Z39" i="6" s="1"/>
  <c r="R36" i="6"/>
  <c r="R39" i="6" s="1"/>
  <c r="J36" i="6"/>
  <c r="AI142" i="6"/>
  <c r="AI145" i="6" s="1"/>
  <c r="AA142" i="6"/>
  <c r="AA145" i="6" s="1"/>
  <c r="S142" i="6"/>
  <c r="S145" i="6" s="1"/>
  <c r="K142" i="6"/>
  <c r="K145" i="6" s="1"/>
  <c r="AN116" i="6"/>
  <c r="AF116" i="6"/>
  <c r="X116" i="6"/>
  <c r="X119" i="6" s="1"/>
  <c r="P116" i="6"/>
  <c r="H116" i="6"/>
  <c r="G10" i="6"/>
  <c r="G13" i="6" s="1"/>
  <c r="O10" i="6"/>
  <c r="O13" i="6" s="1"/>
  <c r="W10" i="6"/>
  <c r="W13" i="6" s="1"/>
  <c r="AE10" i="6"/>
  <c r="AE13" i="6" s="1"/>
  <c r="AM10" i="6"/>
  <c r="AM13" i="6" s="1"/>
  <c r="AH142" i="6"/>
  <c r="Z142" i="6"/>
  <c r="Z145" i="6" s="1"/>
  <c r="R142" i="6"/>
  <c r="J142" i="6"/>
  <c r="J145" i="6" s="1"/>
  <c r="AM116" i="6"/>
  <c r="AM119" i="6" s="1"/>
  <c r="AE116" i="6"/>
  <c r="AE119" i="6" s="1"/>
  <c r="W116" i="6"/>
  <c r="W119" i="6" s="1"/>
  <c r="O116" i="6"/>
  <c r="O119" i="6" s="1"/>
  <c r="G116" i="6"/>
  <c r="H10" i="6"/>
  <c r="H13" i="6" s="1"/>
  <c r="P10" i="6"/>
  <c r="P13" i="6" s="1"/>
  <c r="X10" i="6"/>
  <c r="X13" i="6" s="1"/>
  <c r="AF10" i="6"/>
  <c r="AF13" i="6" s="1"/>
  <c r="AN10" i="6"/>
  <c r="AN13" i="6" s="1"/>
  <c r="AG36" i="6"/>
  <c r="AG39" i="6" s="1"/>
  <c r="Y36" i="6"/>
  <c r="Y39" i="6" s="1"/>
  <c r="Q36" i="6"/>
  <c r="I36" i="6"/>
  <c r="AG142" i="6"/>
  <c r="AG145" i="6" s="1"/>
  <c r="Y142" i="6"/>
  <c r="Y145" i="6" s="1"/>
  <c r="Q142" i="6"/>
  <c r="Q145" i="6" s="1"/>
  <c r="I142" i="6"/>
  <c r="I145" i="6" s="1"/>
  <c r="AL116" i="6"/>
  <c r="AL119" i="6" s="1"/>
  <c r="AD116" i="6"/>
  <c r="AD119" i="6" s="1"/>
  <c r="V116" i="6"/>
  <c r="V119" i="6" s="1"/>
  <c r="N116" i="6"/>
  <c r="N119" i="6" s="1"/>
  <c r="F116" i="6"/>
  <c r="I10" i="6"/>
  <c r="I13" i="6" s="1"/>
  <c r="Q10" i="6"/>
  <c r="Y10" i="6"/>
  <c r="Y13" i="6" s="1"/>
  <c r="AG10" i="6"/>
  <c r="AG13" i="6" s="1"/>
  <c r="AN36" i="6"/>
  <c r="AF36" i="6"/>
  <c r="X36" i="6"/>
  <c r="X39" i="6" s="1"/>
  <c r="P36" i="6"/>
  <c r="H36" i="6"/>
  <c r="AN142" i="6"/>
  <c r="AF142" i="6"/>
  <c r="X142" i="6"/>
  <c r="X145" i="6" s="1"/>
  <c r="P142" i="6"/>
  <c r="H142" i="6"/>
  <c r="H145" i="6" s="1"/>
  <c r="AK116" i="6"/>
  <c r="AK119" i="6" s="1"/>
  <c r="AC116" i="6"/>
  <c r="U116" i="6"/>
  <c r="U119" i="6" s="1"/>
  <c r="M116" i="6"/>
  <c r="M119" i="6" s="1"/>
  <c r="E116" i="6"/>
  <c r="J10" i="6"/>
  <c r="J13" i="6" s="1"/>
  <c r="R10" i="6"/>
  <c r="R13" i="6" s="1"/>
  <c r="Z10" i="6"/>
  <c r="Z13" i="6" s="1"/>
  <c r="AH10" i="6"/>
  <c r="AH13" i="6" s="1"/>
  <c r="AM36" i="6"/>
  <c r="AM39" i="6" s="1"/>
  <c r="AE36" i="6"/>
  <c r="AE39" i="6" s="1"/>
  <c r="W36" i="6"/>
  <c r="W39" i="6" s="1"/>
  <c r="O36" i="6"/>
  <c r="O39" i="6" s="1"/>
  <c r="G36" i="6"/>
  <c r="AM142" i="6"/>
  <c r="AM145" i="6" s="1"/>
  <c r="AE142" i="6"/>
  <c r="AE145" i="6" s="1"/>
  <c r="W142" i="6"/>
  <c r="W145" i="6" s="1"/>
  <c r="O142" i="6"/>
  <c r="O145" i="6" s="1"/>
  <c r="G142" i="6"/>
  <c r="G145" i="6" s="1"/>
  <c r="AJ116" i="6"/>
  <c r="AJ119" i="6" s="1"/>
  <c r="AB116" i="6"/>
  <c r="T116" i="6"/>
  <c r="L116" i="6"/>
  <c r="L119" i="6" s="1"/>
  <c r="K10" i="6"/>
  <c r="S10" i="6"/>
  <c r="S13" i="6" s="1"/>
  <c r="AA10" i="6"/>
  <c r="AA13" i="6" s="1"/>
  <c r="AI10" i="6"/>
  <c r="AI13" i="6" s="1"/>
  <c r="AL36" i="6"/>
  <c r="AL39" i="6" s="1"/>
  <c r="AD36" i="6"/>
  <c r="V36" i="6"/>
  <c r="V39" i="6" s="1"/>
  <c r="N36" i="6"/>
  <c r="N39" i="6" s="1"/>
  <c r="F36" i="6"/>
  <c r="F39" i="6" s="1"/>
  <c r="AL142" i="6"/>
  <c r="AL145" i="6" s="1"/>
  <c r="AD142" i="6"/>
  <c r="AD145" i="6" s="1"/>
  <c r="V142" i="6"/>
  <c r="V145" i="6" s="1"/>
  <c r="N142" i="6"/>
  <c r="N145" i="6" s="1"/>
  <c r="F142" i="6"/>
  <c r="F145" i="6" s="1"/>
  <c r="AI116" i="6"/>
  <c r="AI119" i="6" s="1"/>
  <c r="AA116" i="6"/>
  <c r="AA119" i="6" s="1"/>
  <c r="S116" i="6"/>
  <c r="S119" i="6" s="1"/>
  <c r="K116" i="6"/>
  <c r="K119" i="6" s="1"/>
  <c r="L10" i="6"/>
  <c r="L13" i="6" s="1"/>
  <c r="T10" i="6"/>
  <c r="T13" i="6" s="1"/>
  <c r="AB10" i="6"/>
  <c r="AB13" i="6" s="1"/>
  <c r="AJ10" i="6"/>
  <c r="AJ13" i="6" s="1"/>
  <c r="AK36" i="6"/>
  <c r="AK39" i="6" s="1"/>
  <c r="AC36" i="6"/>
  <c r="AC39" i="6" s="1"/>
  <c r="U36" i="6"/>
  <c r="U39" i="6" s="1"/>
  <c r="M36" i="6"/>
  <c r="M39" i="6" s="1"/>
  <c r="E36" i="6"/>
  <c r="L10" i="3"/>
  <c r="L13" i="3" s="1"/>
  <c r="U36" i="3"/>
  <c r="U39" i="3" s="1"/>
  <c r="AE6" i="2"/>
  <c r="AE9" i="2" s="1"/>
  <c r="W6" i="2"/>
  <c r="W9" i="2" s="1"/>
  <c r="AG10" i="3"/>
  <c r="AG13" i="3" s="1"/>
  <c r="O6" i="2"/>
  <c r="O9" i="2" s="1"/>
  <c r="AB10" i="3"/>
  <c r="AB13" i="3" s="1"/>
  <c r="AB6" i="2"/>
  <c r="AB9" i="2" s="1"/>
  <c r="AC36" i="3"/>
  <c r="AC39" i="3" s="1"/>
  <c r="O28" i="2"/>
  <c r="O31" i="2" s="1"/>
  <c r="Y28" i="2"/>
  <c r="Y31" i="2" s="1"/>
  <c r="AJ6" i="2"/>
  <c r="AJ9" i="2" s="1"/>
  <c r="K6" i="2"/>
  <c r="K9" i="2" s="1"/>
  <c r="AC6" i="2"/>
  <c r="AC9" i="2" s="1"/>
  <c r="M6" i="2"/>
  <c r="M9" i="2" s="1"/>
  <c r="H10" i="3"/>
  <c r="AM6" i="2"/>
  <c r="AM9" i="2" s="1"/>
  <c r="V6" i="2"/>
  <c r="V9" i="2" s="1"/>
  <c r="V28" i="2"/>
  <c r="V31" i="2" s="1"/>
  <c r="L36" i="3"/>
  <c r="N6" i="2"/>
  <c r="N9" i="2" s="1"/>
  <c r="X28" i="2"/>
  <c r="X31" i="2" s="1"/>
  <c r="L28" i="2"/>
  <c r="L31" i="2" s="1"/>
  <c r="E10" i="3"/>
  <c r="P10" i="3"/>
  <c r="P13" i="3" s="1"/>
  <c r="U6" i="2"/>
  <c r="U9" i="2" s="1"/>
  <c r="AF6" i="2"/>
  <c r="AF9" i="2" s="1"/>
  <c r="Q28" i="2"/>
  <c r="Q31" i="2" s="1"/>
  <c r="T28" i="2"/>
  <c r="T31" i="2" s="1"/>
  <c r="AA10" i="3"/>
  <c r="AA13" i="3" s="1"/>
  <c r="R10" i="3"/>
  <c r="R13" i="3" s="1"/>
  <c r="X10" i="3"/>
  <c r="X13" i="3" s="1"/>
  <c r="AD6" i="2"/>
  <c r="AD9" i="2" s="1"/>
  <c r="H28" i="2"/>
  <c r="M10" i="3"/>
  <c r="M13" i="3" s="1"/>
  <c r="G6" i="2"/>
  <c r="J10" i="3"/>
  <c r="AI6" i="2"/>
  <c r="AI9" i="2" s="1"/>
  <c r="AH28" i="2"/>
  <c r="AH31" i="2" s="1"/>
  <c r="AE10" i="3"/>
  <c r="AE13" i="3" s="1"/>
  <c r="U10" i="3"/>
  <c r="U13" i="3" s="1"/>
  <c r="Z10" i="3"/>
  <c r="Z13" i="3" s="1"/>
  <c r="AD10" i="3"/>
  <c r="AD13" i="3" s="1"/>
  <c r="AM10" i="3"/>
  <c r="AM13" i="3" s="1"/>
  <c r="AC10" i="3"/>
  <c r="AC13" i="3" s="1"/>
  <c r="AF10" i="3"/>
  <c r="AF13" i="3" s="1"/>
  <c r="AL6" i="2"/>
  <c r="AL9" i="2" s="1"/>
  <c r="E36" i="4" a="1"/>
  <c r="E36" i="4" s="1"/>
  <c r="E152" i="6"/>
  <c r="E145" i="6"/>
  <c r="E100" i="6"/>
  <c r="E20" i="6"/>
  <c r="T36" i="3"/>
  <c r="U28" i="2"/>
  <c r="U31" i="2" s="1"/>
  <c r="AG36" i="3"/>
  <c r="AG39" i="3" s="1"/>
  <c r="O36" i="3"/>
  <c r="O39" i="3" s="1"/>
  <c r="W36" i="3"/>
  <c r="W39" i="3" s="1"/>
  <c r="H36" i="3"/>
  <c r="F28" i="2"/>
  <c r="K36" i="3"/>
  <c r="M28" i="2"/>
  <c r="M31" i="2" s="1"/>
  <c r="AF36" i="3"/>
  <c r="AG28" i="2"/>
  <c r="AG31" i="2" s="1"/>
  <c r="AK6" i="2"/>
  <c r="AK9" i="2" s="1"/>
  <c r="D6" i="2"/>
  <c r="Q10" i="3"/>
  <c r="G36" i="3"/>
  <c r="AF28" i="2"/>
  <c r="AF31" i="2" s="1"/>
  <c r="E28" i="2"/>
  <c r="AN36" i="3"/>
  <c r="AJ28" i="2"/>
  <c r="AJ31" i="2" s="1"/>
  <c r="P28" i="2"/>
  <c r="P31" i="2" s="1"/>
  <c r="AM28" i="2"/>
  <c r="AM31" i="2" s="1"/>
  <c r="I28" i="2"/>
  <c r="S36" i="3"/>
  <c r="S39" i="3" s="1"/>
  <c r="J6" i="2"/>
  <c r="J9" i="2" s="1"/>
  <c r="G10" i="3"/>
  <c r="D28" i="2"/>
  <c r="Y6" i="2"/>
  <c r="Y9" i="2" s="1"/>
  <c r="AK10" i="3"/>
  <c r="AK13" i="3" s="1"/>
  <c r="S28" i="2"/>
  <c r="S31" i="2" s="1"/>
  <c r="R6" i="2"/>
  <c r="R9" i="2" s="1"/>
  <c r="AI10" i="3"/>
  <c r="AI13" i="3" s="1"/>
  <c r="F10" i="3"/>
  <c r="AE36" i="3"/>
  <c r="AE39" i="3" s="1"/>
  <c r="AN10" i="3"/>
  <c r="AN13" i="3" s="1"/>
  <c r="Z28" i="2"/>
  <c r="Z31" i="2" s="1"/>
  <c r="AJ36" i="3"/>
  <c r="AJ39" i="3" s="1"/>
  <c r="AD28" i="2"/>
  <c r="AD31" i="2" s="1"/>
  <c r="AA36" i="3"/>
  <c r="AA39" i="3" s="1"/>
  <c r="X6" i="2"/>
  <c r="X9" i="2" s="1"/>
  <c r="N10" i="3"/>
  <c r="N13" i="3" s="1"/>
  <c r="I6" i="2"/>
  <c r="O10" i="3"/>
  <c r="O13" i="3" s="1"/>
  <c r="W28" i="2"/>
  <c r="W31" i="2" s="1"/>
  <c r="Q6" i="2"/>
  <c r="Q9" i="2" s="1"/>
  <c r="V36" i="3"/>
  <c r="V39" i="3" s="1"/>
  <c r="K28" i="2"/>
  <c r="K31" i="2" s="1"/>
  <c r="I36" i="3"/>
  <c r="AG6" i="2"/>
  <c r="AG9" i="2" s="1"/>
  <c r="AK28" i="2"/>
  <c r="AK31" i="2" s="1"/>
  <c r="AA6" i="2"/>
  <c r="AA9" i="2" s="1"/>
  <c r="F6" i="2"/>
  <c r="AL28" i="2"/>
  <c r="AL31" i="2" s="1"/>
  <c r="AI36" i="3"/>
  <c r="AI39" i="3" s="1"/>
  <c r="P6" i="2"/>
  <c r="P9" i="2" s="1"/>
  <c r="V10" i="3"/>
  <c r="V13" i="3" s="1"/>
  <c r="L6" i="2"/>
  <c r="L9" i="2" s="1"/>
  <c r="W10" i="3"/>
  <c r="W13" i="3" s="1"/>
  <c r="T10" i="3"/>
  <c r="T13" i="3" s="1"/>
  <c r="AH6" i="2"/>
  <c r="AH9" i="2" s="1"/>
  <c r="AD36" i="3"/>
  <c r="AD39" i="3" s="1"/>
  <c r="AB28" i="2"/>
  <c r="AB31" i="2" s="1"/>
  <c r="Q36" i="3"/>
  <c r="AK36" i="3"/>
  <c r="AK39" i="3" s="1"/>
  <c r="I10" i="3"/>
  <c r="S6" i="2"/>
  <c r="S9" i="2" s="1"/>
  <c r="E6" i="2"/>
  <c r="I35" i="4"/>
  <c r="Q35" i="4"/>
  <c r="Y35" i="4"/>
  <c r="Y38" i="4" s="1"/>
  <c r="AG35" i="4"/>
  <c r="AG38" i="4" s="1"/>
  <c r="E35" i="4"/>
  <c r="L9" i="4"/>
  <c r="L12" i="4" s="1"/>
  <c r="T9" i="4"/>
  <c r="AB9" i="4"/>
  <c r="AJ9" i="4"/>
  <c r="AJ12" i="4" s="1"/>
  <c r="J35" i="4"/>
  <c r="R35" i="4"/>
  <c r="R38" i="4" s="1"/>
  <c r="Z35" i="4"/>
  <c r="Z38" i="4" s="1"/>
  <c r="AH35" i="4"/>
  <c r="AH38" i="4" s="1"/>
  <c r="E9" i="4"/>
  <c r="M9" i="4"/>
  <c r="M12" i="4" s="1"/>
  <c r="U9" i="4"/>
  <c r="U12" i="4" s="1"/>
  <c r="AC9" i="4"/>
  <c r="AK9" i="4"/>
  <c r="AK12" i="4" s="1"/>
  <c r="L35" i="4"/>
  <c r="T35" i="4"/>
  <c r="AB35" i="4"/>
  <c r="AJ35" i="4"/>
  <c r="AJ38" i="4" s="1"/>
  <c r="F9" i="4"/>
  <c r="O9" i="4"/>
  <c r="O12" i="4" s="1"/>
  <c r="W9" i="4"/>
  <c r="W12" i="4" s="1"/>
  <c r="AM9" i="4"/>
  <c r="AM12" i="4" s="1"/>
  <c r="K35" i="4"/>
  <c r="S35" i="4"/>
  <c r="S38" i="4" s="1"/>
  <c r="AA35" i="4"/>
  <c r="AA38" i="4" s="1"/>
  <c r="AI35" i="4"/>
  <c r="AI38" i="4" s="1"/>
  <c r="G9" i="4"/>
  <c r="N9" i="4"/>
  <c r="N12" i="4" s="1"/>
  <c r="V9" i="4"/>
  <c r="V12" i="4" s="1"/>
  <c r="AD9" i="4"/>
  <c r="AD12" i="4" s="1"/>
  <c r="AL9" i="4"/>
  <c r="AL12" i="4" s="1"/>
  <c r="AE9" i="4"/>
  <c r="AE12" i="4" s="1"/>
  <c r="M35" i="4"/>
  <c r="M38" i="4" s="1"/>
  <c r="U35" i="4"/>
  <c r="U38" i="4" s="1"/>
  <c r="AC35" i="4"/>
  <c r="AK35" i="4"/>
  <c r="AK38" i="4" s="1"/>
  <c r="H9" i="4"/>
  <c r="P9" i="4"/>
  <c r="X9" i="4"/>
  <c r="X12" i="4" s="1"/>
  <c r="AF9" i="4"/>
  <c r="AN9" i="4"/>
  <c r="O35" i="4"/>
  <c r="O38" i="4" s="1"/>
  <c r="F35" i="4"/>
  <c r="N35" i="4"/>
  <c r="N38" i="4" s="1"/>
  <c r="V35" i="4"/>
  <c r="V38" i="4" s="1"/>
  <c r="AD35" i="4"/>
  <c r="AD38" i="4" s="1"/>
  <c r="AL35" i="4"/>
  <c r="AL38" i="4" s="1"/>
  <c r="I9" i="4"/>
  <c r="Q9" i="4"/>
  <c r="Y9" i="4"/>
  <c r="Y12" i="4" s="1"/>
  <c r="AG9" i="4"/>
  <c r="AG12" i="4" s="1"/>
  <c r="G35" i="4"/>
  <c r="W35" i="4"/>
  <c r="W38" i="4" s="1"/>
  <c r="AE35" i="4"/>
  <c r="AE38" i="4" s="1"/>
  <c r="AM35" i="4"/>
  <c r="AM38" i="4" s="1"/>
  <c r="J9" i="4"/>
  <c r="R9" i="4"/>
  <c r="R12" i="4" s="1"/>
  <c r="Z9" i="4"/>
  <c r="Z12" i="4" s="1"/>
  <c r="AH9" i="4"/>
  <c r="AH12" i="4" s="1"/>
  <c r="H35" i="4"/>
  <c r="P35" i="4"/>
  <c r="X35" i="4"/>
  <c r="X38" i="4" s="1"/>
  <c r="AF35" i="4"/>
  <c r="AN35" i="4"/>
  <c r="K9" i="4"/>
  <c r="K12" i="4" s="1"/>
  <c r="S9" i="4"/>
  <c r="S12" i="4" s="1"/>
  <c r="AA9" i="4"/>
  <c r="AA12" i="4" s="1"/>
  <c r="AI9" i="4"/>
  <c r="AI12" i="4" s="1"/>
  <c r="E7" i="4" a="1"/>
  <c r="E7" i="4" s="1"/>
  <c r="D29" i="2"/>
  <c r="D38" i="2" s="1"/>
  <c r="R36" i="3"/>
  <c r="R39" i="3" s="1"/>
  <c r="J28" i="2"/>
  <c r="J31" i="2" s="1"/>
  <c r="AB37" i="3"/>
  <c r="T37" i="3"/>
  <c r="AF37" i="3"/>
  <c r="AN10" i="4"/>
  <c r="AB10" i="4"/>
  <c r="AF10" i="4"/>
  <c r="T10" i="4"/>
  <c r="P10" i="4"/>
  <c r="G28" i="2"/>
  <c r="R28" i="2"/>
  <c r="R31" i="2" s="1"/>
  <c r="J36" i="3"/>
  <c r="AB36" i="3"/>
  <c r="AC28" i="2"/>
  <c r="AC31" i="2" s="1"/>
  <c r="Z36" i="3"/>
  <c r="Z39" i="3" s="1"/>
  <c r="P36" i="3"/>
  <c r="E36" i="3"/>
  <c r="F36" i="3"/>
  <c r="AE28" i="2"/>
  <c r="AE31" i="2" s="1"/>
  <c r="D27" i="2" a="1"/>
  <c r="D5" i="2" a="1"/>
  <c r="AM36" i="3"/>
  <c r="AM39" i="3" s="1"/>
  <c r="AI28" i="2"/>
  <c r="AI31" i="2" s="1"/>
  <c r="X36" i="3"/>
  <c r="X39" i="3" s="1"/>
  <c r="M36" i="3"/>
  <c r="M39" i="3" s="1"/>
  <c r="N28" i="2"/>
  <c r="N31" i="2" s="1"/>
  <c r="N36" i="3"/>
  <c r="N39" i="3" s="1"/>
  <c r="AA28" i="2"/>
  <c r="AA31" i="2" s="1"/>
  <c r="D16" i="2"/>
  <c r="E55" i="8" l="1"/>
  <c r="G55" i="8"/>
  <c r="D56" i="8" s="1"/>
  <c r="E27" i="8"/>
  <c r="D29" i="8" s="1"/>
  <c r="E119" i="6"/>
  <c r="E59" i="8"/>
  <c r="F59" i="8" s="1"/>
  <c r="G59" i="8" s="1"/>
  <c r="E126" i="6"/>
  <c r="H119" i="6"/>
  <c r="G119" i="6"/>
  <c r="F119" i="6"/>
  <c r="E67" i="6"/>
  <c r="E71" i="6" s="1"/>
  <c r="G67" i="6"/>
  <c r="D44" i="8"/>
  <c r="E46" i="8"/>
  <c r="F46" i="8" s="1"/>
  <c r="G46" i="8" s="1"/>
  <c r="D43" i="8"/>
  <c r="D28" i="8"/>
  <c r="D57" i="8"/>
  <c r="D16" i="8"/>
  <c r="E18" i="8"/>
  <c r="F18" i="8" s="1"/>
  <c r="G18" i="8" s="1"/>
  <c r="D15" i="8"/>
  <c r="E102" i="6"/>
  <c r="E76" i="6"/>
  <c r="E79" i="6"/>
  <c r="D80" i="6" s="1"/>
  <c r="F67" i="6"/>
  <c r="AC93" i="6"/>
  <c r="G102" i="6"/>
  <c r="I67" i="6"/>
  <c r="G76" i="6"/>
  <c r="G79" i="6" s="1"/>
  <c r="AC67" i="6"/>
  <c r="I119" i="6"/>
  <c r="H67" i="6"/>
  <c r="J119" i="6"/>
  <c r="J67" i="6"/>
  <c r="F76" i="6"/>
  <c r="F79" i="6" s="1"/>
  <c r="R67" i="6"/>
  <c r="Q93" i="6"/>
  <c r="F102" i="6"/>
  <c r="I39" i="6"/>
  <c r="J39" i="6"/>
  <c r="P37" i="3"/>
  <c r="E49" i="3" s="1"/>
  <c r="K39" i="3"/>
  <c r="L39" i="3"/>
  <c r="AN37" i="3"/>
  <c r="AN39" i="3" s="1"/>
  <c r="F49" i="3"/>
  <c r="G39" i="6"/>
  <c r="AB37" i="6"/>
  <c r="AB39" i="6" s="1"/>
  <c r="AF37" i="6"/>
  <c r="AF91" i="6"/>
  <c r="AN37" i="6"/>
  <c r="AN39" i="6" s="1"/>
  <c r="P37" i="6"/>
  <c r="P39" i="6" s="1"/>
  <c r="AN91" i="6"/>
  <c r="AN93" i="6" s="1"/>
  <c r="P91" i="6"/>
  <c r="P93" i="6" s="1"/>
  <c r="T91" i="6"/>
  <c r="AB91" i="6"/>
  <c r="AB93" i="6" s="1"/>
  <c r="E37" i="6"/>
  <c r="T37" i="6"/>
  <c r="E91" i="6"/>
  <c r="E93" i="6" s="1"/>
  <c r="J93" i="6"/>
  <c r="K93" i="6"/>
  <c r="G93" i="6"/>
  <c r="L93" i="6"/>
  <c r="I93" i="6"/>
  <c r="F93" i="6"/>
  <c r="H93" i="6"/>
  <c r="L39" i="6"/>
  <c r="H39" i="6"/>
  <c r="AF39" i="3"/>
  <c r="H31" i="2"/>
  <c r="AB117" i="6"/>
  <c r="AB119" i="6" s="1"/>
  <c r="T117" i="6"/>
  <c r="P117" i="6"/>
  <c r="E129" i="6" s="1"/>
  <c r="AN117" i="6"/>
  <c r="AN119" i="6" s="1"/>
  <c r="AF117" i="6"/>
  <c r="AF119" i="6" s="1"/>
  <c r="K13" i="6"/>
  <c r="E154" i="6"/>
  <c r="F48" i="6"/>
  <c r="Q39" i="6"/>
  <c r="G154" i="6"/>
  <c r="AH145" i="6"/>
  <c r="AC13" i="6"/>
  <c r="G22" i="6"/>
  <c r="G25" i="6" s="1"/>
  <c r="Q39" i="3"/>
  <c r="F48" i="3"/>
  <c r="F22" i="3"/>
  <c r="F25" i="3" s="1"/>
  <c r="E48" i="3"/>
  <c r="I13" i="3"/>
  <c r="G48" i="6"/>
  <c r="AD39" i="6"/>
  <c r="E128" i="6"/>
  <c r="K39" i="6"/>
  <c r="AN143" i="6"/>
  <c r="AN145" i="6" s="1"/>
  <c r="AF143" i="6"/>
  <c r="AB143" i="6"/>
  <c r="AB145" i="6" s="1"/>
  <c r="T143" i="6"/>
  <c r="P143" i="6"/>
  <c r="E155" i="6" s="1"/>
  <c r="E22" i="6"/>
  <c r="E25" i="6" s="1"/>
  <c r="F13" i="6"/>
  <c r="G48" i="3"/>
  <c r="F22" i="6"/>
  <c r="F25" i="6" s="1"/>
  <c r="Q13" i="6"/>
  <c r="E22" i="3"/>
  <c r="Q119" i="6"/>
  <c r="F128" i="6"/>
  <c r="E48" i="6"/>
  <c r="AC119" i="6"/>
  <c r="G128" i="6"/>
  <c r="F154" i="6"/>
  <c r="R145" i="6"/>
  <c r="AF36" i="4"/>
  <c r="AN36" i="4"/>
  <c r="G48" i="4" s="1"/>
  <c r="T36" i="4"/>
  <c r="P36" i="4"/>
  <c r="AB36" i="4"/>
  <c r="K38" i="4"/>
  <c r="L38" i="4"/>
  <c r="E149" i="6"/>
  <c r="F149" i="6" s="1"/>
  <c r="G149" i="6" s="1"/>
  <c r="E123" i="6"/>
  <c r="D81" i="6"/>
  <c r="E97" i="6"/>
  <c r="E17" i="6"/>
  <c r="Q13" i="3"/>
  <c r="G22" i="3"/>
  <c r="G25" i="3" s="1"/>
  <c r="E38" i="4"/>
  <c r="AF38" i="4"/>
  <c r="AN38" i="4"/>
  <c r="E15" i="2"/>
  <c r="E18" i="2" s="1"/>
  <c r="D15" i="2"/>
  <c r="F15" i="2"/>
  <c r="F18" i="2" s="1"/>
  <c r="H39" i="3"/>
  <c r="AB39" i="3"/>
  <c r="D37" i="2"/>
  <c r="I12" i="4"/>
  <c r="P12" i="4"/>
  <c r="G38" i="4"/>
  <c r="H12" i="4"/>
  <c r="I38" i="4"/>
  <c r="F38" i="4"/>
  <c r="J38" i="4"/>
  <c r="F12" i="4"/>
  <c r="H38" i="4"/>
  <c r="J12" i="4"/>
  <c r="AF12" i="4"/>
  <c r="AB12" i="4"/>
  <c r="Q12" i="4"/>
  <c r="F21" i="4"/>
  <c r="E21" i="4"/>
  <c r="G12" i="4"/>
  <c r="E12" i="4"/>
  <c r="Q38" i="4"/>
  <c r="F47" i="4"/>
  <c r="AC38" i="4"/>
  <c r="G47" i="4"/>
  <c r="AN12" i="4"/>
  <c r="T12" i="4"/>
  <c r="AB38" i="4"/>
  <c r="AC12" i="4"/>
  <c r="G21" i="4"/>
  <c r="G13" i="3"/>
  <c r="T39" i="3"/>
  <c r="T38" i="4"/>
  <c r="E22" i="4"/>
  <c r="G22" i="4"/>
  <c r="F22" i="4"/>
  <c r="F39" i="3"/>
  <c r="H13" i="3"/>
  <c r="E20" i="3"/>
  <c r="E46" i="3"/>
  <c r="I39" i="3"/>
  <c r="G39" i="3"/>
  <c r="F13" i="3"/>
  <c r="E37" i="2"/>
  <c r="E40" i="2" s="1"/>
  <c r="J13" i="3"/>
  <c r="J39" i="3"/>
  <c r="F37" i="2"/>
  <c r="F40" i="2" s="1"/>
  <c r="D5" i="2"/>
  <c r="G9" i="2"/>
  <c r="I31" i="2"/>
  <c r="H9" i="2"/>
  <c r="F9" i="2"/>
  <c r="E31" i="2"/>
  <c r="D27" i="2"/>
  <c r="F31" i="2"/>
  <c r="G31" i="2"/>
  <c r="E9" i="2"/>
  <c r="I9" i="2"/>
  <c r="E31" i="8" l="1"/>
  <c r="F31" i="8" s="1"/>
  <c r="G31" i="8" s="1"/>
  <c r="F123" i="6"/>
  <c r="D68" i="6"/>
  <c r="G123" i="6"/>
  <c r="F48" i="4"/>
  <c r="E131" i="6"/>
  <c r="E135" i="6" s="1"/>
  <c r="P39" i="3"/>
  <c r="P38" i="4"/>
  <c r="D40" i="4" s="1"/>
  <c r="E16" i="4"/>
  <c r="F16" i="4" s="1"/>
  <c r="G16" i="4" s="1"/>
  <c r="H16" i="4" s="1"/>
  <c r="D14" i="4"/>
  <c r="D13" i="4"/>
  <c r="F71" i="6"/>
  <c r="G71" i="6" s="1"/>
  <c r="D69" i="6"/>
  <c r="E83" i="6"/>
  <c r="F83" i="6" s="1"/>
  <c r="G83" i="6" s="1"/>
  <c r="E157" i="6"/>
  <c r="E161" i="6" s="1"/>
  <c r="G49" i="3"/>
  <c r="E103" i="6"/>
  <c r="E105" i="6" s="1"/>
  <c r="F49" i="6"/>
  <c r="F51" i="6" s="1"/>
  <c r="F129" i="6"/>
  <c r="F131" i="6" s="1"/>
  <c r="F17" i="6"/>
  <c r="G17" i="6" s="1"/>
  <c r="G103" i="6"/>
  <c r="G105" i="6" s="1"/>
  <c r="AF93" i="6"/>
  <c r="T119" i="6"/>
  <c r="E39" i="6"/>
  <c r="E43" i="6" s="1"/>
  <c r="F43" i="6" s="1"/>
  <c r="G43" i="6" s="1"/>
  <c r="E49" i="6"/>
  <c r="E51" i="6" s="1"/>
  <c r="E55" i="6" s="1"/>
  <c r="G49" i="6"/>
  <c r="G51" i="6" s="1"/>
  <c r="T93" i="6"/>
  <c r="F103" i="6"/>
  <c r="F105" i="6" s="1"/>
  <c r="F97" i="6"/>
  <c r="G97" i="6" s="1"/>
  <c r="D15" i="6"/>
  <c r="AF39" i="6"/>
  <c r="T39" i="6"/>
  <c r="F155" i="6"/>
  <c r="F157" i="6" s="1"/>
  <c r="E29" i="6"/>
  <c r="F29" i="6" s="1"/>
  <c r="G29" i="6" s="1"/>
  <c r="D26" i="6"/>
  <c r="D27" i="6"/>
  <c r="G129" i="6"/>
  <c r="G131" i="6" s="1"/>
  <c r="G155" i="6"/>
  <c r="G157" i="6" s="1"/>
  <c r="P145" i="6"/>
  <c r="T145" i="6"/>
  <c r="D14" i="6"/>
  <c r="E25" i="3"/>
  <c r="E29" i="3" s="1"/>
  <c r="F29" i="3" s="1"/>
  <c r="G29" i="3" s="1"/>
  <c r="P119" i="6"/>
  <c r="AF145" i="6"/>
  <c r="E42" i="4"/>
  <c r="F42" i="4" s="1"/>
  <c r="G42" i="4" s="1"/>
  <c r="E50" i="4"/>
  <c r="G51" i="3"/>
  <c r="G24" i="4"/>
  <c r="E24" i="4"/>
  <c r="G50" i="4"/>
  <c r="F24" i="4"/>
  <c r="F50" i="4"/>
  <c r="F51" i="3"/>
  <c r="E13" i="3"/>
  <c r="E51" i="3"/>
  <c r="E39" i="3"/>
  <c r="D36" i="2"/>
  <c r="D40" i="2" s="1"/>
  <c r="C41" i="2" s="1"/>
  <c r="D31" i="2"/>
  <c r="D14" i="2"/>
  <c r="D18" i="2" s="1"/>
  <c r="C19" i="2" s="1"/>
  <c r="D9" i="2"/>
  <c r="D39" i="4" l="1"/>
  <c r="D94" i="6"/>
  <c r="E109" i="6"/>
  <c r="D106" i="6"/>
  <c r="D107" i="6"/>
  <c r="E28" i="4"/>
  <c r="F28" i="4" s="1"/>
  <c r="G28" i="4" s="1"/>
  <c r="D26" i="4"/>
  <c r="D25" i="4"/>
  <c r="F109" i="6"/>
  <c r="G109" i="6" s="1"/>
  <c r="D95" i="6"/>
  <c r="F135" i="6"/>
  <c r="D40" i="6"/>
  <c r="D41" i="6"/>
  <c r="D52" i="6"/>
  <c r="F55" i="6"/>
  <c r="G55" i="6"/>
  <c r="D53" i="6"/>
  <c r="F161" i="6"/>
  <c r="G161" i="6" s="1"/>
  <c r="D158" i="6"/>
  <c r="D159" i="6"/>
  <c r="D132" i="6"/>
  <c r="D133" i="6"/>
  <c r="D41" i="3"/>
  <c r="D40" i="3"/>
  <c r="D53" i="3"/>
  <c r="D52" i="3"/>
  <c r="D27" i="3"/>
  <c r="F81" i="6" s="1"/>
  <c r="D26" i="3"/>
  <c r="F80" i="6" s="1"/>
  <c r="D146" i="6"/>
  <c r="D147" i="6"/>
  <c r="D15" i="3"/>
  <c r="D14" i="3"/>
  <c r="D121" i="6"/>
  <c r="D120" i="6"/>
  <c r="G135" i="6"/>
  <c r="E54" i="4"/>
  <c r="D51" i="4"/>
  <c r="D52" i="4"/>
  <c r="F54" i="4"/>
  <c r="G54" i="4" s="1"/>
  <c r="E17" i="3"/>
  <c r="F17" i="3" s="1"/>
  <c r="G17" i="3" s="1"/>
  <c r="E43" i="3"/>
  <c r="F43" i="3" s="1"/>
  <c r="G43" i="3" s="1"/>
  <c r="E55" i="3"/>
  <c r="F55" i="3" s="1"/>
  <c r="G55" i="3" s="1"/>
  <c r="F106" i="6" l="1"/>
  <c r="F27" i="6"/>
  <c r="F26" i="6"/>
  <c r="F133" i="6"/>
  <c r="F107" i="6"/>
  <c r="F53" i="6"/>
  <c r="F132" i="6"/>
  <c r="F52" i="6"/>
  <c r="F159" i="6"/>
  <c r="F15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<sst xmlns="http://schemas.openxmlformats.org/spreadsheetml/2006/main" count="567" uniqueCount="107">
  <si>
    <t>Mes</t>
  </si>
  <si>
    <t xml:space="preserve">Mayo </t>
  </si>
  <si>
    <t>Junio</t>
  </si>
  <si>
    <t>Julio</t>
  </si>
  <si>
    <t>Agosto</t>
  </si>
  <si>
    <t>Septiembre</t>
  </si>
  <si>
    <t>Octubre</t>
  </si>
  <si>
    <t>Noviembre</t>
  </si>
  <si>
    <t>Diciembre</t>
  </si>
  <si>
    <t>Cantidad</t>
  </si>
  <si>
    <t>3 por cadena</t>
  </si>
  <si>
    <t>Precio Unitario</t>
  </si>
  <si>
    <t>Costo</t>
  </si>
  <si>
    <t># Cadenas</t>
  </si>
  <si>
    <t>Costo por cadena</t>
  </si>
  <si>
    <t>Mayo</t>
  </si>
  <si>
    <t>Cursos</t>
  </si>
  <si>
    <t>Capacitaciones</t>
  </si>
  <si>
    <t>Costo ahorrado del equipo de formación (por cadena)</t>
  </si>
  <si>
    <t>Descripción</t>
  </si>
  <si>
    <t>Costo mensual total</t>
  </si>
  <si>
    <t>Cantidad de consultoras con paga por Puig</t>
  </si>
  <si>
    <t>Costo hora-hombre</t>
  </si>
  <si>
    <t>10% consultoras</t>
  </si>
  <si>
    <t>Costo ahorrado por capacitación digital</t>
  </si>
  <si>
    <t>Preunic</t>
  </si>
  <si>
    <t>Maicao</t>
  </si>
  <si>
    <t>Cruz Verde</t>
  </si>
  <si>
    <t>Salcobrand</t>
  </si>
  <si>
    <t>Ahumada</t>
  </si>
  <si>
    <t>-</t>
  </si>
  <si>
    <t>Costo ahorrado en equipo de formación</t>
  </si>
  <si>
    <t>Costo ahorrado en fuerza de venta</t>
  </si>
  <si>
    <t>Incentivos</t>
  </si>
  <si>
    <t>Material físico</t>
  </si>
  <si>
    <t>2 cadenas</t>
  </si>
  <si>
    <t>5 cadenas</t>
  </si>
  <si>
    <t>Total</t>
  </si>
  <si>
    <t>VAN</t>
  </si>
  <si>
    <t>arreglar ahorra (estoy asumiendo 3 cursos), arreglar incentivo mayo</t>
  </si>
  <si>
    <t>fin año 1</t>
  </si>
  <si>
    <t>fin año 2</t>
  </si>
  <si>
    <t>PRIMER ESCENARIO: Después del primer año 1 curso al mes, 1 premio general cada 4 meses</t>
  </si>
  <si>
    <t>2% consultoras</t>
  </si>
  <si>
    <t>AÑO 1</t>
  </si>
  <si>
    <t>AÑO 2</t>
  </si>
  <si>
    <t>AÑO 3</t>
  </si>
  <si>
    <t>TRI</t>
  </si>
  <si>
    <t>PAYBACK</t>
  </si>
  <si>
    <t>MES 3</t>
  </si>
  <si>
    <t>MES 1</t>
  </si>
  <si>
    <t>Tasa anual</t>
  </si>
  <si>
    <t>Tasa mensual</t>
  </si>
  <si>
    <t>PREUNIC + MAICAO</t>
  </si>
  <si>
    <t>TODAS LAS CADENAS</t>
  </si>
  <si>
    <t>Costo 2 cadenas</t>
  </si>
  <si>
    <t># Cadenas2</t>
  </si>
  <si>
    <t>Costo 5 cadenas</t>
  </si>
  <si>
    <t>Costo gestión de la app</t>
  </si>
  <si>
    <t>SENSIBILIDAD DISMINUYENDO CURSOS</t>
  </si>
  <si>
    <t>Cambio</t>
  </si>
  <si>
    <t>SENSIBILIDAD DISMINUYENDO ADOPCIÓN EN FFVV</t>
  </si>
  <si>
    <t>57 premios</t>
  </si>
  <si>
    <t>26 premios</t>
  </si>
  <si>
    <t>14 premios</t>
  </si>
  <si>
    <t>138 premios</t>
  </si>
  <si>
    <t>Tipo de premio</t>
  </si>
  <si>
    <t>Experiencia (Anual)</t>
  </si>
  <si>
    <t>Ahorro</t>
  </si>
  <si>
    <t>Horas-hombre equipo training</t>
  </si>
  <si>
    <t>Tipo de ahorro</t>
  </si>
  <si>
    <t>$20.000 por hora</t>
  </si>
  <si>
    <t>Tipo de costo</t>
  </si>
  <si>
    <t>Horas-hombre equipo training (Gestión de app)</t>
  </si>
  <si>
    <t>Anual</t>
  </si>
  <si>
    <t>Bonos de gobierno a 10 años</t>
  </si>
  <si>
    <t>Demodaran - Chile</t>
  </si>
  <si>
    <t>Empresa internacional</t>
  </si>
  <si>
    <t>4% - incertidumbre de los beneficios 
3% - riesgo de adopción</t>
  </si>
  <si>
    <r>
      <t xml:space="preserve">Sivitska, Y., &amp; Makhmudov, K. (2020). </t>
    </r>
    <r>
      <rPr>
        <i/>
        <sz val="8"/>
        <color rgb="FF000000"/>
        <rFont val="Calibri"/>
        <family val="2"/>
      </rPr>
      <t>Calculation of specific company risk premium for agricultural business valuation</t>
    </r>
    <r>
      <rPr>
        <sz val="8"/>
        <color rgb="FF000000"/>
        <rFont val="Calibri"/>
        <family val="2"/>
      </rPr>
      <t>.</t>
    </r>
  </si>
  <si>
    <t>Tasa de descuento 
(E(Ri))</t>
  </si>
  <si>
    <t>Tasa libre de riesgo
(Rf)</t>
  </si>
  <si>
    <t>Equity Risk Premium
(RPm)</t>
  </si>
  <si>
    <t>Prima de riesgo por el mercado pequeño
(RPs)</t>
  </si>
  <si>
    <t>Prima de riesgo atribuible a la compañía o industria
(RPc)</t>
  </si>
  <si>
    <t>(1 + ERi)^(1/12) - 1</t>
  </si>
  <si>
    <t>Tasa de descuento mensual</t>
  </si>
  <si>
    <t>Cálculo</t>
  </si>
  <si>
    <t>Material físico (QR)</t>
  </si>
  <si>
    <t>Costo unitario</t>
  </si>
  <si>
    <t>Costo total</t>
  </si>
  <si>
    <t xml:space="preserve">Cantidad </t>
  </si>
  <si>
    <t>Producto (Inicial y Bimensual)</t>
  </si>
  <si>
    <t>TIR</t>
  </si>
  <si>
    <t>MES 4</t>
  </si>
  <si>
    <t>Beneficios esperados</t>
  </si>
  <si>
    <t>Cadena</t>
  </si>
  <si>
    <t>Ponderación</t>
  </si>
  <si>
    <t>Cantidad de locales</t>
  </si>
  <si>
    <t>14,23% de locales</t>
  </si>
  <si>
    <t>% de Maicao + Preunic</t>
  </si>
  <si>
    <t>Ventas 2024</t>
  </si>
  <si>
    <t>Maicao + Preunic</t>
  </si>
  <si>
    <t>OPTIMISTA: Después del primer año 1 curso al mes, 1 premio general cada 4 meses</t>
  </si>
  <si>
    <t>MES 2</t>
  </si>
  <si>
    <t>SEGUNDO ESCENARIO: Después del primer año 1 curso cada 2 meses, webinars, 3 premios por cadena cada 4 meses, cada premio a $7000</t>
  </si>
  <si>
    <t>PESIMISTA: Después del primer año 1 curso cada 2 meses, webinars, 3 premios por cadena cada 4 meses, cada premio a $7000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</si>
</sst>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$&quot;#,##0;[Red]&quot;$&quot;\-#,##0"/>
    <numFmt numFmtId="8" formatCode="&quot;$&quot;#,##0.00;[Red]&quot;$&quot;\-#,##0.00"/>
    <numFmt numFmtId="42" formatCode="_ &quot;$&quot;* #,##0_ ;_ &quot;$&quot;* \-#,##0_ ;_ &quot;$&quot;* &quot;-&quot;_ ;_ @_ "/>
    <numFmt numFmtId="164" formatCode="&quot;$&quot;#,##0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sz val="18"/>
      <color theme="1"/>
      <name val="Aptos Narrow"/>
      <family val="2"/>
      <scheme val="minor"/>
    </font>
    <font>
      <sz val="8"/>
      <color rgb="FF000000"/>
      <name val="Calibri"/>
      <family val="2"/>
    </font>
    <font>
      <i/>
      <sz val="8"/>
      <color rgb="FF000000"/>
      <name val="Calibri"/>
      <family val="2"/>
    </font>
    <font>
      <sz val="12"/>
      <color rgb="FF00000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D8D5CF"/>
        <bgColor indexed="64"/>
      </patternFill>
    </fill>
    <fill>
      <patternFill patternType="solid">
        <fgColor rgb="FFECE9E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CA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0CAC2"/>
        <bgColor indexed="64"/>
      </patternFill>
    </fill>
    <fill>
      <patternFill patternType="solid">
        <fgColor rgb="FFF5F3F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5">
    <xf numFmtId="0" fontId="0" fillId="0" borderId="0" xfId="0"/>
    <xf numFmtId="42" fontId="0" fillId="0" borderId="0" xfId="1" applyFont="1"/>
    <xf numFmtId="42" fontId="0" fillId="0" borderId="0" xfId="0" applyNumberFormat="1"/>
    <xf numFmtId="0" fontId="0" fillId="2" borderId="0" xfId="0" applyFill="1"/>
    <xf numFmtId="17" fontId="0" fillId="2" borderId="0" xfId="0" applyNumberFormat="1" applyFill="1"/>
    <xf numFmtId="0" fontId="0" fillId="3" borderId="0" xfId="0" applyFill="1"/>
    <xf numFmtId="0" fontId="0" fillId="4" borderId="0" xfId="0" applyFill="1"/>
    <xf numFmtId="8" fontId="0" fillId="4" borderId="0" xfId="0" applyNumberFormat="1" applyFill="1"/>
    <xf numFmtId="0" fontId="0" fillId="4" borderId="4" xfId="0" applyFill="1" applyBorder="1"/>
    <xf numFmtId="17" fontId="0" fillId="2" borderId="7" xfId="0" applyNumberFormat="1" applyFill="1" applyBorder="1"/>
    <xf numFmtId="17" fontId="0" fillId="2" borderId="8" xfId="0" applyNumberFormat="1" applyFill="1" applyBorder="1"/>
    <xf numFmtId="42" fontId="0" fillId="0" borderId="9" xfId="1" applyFont="1" applyBorder="1"/>
    <xf numFmtId="42" fontId="0" fillId="0" borderId="11" xfId="1" applyFont="1" applyBorder="1"/>
    <xf numFmtId="0" fontId="0" fillId="0" borderId="13" xfId="0" applyBorder="1"/>
    <xf numFmtId="0" fontId="0" fillId="0" borderId="11" xfId="0" applyBorder="1"/>
    <xf numFmtId="42" fontId="0" fillId="0" borderId="15" xfId="1" applyFont="1" applyBorder="1"/>
    <xf numFmtId="0" fontId="0" fillId="2" borderId="16" xfId="0" applyFill="1" applyBorder="1"/>
    <xf numFmtId="0" fontId="0" fillId="2" borderId="10" xfId="0" applyFill="1" applyBorder="1"/>
    <xf numFmtId="0" fontId="0" fillId="3" borderId="16" xfId="0" applyFill="1" applyBorder="1"/>
    <xf numFmtId="42" fontId="0" fillId="0" borderId="17" xfId="1" applyFont="1" applyBorder="1"/>
    <xf numFmtId="42" fontId="0" fillId="0" borderId="18" xfId="1" applyFont="1" applyBorder="1"/>
    <xf numFmtId="17" fontId="0" fillId="2" borderId="6" xfId="0" applyNumberFormat="1" applyFill="1" applyBorder="1"/>
    <xf numFmtId="42" fontId="0" fillId="0" borderId="19" xfId="1" applyFont="1" applyBorder="1"/>
    <xf numFmtId="42" fontId="0" fillId="0" borderId="20" xfId="1" applyFont="1" applyBorder="1"/>
    <xf numFmtId="42" fontId="0" fillId="0" borderId="21" xfId="1" applyFont="1" applyBorder="1"/>
    <xf numFmtId="42" fontId="0" fillId="0" borderId="6" xfId="1" applyFont="1" applyBorder="1"/>
    <xf numFmtId="42" fontId="0" fillId="0" borderId="7" xfId="1" applyFont="1" applyBorder="1"/>
    <xf numFmtId="0" fontId="0" fillId="2" borderId="6" xfId="0" applyFill="1" applyBorder="1"/>
    <xf numFmtId="0" fontId="0" fillId="2" borderId="7" xfId="0" applyFill="1" applyBorder="1"/>
    <xf numFmtId="0" fontId="0" fillId="5" borderId="12" xfId="0" applyFill="1" applyBorder="1" applyAlignment="1">
      <alignment horizontal="center"/>
    </xf>
    <xf numFmtId="0" fontId="0" fillId="0" borderId="12" xfId="0" applyBorder="1"/>
    <xf numFmtId="0" fontId="4" fillId="2" borderId="16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4" fillId="2" borderId="10" xfId="0" applyFont="1" applyFill="1" applyBorder="1"/>
    <xf numFmtId="42" fontId="4" fillId="0" borderId="19" xfId="1" applyFont="1" applyBorder="1"/>
    <xf numFmtId="42" fontId="4" fillId="0" borderId="17" xfId="1" applyFont="1" applyBorder="1"/>
    <xf numFmtId="42" fontId="4" fillId="0" borderId="21" xfId="1" applyFont="1" applyBorder="1"/>
    <xf numFmtId="42" fontId="4" fillId="0" borderId="18" xfId="1" applyFont="1" applyBorder="1"/>
    <xf numFmtId="0" fontId="4" fillId="3" borderId="16" xfId="0" applyFont="1" applyFill="1" applyBorder="1"/>
    <xf numFmtId="42" fontId="4" fillId="0" borderId="6" xfId="1" applyFont="1" applyBorder="1"/>
    <xf numFmtId="42" fontId="4" fillId="0" borderId="7" xfId="1" applyFont="1" applyBorder="1"/>
    <xf numFmtId="0" fontId="4" fillId="4" borderId="4" xfId="0" applyFont="1" applyFill="1" applyBorder="1"/>
    <xf numFmtId="0" fontId="4" fillId="0" borderId="0" xfId="0" applyFont="1"/>
    <xf numFmtId="8" fontId="0" fillId="7" borderId="1" xfId="1" applyNumberFormat="1" applyFont="1" applyFill="1" applyBorder="1"/>
    <xf numFmtId="8" fontId="0" fillId="7" borderId="1" xfId="0" applyNumberFormat="1" applyFill="1" applyBorder="1"/>
    <xf numFmtId="8" fontId="4" fillId="7" borderId="1" xfId="0" applyNumberFormat="1" applyFont="1" applyFill="1" applyBorder="1"/>
    <xf numFmtId="42" fontId="0" fillId="7" borderId="1" xfId="1" applyFont="1" applyFill="1" applyBorder="1"/>
    <xf numFmtId="42" fontId="0" fillId="8" borderId="0" xfId="1" applyFont="1" applyFill="1"/>
    <xf numFmtId="42" fontId="0" fillId="0" borderId="0" xfId="1" applyFont="1" applyFill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10" fontId="0" fillId="7" borderId="1" xfId="2" applyNumberFormat="1" applyFont="1" applyFill="1" applyBorder="1"/>
    <xf numFmtId="0" fontId="0" fillId="0" borderId="26" xfId="0" applyBorder="1"/>
    <xf numFmtId="0" fontId="0" fillId="0" borderId="18" xfId="0" applyBorder="1"/>
    <xf numFmtId="0" fontId="0" fillId="0" borderId="27" xfId="0" applyBorder="1"/>
    <xf numFmtId="42" fontId="0" fillId="0" borderId="26" xfId="1" applyFont="1" applyBorder="1"/>
    <xf numFmtId="42" fontId="0" fillId="0" borderId="27" xfId="1" applyFont="1" applyBorder="1"/>
    <xf numFmtId="42" fontId="0" fillId="0" borderId="28" xfId="1" applyFont="1" applyBorder="1"/>
    <xf numFmtId="42" fontId="0" fillId="0" borderId="29" xfId="1" applyFont="1" applyBorder="1"/>
    <xf numFmtId="42" fontId="0" fillId="0" borderId="30" xfId="1" applyFont="1" applyBorder="1"/>
    <xf numFmtId="42" fontId="0" fillId="0" borderId="18" xfId="0" applyNumberFormat="1" applyBorder="1"/>
    <xf numFmtId="42" fontId="0" fillId="0" borderId="27" xfId="0" applyNumberForma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42" fontId="0" fillId="0" borderId="32" xfId="0" applyNumberFormat="1" applyBorder="1"/>
    <xf numFmtId="42" fontId="0" fillId="0" borderId="33" xfId="0" applyNumberFormat="1" applyBorder="1"/>
    <xf numFmtId="1" fontId="0" fillId="0" borderId="18" xfId="0" applyNumberFormat="1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42" fontId="0" fillId="0" borderId="37" xfId="1" applyFont="1" applyBorder="1"/>
    <xf numFmtId="42" fontId="0" fillId="0" borderId="38" xfId="1" applyFont="1" applyBorder="1"/>
    <xf numFmtId="10" fontId="0" fillId="0" borderId="0" xfId="2" applyNumberFormat="1" applyFont="1"/>
    <xf numFmtId="0" fontId="4" fillId="12" borderId="0" xfId="0" applyFont="1" applyFill="1"/>
    <xf numFmtId="10" fontId="0" fillId="12" borderId="0" xfId="2" applyNumberFormat="1" applyFont="1" applyFill="1"/>
    <xf numFmtId="0" fontId="0" fillId="12" borderId="0" xfId="0" applyFill="1"/>
    <xf numFmtId="0" fontId="0" fillId="12" borderId="0" xfId="2" applyNumberFormat="1" applyFont="1" applyFill="1"/>
    <xf numFmtId="42" fontId="4" fillId="7" borderId="1" xfId="0" applyNumberFormat="1" applyFont="1" applyFill="1" applyBorder="1"/>
    <xf numFmtId="0" fontId="0" fillId="13" borderId="10" xfId="0" applyFill="1" applyBorder="1"/>
    <xf numFmtId="0" fontId="4" fillId="13" borderId="10" xfId="0" applyFont="1" applyFill="1" applyBorder="1"/>
    <xf numFmtId="6" fontId="0" fillId="0" borderId="18" xfId="0" applyNumberFormat="1" applyBorder="1"/>
    <xf numFmtId="6" fontId="0" fillId="0" borderId="27" xfId="0" applyNumberFormat="1" applyBorder="1"/>
    <xf numFmtId="42" fontId="0" fillId="0" borderId="27" xfId="1" applyFont="1" applyBorder="1" applyAlignment="1">
      <alignment wrapText="1"/>
    </xf>
    <xf numFmtId="42" fontId="0" fillId="0" borderId="27" xfId="1" applyFont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10" fontId="5" fillId="0" borderId="18" xfId="0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 wrapText="1"/>
    </xf>
    <xf numFmtId="0" fontId="5" fillId="11" borderId="18" xfId="0" applyFont="1" applyFill="1" applyBorder="1" applyAlignment="1">
      <alignment horizontal="center" vertical="center"/>
    </xf>
    <xf numFmtId="1" fontId="0" fillId="0" borderId="27" xfId="1" applyNumberFormat="1" applyFont="1" applyBorder="1"/>
    <xf numFmtId="1" fontId="0" fillId="0" borderId="18" xfId="1" applyNumberFormat="1" applyFont="1" applyBorder="1"/>
    <xf numFmtId="164" fontId="0" fillId="0" borderId="32" xfId="0" applyNumberFormat="1" applyBorder="1"/>
    <xf numFmtId="42" fontId="0" fillId="0" borderId="39" xfId="1" applyFont="1" applyBorder="1"/>
    <xf numFmtId="9" fontId="0" fillId="0" borderId="18" xfId="0" applyNumberFormat="1" applyBorder="1"/>
    <xf numFmtId="10" fontId="0" fillId="0" borderId="18" xfId="0" applyNumberFormat="1" applyBorder="1"/>
    <xf numFmtId="10" fontId="0" fillId="0" borderId="27" xfId="0" applyNumberFormat="1" applyBorder="1"/>
    <xf numFmtId="0" fontId="2" fillId="10" borderId="40" xfId="0" applyFont="1" applyFill="1" applyBorder="1"/>
    <xf numFmtId="0" fontId="0" fillId="11" borderId="28" xfId="0" applyFill="1" applyBorder="1"/>
    <xf numFmtId="0" fontId="0" fillId="11" borderId="29" xfId="0" applyFill="1" applyBorder="1"/>
    <xf numFmtId="0" fontId="0" fillId="11" borderId="30" xfId="0" applyFill="1" applyBorder="1"/>
    <xf numFmtId="1" fontId="0" fillId="0" borderId="27" xfId="0" applyNumberFormat="1" applyBorder="1"/>
    <xf numFmtId="0" fontId="0" fillId="14" borderId="0" xfId="0" applyFill="1"/>
    <xf numFmtId="0" fontId="0" fillId="15" borderId="0" xfId="0" applyFill="1"/>
    <xf numFmtId="0" fontId="0" fillId="9" borderId="2" xfId="0" applyFill="1" applyBorder="1" applyAlignment="1">
      <alignment horizontal="center" vertical="center" textRotation="90"/>
    </xf>
    <xf numFmtId="0" fontId="0" fillId="9" borderId="3" xfId="0" applyFill="1" applyBorder="1" applyAlignment="1">
      <alignment horizontal="center" vertical="center" textRotation="90"/>
    </xf>
    <xf numFmtId="0" fontId="0" fillId="9" borderId="4" xfId="0" applyFill="1" applyBorder="1" applyAlignment="1">
      <alignment horizontal="center" vertical="center" textRotation="90"/>
    </xf>
    <xf numFmtId="0" fontId="5" fillId="9" borderId="16" xfId="0" applyFont="1" applyFill="1" applyBorder="1" applyAlignment="1">
      <alignment horizontal="center"/>
    </xf>
    <xf numFmtId="0" fontId="5" fillId="9" borderId="14" xfId="0" applyFont="1" applyFill="1" applyBorder="1" applyAlignment="1">
      <alignment horizontal="center"/>
    </xf>
    <xf numFmtId="0" fontId="5" fillId="9" borderId="15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9" borderId="9" xfId="0" applyFill="1" applyBorder="1" applyAlignment="1">
      <alignment horizontal="center" vertical="center" textRotation="90"/>
    </xf>
    <xf numFmtId="0" fontId="0" fillId="9" borderId="11" xfId="0" applyFill="1" applyBorder="1" applyAlignment="1">
      <alignment horizontal="center" vertical="center" textRotation="90"/>
    </xf>
    <xf numFmtId="0" fontId="0" fillId="9" borderId="13" xfId="0" applyFill="1" applyBorder="1" applyAlignment="1">
      <alignment horizontal="center" vertical="center" textRotation="90"/>
    </xf>
    <xf numFmtId="0" fontId="0" fillId="12" borderId="2" xfId="0" applyFill="1" applyBorder="1" applyAlignment="1">
      <alignment horizontal="center" vertical="center" textRotation="90"/>
    </xf>
    <xf numFmtId="0" fontId="0" fillId="12" borderId="3" xfId="0" applyFill="1" applyBorder="1" applyAlignment="1">
      <alignment horizontal="center" vertical="center" textRotation="90"/>
    </xf>
    <xf numFmtId="0" fontId="0" fillId="12" borderId="4" xfId="0" applyFill="1" applyBorder="1" applyAlignment="1">
      <alignment horizontal="center" vertical="center" textRotation="90"/>
    </xf>
    <xf numFmtId="42" fontId="8" fillId="0" borderId="17" xfId="0" applyNumberFormat="1" applyFont="1" applyBorder="1"/>
    <xf numFmtId="6" fontId="0" fillId="0" borderId="17" xfId="1" applyNumberFormat="1" applyFont="1" applyBorder="1"/>
    <xf numFmtId="0" fontId="2" fillId="10" borderId="5" xfId="0" applyFont="1" applyFill="1" applyBorder="1"/>
    <xf numFmtId="0" fontId="0" fillId="11" borderId="26" xfId="0" applyFill="1" applyBorder="1"/>
    <xf numFmtId="0" fontId="0" fillId="11" borderId="18" xfId="0" applyFill="1" applyBorder="1"/>
    <xf numFmtId="0" fontId="0" fillId="11" borderId="27" xfId="0" applyFill="1" applyBorder="1"/>
    <xf numFmtId="0" fontId="0" fillId="11" borderId="40" xfId="0" applyFill="1" applyBorder="1"/>
    <xf numFmtId="42" fontId="0" fillId="0" borderId="41" xfId="1" applyFont="1" applyBorder="1"/>
  </cellXfs>
  <cellStyles count="3">
    <cellStyle name="Moneda [0]" xfId="1" builtinId="7"/>
    <cellStyle name="Normal" xfId="0" builtinId="0"/>
    <cellStyle name="Porcentaje" xfId="2" builtinId="5"/>
  </cellStyles>
  <dxfs count="6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2" formatCode="_ &quot;$&quot;* #,##0_ ;_ &quot;$&quot;* \-#,##0_ ;_ &quot;$&quot;* &quot;-&quot;_ ;_ @_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2" formatCode="_ &quot;$&quot;* #,##0_ ;_ &quot;$&quot;* \-#,##0_ ;_ &quot;$&quot;* &quot;-&quot;_ ;_ @_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2" formatCode="_ &quot;$&quot;* #,##0_ ;_ &quot;$&quot;* \-#,##0_ ;_ &quot;$&quot;* &quot;-&quot;_ ;_ @_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4" formatCode="0.00%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32" formatCode="_ &quot;$&quot;* #,##0_ ;_ &quot;$&quot;* \-#,##0_ ;_ &quot;$&quot;* &quot;-&quot;_ ;_ @_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0" formatCode="&quot;$&quot;#,##0;[Red]&quot;$&quot;\-#,##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2" formatCode="_ &quot;$&quot;* #,##0_ ;_ &quot;$&quot;* \-#,##0_ ;_ &quot;$&quot;* &quot;-&quot;_ ;_ @_ 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5F3F2"/>
        </patternFill>
      </fill>
    </dxf>
    <dxf>
      <font>
        <b/>
        <i val="0"/>
        <color theme="0"/>
      </font>
      <fill>
        <patternFill>
          <bgColor rgb="FFD0CAC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Estilo de tabla 1" pivot="0" count="4" xr9:uid="{AC2FCAA0-1164-DE40-998F-6B5DE6C3FFA5}">
      <tableStyleElement type="headerRow" dxfId="65"/>
      <tableStyleElement type="firstRowStripe" dxfId="64"/>
      <tableStyleElement type="firstColumnStripe" dxfId="63"/>
      <tableStyleElement type="secondColumnStripe" dxfId="62"/>
    </tableStyle>
  </tableStyles>
  <colors>
    <mruColors>
      <color rgb="FFFD5445"/>
      <color rgb="FFFF1B1B"/>
      <color rgb="FFD0CAC2"/>
      <color rgb="FFF5F3F2"/>
      <color rgb="FFFFFCA3"/>
      <color rgb="FFECE9E6"/>
      <color rgb="FFD8D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12700</xdr:colOff>
      <xdr:row>11</xdr:row>
      <xdr:rowOff>101600</xdr:rowOff>
    </xdr:from>
    <xdr:to>
      <xdr:col>17</xdr:col>
      <xdr:colOff>609600</xdr:colOff>
      <xdr:row>18</xdr:row>
      <xdr:rowOff>50800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547E35-414C-C441-8579-679F6BE3E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96400" y="2336800"/>
          <a:ext cx="7200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254000</xdr:colOff>
      <xdr:row>33</xdr:row>
      <xdr:rowOff>0</xdr:rowOff>
    </xdr:from>
    <xdr:to>
      <xdr:col>18</xdr:col>
      <xdr:colOff>25400</xdr:colOff>
      <xdr:row>39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E31DE3-752C-0FBF-4C8F-98E54DA9E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7700" y="6705600"/>
          <a:ext cx="72009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4DFA4FA-82A8-6B45-9742-56BA90DB2410}" name="Tabla21" displayName="Tabla21" ref="C4:G7" totalsRowShown="0" headerRowDxfId="61">
  <autoFilter ref="C4:G7" xr:uid="{A4DFA4FA-82A8-6B45-9742-56BA90DB2410}"/>
  <tableColumns count="5">
    <tableColumn id="1" xr3:uid="{2E546B76-89DA-454B-8A07-0B2F39AD680F}" name="Tasa libre de riesgo_x000a_(Rf)"/>
    <tableColumn id="2" xr3:uid="{139BB2C9-8D8B-A448-AF44-9F631C651CCB}" name="Equity Risk Premium_x000a_(RPm)"/>
    <tableColumn id="3" xr3:uid="{37E7BCC5-FED9-0442-8E36-4DEB795AB707}" name="Prima de riesgo por el mercado pequeño_x000a_(RPs)"/>
    <tableColumn id="4" xr3:uid="{670EA1D9-3EA8-0E4B-8E22-E1D0128C1CC2}" name="Prima de riesgo atribuible a la compañía o industria_x000a_(RPc)"/>
    <tableColumn id="5" xr3:uid="{057B3AF4-35F2-784E-903A-85032C25C822}" name="Tasa de descuento _x000a_(E(Ri))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9A6526-A79F-3948-98BC-CEEA365B98E5}" name="Tabla3" displayName="Tabla3" ref="B17:G23" totalsRowShown="0">
  <autoFilter ref="B17:G23" xr:uid="{209A6526-A79F-3948-98BC-CEEA365B98E5}"/>
  <tableColumns count="6">
    <tableColumn id="1" xr3:uid="{312E741F-78CE-D64B-9D36-6ECF99FE72CF}" name="Mes" dataDxfId="60"/>
    <tableColumn id="2" xr3:uid="{BD537FAA-C2EA-EC47-B75C-EE79CDAD7D06}" name="Cursos" dataDxfId="59"/>
    <tableColumn id="3" xr3:uid="{71225DE5-91B0-CC4A-B804-052D0E811971}" name="Capacitaciones" dataDxfId="58">
      <calculatedColumnFormula>C18/3</calculatedColumnFormula>
    </tableColumn>
    <tableColumn id="4" xr3:uid="{BC0B8B94-A4A2-1F4E-AD74-530F16BFB581}" name="Costo ahorrado del equipo de formación (por cadena)" dataDxfId="57" dataCellStyle="Moneda [0]">
      <calculatedColumnFormula>D18*3*20000</calculatedColumnFormula>
    </tableColumn>
    <tableColumn id="7" xr3:uid="{A478874A-8D74-444D-AC28-0C972A184258}" name="Costo 2 cadenas" dataDxfId="56">
      <calculatedColumnFormula>Tabla3[[#This Row],[Costo ahorrado del equipo de formación (por cadena)]]*2</calculatedColumnFormula>
    </tableColumn>
    <tableColumn id="8" xr3:uid="{3E28F122-0E3D-1540-8144-7766E35D4667}" name="5 cadenas" dataDxfId="55">
      <calculatedColumnFormula>Tabla3[[#This Row],[Costo ahorrado del equipo de formación (por cadena)]]*5</calculatedColumnFormula>
    </tableColumn>
  </tableColumns>
  <tableStyleInfo name="Estilo de tabla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D965215-C6F5-D644-8B8C-13F7FF517E51}" name="Tabla5" displayName="Tabla5" ref="B29:G34" totalsRowShown="0">
  <autoFilter ref="B29:G34" xr:uid="{9D965215-C6F5-D644-8B8C-13F7FF517E51}"/>
  <tableColumns count="6">
    <tableColumn id="1" xr3:uid="{216C6055-65AB-784B-BDD3-6D11FD3AE5BC}" name="Descripción" dataDxfId="54"/>
    <tableColumn id="2" xr3:uid="{A5269899-ED96-8247-B7B6-551DD89558ED}" name="Preunic" dataDxfId="53"/>
    <tableColumn id="3" xr3:uid="{E5BFA117-C17A-7045-A9EB-3A12C3B0E6C8}" name="Maicao" dataDxfId="52"/>
    <tableColumn id="4" xr3:uid="{36DAEF10-3876-A44F-B633-681747A3DB25}" name="Cruz Verde" dataDxfId="51"/>
    <tableColumn id="5" xr3:uid="{D35C8F3B-E506-3741-B0F4-097610AEE4D3}" name="Salcobrand" dataDxfId="50"/>
    <tableColumn id="6" xr3:uid="{EC561460-458B-4041-9DCE-E73B154F31A5}" name="Ahumada" dataDxfId="49" dataCellStyle="Moneda [0]"/>
  </tableColumns>
  <tableStyleInfo name="Estilo de tabla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14FC49-9E54-9845-9D5F-B566AE73BEDD}" name="Tabla17" displayName="Tabla17" ref="B4:I12" totalsRowShown="0">
  <autoFilter ref="B4:I12" xr:uid="{4D14FC49-9E54-9845-9D5F-B566AE73BEDD}"/>
  <tableColumns count="8">
    <tableColumn id="1" xr3:uid="{EB5CFE13-F38E-694D-98A9-316F98411942}" name="Mes" dataDxfId="48"/>
    <tableColumn id="2" xr3:uid="{DC026A55-77ED-2A44-A55B-20B714CE9764}" name="Cantidad" dataDxfId="47"/>
    <tableColumn id="3" xr3:uid="{D52DDE9C-C3AC-1F44-9D72-37E2D6F6FE72}" name="Precio Unitario" dataDxfId="46"/>
    <tableColumn id="4" xr3:uid="{2342C261-B8F5-4247-969E-C311C42CEB82}" name="Costo por cadena" dataDxfId="45" dataCellStyle="Moneda [0]">
      <calculatedColumnFormula>D5*C5</calculatedColumnFormula>
    </tableColumn>
    <tableColumn id="5" xr3:uid="{EF65E8F3-27CB-284A-88BC-B754012AE47B}" name="# Cadenas" dataDxfId="44"/>
    <tableColumn id="6" xr3:uid="{6B4EA452-0CFB-1247-9C94-BD8C6CE16D84}" name="Costo 2 cadenas" dataDxfId="43" dataCellStyle="Moneda [0]">
      <calculatedColumnFormula>F5*E5</calculatedColumnFormula>
    </tableColumn>
    <tableColumn id="7" xr3:uid="{6C1B2BA5-4CE8-6447-9AC3-64CB9F51C762}" name="# Cadenas2" dataDxfId="42"/>
    <tableColumn id="8" xr3:uid="{613C5245-5492-F640-8937-FCC4DF187E07}" name="Costo 5 cadenas" dataDxfId="41">
      <calculatedColumnFormula>Tabla17[[#This Row],[Costo por cadena]]*Tabla17[[#This Row],['# Cadenas2]]</calculatedColumnFormula>
    </tableColumn>
  </tableColumns>
  <tableStyleInfo name="Estilo de tabla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65FC853-D883-DD44-A61F-68AE2CFFF012}" name="Tabla15" displayName="Tabla15" ref="L4:M6" totalsRowShown="0">
  <autoFilter ref="L4:M6" xr:uid="{B65FC853-D883-DD44-A61F-68AE2CFFF012}"/>
  <tableColumns count="2">
    <tableColumn id="1" xr3:uid="{C1D9F62B-73F7-CF48-9859-F0A4E2B484A4}" name="Tipo de premio" dataDxfId="40"/>
    <tableColumn id="2" xr3:uid="{C1917D6D-DF3B-6247-98EC-5E56C9A6A91A}" name="Costo unitario" dataDxfId="39"/>
  </tableColumns>
  <tableStyleInfo name="Estilo de tabla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6ED268E-B083-9A41-A2D3-955CB97EBE05}" name="Tabla16" displayName="Tabla16" ref="L16:M17" totalsRowShown="0" headerRowDxfId="38" dataDxfId="37" headerRowCellStyle="Moneda [0]" dataCellStyle="Moneda [0]">
  <autoFilter ref="L16:M17" xr:uid="{E6ED268E-B083-9A41-A2D3-955CB97EBE05}"/>
  <tableColumns count="2">
    <tableColumn id="1" xr3:uid="{A8DE692C-F1EC-8044-8DEA-8F930C9F9769}" name="Tipo de ahorro" dataDxfId="36" dataCellStyle="Moneda [0]"/>
    <tableColumn id="2" xr3:uid="{2C669466-3E4D-7145-91CF-AB15CFE89C42}" name="Ahorro" dataDxfId="35" dataCellStyle="Moneda [0]"/>
  </tableColumns>
  <tableStyleInfo name="Estilo de tabla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FE086F0-9604-AA42-AAA8-BEEBBCCA6C8F}" name="Tabla1618" displayName="Tabla1618" ref="L10:M11" totalsRowShown="0" headerRowDxfId="34" dataDxfId="33" headerRowCellStyle="Moneda [0]" dataCellStyle="Moneda [0]">
  <autoFilter ref="L10:M11" xr:uid="{5FE086F0-9604-AA42-AAA8-BEEBBCCA6C8F}"/>
  <tableColumns count="2">
    <tableColumn id="1" xr3:uid="{56EF1ECB-2B35-D040-914D-268B495C0B8C}" name="Tipo de costo" dataDxfId="32" dataCellStyle="Moneda [0]"/>
    <tableColumn id="2" xr3:uid="{E5430509-3557-AF40-8408-60FE2D4D760A}" name="Costo" dataDxfId="31" dataCellStyle="Moneda [0]"/>
  </tableColumns>
  <tableStyleInfo name="Estilo de tabla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34E2DD60-3A68-CB47-A3D9-B2DE6A1472FF}" name="Tabla161823" displayName="Tabla161823" ref="L20:O21" totalsRowShown="0" headerRowDxfId="30" dataDxfId="29" headerRowCellStyle="Moneda [0]" dataCellStyle="Moneda [0]">
  <autoFilter ref="L20:O21" xr:uid="{34E2DD60-3A68-CB47-A3D9-B2DE6A1472FF}"/>
  <tableColumns count="4">
    <tableColumn id="1" xr3:uid="{45A03BEE-D873-C145-B6ED-FFDDFB286A93}" name="Tipo de costo" dataDxfId="28" dataCellStyle="Moneda [0]"/>
    <tableColumn id="2" xr3:uid="{3B0CE694-B646-194B-B011-56F7F930C854}" name="Costo unitario" dataDxfId="27" dataCellStyle="Moneda [0]"/>
    <tableColumn id="3" xr3:uid="{2585AD0A-D58C-0F44-8302-C5418350DE01}" name="Cantidad " dataDxfId="26" dataCellStyle="Moneda [0]"/>
    <tableColumn id="4" xr3:uid="{D74E63ED-E736-C645-BDAD-A9150BC4EB5D}" name="Costo total" dataDxfId="25" dataCellStyle="Moneda [0]">
      <calculatedColumnFormula>Tabla161823[[#This Row],[Costo unitario]]*Tabla161823[[#This Row],[Cantidad ]]</calculatedColumnFormula>
    </tableColumn>
  </tableColumns>
  <tableStyleInfo name="Estilo de tabla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8F5B5-7A7B-F247-8FD8-B0D7405FC002}" name="Tabla1" displayName="Tabla1" ref="B37:F42" totalsRowShown="0">
  <autoFilter ref="B37:F42" xr:uid="{E148F5B5-7A7B-F247-8FD8-B0D7405FC002}"/>
  <tableColumns count="5">
    <tableColumn id="1" xr3:uid="{BEB312D2-58CE-C84F-8CBB-C049FF2E9758}" name="Cadena" dataDxfId="24"/>
    <tableColumn id="2" xr3:uid="{2ABCB5C3-6A84-E943-9EA6-CEF935E5A01C}" name="Ponderación" dataDxfId="23"/>
    <tableColumn id="3" xr3:uid="{8C7ADD8B-6766-EC4D-8F4E-AE2E6F4CA643}" name="Beneficios esperados" dataDxfId="0" dataCellStyle="Moneda [0]">
      <calculatedColumnFormula>200035/4</calculatedColumnFormula>
    </tableColumn>
    <tableColumn id="4" xr3:uid="{41197880-424B-994A-9E49-05747D6B51F8}" name="Cantidad de locales" dataDxfId="22"/>
    <tableColumn id="5" xr3:uid="{A15E0938-FE4C-F44E-8742-570DC851456F}" name="14,23% de locales" dataDxfId="21">
      <calculatedColumnFormula>0.1423*Tabla1[[#This Row],[Cantidad de locales]]</calculatedColumnFormula>
    </tableColumn>
  </tableColumns>
  <tableStyleInfo name="Estilo de tabla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27AE42F-9B7B-A547-BA36-9C92B59A2BFC}" name="Tabla311" displayName="Tabla311" ref="B17:G23" totalsRowShown="0">
  <autoFilter ref="B17:G23" xr:uid="{727AE42F-9B7B-A547-BA36-9C92B59A2BFC}"/>
  <tableColumns count="6">
    <tableColumn id="1" xr3:uid="{D8FA6894-00A7-1449-A34E-2F1B30BA104D}" name="Mes" dataDxfId="20"/>
    <tableColumn id="2" xr3:uid="{0C1EEE9C-2774-AA4E-9A87-C59E22A421D7}" name="Cursos" dataDxfId="19"/>
    <tableColumn id="3" xr3:uid="{40E7AB0D-BD88-7F46-981B-3B1F6C91235C}" name="Capacitaciones" dataDxfId="18">
      <calculatedColumnFormula>C18/3</calculatedColumnFormula>
    </tableColumn>
    <tableColumn id="4" xr3:uid="{B65B9B17-B4E2-6045-AEC3-E61D24232453}" name="Costo ahorrado del equipo de formación (por cadena)" dataDxfId="17" dataCellStyle="Moneda [0]">
      <calculatedColumnFormula>D18*3*20000</calculatedColumnFormula>
    </tableColumn>
    <tableColumn id="5" xr3:uid="{09095463-8717-2A43-826C-EEC948178147}" name="2 cadenas" dataDxfId="16">
      <calculatedColumnFormula>Tabla311[[#This Row],[Costo ahorrado del equipo de formación (por cadena)]]*2</calculatedColumnFormula>
    </tableColumn>
    <tableColumn id="6" xr3:uid="{B8EFC90B-661B-8D4B-870E-EC95EE6EAAF7}" name="5 cadenas" dataDxfId="15" dataCellStyle="Moneda [0]">
      <calculatedColumnFormula>Tabla311[[#This Row],[Costo ahorrado del equipo de formación (por cadena)]]*5</calculatedColumnFormula>
    </tableColumn>
  </tableColumns>
  <tableStyleInfo name="Estilo de tabla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1A9105B-6772-F742-9E43-239FEDB5E4DB}" name="Tabla513" displayName="Tabla513" ref="B29:G34" totalsRowShown="0">
  <autoFilter ref="B29:G34" xr:uid="{31A9105B-6772-F742-9E43-239FEDB5E4DB}"/>
  <tableColumns count="6">
    <tableColumn id="1" xr3:uid="{8E6C122F-84FA-BD4A-AFE5-D7B1D7B0DE7B}" name="Descripción" dataDxfId="14"/>
    <tableColumn id="2" xr3:uid="{375B07B5-86E8-114C-A6AB-F087EC10D146}" name="Preunic" dataDxfId="13"/>
    <tableColumn id="3" xr3:uid="{127B1488-A7FF-2249-8D75-E734A0A5E8F1}" name="Maicao" dataDxfId="12"/>
    <tableColumn id="4" xr3:uid="{30F243EA-0B1A-004D-A22F-58DCD7DDD950}" name="Cruz Verde" dataDxfId="11"/>
    <tableColumn id="5" xr3:uid="{33B3F0F0-A250-9D4F-9FAC-185FF76B4DC7}" name="Salcobrand" dataDxfId="10"/>
    <tableColumn id="6" xr3:uid="{FF0572A0-273D-6349-B803-A63B3C5085C8}" name="Ahumada" dataDxfId="9" dataCellStyle="Moneda [0]"/>
  </tableColumns>
  <tableStyleInfo name="Estilo de tabla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CAA08ED-67AA-7F48-B0E1-F571353AE015}" name="Tabla1714" displayName="Tabla1714" ref="B4:I12" totalsRowShown="0">
  <autoFilter ref="B4:I12" xr:uid="{CCAA08ED-67AA-7F48-B0E1-F571353AE015}"/>
  <tableColumns count="8">
    <tableColumn id="1" xr3:uid="{49282B17-C8C0-E645-BEC9-C8ECEA466BBD}" name="Mes" dataDxfId="8"/>
    <tableColumn id="2" xr3:uid="{D23BB636-61CD-DB4D-A89A-D1E0B3224C12}" name="Cantidad" dataDxfId="7"/>
    <tableColumn id="3" xr3:uid="{0EA420D1-7B0B-3E42-A049-CEB9E3E9C516}" name="Precio Unitario" dataDxfId="6"/>
    <tableColumn id="4" xr3:uid="{C682161A-1D70-C345-ACA8-A2139AA31298}" name="Costo por cadena" dataDxfId="5" dataCellStyle="Moneda [0]">
      <calculatedColumnFormula>D5*C5</calculatedColumnFormula>
    </tableColumn>
    <tableColumn id="5" xr3:uid="{39714B84-F5C5-7847-834E-CF6A9BF00FFE}" name="# Cadenas" dataDxfId="4"/>
    <tableColumn id="6" xr3:uid="{A1F6E645-DAF4-C24E-8151-74439B8DACFD}" name="Costo 2 cadenas" dataDxfId="3" dataCellStyle="Moneda [0]">
      <calculatedColumnFormula>F5*E5</calculatedColumnFormula>
    </tableColumn>
    <tableColumn id="7" xr3:uid="{11DA3DB1-15E0-3D4A-8678-9C0654D63C06}" name="# Cadenas2" dataDxfId="2"/>
    <tableColumn id="8" xr3:uid="{EAB2094C-9298-0948-A7C9-2C2C02E6F4D2}" name="Costo 5 cadenas" dataDxfId="1">
      <calculatedColumnFormula>Tabla1714[[#This Row],['# Cadenas2]]*Tabla1714[[#This Row],[Costo por cadena]]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03A8-6465-8847-BAA2-A24200B41BA0}">
  <dimension ref="B4:K7"/>
  <sheetViews>
    <sheetView workbookViewId="0">
      <selection activeCell="K7" sqref="K7"/>
    </sheetView>
  </sheetViews>
  <sheetFormatPr baseColWidth="10" defaultRowHeight="16" x14ac:dyDescent="0.2"/>
  <cols>
    <col min="2" max="7" width="21.5" customWidth="1"/>
    <col min="8" max="9" width="18.6640625" customWidth="1"/>
    <col min="10" max="10" width="18.1640625" bestFit="1" customWidth="1"/>
    <col min="11" max="11" width="23.5" bestFit="1" customWidth="1"/>
  </cols>
  <sheetData>
    <row r="4" spans="2:11" ht="68" x14ac:dyDescent="0.2">
      <c r="C4" s="92" t="s">
        <v>81</v>
      </c>
      <c r="D4" s="92" t="s">
        <v>82</v>
      </c>
      <c r="E4" s="92" t="s">
        <v>83</v>
      </c>
      <c r="F4" s="92" t="s">
        <v>84</v>
      </c>
      <c r="G4" s="92" t="s">
        <v>80</v>
      </c>
      <c r="J4" s="97" t="s">
        <v>86</v>
      </c>
      <c r="K4" s="97" t="s">
        <v>87</v>
      </c>
    </row>
    <row r="5" spans="2:11" ht="24" x14ac:dyDescent="0.2">
      <c r="B5" t="s">
        <v>74</v>
      </c>
      <c r="C5" s="94">
        <v>5.7500000000000002E-2</v>
      </c>
      <c r="D5" s="94">
        <v>5.4600000000000003E-2</v>
      </c>
      <c r="E5" s="95">
        <v>0</v>
      </c>
      <c r="F5" s="96">
        <v>7.0000000000000007E-2</v>
      </c>
      <c r="G5" s="95">
        <f>SUM(B5:F5)</f>
        <v>0.18210000000000001</v>
      </c>
      <c r="J5" s="98">
        <f>(1 + G5)^(1/12) - 1</f>
        <v>1.4038672648005734E-2</v>
      </c>
      <c r="K5" s="98" t="s">
        <v>85</v>
      </c>
    </row>
    <row r="6" spans="2:11" ht="51" x14ac:dyDescent="0.2">
      <c r="C6" s="93" t="s">
        <v>75</v>
      </c>
      <c r="D6" s="93" t="s">
        <v>76</v>
      </c>
      <c r="E6" s="93" t="s">
        <v>77</v>
      </c>
      <c r="F6" s="93" t="s">
        <v>78</v>
      </c>
      <c r="G6" s="57"/>
    </row>
    <row r="7" spans="2:11" ht="109" x14ac:dyDescent="0.2">
      <c r="F7" s="91" t="s">
        <v>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A0D81-11C3-E54F-A95D-EF5DF036585E}">
  <dimension ref="B2:O55"/>
  <sheetViews>
    <sheetView workbookViewId="0">
      <selection activeCell="E54" sqref="E54"/>
    </sheetView>
  </sheetViews>
  <sheetFormatPr baseColWidth="10" defaultRowHeight="16" x14ac:dyDescent="0.2"/>
  <cols>
    <col min="2" max="2" width="18.1640625" customWidth="1"/>
    <col min="3" max="3" width="15.33203125" bestFit="1" customWidth="1"/>
    <col min="4" max="4" width="21.33203125" customWidth="1"/>
    <col min="5" max="5" width="48.6640625" bestFit="1" customWidth="1"/>
    <col min="6" max="6" width="34" customWidth="1"/>
    <col min="7" max="7" width="18" style="1" bestFit="1" customWidth="1"/>
    <col min="11" max="11" width="11" customWidth="1"/>
    <col min="12" max="12" width="26.1640625" style="1" bestFit="1" customWidth="1"/>
    <col min="13" max="13" width="17.83203125" style="1" customWidth="1"/>
    <col min="14" max="14" width="12.1640625" customWidth="1"/>
    <col min="15" max="15" width="13.5" style="1" bestFit="1" customWidth="1"/>
    <col min="20" max="20" width="31.6640625" customWidth="1"/>
    <col min="21" max="21" width="15.6640625" bestFit="1" customWidth="1"/>
    <col min="22" max="22" width="13.5" bestFit="1" customWidth="1"/>
    <col min="23" max="23" width="12.1640625" bestFit="1" customWidth="1"/>
    <col min="25" max="28" width="16.6640625" customWidth="1"/>
    <col min="29" max="29" width="21.6640625" customWidth="1"/>
    <col min="30" max="30" width="16.6640625" customWidth="1"/>
  </cols>
  <sheetData>
    <row r="2" spans="2:15" x14ac:dyDescent="0.2">
      <c r="E2" s="1"/>
    </row>
    <row r="3" spans="2:15" x14ac:dyDescent="0.2">
      <c r="E3" s="1"/>
    </row>
    <row r="4" spans="2:15" x14ac:dyDescent="0.2">
      <c r="B4" s="55" t="s">
        <v>0</v>
      </c>
      <c r="C4" t="s">
        <v>9</v>
      </c>
      <c r="D4" s="73" t="s">
        <v>11</v>
      </c>
      <c r="E4" s="55" t="s">
        <v>14</v>
      </c>
      <c r="F4" t="s">
        <v>13</v>
      </c>
      <c r="G4" s="58" t="s">
        <v>55</v>
      </c>
      <c r="H4" s="75" t="s">
        <v>56</v>
      </c>
      <c r="I4" s="55" t="s">
        <v>57</v>
      </c>
      <c r="L4" s="55" t="s">
        <v>66</v>
      </c>
      <c r="M4" s="55" t="s">
        <v>89</v>
      </c>
      <c r="O4"/>
    </row>
    <row r="5" spans="2:15" x14ac:dyDescent="0.2">
      <c r="B5" s="71" t="s">
        <v>1</v>
      </c>
      <c r="C5" s="55" t="s">
        <v>10</v>
      </c>
      <c r="D5">
        <v>5000</v>
      </c>
      <c r="E5" s="20">
        <v>-15000</v>
      </c>
      <c r="F5" s="75">
        <v>2</v>
      </c>
      <c r="G5" s="20">
        <f t="shared" ref="G5" si="0">F5*E5</f>
        <v>-30000</v>
      </c>
      <c r="H5">
        <v>5</v>
      </c>
      <c r="I5" s="63">
        <f>Tabla17[[#This Row],[Costo por cadena]]*Tabla17[[#This Row],['# Cadenas2]]</f>
        <v>-75000</v>
      </c>
      <c r="L5" s="56" t="s">
        <v>92</v>
      </c>
      <c r="M5" s="87">
        <v>7000</v>
      </c>
      <c r="O5"/>
    </row>
    <row r="6" spans="2:15" x14ac:dyDescent="0.2">
      <c r="B6" s="71" t="s">
        <v>2</v>
      </c>
      <c r="C6" s="56">
        <v>0</v>
      </c>
      <c r="D6">
        <v>5000</v>
      </c>
      <c r="E6" s="20">
        <f>-D6*Tabla17[[#This Row],[Cantidad]]</f>
        <v>0</v>
      </c>
      <c r="F6">
        <v>1</v>
      </c>
      <c r="G6" s="20">
        <f>F6*E6</f>
        <v>0</v>
      </c>
      <c r="H6">
        <v>1</v>
      </c>
      <c r="I6" s="63">
        <f>Tabla17[[#This Row],[Costo por cadena]]*Tabla17[[#This Row],['# Cadenas2]]</f>
        <v>0</v>
      </c>
      <c r="L6" s="57" t="s">
        <v>67</v>
      </c>
      <c r="M6" s="88">
        <v>50000</v>
      </c>
      <c r="O6"/>
    </row>
    <row r="7" spans="2:15" x14ac:dyDescent="0.2">
      <c r="B7" s="71" t="s">
        <v>3</v>
      </c>
      <c r="C7" s="56">
        <v>1</v>
      </c>
      <c r="D7">
        <v>5000</v>
      </c>
      <c r="E7" s="20">
        <f>-D7*Tabla17[[#This Row],[Cantidad]]</f>
        <v>-5000</v>
      </c>
      <c r="F7">
        <v>1</v>
      </c>
      <c r="G7" s="20">
        <f t="shared" ref="G7:G12" si="1">F7*E7</f>
        <v>-5000</v>
      </c>
      <c r="H7">
        <v>1</v>
      </c>
      <c r="I7" s="63">
        <f>Tabla17[[#This Row],[Costo por cadena]]*Tabla17[[#This Row],['# Cadenas2]]</f>
        <v>-5000</v>
      </c>
      <c r="L7"/>
      <c r="M7"/>
      <c r="O7"/>
    </row>
    <row r="8" spans="2:15" x14ac:dyDescent="0.2">
      <c r="B8" s="71" t="s">
        <v>4</v>
      </c>
      <c r="C8" s="56">
        <v>0</v>
      </c>
      <c r="D8">
        <v>5000</v>
      </c>
      <c r="E8" s="20">
        <f>-D8*Tabla17[[#This Row],[Cantidad]]</f>
        <v>0</v>
      </c>
      <c r="F8">
        <v>1</v>
      </c>
      <c r="G8" s="20">
        <f t="shared" si="1"/>
        <v>0</v>
      </c>
      <c r="H8">
        <v>1</v>
      </c>
      <c r="I8" s="63">
        <f>Tabla17[[#This Row],[Costo por cadena]]*Tabla17[[#This Row],['# Cadenas2]]</f>
        <v>0</v>
      </c>
      <c r="L8"/>
      <c r="M8"/>
      <c r="O8"/>
    </row>
    <row r="9" spans="2:15" ht="27" customHeight="1" x14ac:dyDescent="0.2">
      <c r="B9" s="71" t="s">
        <v>5</v>
      </c>
      <c r="C9" s="56">
        <v>1</v>
      </c>
      <c r="D9">
        <v>5000</v>
      </c>
      <c r="E9" s="20">
        <f>-D9*Tabla17[[#This Row],[Cantidad]]</f>
        <v>-5000</v>
      </c>
      <c r="F9">
        <v>1</v>
      </c>
      <c r="G9" s="20">
        <f t="shared" si="1"/>
        <v>-5000</v>
      </c>
      <c r="H9">
        <v>1</v>
      </c>
      <c r="I9" s="63">
        <f>Tabla17[[#This Row],[Costo por cadena]]*Tabla17[[#This Row],['# Cadenas2]]</f>
        <v>-5000</v>
      </c>
      <c r="L9"/>
      <c r="M9"/>
      <c r="O9"/>
    </row>
    <row r="10" spans="2:15" x14ac:dyDescent="0.2">
      <c r="B10" s="71" t="s">
        <v>6</v>
      </c>
      <c r="C10" s="56">
        <v>0</v>
      </c>
      <c r="D10">
        <v>5000</v>
      </c>
      <c r="E10" s="20">
        <f>-D10*Tabla17[[#This Row],[Cantidad]]</f>
        <v>0</v>
      </c>
      <c r="F10">
        <v>1</v>
      </c>
      <c r="G10" s="20">
        <f t="shared" si="1"/>
        <v>0</v>
      </c>
      <c r="H10">
        <v>1</v>
      </c>
      <c r="I10" s="63">
        <f>Tabla17[[#This Row],[Costo por cadena]]*Tabla17[[#This Row],['# Cadenas2]]</f>
        <v>0</v>
      </c>
      <c r="L10" s="58" t="s">
        <v>72</v>
      </c>
      <c r="M10" s="58" t="s">
        <v>12</v>
      </c>
      <c r="O10"/>
    </row>
    <row r="11" spans="2:15" ht="34" x14ac:dyDescent="0.2">
      <c r="B11" s="71" t="s">
        <v>7</v>
      </c>
      <c r="C11" s="56">
        <v>1</v>
      </c>
      <c r="D11">
        <v>5000</v>
      </c>
      <c r="E11" s="20">
        <f>-D11*Tabla17[[#This Row],[Cantidad]]</f>
        <v>-5000</v>
      </c>
      <c r="F11">
        <v>1</v>
      </c>
      <c r="G11" s="20">
        <f t="shared" si="1"/>
        <v>-5000</v>
      </c>
      <c r="H11">
        <v>1</v>
      </c>
      <c r="I11" s="63">
        <f>Tabla17[[#This Row],[Costo por cadena]]*Tabla17[[#This Row],['# Cadenas2]]</f>
        <v>-5000</v>
      </c>
      <c r="L11" s="89" t="s">
        <v>73</v>
      </c>
      <c r="M11" s="90" t="s">
        <v>71</v>
      </c>
      <c r="O11"/>
    </row>
    <row r="12" spans="2:15" x14ac:dyDescent="0.2">
      <c r="B12" s="72" t="s">
        <v>8</v>
      </c>
      <c r="C12" s="57">
        <v>1</v>
      </c>
      <c r="D12" s="74">
        <v>50000</v>
      </c>
      <c r="E12" s="59">
        <f>-D12*Tabla17[[#This Row],[Cantidad]]</f>
        <v>-50000</v>
      </c>
      <c r="F12" s="74">
        <v>1</v>
      </c>
      <c r="G12" s="59">
        <f t="shared" si="1"/>
        <v>-50000</v>
      </c>
      <c r="H12" s="74">
        <v>1</v>
      </c>
      <c r="I12" s="64">
        <f>Tabla17[[#This Row],[Costo por cadena]]*Tabla17[[#This Row],['# Cadenas2]]</f>
        <v>-50000</v>
      </c>
      <c r="O12"/>
    </row>
    <row r="13" spans="2:15" x14ac:dyDescent="0.2">
      <c r="E13" s="1"/>
    </row>
    <row r="14" spans="2:15" x14ac:dyDescent="0.2">
      <c r="E14" s="1"/>
    </row>
    <row r="15" spans="2:15" x14ac:dyDescent="0.2">
      <c r="E15" s="1"/>
    </row>
    <row r="16" spans="2:15" x14ac:dyDescent="0.2">
      <c r="E16" s="1"/>
      <c r="L16" s="58" t="s">
        <v>70</v>
      </c>
      <c r="M16" s="58" t="s">
        <v>68</v>
      </c>
    </row>
    <row r="17" spans="2:15" x14ac:dyDescent="0.2">
      <c r="B17" s="73" t="s">
        <v>0</v>
      </c>
      <c r="C17" s="55" t="s">
        <v>16</v>
      </c>
      <c r="D17" s="75" t="s">
        <v>17</v>
      </c>
      <c r="E17" s="55" t="s">
        <v>18</v>
      </c>
      <c r="F17" s="75" t="s">
        <v>55</v>
      </c>
      <c r="G17" s="58" t="s">
        <v>36</v>
      </c>
      <c r="L17" s="90" t="s">
        <v>69</v>
      </c>
      <c r="M17" s="90" t="s">
        <v>71</v>
      </c>
    </row>
    <row r="18" spans="2:15" x14ac:dyDescent="0.2">
      <c r="B18" s="71" t="s">
        <v>15</v>
      </c>
      <c r="C18" s="56">
        <v>16</v>
      </c>
      <c r="D18">
        <f>C18/3</f>
        <v>5.333333333333333</v>
      </c>
      <c r="E18" s="20">
        <f>D18*3*20000</f>
        <v>320000</v>
      </c>
      <c r="F18" s="63">
        <f>Tabla3[[#This Row],[Costo ahorrado del equipo de formación (por cadena)]]*2</f>
        <v>640000</v>
      </c>
      <c r="G18" s="20">
        <f>Tabla3[[#This Row],[Costo ahorrado del equipo de formación (por cadena)]]*5</f>
        <v>1600000</v>
      </c>
    </row>
    <row r="19" spans="2:15" x14ac:dyDescent="0.2">
      <c r="B19" s="71" t="s">
        <v>2</v>
      </c>
      <c r="C19" s="56">
        <v>7</v>
      </c>
      <c r="D19">
        <f t="shared" ref="D19:D23" si="2">C19/3</f>
        <v>2.3333333333333335</v>
      </c>
      <c r="E19" s="20">
        <f t="shared" ref="E19:E23" si="3">D19*3*20000</f>
        <v>140000</v>
      </c>
      <c r="F19" s="63">
        <f>Tabla3[[#This Row],[Costo ahorrado del equipo de formación (por cadena)]]*2</f>
        <v>280000</v>
      </c>
      <c r="G19" s="20">
        <f>Tabla3[[#This Row],[Costo ahorrado del equipo de formación (por cadena)]]*5</f>
        <v>700000</v>
      </c>
    </row>
    <row r="20" spans="2:15" x14ac:dyDescent="0.2">
      <c r="B20" s="71" t="s">
        <v>3</v>
      </c>
      <c r="C20" s="56">
        <v>10</v>
      </c>
      <c r="D20">
        <f t="shared" si="2"/>
        <v>3.3333333333333335</v>
      </c>
      <c r="E20" s="20">
        <f t="shared" si="3"/>
        <v>200000</v>
      </c>
      <c r="F20" s="63">
        <f>Tabla3[[#This Row],[Costo ahorrado del equipo de formación (por cadena)]]*2</f>
        <v>400000</v>
      </c>
      <c r="G20" s="20">
        <f>Tabla3[[#This Row],[Costo ahorrado del equipo de formación (por cadena)]]*5</f>
        <v>1000000</v>
      </c>
      <c r="L20" s="58" t="s">
        <v>72</v>
      </c>
      <c r="M20" s="58" t="s">
        <v>89</v>
      </c>
      <c r="N20" s="58" t="s">
        <v>91</v>
      </c>
      <c r="O20" s="58" t="s">
        <v>90</v>
      </c>
    </row>
    <row r="21" spans="2:15" ht="17" x14ac:dyDescent="0.2">
      <c r="B21" s="71" t="s">
        <v>4</v>
      </c>
      <c r="C21" s="56">
        <v>10</v>
      </c>
      <c r="D21">
        <f t="shared" si="2"/>
        <v>3.3333333333333335</v>
      </c>
      <c r="E21" s="20">
        <f t="shared" si="3"/>
        <v>200000</v>
      </c>
      <c r="F21" s="63">
        <f>Tabla3[[#This Row],[Costo ahorrado del equipo de formación (por cadena)]]*2</f>
        <v>400000</v>
      </c>
      <c r="G21" s="20">
        <f>Tabla3[[#This Row],[Costo ahorrado del equipo de formación (por cadena)]]*5</f>
        <v>1000000</v>
      </c>
      <c r="L21" s="89" t="s">
        <v>88</v>
      </c>
      <c r="M21" s="90">
        <v>584</v>
      </c>
      <c r="N21" s="99">
        <v>2000</v>
      </c>
      <c r="O21" s="59">
        <f>Tabla161823[[#This Row],[Costo unitario]]*Tabla161823[[#This Row],[Cantidad ]]</f>
        <v>1168000</v>
      </c>
    </row>
    <row r="22" spans="2:15" x14ac:dyDescent="0.2">
      <c r="B22" s="71" t="s">
        <v>5</v>
      </c>
      <c r="C22" s="56">
        <v>5</v>
      </c>
      <c r="D22">
        <f t="shared" si="2"/>
        <v>1.6666666666666667</v>
      </c>
      <c r="E22" s="20">
        <f t="shared" si="3"/>
        <v>100000</v>
      </c>
      <c r="F22" s="63">
        <f>Tabla3[[#This Row],[Costo ahorrado del equipo de formación (por cadena)]]*2</f>
        <v>200000</v>
      </c>
      <c r="G22" s="20">
        <f>Tabla3[[#This Row],[Costo ahorrado del equipo de formación (por cadena)]]*5</f>
        <v>500000</v>
      </c>
    </row>
    <row r="23" spans="2:15" x14ac:dyDescent="0.2">
      <c r="B23" s="72" t="s">
        <v>6</v>
      </c>
      <c r="C23" s="57">
        <v>8</v>
      </c>
      <c r="D23" s="74">
        <f t="shared" si="2"/>
        <v>2.6666666666666665</v>
      </c>
      <c r="E23" s="59">
        <f t="shared" si="3"/>
        <v>160000</v>
      </c>
      <c r="F23" s="63">
        <f>Tabla3[[#This Row],[Costo ahorrado del equipo de formación (por cadena)]]*2</f>
        <v>320000</v>
      </c>
      <c r="G23" s="20">
        <f>Tabla3[[#This Row],[Costo ahorrado del equipo de formación (por cadena)]]*5</f>
        <v>800000</v>
      </c>
    </row>
    <row r="29" spans="2:15" x14ac:dyDescent="0.2">
      <c r="B29" s="73" t="s">
        <v>19</v>
      </c>
      <c r="C29" s="55" t="s">
        <v>25</v>
      </c>
      <c r="D29" s="75" t="s">
        <v>26</v>
      </c>
      <c r="E29" s="55" t="s">
        <v>27</v>
      </c>
      <c r="F29" s="55" t="s">
        <v>28</v>
      </c>
      <c r="G29" s="58" t="s">
        <v>29</v>
      </c>
    </row>
    <row r="30" spans="2:15" x14ac:dyDescent="0.2">
      <c r="B30" s="71" t="s">
        <v>20</v>
      </c>
      <c r="C30" s="20">
        <v>19485000</v>
      </c>
      <c r="D30" t="s">
        <v>30</v>
      </c>
      <c r="E30" s="20">
        <v>19166667</v>
      </c>
      <c r="F30" s="58">
        <v>10000000</v>
      </c>
      <c r="G30" s="20" t="s">
        <v>30</v>
      </c>
    </row>
    <row r="31" spans="2:15" x14ac:dyDescent="0.2">
      <c r="B31" s="71" t="s">
        <v>21</v>
      </c>
      <c r="C31" s="56">
        <v>18</v>
      </c>
      <c r="D31">
        <v>0</v>
      </c>
      <c r="E31" s="56">
        <v>140</v>
      </c>
      <c r="F31" s="56">
        <v>120</v>
      </c>
      <c r="G31" s="20">
        <v>0</v>
      </c>
    </row>
    <row r="32" spans="2:15" x14ac:dyDescent="0.2">
      <c r="B32" s="71" t="s">
        <v>22</v>
      </c>
      <c r="C32" s="20">
        <f>(C30/C31)/(44*4)</f>
        <v>6150.568181818182</v>
      </c>
      <c r="D32" t="s">
        <v>30</v>
      </c>
      <c r="E32" s="20">
        <f>(E30/E31)/(44*4)</f>
        <v>777.86797889610386</v>
      </c>
      <c r="F32" s="20">
        <f>(F30/F31)/(44*4)</f>
        <v>473.48484848484844</v>
      </c>
      <c r="G32" s="20" t="s">
        <v>30</v>
      </c>
    </row>
    <row r="33" spans="2:7" x14ac:dyDescent="0.2">
      <c r="B33" s="71" t="s">
        <v>23</v>
      </c>
      <c r="C33" s="56">
        <f>C31*0.1</f>
        <v>1.8</v>
      </c>
      <c r="D33">
        <v>0</v>
      </c>
      <c r="E33" s="70">
        <f>E31*0.1</f>
        <v>14</v>
      </c>
      <c r="F33" s="70">
        <f>F31*0.1</f>
        <v>12</v>
      </c>
      <c r="G33" s="20">
        <v>0</v>
      </c>
    </row>
    <row r="34" spans="2:7" x14ac:dyDescent="0.2">
      <c r="B34" s="72" t="s">
        <v>24</v>
      </c>
      <c r="C34" s="64">
        <f>C32*C33</f>
        <v>11071.022727272728</v>
      </c>
      <c r="D34" s="74" t="s">
        <v>30</v>
      </c>
      <c r="E34" s="64">
        <f>E32*E33</f>
        <v>10890.151704545455</v>
      </c>
      <c r="F34" s="64">
        <f>F32*F33</f>
        <v>5681.8181818181811</v>
      </c>
      <c r="G34" s="59" t="s">
        <v>30</v>
      </c>
    </row>
    <row r="37" spans="2:7" x14ac:dyDescent="0.2">
      <c r="B37" t="s">
        <v>96</v>
      </c>
      <c r="C37" s="55" t="s">
        <v>97</v>
      </c>
      <c r="D37" s="55" t="s">
        <v>95</v>
      </c>
      <c r="E37" t="s">
        <v>98</v>
      </c>
      <c r="F37" s="55" t="s">
        <v>99</v>
      </c>
    </row>
    <row r="38" spans="2:7" x14ac:dyDescent="0.2">
      <c r="B38" s="73" t="s">
        <v>27</v>
      </c>
      <c r="C38" s="103">
        <f>D49</f>
        <v>0.64991753692311816</v>
      </c>
      <c r="D38" s="20">
        <f>(100017.5)*Tabla1[[#This Row],[Ponderación]]*Tabla1[[#This Row],[14,23% de locales]]</f>
        <v>8130701.6616472574</v>
      </c>
      <c r="E38" s="73">
        <v>879</v>
      </c>
      <c r="F38" s="70">
        <f>0.1423*Tabla1[[#This Row],[Cantidad de locales]]</f>
        <v>125.08170000000001</v>
      </c>
    </row>
    <row r="39" spans="2:7" x14ac:dyDescent="0.2">
      <c r="B39" s="71" t="s">
        <v>25</v>
      </c>
      <c r="C39" s="103">
        <f t="shared" ref="C39:C40" si="4">D50</f>
        <v>0.46982717928486989</v>
      </c>
      <c r="D39" s="20">
        <f>(100017.5)*Tabla1[[#This Row],[Ponderación]]*Tabla1[[#This Row],[14,23% de locales]]</f>
        <v>815790.91129954346</v>
      </c>
      <c r="E39" s="71">
        <v>122</v>
      </c>
      <c r="F39" s="70">
        <f>0.1423*Tabla1[[#This Row],[Cantidad de locales]]</f>
        <v>17.360600000000002</v>
      </c>
    </row>
    <row r="40" spans="2:7" x14ac:dyDescent="0.2">
      <c r="B40" s="71" t="s">
        <v>26</v>
      </c>
      <c r="C40" s="103">
        <f t="shared" si="4"/>
        <v>0.53017282071513017</v>
      </c>
      <c r="D40" s="20">
        <f>(100017.5)*Tabla1[[#This Row],[Ponderación]]*Tabla1[[#This Row],[14,23% de locales]]</f>
        <v>1358222.310295756</v>
      </c>
      <c r="E40" s="71">
        <v>180</v>
      </c>
      <c r="F40" s="70">
        <f>0.1423*Tabla1[[#This Row],[Cantidad de locales]]</f>
        <v>25.614000000000001</v>
      </c>
    </row>
    <row r="41" spans="2:7" x14ac:dyDescent="0.2">
      <c r="B41" s="71" t="s">
        <v>28</v>
      </c>
      <c r="C41" s="104">
        <f>D52</f>
        <v>0.29299420778585844</v>
      </c>
      <c r="D41" s="20">
        <f>(100017.5)*Tabla1[[#This Row],[Ponderación]]*Tabla1[[#This Row],[14,23% de locales]]</f>
        <v>1826476.2960609926</v>
      </c>
      <c r="E41" s="71">
        <v>438</v>
      </c>
      <c r="F41" s="70">
        <f>0.1423*Tabla1[[#This Row],[Cantidad de locales]]</f>
        <v>62.327400000000004</v>
      </c>
    </row>
    <row r="42" spans="2:7" x14ac:dyDescent="0.2">
      <c r="B42" s="72" t="s">
        <v>29</v>
      </c>
      <c r="C42" s="105">
        <f>D53</f>
        <v>0.12332262209725466</v>
      </c>
      <c r="D42" s="59">
        <f>(100017.5)*Tabla1[[#This Row],[Ponderación]]*Tabla1[[#This Row],[14,23% de locales]]</f>
        <v>573946.48142938095</v>
      </c>
      <c r="E42" s="72">
        <v>327</v>
      </c>
      <c r="F42" s="110">
        <f>0.1423*Tabla1[[#This Row],[Cantidad de locales]]</f>
        <v>46.5321</v>
      </c>
    </row>
    <row r="48" spans="2:7" x14ac:dyDescent="0.2">
      <c r="B48" s="106" t="s">
        <v>96</v>
      </c>
      <c r="C48" s="129" t="s">
        <v>101</v>
      </c>
      <c r="D48" s="129" t="s">
        <v>100</v>
      </c>
    </row>
    <row r="49" spans="2:4" x14ac:dyDescent="0.2">
      <c r="B49" s="107" t="s">
        <v>27</v>
      </c>
      <c r="C49" s="130">
        <v>6893004169</v>
      </c>
      <c r="D49" s="130">
        <f>C49/($C$50+$C$51)</f>
        <v>0.64991753692311816</v>
      </c>
    </row>
    <row r="50" spans="2:4" x14ac:dyDescent="0.2">
      <c r="B50" s="71" t="s">
        <v>25</v>
      </c>
      <c r="C50" s="56">
        <v>4982971718</v>
      </c>
      <c r="D50" s="56">
        <f t="shared" ref="D50:D51" si="5">C50/($C$50+$C$51)</f>
        <v>0.46982717928486989</v>
      </c>
    </row>
    <row r="51" spans="2:4" x14ac:dyDescent="0.2">
      <c r="B51" s="108" t="s">
        <v>26</v>
      </c>
      <c r="C51" s="131">
        <v>5622995620</v>
      </c>
      <c r="D51" s="131">
        <f t="shared" si="5"/>
        <v>0.53017282071513017</v>
      </c>
    </row>
    <row r="52" spans="2:4" x14ac:dyDescent="0.2">
      <c r="B52" s="71" t="s">
        <v>28</v>
      </c>
      <c r="C52" s="56">
        <v>3107486998</v>
      </c>
      <c r="D52" s="56">
        <f t="shared" ref="D52" si="6">C52/($C$50+$C$51)</f>
        <v>0.29299420778585844</v>
      </c>
    </row>
    <row r="53" spans="2:4" x14ac:dyDescent="0.2">
      <c r="B53" s="109" t="s">
        <v>29</v>
      </c>
      <c r="C53" s="132">
        <v>1307955702</v>
      </c>
      <c r="D53" s="132">
        <f>C53/($C$50+$C$51)</f>
        <v>0.12332262209725466</v>
      </c>
    </row>
    <row r="55" spans="2:4" x14ac:dyDescent="0.2">
      <c r="B55" s="133" t="s">
        <v>102</v>
      </c>
      <c r="C55" s="134">
        <f>C50+C51</f>
        <v>10605967338</v>
      </c>
    </row>
  </sheetData>
  <phoneticPr fontId="3" type="noConversion"/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D1BA-6C10-0F4C-BD9E-F4AE62B90C47}">
  <dimension ref="A1:AM41"/>
  <sheetViews>
    <sheetView workbookViewId="0">
      <selection activeCell="M47" sqref="M47"/>
    </sheetView>
  </sheetViews>
  <sheetFormatPr baseColWidth="10" defaultRowHeight="16" x14ac:dyDescent="0.2"/>
  <cols>
    <col min="2" max="2" width="33.33203125" bestFit="1" customWidth="1"/>
    <col min="3" max="3" width="12.6640625" bestFit="1" customWidth="1"/>
  </cols>
  <sheetData>
    <row r="1" spans="1:39" x14ac:dyDescent="0.2">
      <c r="A1">
        <f>18.21%</f>
        <v>0.18210000000000001</v>
      </c>
    </row>
    <row r="2" spans="1:39" x14ac:dyDescent="0.2">
      <c r="A2">
        <f>1.39%</f>
        <v>1.3899999999999999E-2</v>
      </c>
      <c r="B2" t="s">
        <v>39</v>
      </c>
    </row>
    <row r="3" spans="1:39" x14ac:dyDescent="0.2">
      <c r="O3" t="s">
        <v>40</v>
      </c>
      <c r="AA3" t="s">
        <v>41</v>
      </c>
    </row>
    <row r="4" spans="1:39" x14ac:dyDescent="0.2">
      <c r="B4" s="3"/>
      <c r="C4" s="4">
        <v>45748</v>
      </c>
      <c r="D4" s="4">
        <v>45778</v>
      </c>
      <c r="E4" s="4">
        <v>45809</v>
      </c>
      <c r="F4" s="4">
        <v>45839</v>
      </c>
      <c r="G4" s="4">
        <v>45870</v>
      </c>
      <c r="H4" s="4">
        <v>45901</v>
      </c>
      <c r="I4" s="4">
        <v>45931</v>
      </c>
      <c r="J4" s="4">
        <v>45962</v>
      </c>
      <c r="K4" s="4">
        <v>45992</v>
      </c>
      <c r="L4" s="4">
        <v>46023</v>
      </c>
      <c r="M4" s="4">
        <v>46054</v>
      </c>
      <c r="N4" s="4">
        <v>46082</v>
      </c>
      <c r="O4" s="4">
        <v>46113</v>
      </c>
      <c r="P4" s="4">
        <v>46143</v>
      </c>
      <c r="Q4" s="4">
        <v>46174</v>
      </c>
      <c r="R4" s="4">
        <v>46204</v>
      </c>
      <c r="S4" s="4">
        <v>46235</v>
      </c>
      <c r="T4" s="4">
        <v>46266</v>
      </c>
      <c r="U4" s="4">
        <v>46296</v>
      </c>
      <c r="V4" s="4">
        <v>46327</v>
      </c>
      <c r="W4" s="4">
        <v>46357</v>
      </c>
      <c r="X4" s="4">
        <v>46388</v>
      </c>
      <c r="Y4" s="4">
        <v>46419</v>
      </c>
      <c r="Z4" s="4">
        <v>46447</v>
      </c>
      <c r="AA4" s="4">
        <v>46478</v>
      </c>
      <c r="AB4" s="4">
        <v>46508</v>
      </c>
      <c r="AC4" s="4">
        <v>46539</v>
      </c>
      <c r="AD4" s="4">
        <v>46569</v>
      </c>
      <c r="AE4" s="4">
        <v>46600</v>
      </c>
      <c r="AF4" s="4">
        <v>46631</v>
      </c>
      <c r="AG4" s="4">
        <v>46661</v>
      </c>
      <c r="AH4" s="4">
        <v>46692</v>
      </c>
      <c r="AI4" s="4">
        <v>46722</v>
      </c>
      <c r="AJ4" s="4">
        <v>46753</v>
      </c>
      <c r="AK4" s="4">
        <v>46784</v>
      </c>
      <c r="AL4" s="4">
        <v>46813</v>
      </c>
      <c r="AM4" s="4">
        <v>46844</v>
      </c>
    </row>
    <row r="5" spans="1:39" x14ac:dyDescent="0.2">
      <c r="B5" s="3" t="s">
        <v>31</v>
      </c>
      <c r="C5" s="1"/>
      <c r="D5" s="1" t="e" cm="1">
        <f t="array" ref="D5">TRANSPOSE(#REF!)</f>
        <v>#REF!</v>
      </c>
      <c r="E5" s="1"/>
      <c r="F5" s="1"/>
      <c r="G5" s="1"/>
      <c r="H5" s="1"/>
      <c r="I5" s="1"/>
      <c r="J5" s="1"/>
      <c r="K5" s="1"/>
      <c r="L5" s="1"/>
      <c r="M5" s="1"/>
      <c r="N5" s="1">
        <v>40000</v>
      </c>
      <c r="O5" s="1">
        <v>40000</v>
      </c>
      <c r="P5" s="1">
        <v>40000</v>
      </c>
      <c r="Q5" s="1">
        <v>40000</v>
      </c>
      <c r="R5" s="1">
        <v>40000</v>
      </c>
      <c r="S5" s="1">
        <v>40000</v>
      </c>
      <c r="T5" s="1">
        <v>40000</v>
      </c>
      <c r="U5" s="1">
        <v>40000</v>
      </c>
      <c r="V5" s="1"/>
      <c r="W5" s="1"/>
      <c r="X5" s="1"/>
      <c r="Y5" s="1"/>
      <c r="Z5" s="1">
        <v>40000</v>
      </c>
      <c r="AA5" s="1">
        <v>40000</v>
      </c>
      <c r="AB5" s="1">
        <v>40000</v>
      </c>
      <c r="AC5" s="1">
        <v>40000</v>
      </c>
      <c r="AD5" s="1">
        <v>40000</v>
      </c>
      <c r="AE5" s="1">
        <v>40000</v>
      </c>
      <c r="AF5" s="1">
        <v>40000</v>
      </c>
      <c r="AG5" s="1">
        <v>40000</v>
      </c>
      <c r="AH5" s="1"/>
      <c r="AI5" s="1"/>
      <c r="AJ5" s="1"/>
      <c r="AK5" s="1"/>
      <c r="AL5" s="1">
        <v>40000</v>
      </c>
      <c r="AM5" s="1">
        <v>40000</v>
      </c>
    </row>
    <row r="6" spans="1:39" x14ac:dyDescent="0.2">
      <c r="B6" s="3" t="s">
        <v>32</v>
      </c>
      <c r="C6" s="1"/>
      <c r="D6" s="1">
        <f>'Tablas optimista'!$C$34</f>
        <v>11071.022727272728</v>
      </c>
      <c r="E6" s="1">
        <f>'Tablas optimista'!$C$34</f>
        <v>11071.022727272728</v>
      </c>
      <c r="F6" s="1">
        <f>'Tablas optimista'!$C$34</f>
        <v>11071.022727272728</v>
      </c>
      <c r="G6" s="1">
        <f>'Tablas optimista'!$C$34</f>
        <v>11071.022727272728</v>
      </c>
      <c r="H6" s="1">
        <f>'Tablas optimista'!$C$34</f>
        <v>11071.022727272728</v>
      </c>
      <c r="I6" s="1">
        <f>'Tablas optimista'!$C$34</f>
        <v>11071.022727272728</v>
      </c>
      <c r="J6" s="1">
        <f>'Tablas optimista'!$C$34</f>
        <v>11071.022727272728</v>
      </c>
      <c r="K6" s="1">
        <f>'Tablas optimista'!$C$34</f>
        <v>11071.022727272728</v>
      </c>
      <c r="L6" s="1">
        <f>'Tablas optimista'!$C$34</f>
        <v>11071.022727272728</v>
      </c>
      <c r="M6" s="1">
        <f>'Tablas optimista'!$C$34</f>
        <v>11071.022727272728</v>
      </c>
      <c r="N6" s="1">
        <f>'Tablas optimista'!$C$34</f>
        <v>11071.022727272728</v>
      </c>
      <c r="O6" s="1">
        <f>'Tablas optimista'!$C$34</f>
        <v>11071.022727272728</v>
      </c>
      <c r="P6" s="1">
        <f>'Tablas optimista'!$C$34</f>
        <v>11071.022727272728</v>
      </c>
      <c r="Q6" s="1">
        <f>'Tablas optimista'!$C$34</f>
        <v>11071.022727272728</v>
      </c>
      <c r="R6" s="1">
        <f>'Tablas optimista'!$C$34</f>
        <v>11071.022727272728</v>
      </c>
      <c r="S6" s="1">
        <f>'Tablas optimista'!$C$34</f>
        <v>11071.022727272728</v>
      </c>
      <c r="T6" s="1">
        <f>'Tablas optimista'!$C$34</f>
        <v>11071.022727272728</v>
      </c>
      <c r="U6" s="1">
        <f>'Tablas optimista'!$C$34</f>
        <v>11071.022727272728</v>
      </c>
      <c r="V6" s="1">
        <f>'Tablas optimista'!$C$34</f>
        <v>11071.022727272728</v>
      </c>
      <c r="W6" s="1">
        <f>'Tablas optimista'!$C$34</f>
        <v>11071.022727272728</v>
      </c>
      <c r="X6" s="1">
        <f>'Tablas optimista'!$C$34</f>
        <v>11071.022727272728</v>
      </c>
      <c r="Y6" s="1">
        <f>'Tablas optimista'!$C$34</f>
        <v>11071.022727272728</v>
      </c>
      <c r="Z6" s="1">
        <f>'Tablas optimista'!$C$34</f>
        <v>11071.022727272728</v>
      </c>
      <c r="AA6" s="1">
        <f>'Tablas optimista'!$C$34</f>
        <v>11071.022727272728</v>
      </c>
      <c r="AB6" s="1">
        <f>'Tablas optimista'!$C$34</f>
        <v>11071.022727272728</v>
      </c>
      <c r="AC6" s="1">
        <f>'Tablas optimista'!$C$34</f>
        <v>11071.022727272728</v>
      </c>
      <c r="AD6" s="1">
        <f>'Tablas optimista'!$C$34</f>
        <v>11071.022727272728</v>
      </c>
      <c r="AE6" s="1">
        <f>'Tablas optimista'!$C$34</f>
        <v>11071.022727272728</v>
      </c>
      <c r="AF6" s="1">
        <f>'Tablas optimista'!$C$34</f>
        <v>11071.022727272728</v>
      </c>
      <c r="AG6" s="1">
        <f>'Tablas optimista'!$C$34</f>
        <v>11071.022727272728</v>
      </c>
      <c r="AH6" s="1">
        <f>'Tablas optimista'!$C$34</f>
        <v>11071.022727272728</v>
      </c>
      <c r="AI6" s="1">
        <f>'Tablas optimista'!$C$34</f>
        <v>11071.022727272728</v>
      </c>
      <c r="AJ6" s="1">
        <f>'Tablas optimista'!$C$34</f>
        <v>11071.022727272728</v>
      </c>
      <c r="AK6" s="1">
        <f>'Tablas optimista'!$C$34</f>
        <v>11071.022727272728</v>
      </c>
      <c r="AL6" s="1">
        <f>'Tablas optimista'!$C$34</f>
        <v>11071.022727272728</v>
      </c>
      <c r="AM6" s="1">
        <f>'Tablas optimista'!$C$34</f>
        <v>11071.022727272728</v>
      </c>
    </row>
    <row r="7" spans="1:39" x14ac:dyDescent="0.2">
      <c r="B7" s="3" t="s">
        <v>33</v>
      </c>
      <c r="C7" s="1"/>
      <c r="D7" s="1" t="e" cm="1">
        <f t="array" ref="D7">TRANSPOSE(#REF!)</f>
        <v>#REF!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-5000</v>
      </c>
      <c r="P7" s="1"/>
      <c r="Q7" s="1"/>
      <c r="R7" s="1"/>
      <c r="S7" s="1">
        <v>-5000</v>
      </c>
      <c r="T7" s="1"/>
      <c r="U7" s="1"/>
      <c r="V7" s="1"/>
      <c r="W7" s="1">
        <v>-50000</v>
      </c>
      <c r="X7" s="1"/>
      <c r="Y7" s="1"/>
      <c r="Z7" s="1"/>
      <c r="AA7" s="1">
        <v>-5000</v>
      </c>
      <c r="AB7" s="1"/>
      <c r="AC7" s="1"/>
      <c r="AD7" s="1"/>
      <c r="AE7" s="1">
        <v>-5000</v>
      </c>
      <c r="AF7" s="1"/>
      <c r="AG7" s="1"/>
      <c r="AH7" s="1"/>
      <c r="AI7" s="1">
        <v>-50000</v>
      </c>
      <c r="AJ7" s="1"/>
      <c r="AK7" s="1"/>
      <c r="AL7" s="1"/>
      <c r="AM7" s="1">
        <v>-5000</v>
      </c>
    </row>
    <row r="8" spans="1:39" x14ac:dyDescent="0.2">
      <c r="B8" s="3" t="s">
        <v>34</v>
      </c>
      <c r="C8" s="1">
        <v>-1168500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39" x14ac:dyDescent="0.2">
      <c r="B9" s="5" t="s">
        <v>37</v>
      </c>
      <c r="C9" s="1">
        <f>SUM(C5:C8)</f>
        <v>-1168500</v>
      </c>
      <c r="D9" s="1" t="e">
        <f t="shared" ref="D9:N9" si="0">SUM(D5:D8)</f>
        <v>#REF!</v>
      </c>
      <c r="E9" s="1">
        <f t="shared" si="0"/>
        <v>11071.022727272728</v>
      </c>
      <c r="F9" s="1">
        <f t="shared" si="0"/>
        <v>11071.022727272728</v>
      </c>
      <c r="G9" s="1">
        <f t="shared" si="0"/>
        <v>11071.022727272728</v>
      </c>
      <c r="H9" s="1">
        <f t="shared" si="0"/>
        <v>11071.022727272728</v>
      </c>
      <c r="I9" s="1">
        <f t="shared" si="0"/>
        <v>11071.022727272728</v>
      </c>
      <c r="J9" s="1">
        <f t="shared" si="0"/>
        <v>11071.022727272728</v>
      </c>
      <c r="K9" s="1">
        <f t="shared" si="0"/>
        <v>11071.022727272728</v>
      </c>
      <c r="L9" s="1">
        <f t="shared" si="0"/>
        <v>11071.022727272728</v>
      </c>
      <c r="M9" s="1">
        <f t="shared" si="0"/>
        <v>11071.022727272728</v>
      </c>
      <c r="N9" s="1">
        <f t="shared" si="0"/>
        <v>51071.022727272728</v>
      </c>
      <c r="O9" s="1">
        <f>SUM(O5:O8)</f>
        <v>46071.022727272728</v>
      </c>
      <c r="P9" s="1">
        <f t="shared" ref="P9:AM9" si="1">SUM(P5:P8)</f>
        <v>51071.022727272728</v>
      </c>
      <c r="Q9" s="1">
        <f t="shared" si="1"/>
        <v>51071.022727272728</v>
      </c>
      <c r="R9" s="1">
        <f t="shared" si="1"/>
        <v>51071.022727272728</v>
      </c>
      <c r="S9" s="1">
        <f t="shared" si="1"/>
        <v>46071.022727272728</v>
      </c>
      <c r="T9" s="1">
        <f t="shared" si="1"/>
        <v>51071.022727272728</v>
      </c>
      <c r="U9" s="1">
        <f t="shared" si="1"/>
        <v>51071.022727272728</v>
      </c>
      <c r="V9" s="1">
        <f t="shared" si="1"/>
        <v>11071.022727272728</v>
      </c>
      <c r="W9" s="1">
        <f t="shared" si="1"/>
        <v>-38928.977272727272</v>
      </c>
      <c r="X9" s="1">
        <f t="shared" si="1"/>
        <v>11071.022727272728</v>
      </c>
      <c r="Y9" s="1">
        <f t="shared" si="1"/>
        <v>11071.022727272728</v>
      </c>
      <c r="Z9" s="1">
        <f t="shared" si="1"/>
        <v>51071.022727272728</v>
      </c>
      <c r="AA9" s="1">
        <f t="shared" si="1"/>
        <v>46071.022727272728</v>
      </c>
      <c r="AB9" s="1">
        <f t="shared" si="1"/>
        <v>51071.022727272728</v>
      </c>
      <c r="AC9" s="1">
        <f t="shared" si="1"/>
        <v>51071.022727272728</v>
      </c>
      <c r="AD9" s="1">
        <f t="shared" si="1"/>
        <v>51071.022727272728</v>
      </c>
      <c r="AE9" s="1">
        <f t="shared" si="1"/>
        <v>46071.022727272728</v>
      </c>
      <c r="AF9" s="1">
        <f t="shared" si="1"/>
        <v>51071.022727272728</v>
      </c>
      <c r="AG9" s="1">
        <f t="shared" si="1"/>
        <v>51071.022727272728</v>
      </c>
      <c r="AH9" s="1">
        <f t="shared" si="1"/>
        <v>11071.022727272728</v>
      </c>
      <c r="AI9" s="1">
        <f t="shared" si="1"/>
        <v>-38928.977272727272</v>
      </c>
      <c r="AJ9" s="1">
        <f t="shared" si="1"/>
        <v>11071.022727272728</v>
      </c>
      <c r="AK9" s="1">
        <f t="shared" si="1"/>
        <v>11071.022727272728</v>
      </c>
      <c r="AL9" s="1">
        <f t="shared" si="1"/>
        <v>51071.022727272728</v>
      </c>
      <c r="AM9" s="1">
        <f t="shared" si="1"/>
        <v>46071.022727272728</v>
      </c>
    </row>
    <row r="10" spans="1:39" x14ac:dyDescent="0.2">
      <c r="B10" s="6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9" x14ac:dyDescent="0.2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3" spans="1:39" x14ac:dyDescent="0.2">
      <c r="C13" s="3">
        <v>0</v>
      </c>
      <c r="D13" s="3">
        <v>1</v>
      </c>
      <c r="E13" s="3">
        <v>2</v>
      </c>
      <c r="F13" s="3">
        <v>3</v>
      </c>
    </row>
    <row r="14" spans="1:39" x14ac:dyDescent="0.2">
      <c r="B14" s="3" t="s">
        <v>31</v>
      </c>
      <c r="D14" s="2" t="e">
        <f>SUM(D5:O5)</f>
        <v>#REF!</v>
      </c>
      <c r="E14" s="2">
        <f>SUM(P5:AA5)</f>
        <v>320000</v>
      </c>
      <c r="F14" s="2">
        <f>SUM(AB5:AM5)</f>
        <v>320000</v>
      </c>
    </row>
    <row r="15" spans="1:39" x14ac:dyDescent="0.2">
      <c r="B15" s="3" t="s">
        <v>32</v>
      </c>
      <c r="D15" s="2">
        <f t="shared" ref="D15:D17" si="2">SUM(D6:O6)</f>
        <v>132852.27272727276</v>
      </c>
      <c r="E15" s="2">
        <f t="shared" ref="E15:E17" si="3">SUM(P6:AA6)</f>
        <v>132852.27272727276</v>
      </c>
      <c r="F15" s="2">
        <f t="shared" ref="F15:F17" si="4">SUM(AB6:AM6)</f>
        <v>132852.27272727276</v>
      </c>
    </row>
    <row r="16" spans="1:39" x14ac:dyDescent="0.2">
      <c r="B16" s="3" t="s">
        <v>33</v>
      </c>
      <c r="D16" s="2" t="e">
        <f t="shared" si="2"/>
        <v>#REF!</v>
      </c>
      <c r="E16" s="2">
        <f t="shared" si="3"/>
        <v>-60000</v>
      </c>
      <c r="F16" s="2">
        <f t="shared" si="4"/>
        <v>-60000</v>
      </c>
    </row>
    <row r="17" spans="2:39" x14ac:dyDescent="0.2">
      <c r="B17" s="3" t="s">
        <v>34</v>
      </c>
      <c r="C17" s="2">
        <f>C8</f>
        <v>-1168500</v>
      </c>
      <c r="D17" s="2">
        <f t="shared" si="2"/>
        <v>0</v>
      </c>
      <c r="E17" s="2">
        <f t="shared" si="3"/>
        <v>0</v>
      </c>
      <c r="F17" s="2">
        <f t="shared" si="4"/>
        <v>0</v>
      </c>
    </row>
    <row r="18" spans="2:39" x14ac:dyDescent="0.2">
      <c r="B18" s="5" t="s">
        <v>37</v>
      </c>
      <c r="C18" s="1">
        <f>SUM(C14:C17)</f>
        <v>-1168500</v>
      </c>
      <c r="D18" s="1" t="e">
        <f t="shared" ref="D18:F18" si="5">SUM(D14:D17)</f>
        <v>#REF!</v>
      </c>
      <c r="E18" s="1">
        <f t="shared" si="5"/>
        <v>392852.27272727276</v>
      </c>
      <c r="F18" s="1">
        <f t="shared" si="5"/>
        <v>392852.27272727276</v>
      </c>
    </row>
    <row r="19" spans="2:39" x14ac:dyDescent="0.2">
      <c r="B19" s="6" t="s">
        <v>38</v>
      </c>
      <c r="C19" s="7" t="e">
        <f>NPV(A1,D18:F18)+C18</f>
        <v>#REF!</v>
      </c>
    </row>
    <row r="25" spans="2:39" x14ac:dyDescent="0.2">
      <c r="O25" t="s">
        <v>40</v>
      </c>
      <c r="AA25" t="s">
        <v>41</v>
      </c>
    </row>
    <row r="26" spans="2:39" x14ac:dyDescent="0.2">
      <c r="B26" s="3"/>
      <c r="C26" s="4">
        <v>45748</v>
      </c>
      <c r="D26" s="4">
        <v>45778</v>
      </c>
      <c r="E26" s="4">
        <v>45809</v>
      </c>
      <c r="F26" s="4">
        <v>45839</v>
      </c>
      <c r="G26" s="4">
        <v>45870</v>
      </c>
      <c r="H26" s="4">
        <v>45901</v>
      </c>
      <c r="I26" s="4">
        <v>45931</v>
      </c>
      <c r="J26" s="4">
        <v>45962</v>
      </c>
      <c r="K26" s="4">
        <v>45992</v>
      </c>
      <c r="L26" s="4">
        <v>46023</v>
      </c>
      <c r="M26" s="4">
        <v>46054</v>
      </c>
      <c r="N26" s="4">
        <v>46082</v>
      </c>
      <c r="O26" s="4">
        <v>46113</v>
      </c>
      <c r="P26" s="4">
        <v>46143</v>
      </c>
      <c r="Q26" s="4">
        <v>46174</v>
      </c>
      <c r="R26" s="4">
        <v>46204</v>
      </c>
      <c r="S26" s="4">
        <v>46235</v>
      </c>
      <c r="T26" s="4">
        <v>46266</v>
      </c>
      <c r="U26" s="4">
        <v>46296</v>
      </c>
      <c r="V26" s="4">
        <v>46327</v>
      </c>
      <c r="W26" s="4">
        <v>46357</v>
      </c>
      <c r="X26" s="4">
        <v>46388</v>
      </c>
      <c r="Y26" s="4">
        <v>46419</v>
      </c>
      <c r="Z26" s="4">
        <v>46447</v>
      </c>
      <c r="AA26" s="4">
        <v>46478</v>
      </c>
      <c r="AB26" s="4">
        <v>46508</v>
      </c>
      <c r="AC26" s="4">
        <v>46539</v>
      </c>
      <c r="AD26" s="4">
        <v>46569</v>
      </c>
      <c r="AE26" s="4">
        <v>46600</v>
      </c>
      <c r="AF26" s="4">
        <v>46631</v>
      </c>
      <c r="AG26" s="4">
        <v>46661</v>
      </c>
      <c r="AH26" s="4">
        <v>46692</v>
      </c>
      <c r="AI26" s="4">
        <v>46722</v>
      </c>
      <c r="AJ26" s="4">
        <v>46753</v>
      </c>
      <c r="AK26" s="4">
        <v>46784</v>
      </c>
      <c r="AL26" s="4">
        <v>46813</v>
      </c>
      <c r="AM26" s="4">
        <v>46844</v>
      </c>
    </row>
    <row r="27" spans="2:39" x14ac:dyDescent="0.2">
      <c r="B27" s="3" t="s">
        <v>31</v>
      </c>
      <c r="C27" s="1"/>
      <c r="D27" s="1" t="e" cm="1">
        <f t="array" ref="D27">TRANSPOSE(#REF!)</f>
        <v>#REF!</v>
      </c>
      <c r="E27" s="1"/>
      <c r="F27" s="1"/>
      <c r="G27" s="1"/>
      <c r="H27" s="1"/>
      <c r="I27" s="1"/>
      <c r="J27" s="1"/>
      <c r="K27" s="1"/>
      <c r="L27" s="1"/>
      <c r="M27" s="1"/>
      <c r="N27" s="1">
        <f>20000*5</f>
        <v>100000</v>
      </c>
      <c r="O27" s="1">
        <f>20000*5</f>
        <v>100000</v>
      </c>
      <c r="P27" s="1">
        <f t="shared" ref="P27:U27" si="6">20000*5</f>
        <v>100000</v>
      </c>
      <c r="Q27" s="1">
        <f t="shared" si="6"/>
        <v>100000</v>
      </c>
      <c r="R27" s="1">
        <f t="shared" si="6"/>
        <v>100000</v>
      </c>
      <c r="S27" s="1">
        <f t="shared" si="6"/>
        <v>100000</v>
      </c>
      <c r="T27" s="1">
        <f t="shared" si="6"/>
        <v>100000</v>
      </c>
      <c r="U27" s="1">
        <f t="shared" si="6"/>
        <v>100000</v>
      </c>
      <c r="V27" s="1"/>
      <c r="W27" s="1"/>
      <c r="X27" s="1"/>
      <c r="Y27" s="1"/>
      <c r="Z27" s="1">
        <f>20000*5</f>
        <v>100000</v>
      </c>
      <c r="AA27" s="1">
        <f t="shared" ref="AA27:AG27" si="7">20000*5</f>
        <v>100000</v>
      </c>
      <c r="AB27" s="1">
        <f t="shared" si="7"/>
        <v>100000</v>
      </c>
      <c r="AC27" s="1">
        <f t="shared" si="7"/>
        <v>100000</v>
      </c>
      <c r="AD27" s="1">
        <f t="shared" si="7"/>
        <v>100000</v>
      </c>
      <c r="AE27" s="1">
        <f t="shared" si="7"/>
        <v>100000</v>
      </c>
      <c r="AF27" s="1">
        <f t="shared" si="7"/>
        <v>100000</v>
      </c>
      <c r="AG27" s="1">
        <f t="shared" si="7"/>
        <v>100000</v>
      </c>
      <c r="AH27" s="1"/>
      <c r="AI27" s="1"/>
      <c r="AJ27" s="1"/>
      <c r="AK27" s="1"/>
      <c r="AL27" s="1">
        <f>20000*5</f>
        <v>100000</v>
      </c>
      <c r="AM27" s="1">
        <f t="shared" ref="AM27" si="8">20000*5</f>
        <v>100000</v>
      </c>
    </row>
    <row r="28" spans="2:39" x14ac:dyDescent="0.2">
      <c r="B28" s="3" t="s">
        <v>32</v>
      </c>
      <c r="C28" s="1"/>
      <c r="D28" s="1">
        <f>'Tablas optimista'!$C$34+'Tablas optimista'!$E$34+'Tablas optimista'!$F$34</f>
        <v>27642.992613636361</v>
      </c>
      <c r="E28" s="1">
        <f>'Tablas optimista'!$C$34+'Tablas optimista'!$E$34+'Tablas optimista'!$F$34</f>
        <v>27642.992613636361</v>
      </c>
      <c r="F28" s="1">
        <f>'Tablas optimista'!$C$34+'Tablas optimista'!$E$34+'Tablas optimista'!$F$34</f>
        <v>27642.992613636361</v>
      </c>
      <c r="G28" s="1">
        <f>'Tablas optimista'!$C$34+'Tablas optimista'!$E$34+'Tablas optimista'!$F$34</f>
        <v>27642.992613636361</v>
      </c>
      <c r="H28" s="1">
        <f>'Tablas optimista'!$C$34+'Tablas optimista'!$E$34+'Tablas optimista'!$F$34</f>
        <v>27642.992613636361</v>
      </c>
      <c r="I28" s="1">
        <f>'Tablas optimista'!$C$34+'Tablas optimista'!$E$34+'Tablas optimista'!$F$34</f>
        <v>27642.992613636361</v>
      </c>
      <c r="J28" s="1">
        <f>'Tablas optimista'!$C$34+'Tablas optimista'!$E$34+'Tablas optimista'!$F$34</f>
        <v>27642.992613636361</v>
      </c>
      <c r="K28" s="1">
        <f>'Tablas optimista'!$C$34+'Tablas optimista'!$E$34+'Tablas optimista'!$F$34</f>
        <v>27642.992613636361</v>
      </c>
      <c r="L28" s="1">
        <f>'Tablas optimista'!$C$34+'Tablas optimista'!$E$34+'Tablas optimista'!$F$34</f>
        <v>27642.992613636361</v>
      </c>
      <c r="M28" s="1">
        <f>'Tablas optimista'!$C$34+'Tablas optimista'!$E$34+'Tablas optimista'!$F$34</f>
        <v>27642.992613636361</v>
      </c>
      <c r="N28" s="1">
        <f>'Tablas optimista'!$C$34+'Tablas optimista'!$E$34+'Tablas optimista'!$F$34</f>
        <v>27642.992613636361</v>
      </c>
      <c r="O28" s="1">
        <f>'Tablas optimista'!$C$34+'Tablas optimista'!$E$34+'Tablas optimista'!$F$34</f>
        <v>27642.992613636361</v>
      </c>
      <c r="P28" s="1">
        <f>'Tablas optimista'!$C$34+'Tablas optimista'!$E$34+'Tablas optimista'!$F$34</f>
        <v>27642.992613636361</v>
      </c>
      <c r="Q28" s="1">
        <f>'Tablas optimista'!$C$34+'Tablas optimista'!$E$34+'Tablas optimista'!$F$34</f>
        <v>27642.992613636361</v>
      </c>
      <c r="R28" s="1">
        <f>'Tablas optimista'!$C$34+'Tablas optimista'!$E$34+'Tablas optimista'!$F$34</f>
        <v>27642.992613636361</v>
      </c>
      <c r="S28" s="1">
        <f>'Tablas optimista'!$C$34+'Tablas optimista'!$E$34+'Tablas optimista'!$F$34</f>
        <v>27642.992613636361</v>
      </c>
      <c r="T28" s="1">
        <f>'Tablas optimista'!$C$34+'Tablas optimista'!$E$34+'Tablas optimista'!$F$34</f>
        <v>27642.992613636361</v>
      </c>
      <c r="U28" s="1">
        <f>'Tablas optimista'!$C$34+'Tablas optimista'!$E$34+'Tablas optimista'!$F$34</f>
        <v>27642.992613636361</v>
      </c>
      <c r="V28" s="1">
        <f>'Tablas optimista'!$C$34+'Tablas optimista'!$E$34+'Tablas optimista'!$F$34</f>
        <v>27642.992613636361</v>
      </c>
      <c r="W28" s="1">
        <f>'Tablas optimista'!$C$34+'Tablas optimista'!$E$34+'Tablas optimista'!$F$34</f>
        <v>27642.992613636361</v>
      </c>
      <c r="X28" s="1">
        <f>'Tablas optimista'!$C$34+'Tablas optimista'!$E$34+'Tablas optimista'!$F$34</f>
        <v>27642.992613636361</v>
      </c>
      <c r="Y28" s="1">
        <f>'Tablas optimista'!$C$34+'Tablas optimista'!$E$34+'Tablas optimista'!$F$34</f>
        <v>27642.992613636361</v>
      </c>
      <c r="Z28" s="1">
        <f>'Tablas optimista'!$C$34+'Tablas optimista'!$E$34+'Tablas optimista'!$F$34</f>
        <v>27642.992613636361</v>
      </c>
      <c r="AA28" s="1">
        <f>'Tablas optimista'!$C$34+'Tablas optimista'!$E$34+'Tablas optimista'!$F$34</f>
        <v>27642.992613636361</v>
      </c>
      <c r="AB28" s="1">
        <f>'Tablas optimista'!$C$34+'Tablas optimista'!$E$34+'Tablas optimista'!$F$34</f>
        <v>27642.992613636361</v>
      </c>
      <c r="AC28" s="1">
        <f>'Tablas optimista'!$C$34+'Tablas optimista'!$E$34+'Tablas optimista'!$F$34</f>
        <v>27642.992613636361</v>
      </c>
      <c r="AD28" s="1">
        <f>'Tablas optimista'!$C$34+'Tablas optimista'!$E$34+'Tablas optimista'!$F$34</f>
        <v>27642.992613636361</v>
      </c>
      <c r="AE28" s="1">
        <f>'Tablas optimista'!$C$34+'Tablas optimista'!$E$34+'Tablas optimista'!$F$34</f>
        <v>27642.992613636361</v>
      </c>
      <c r="AF28" s="1">
        <f>'Tablas optimista'!$C$34+'Tablas optimista'!$E$34+'Tablas optimista'!$F$34</f>
        <v>27642.992613636361</v>
      </c>
      <c r="AG28" s="1">
        <f>'Tablas optimista'!$C$34+'Tablas optimista'!$E$34+'Tablas optimista'!$F$34</f>
        <v>27642.992613636361</v>
      </c>
      <c r="AH28" s="1">
        <f>'Tablas optimista'!$C$34+'Tablas optimista'!$E$34+'Tablas optimista'!$F$34</f>
        <v>27642.992613636361</v>
      </c>
      <c r="AI28" s="1">
        <f>'Tablas optimista'!$C$34+'Tablas optimista'!$E$34+'Tablas optimista'!$F$34</f>
        <v>27642.992613636361</v>
      </c>
      <c r="AJ28" s="1">
        <f>'Tablas optimista'!$C$34+'Tablas optimista'!$E$34+'Tablas optimista'!$F$34</f>
        <v>27642.992613636361</v>
      </c>
      <c r="AK28" s="1">
        <f>'Tablas optimista'!$C$34+'Tablas optimista'!$E$34+'Tablas optimista'!$F$34</f>
        <v>27642.992613636361</v>
      </c>
      <c r="AL28" s="1">
        <f>'Tablas optimista'!$C$34+'Tablas optimista'!$E$34+'Tablas optimista'!$F$34</f>
        <v>27642.992613636361</v>
      </c>
      <c r="AM28" s="1">
        <f>'Tablas optimista'!$C$34+'Tablas optimista'!$E$34+'Tablas optimista'!$F$34</f>
        <v>27642.992613636361</v>
      </c>
    </row>
    <row r="29" spans="2:39" x14ac:dyDescent="0.2">
      <c r="B29" s="3" t="s">
        <v>33</v>
      </c>
      <c r="C29" s="1"/>
      <c r="D29" s="1" t="e" cm="1">
        <f t="array" ref="D29">TRANSPOSE(#REF!)</f>
        <v>#REF!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-5000</v>
      </c>
      <c r="P29" s="1"/>
      <c r="Q29" s="1"/>
      <c r="R29" s="1"/>
      <c r="S29" s="1">
        <v>-5000</v>
      </c>
      <c r="T29" s="1"/>
      <c r="U29" s="1"/>
      <c r="V29" s="1"/>
      <c r="W29" s="1">
        <v>-50000</v>
      </c>
      <c r="X29" s="1"/>
      <c r="Y29" s="1"/>
      <c r="Z29" s="1"/>
      <c r="AA29" s="1">
        <v>-5000</v>
      </c>
      <c r="AB29" s="1"/>
      <c r="AC29" s="1"/>
      <c r="AD29" s="1"/>
      <c r="AE29" s="1">
        <v>-5000</v>
      </c>
      <c r="AF29" s="1"/>
      <c r="AG29" s="1"/>
      <c r="AH29" s="1"/>
      <c r="AI29" s="1">
        <v>-50000</v>
      </c>
      <c r="AJ29" s="1"/>
      <c r="AK29" s="1"/>
      <c r="AL29" s="1"/>
      <c r="AM29" s="1">
        <v>-5000</v>
      </c>
    </row>
    <row r="30" spans="2:39" x14ac:dyDescent="0.2">
      <c r="B30" s="3" t="s">
        <v>34</v>
      </c>
      <c r="C30" s="1">
        <v>-1168500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2:39" x14ac:dyDescent="0.2">
      <c r="B31" s="5" t="s">
        <v>37</v>
      </c>
      <c r="C31" s="1">
        <f>SUM(C27:C30)</f>
        <v>-1168500</v>
      </c>
      <c r="D31" s="1" t="e">
        <f t="shared" ref="D31" si="9">SUM(D27:D30)</f>
        <v>#REF!</v>
      </c>
      <c r="E31" s="1">
        <f t="shared" ref="E31" si="10">SUM(E27:E30)</f>
        <v>27642.992613636361</v>
      </c>
      <c r="F31" s="1">
        <f t="shared" ref="F31" si="11">SUM(F27:F30)</f>
        <v>27642.992613636361</v>
      </c>
      <c r="G31" s="1">
        <f t="shared" ref="G31" si="12">SUM(G27:G30)</f>
        <v>27642.992613636361</v>
      </c>
      <c r="H31" s="1">
        <f t="shared" ref="H31" si="13">SUM(H27:H30)</f>
        <v>27642.992613636361</v>
      </c>
      <c r="I31" s="1">
        <f t="shared" ref="I31" si="14">SUM(I27:I30)</f>
        <v>27642.992613636361</v>
      </c>
      <c r="J31" s="1">
        <f t="shared" ref="J31" si="15">SUM(J27:J30)</f>
        <v>27642.992613636361</v>
      </c>
      <c r="K31" s="1">
        <f t="shared" ref="K31" si="16">SUM(K27:K30)</f>
        <v>27642.992613636361</v>
      </c>
      <c r="L31" s="1">
        <f t="shared" ref="L31" si="17">SUM(L27:L30)</f>
        <v>27642.992613636361</v>
      </c>
      <c r="M31" s="1">
        <f t="shared" ref="M31" si="18">SUM(M27:M30)</f>
        <v>27642.992613636361</v>
      </c>
      <c r="N31" s="1">
        <f t="shared" ref="N31" si="19">SUM(N27:N30)</f>
        <v>127642.99261363636</v>
      </c>
      <c r="O31" s="1">
        <f>SUM(O27:O30)</f>
        <v>122642.99261363636</v>
      </c>
      <c r="P31" s="1">
        <f t="shared" ref="P31" si="20">SUM(P27:P30)</f>
        <v>127642.99261363636</v>
      </c>
      <c r="Q31" s="1">
        <f t="shared" ref="Q31" si="21">SUM(Q27:Q30)</f>
        <v>127642.99261363636</v>
      </c>
      <c r="R31" s="1">
        <f t="shared" ref="R31" si="22">SUM(R27:R30)</f>
        <v>127642.99261363636</v>
      </c>
      <c r="S31" s="1">
        <f t="shared" ref="S31" si="23">SUM(S27:S30)</f>
        <v>122642.99261363636</v>
      </c>
      <c r="T31" s="1">
        <f t="shared" ref="T31" si="24">SUM(T27:T30)</f>
        <v>127642.99261363636</v>
      </c>
      <c r="U31" s="1">
        <f t="shared" ref="U31" si="25">SUM(U27:U30)</f>
        <v>127642.99261363636</v>
      </c>
      <c r="V31" s="1">
        <f t="shared" ref="V31" si="26">SUM(V27:V30)</f>
        <v>27642.992613636361</v>
      </c>
      <c r="W31" s="1">
        <f t="shared" ref="W31" si="27">SUM(W27:W30)</f>
        <v>-22357.007386363639</v>
      </c>
      <c r="X31" s="1">
        <f t="shared" ref="X31" si="28">SUM(X27:X30)</f>
        <v>27642.992613636361</v>
      </c>
      <c r="Y31" s="1">
        <f t="shared" ref="Y31" si="29">SUM(Y27:Y30)</f>
        <v>27642.992613636361</v>
      </c>
      <c r="Z31" s="1">
        <f t="shared" ref="Z31" si="30">SUM(Z27:Z30)</f>
        <v>127642.99261363636</v>
      </c>
      <c r="AA31" s="1">
        <f t="shared" ref="AA31" si="31">SUM(AA27:AA30)</f>
        <v>122642.99261363636</v>
      </c>
      <c r="AB31" s="1">
        <f t="shared" ref="AB31" si="32">SUM(AB27:AB30)</f>
        <v>127642.99261363636</v>
      </c>
      <c r="AC31" s="1">
        <f t="shared" ref="AC31" si="33">SUM(AC27:AC30)</f>
        <v>127642.99261363636</v>
      </c>
      <c r="AD31" s="1">
        <f t="shared" ref="AD31" si="34">SUM(AD27:AD30)</f>
        <v>127642.99261363636</v>
      </c>
      <c r="AE31" s="1">
        <f t="shared" ref="AE31" si="35">SUM(AE27:AE30)</f>
        <v>122642.99261363636</v>
      </c>
      <c r="AF31" s="1">
        <f t="shared" ref="AF31" si="36">SUM(AF27:AF30)</f>
        <v>127642.99261363636</v>
      </c>
      <c r="AG31" s="1">
        <f t="shared" ref="AG31" si="37">SUM(AG27:AG30)</f>
        <v>127642.99261363636</v>
      </c>
      <c r="AH31" s="1">
        <f t="shared" ref="AH31" si="38">SUM(AH27:AH30)</f>
        <v>27642.992613636361</v>
      </c>
      <c r="AI31" s="1">
        <f t="shared" ref="AI31" si="39">SUM(AI27:AI30)</f>
        <v>-22357.007386363639</v>
      </c>
      <c r="AJ31" s="1">
        <f t="shared" ref="AJ31" si="40">SUM(AJ27:AJ30)</f>
        <v>27642.992613636361</v>
      </c>
      <c r="AK31" s="1">
        <f t="shared" ref="AK31" si="41">SUM(AK27:AK30)</f>
        <v>27642.992613636361</v>
      </c>
      <c r="AL31" s="1">
        <f t="shared" ref="AL31" si="42">SUM(AL27:AL30)</f>
        <v>127642.99261363636</v>
      </c>
      <c r="AM31" s="1">
        <f t="shared" ref="AM31" si="43">SUM(AM27:AM30)</f>
        <v>122642.99261363636</v>
      </c>
    </row>
    <row r="32" spans="2:39" x14ac:dyDescent="0.2">
      <c r="B32" s="6" t="s">
        <v>38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5" spans="2:6" x14ac:dyDescent="0.2">
      <c r="C35" s="3">
        <v>0</v>
      </c>
      <c r="D35" s="3">
        <v>1</v>
      </c>
      <c r="E35" s="3">
        <v>2</v>
      </c>
      <c r="F35" s="3">
        <v>3</v>
      </c>
    </row>
    <row r="36" spans="2:6" x14ac:dyDescent="0.2">
      <c r="B36" s="3" t="s">
        <v>31</v>
      </c>
      <c r="D36" s="2" t="e">
        <f>SUM(D27:O27)</f>
        <v>#REF!</v>
      </c>
      <c r="E36" s="2">
        <f>SUM(P27:AA27)</f>
        <v>800000</v>
      </c>
      <c r="F36" s="2">
        <f>SUM(AB27:AM27)</f>
        <v>800000</v>
      </c>
    </row>
    <row r="37" spans="2:6" x14ac:dyDescent="0.2">
      <c r="B37" s="3" t="s">
        <v>32</v>
      </c>
      <c r="D37" s="2">
        <f t="shared" ref="D37:D39" si="44">SUM(D28:O28)</f>
        <v>331715.91136363632</v>
      </c>
      <c r="E37" s="2">
        <f t="shared" ref="E37:E39" si="45">SUM(P28:AA28)</f>
        <v>331715.91136363632</v>
      </c>
      <c r="F37" s="2">
        <f t="shared" ref="F37:F39" si="46">SUM(AB28:AM28)</f>
        <v>331715.91136363632</v>
      </c>
    </row>
    <row r="38" spans="2:6" x14ac:dyDescent="0.2">
      <c r="B38" s="3" t="s">
        <v>33</v>
      </c>
      <c r="D38" s="2" t="e">
        <f t="shared" si="44"/>
        <v>#REF!</v>
      </c>
      <c r="E38" s="2">
        <f t="shared" si="45"/>
        <v>-60000</v>
      </c>
      <c r="F38" s="2">
        <f t="shared" si="46"/>
        <v>-60000</v>
      </c>
    </row>
    <row r="39" spans="2:6" x14ac:dyDescent="0.2">
      <c r="B39" s="3" t="s">
        <v>34</v>
      </c>
      <c r="C39" s="2">
        <f>C30</f>
        <v>-1168500</v>
      </c>
      <c r="D39" s="2">
        <f t="shared" si="44"/>
        <v>0</v>
      </c>
      <c r="E39" s="2">
        <f t="shared" si="45"/>
        <v>0</v>
      </c>
      <c r="F39" s="2">
        <f t="shared" si="46"/>
        <v>0</v>
      </c>
    </row>
    <row r="40" spans="2:6" x14ac:dyDescent="0.2">
      <c r="B40" s="5" t="s">
        <v>37</v>
      </c>
      <c r="C40" s="1">
        <f>SUM(C36:C39)</f>
        <v>-1168500</v>
      </c>
      <c r="D40" s="1" t="e">
        <f t="shared" ref="D40" si="47">SUM(D36:D39)</f>
        <v>#REF!</v>
      </c>
      <c r="E40" s="1">
        <f>SUM(E36:E39)</f>
        <v>1071715.9113636364</v>
      </c>
      <c r="F40" s="1">
        <f>SUM(F36:F39)</f>
        <v>1071715.9113636364</v>
      </c>
    </row>
    <row r="41" spans="2:6" x14ac:dyDescent="0.2">
      <c r="B41" s="6" t="s">
        <v>38</v>
      </c>
      <c r="C41" s="7" t="e">
        <f>NPV(A1,D40:F40)+C40</f>
        <v>#REF!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3AE24-8A43-F14D-AC25-176882DCA6E4}">
  <dimension ref="A1:AP55"/>
  <sheetViews>
    <sheetView topLeftCell="A57" workbookViewId="0">
      <selection activeCell="B45" sqref="B45:G54"/>
    </sheetView>
  </sheetViews>
  <sheetFormatPr baseColWidth="10" defaultRowHeight="16" x14ac:dyDescent="0.2"/>
  <cols>
    <col min="3" max="3" width="34.5" customWidth="1"/>
    <col min="4" max="4" width="12.6640625" bestFit="1" customWidth="1"/>
  </cols>
  <sheetData>
    <row r="1" spans="1:42" ht="17" thickBot="1" x14ac:dyDescent="0.25"/>
    <row r="2" spans="1:42" ht="25" thickBot="1" x14ac:dyDescent="0.35">
      <c r="B2" s="116" t="s">
        <v>42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8"/>
    </row>
    <row r="3" spans="1:42" x14ac:dyDescent="0.2">
      <c r="A3" s="50" t="s">
        <v>51</v>
      </c>
      <c r="B3" s="76">
        <f>18.21%</f>
        <v>0.18210000000000001</v>
      </c>
    </row>
    <row r="4" spans="1:42" ht="17" thickBot="1" x14ac:dyDescent="0.25">
      <c r="A4" s="52" t="s">
        <v>52</v>
      </c>
      <c r="B4" s="53">
        <f>1.39%</f>
        <v>1.3899999999999999E-2</v>
      </c>
    </row>
    <row r="6" spans="1:42" ht="17" thickBot="1" x14ac:dyDescent="0.25">
      <c r="D6" s="30"/>
      <c r="E6" s="120" t="s">
        <v>44</v>
      </c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19" t="s">
        <v>45</v>
      </c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20" t="s">
        <v>46</v>
      </c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</row>
    <row r="7" spans="1:42" ht="17" customHeight="1" thickBot="1" x14ac:dyDescent="0.25">
      <c r="B7" s="113" t="s">
        <v>53</v>
      </c>
      <c r="C7" s="16"/>
      <c r="D7" s="21">
        <v>45748</v>
      </c>
      <c r="E7" s="9">
        <v>45778</v>
      </c>
      <c r="F7" s="9">
        <v>45809</v>
      </c>
      <c r="G7" s="9">
        <v>45839</v>
      </c>
      <c r="H7" s="9">
        <v>45870</v>
      </c>
      <c r="I7" s="9">
        <v>45901</v>
      </c>
      <c r="J7" s="9">
        <v>45931</v>
      </c>
      <c r="K7" s="9">
        <v>45962</v>
      </c>
      <c r="L7" s="9">
        <v>45992</v>
      </c>
      <c r="M7" s="9">
        <v>46023</v>
      </c>
      <c r="N7" s="9">
        <v>46054</v>
      </c>
      <c r="O7" s="9">
        <v>46082</v>
      </c>
      <c r="P7" s="9">
        <v>46113</v>
      </c>
      <c r="Q7" s="9">
        <v>46143</v>
      </c>
      <c r="R7" s="9">
        <v>46174</v>
      </c>
      <c r="S7" s="9">
        <v>46204</v>
      </c>
      <c r="T7" s="9">
        <v>46235</v>
      </c>
      <c r="U7" s="9">
        <v>46266</v>
      </c>
      <c r="V7" s="9">
        <v>46296</v>
      </c>
      <c r="W7" s="9">
        <v>46327</v>
      </c>
      <c r="X7" s="9">
        <v>46357</v>
      </c>
      <c r="Y7" s="9">
        <v>46388</v>
      </c>
      <c r="Z7" s="9">
        <v>46419</v>
      </c>
      <c r="AA7" s="9">
        <v>46447</v>
      </c>
      <c r="AB7" s="9">
        <v>46478</v>
      </c>
      <c r="AC7" s="9">
        <v>46508</v>
      </c>
      <c r="AD7" s="9">
        <v>46539</v>
      </c>
      <c r="AE7" s="9">
        <v>46569</v>
      </c>
      <c r="AF7" s="9">
        <v>46600</v>
      </c>
      <c r="AG7" s="9">
        <v>46631</v>
      </c>
      <c r="AH7" s="9">
        <v>46661</v>
      </c>
      <c r="AI7" s="9">
        <v>46692</v>
      </c>
      <c r="AJ7" s="9">
        <v>46722</v>
      </c>
      <c r="AK7" s="9">
        <v>46753</v>
      </c>
      <c r="AL7" s="9">
        <v>46784</v>
      </c>
      <c r="AM7" s="9">
        <v>46813</v>
      </c>
      <c r="AN7" s="10">
        <v>46844</v>
      </c>
    </row>
    <row r="8" spans="1:42" x14ac:dyDescent="0.2">
      <c r="B8" s="114"/>
      <c r="C8" s="17" t="s">
        <v>31</v>
      </c>
      <c r="D8" s="22"/>
      <c r="E8" s="19" cm="1">
        <f t="array" ref="E8:J8">TRANSPOSE(Tabla3[Costo 2 cadenas])</f>
        <v>640000</v>
      </c>
      <c r="F8" s="19">
        <v>280000</v>
      </c>
      <c r="G8" s="19">
        <v>400000</v>
      </c>
      <c r="H8" s="19">
        <v>400000</v>
      </c>
      <c r="I8" s="19">
        <v>200000</v>
      </c>
      <c r="J8" s="19">
        <v>320000</v>
      </c>
      <c r="K8" s="19"/>
      <c r="L8" s="19"/>
      <c r="M8" s="19"/>
      <c r="N8" s="19"/>
      <c r="O8" s="19">
        <f>(20000)*2</f>
        <v>40000</v>
      </c>
      <c r="P8" s="19">
        <f t="shared" ref="N8:W8" si="0">(20000)*2</f>
        <v>40000</v>
      </c>
      <c r="Q8" s="19">
        <f t="shared" si="0"/>
        <v>40000</v>
      </c>
      <c r="R8" s="19">
        <f t="shared" si="0"/>
        <v>40000</v>
      </c>
      <c r="S8" s="19">
        <f t="shared" si="0"/>
        <v>40000</v>
      </c>
      <c r="T8" s="19">
        <f t="shared" si="0"/>
        <v>40000</v>
      </c>
      <c r="U8" s="19">
        <f t="shared" si="0"/>
        <v>40000</v>
      </c>
      <c r="V8" s="19">
        <f t="shared" si="0"/>
        <v>40000</v>
      </c>
      <c r="W8" s="19">
        <f t="shared" si="0"/>
        <v>40000</v>
      </c>
      <c r="X8" s="19"/>
      <c r="Y8" s="19"/>
      <c r="Z8" s="19"/>
      <c r="AA8" s="19">
        <f>(20000)*2</f>
        <v>40000</v>
      </c>
      <c r="AB8" s="19">
        <f t="shared" ref="AB8:AI8" si="1">(20000)*2</f>
        <v>40000</v>
      </c>
      <c r="AC8" s="19">
        <f t="shared" si="1"/>
        <v>40000</v>
      </c>
      <c r="AD8" s="19">
        <f t="shared" si="1"/>
        <v>40000</v>
      </c>
      <c r="AE8" s="19">
        <f t="shared" si="1"/>
        <v>40000</v>
      </c>
      <c r="AF8" s="19">
        <f t="shared" si="1"/>
        <v>40000</v>
      </c>
      <c r="AG8" s="19">
        <f t="shared" si="1"/>
        <v>40000</v>
      </c>
      <c r="AH8" s="19">
        <f t="shared" si="1"/>
        <v>40000</v>
      </c>
      <c r="AI8" s="19">
        <f t="shared" si="1"/>
        <v>40000</v>
      </c>
      <c r="AJ8" s="19"/>
      <c r="AK8" s="19"/>
      <c r="AL8" s="19"/>
      <c r="AM8" s="19">
        <f>(20000)*2</f>
        <v>40000</v>
      </c>
      <c r="AN8" s="23">
        <f>(20000)*2</f>
        <v>40000</v>
      </c>
    </row>
    <row r="9" spans="1:42" x14ac:dyDescent="0.2">
      <c r="B9" s="114"/>
      <c r="C9" s="17" t="s">
        <v>58</v>
      </c>
      <c r="D9" s="24">
        <v>-20000</v>
      </c>
      <c r="E9" s="20">
        <v>-20000</v>
      </c>
      <c r="F9" s="20"/>
      <c r="G9" s="20">
        <v>-20000</v>
      </c>
      <c r="H9" s="20"/>
      <c r="I9" s="20">
        <v>-20000</v>
      </c>
      <c r="J9" s="20"/>
      <c r="K9" s="20">
        <v>-20000</v>
      </c>
      <c r="L9" s="20">
        <v>-20000</v>
      </c>
      <c r="M9" s="20">
        <v>-20000</v>
      </c>
      <c r="N9" s="20"/>
      <c r="O9" s="20"/>
      <c r="P9" s="20">
        <v>-20000</v>
      </c>
      <c r="Q9" s="20"/>
      <c r="R9" s="20"/>
      <c r="S9" s="20"/>
      <c r="T9" s="20">
        <v>-20000</v>
      </c>
      <c r="U9" s="20"/>
      <c r="V9" s="20"/>
      <c r="W9" s="20"/>
      <c r="X9" s="20">
        <v>-20000</v>
      </c>
      <c r="Y9" s="20">
        <v>-20000</v>
      </c>
      <c r="Z9" s="20"/>
      <c r="AA9" s="20"/>
      <c r="AB9" s="20">
        <v>-20000</v>
      </c>
      <c r="AC9" s="20"/>
      <c r="AD9" s="20"/>
      <c r="AE9" s="20"/>
      <c r="AF9" s="20">
        <v>-20000</v>
      </c>
      <c r="AG9" s="20"/>
      <c r="AH9" s="20"/>
      <c r="AI9" s="20"/>
      <c r="AJ9" s="20">
        <v>-20000</v>
      </c>
      <c r="AK9" s="20">
        <v>-20000</v>
      </c>
      <c r="AL9" s="20"/>
      <c r="AM9" s="20"/>
      <c r="AN9" s="12">
        <v>-20000</v>
      </c>
    </row>
    <row r="10" spans="1:42" x14ac:dyDescent="0.2">
      <c r="B10" s="114"/>
      <c r="C10" s="17" t="s">
        <v>32</v>
      </c>
      <c r="D10" s="24"/>
      <c r="E10" s="20">
        <f>'Tablas optimista'!$C$34</f>
        <v>11071.022727272728</v>
      </c>
      <c r="F10" s="20">
        <f>'Tablas optimista'!$C$34</f>
        <v>11071.022727272728</v>
      </c>
      <c r="G10" s="20">
        <f>'Tablas optimista'!$C$34</f>
        <v>11071.022727272728</v>
      </c>
      <c r="H10" s="20">
        <f>'Tablas optimista'!$C$34</f>
        <v>11071.022727272728</v>
      </c>
      <c r="I10" s="20">
        <f>'Tablas optimista'!$C$34</f>
        <v>11071.022727272728</v>
      </c>
      <c r="J10" s="20">
        <f>'Tablas optimista'!$C$34</f>
        <v>11071.022727272728</v>
      </c>
      <c r="K10" s="20">
        <f>'Tablas optimista'!$C$34</f>
        <v>11071.022727272728</v>
      </c>
      <c r="L10" s="20">
        <f>'Tablas optimista'!$C$34</f>
        <v>11071.022727272728</v>
      </c>
      <c r="M10" s="20">
        <f>'Tablas optimista'!$C$34</f>
        <v>11071.022727272728</v>
      </c>
      <c r="N10" s="20">
        <f>'Tablas optimista'!$C$34</f>
        <v>11071.022727272728</v>
      </c>
      <c r="O10" s="20">
        <f>'Tablas optimista'!$C$34</f>
        <v>11071.022727272728</v>
      </c>
      <c r="P10" s="20">
        <f>'Tablas optimista'!$C$34</f>
        <v>11071.022727272728</v>
      </c>
      <c r="Q10" s="20">
        <f>'Tablas optimista'!$C$34</f>
        <v>11071.022727272728</v>
      </c>
      <c r="R10" s="20">
        <f>'Tablas optimista'!$C$34</f>
        <v>11071.022727272728</v>
      </c>
      <c r="S10" s="20">
        <f>'Tablas optimista'!$C$34</f>
        <v>11071.022727272728</v>
      </c>
      <c r="T10" s="20">
        <f>'Tablas optimista'!$C$34</f>
        <v>11071.022727272728</v>
      </c>
      <c r="U10" s="20">
        <f>'Tablas optimista'!$C$34</f>
        <v>11071.022727272728</v>
      </c>
      <c r="V10" s="20">
        <f>'Tablas optimista'!$C$34</f>
        <v>11071.022727272728</v>
      </c>
      <c r="W10" s="20">
        <f>'Tablas optimista'!$C$34</f>
        <v>11071.022727272728</v>
      </c>
      <c r="X10" s="20">
        <f>'Tablas optimista'!$C$34</f>
        <v>11071.022727272728</v>
      </c>
      <c r="Y10" s="20">
        <f>'Tablas optimista'!$C$34</f>
        <v>11071.022727272728</v>
      </c>
      <c r="Z10" s="20">
        <f>'Tablas optimista'!$C$34</f>
        <v>11071.022727272728</v>
      </c>
      <c r="AA10" s="20">
        <f>'Tablas optimista'!$C$34</f>
        <v>11071.022727272728</v>
      </c>
      <c r="AB10" s="20">
        <f>'Tablas optimista'!$C$34</f>
        <v>11071.022727272728</v>
      </c>
      <c r="AC10" s="20">
        <f>'Tablas optimista'!$C$34</f>
        <v>11071.022727272728</v>
      </c>
      <c r="AD10" s="20">
        <f>'Tablas optimista'!$C$34</f>
        <v>11071.022727272728</v>
      </c>
      <c r="AE10" s="20">
        <f>'Tablas optimista'!$C$34</f>
        <v>11071.022727272728</v>
      </c>
      <c r="AF10" s="20">
        <f>'Tablas optimista'!$C$34</f>
        <v>11071.022727272728</v>
      </c>
      <c r="AG10" s="20">
        <f>'Tablas optimista'!$C$34</f>
        <v>11071.022727272728</v>
      </c>
      <c r="AH10" s="20">
        <f>'Tablas optimista'!$C$34</f>
        <v>11071.022727272728</v>
      </c>
      <c r="AI10" s="20">
        <f>'Tablas optimista'!$C$34</f>
        <v>11071.022727272728</v>
      </c>
      <c r="AJ10" s="20">
        <f>'Tablas optimista'!$C$34</f>
        <v>11071.022727272728</v>
      </c>
      <c r="AK10" s="20">
        <f>'Tablas optimista'!$C$34</f>
        <v>11071.022727272728</v>
      </c>
      <c r="AL10" s="20">
        <f>'Tablas optimista'!$C$34</f>
        <v>11071.022727272728</v>
      </c>
      <c r="AM10" s="20">
        <f>'Tablas optimista'!$C$34</f>
        <v>11071.022727272728</v>
      </c>
      <c r="AN10" s="12">
        <f>'Tablas optimista'!$C$34</f>
        <v>11071.022727272728</v>
      </c>
    </row>
    <row r="11" spans="1:42" x14ac:dyDescent="0.2">
      <c r="B11" s="114"/>
      <c r="C11" s="17" t="s">
        <v>33</v>
      </c>
      <c r="D11" s="24"/>
      <c r="E11" s="20" cm="1">
        <f t="array" ref="E11:L11">TRANSPOSE(Tabla17[Costo 2 cadenas])</f>
        <v>-30000</v>
      </c>
      <c r="F11" s="20">
        <v>0</v>
      </c>
      <c r="G11" s="20">
        <v>-5000</v>
      </c>
      <c r="H11" s="20">
        <v>0</v>
      </c>
      <c r="I11" s="20">
        <v>-5000</v>
      </c>
      <c r="J11" s="20">
        <v>0</v>
      </c>
      <c r="K11" s="20">
        <v>-5000</v>
      </c>
      <c r="L11" s="20">
        <v>-50000</v>
      </c>
      <c r="M11" s="20"/>
      <c r="N11" s="20"/>
      <c r="O11" s="20"/>
      <c r="P11" s="20">
        <v>-5000</v>
      </c>
      <c r="Q11" s="20"/>
      <c r="R11" s="20"/>
      <c r="S11" s="20"/>
      <c r="T11" s="20">
        <v>-5000</v>
      </c>
      <c r="U11" s="20"/>
      <c r="V11" s="20"/>
      <c r="W11" s="20"/>
      <c r="X11" s="20">
        <v>-50000</v>
      </c>
      <c r="Y11" s="20"/>
      <c r="Z11" s="20"/>
      <c r="AA11" s="20"/>
      <c r="AB11" s="20">
        <v>-5000</v>
      </c>
      <c r="AC11" s="20"/>
      <c r="AD11" s="20"/>
      <c r="AE11" s="20"/>
      <c r="AF11" s="20">
        <v>-5000</v>
      </c>
      <c r="AG11" s="20"/>
      <c r="AH11" s="20"/>
      <c r="AI11" s="20"/>
      <c r="AJ11" s="20">
        <v>-50000</v>
      </c>
      <c r="AK11" s="20"/>
      <c r="AL11" s="20"/>
      <c r="AM11" s="20"/>
      <c r="AN11" s="12">
        <v>-5000</v>
      </c>
      <c r="AP11" t="s">
        <v>64</v>
      </c>
    </row>
    <row r="12" spans="1:42" ht="17" thickBot="1" x14ac:dyDescent="0.25">
      <c r="B12" s="114"/>
      <c r="C12" s="17" t="s">
        <v>34</v>
      </c>
      <c r="D12" s="77">
        <v>-1168500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13"/>
    </row>
    <row r="13" spans="1:42" ht="17" thickBot="1" x14ac:dyDescent="0.25">
      <c r="B13" s="114"/>
      <c r="C13" s="18" t="s">
        <v>37</v>
      </c>
      <c r="D13" s="25">
        <f t="shared" ref="D13:AN13" si="2">SUM(D8:D12)</f>
        <v>-1188500</v>
      </c>
      <c r="E13" s="26">
        <f t="shared" si="2"/>
        <v>601071.02272727271</v>
      </c>
      <c r="F13" s="26">
        <f t="shared" si="2"/>
        <v>291071.02272727271</v>
      </c>
      <c r="G13" s="26">
        <f t="shared" si="2"/>
        <v>386071.02272727271</v>
      </c>
      <c r="H13" s="26">
        <f t="shared" si="2"/>
        <v>411071.02272727271</v>
      </c>
      <c r="I13" s="26">
        <f t="shared" si="2"/>
        <v>186071.02272727274</v>
      </c>
      <c r="J13" s="26">
        <f t="shared" si="2"/>
        <v>331071.02272727271</v>
      </c>
      <c r="K13" s="26">
        <f t="shared" si="2"/>
        <v>-13928.977272727272</v>
      </c>
      <c r="L13" s="26">
        <f t="shared" si="2"/>
        <v>-58928.977272727272</v>
      </c>
      <c r="M13" s="26">
        <f t="shared" si="2"/>
        <v>-8928.9772727272721</v>
      </c>
      <c r="N13" s="26">
        <f t="shared" si="2"/>
        <v>11071.022727272728</v>
      </c>
      <c r="O13" s="26">
        <f t="shared" si="2"/>
        <v>51071.022727272728</v>
      </c>
      <c r="P13" s="26">
        <f t="shared" si="2"/>
        <v>26071.022727272728</v>
      </c>
      <c r="Q13" s="26">
        <f t="shared" si="2"/>
        <v>51071.022727272728</v>
      </c>
      <c r="R13" s="26">
        <f t="shared" si="2"/>
        <v>51071.022727272728</v>
      </c>
      <c r="S13" s="26">
        <f t="shared" si="2"/>
        <v>51071.022727272728</v>
      </c>
      <c r="T13" s="26">
        <f t="shared" si="2"/>
        <v>26071.022727272728</v>
      </c>
      <c r="U13" s="26">
        <f t="shared" si="2"/>
        <v>51071.022727272728</v>
      </c>
      <c r="V13" s="26">
        <f t="shared" si="2"/>
        <v>51071.022727272728</v>
      </c>
      <c r="W13" s="26">
        <f t="shared" si="2"/>
        <v>51071.022727272728</v>
      </c>
      <c r="X13" s="26">
        <f t="shared" si="2"/>
        <v>-58928.977272727272</v>
      </c>
      <c r="Y13" s="26">
        <f t="shared" si="2"/>
        <v>-8928.9772727272721</v>
      </c>
      <c r="Z13" s="26">
        <f t="shared" si="2"/>
        <v>11071.022727272728</v>
      </c>
      <c r="AA13" s="26">
        <f t="shared" si="2"/>
        <v>51071.022727272728</v>
      </c>
      <c r="AB13" s="26">
        <f t="shared" si="2"/>
        <v>26071.022727272728</v>
      </c>
      <c r="AC13" s="26">
        <f t="shared" si="2"/>
        <v>51071.022727272728</v>
      </c>
      <c r="AD13" s="26">
        <f t="shared" si="2"/>
        <v>51071.022727272728</v>
      </c>
      <c r="AE13" s="26">
        <f t="shared" si="2"/>
        <v>51071.022727272728</v>
      </c>
      <c r="AF13" s="26">
        <f t="shared" si="2"/>
        <v>26071.022727272728</v>
      </c>
      <c r="AG13" s="26">
        <f t="shared" si="2"/>
        <v>51071.022727272728</v>
      </c>
      <c r="AH13" s="26">
        <f t="shared" si="2"/>
        <v>51071.022727272728</v>
      </c>
      <c r="AI13" s="26">
        <f t="shared" si="2"/>
        <v>51071.022727272728</v>
      </c>
      <c r="AJ13" s="26">
        <f t="shared" si="2"/>
        <v>-58928.977272727272</v>
      </c>
      <c r="AK13" s="26">
        <f t="shared" si="2"/>
        <v>-8928.9772727272721</v>
      </c>
      <c r="AL13" s="26">
        <f t="shared" si="2"/>
        <v>11071.022727272728</v>
      </c>
      <c r="AM13" s="26">
        <f t="shared" si="2"/>
        <v>51071.022727272728</v>
      </c>
      <c r="AN13" s="15">
        <f t="shared" si="2"/>
        <v>26071.022727272728</v>
      </c>
    </row>
    <row r="14" spans="1:42" ht="17" thickBot="1" x14ac:dyDescent="0.25">
      <c r="B14" s="114"/>
      <c r="C14" s="8" t="s">
        <v>38</v>
      </c>
      <c r="D14" s="44">
        <f>NPV($B$4,E13:AN13)+D13</f>
        <v>1443723.0107580614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42" ht="17" thickBot="1" x14ac:dyDescent="0.25">
      <c r="B15" s="114"/>
      <c r="C15" s="8" t="s">
        <v>47</v>
      </c>
      <c r="D15" s="54">
        <f>IRR(D13:AN13)</f>
        <v>0.24864336927349662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2" ht="17" thickBot="1" x14ac:dyDescent="0.25">
      <c r="B16" s="115"/>
      <c r="C16" s="8" t="s">
        <v>48</v>
      </c>
      <c r="D16" s="44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40" x14ac:dyDescent="0.2">
      <c r="D17" s="1">
        <f>D13</f>
        <v>-1188500</v>
      </c>
      <c r="E17" s="1">
        <f>D17+E13</f>
        <v>-587428.97727272729</v>
      </c>
      <c r="F17" s="1">
        <f>E17+F13</f>
        <v>-296357.95454545459</v>
      </c>
      <c r="G17" s="48">
        <f>F17+G13</f>
        <v>89713.068181818118</v>
      </c>
      <c r="H17" s="1"/>
      <c r="I17" s="1"/>
      <c r="J17" s="1"/>
      <c r="K17" s="1"/>
      <c r="L17" s="1"/>
      <c r="M17" s="1"/>
      <c r="N17" s="1"/>
      <c r="O17" s="1"/>
      <c r="P17" s="1"/>
    </row>
    <row r="18" spans="2:40" ht="17" customHeight="1" thickBot="1" x14ac:dyDescent="0.25"/>
    <row r="19" spans="2:40" ht="17" customHeight="1" thickBot="1" x14ac:dyDescent="0.25">
      <c r="B19" s="113" t="s">
        <v>53</v>
      </c>
      <c r="C19" s="31"/>
      <c r="D19" s="32">
        <v>0</v>
      </c>
      <c r="E19" s="33">
        <v>1</v>
      </c>
      <c r="F19" s="33">
        <v>2</v>
      </c>
      <c r="G19" s="33">
        <v>3</v>
      </c>
    </row>
    <row r="20" spans="2:40" x14ac:dyDescent="0.2">
      <c r="B20" s="114"/>
      <c r="C20" s="34" t="s">
        <v>31</v>
      </c>
      <c r="D20" s="35"/>
      <c r="E20" s="36">
        <f>SUM(E8:P8)</f>
        <v>2320000</v>
      </c>
      <c r="F20" s="36">
        <f>SUM(Q8:AB8)</f>
        <v>360000</v>
      </c>
      <c r="G20" s="36">
        <f>SUM(AC8:AN8)</f>
        <v>360000</v>
      </c>
    </row>
    <row r="21" spans="2:40" x14ac:dyDescent="0.2">
      <c r="B21" s="114"/>
      <c r="C21" s="17" t="s">
        <v>58</v>
      </c>
      <c r="D21" s="37">
        <f>D9</f>
        <v>-20000</v>
      </c>
      <c r="E21" s="38">
        <f>SUM(E9:P9)</f>
        <v>-140000</v>
      </c>
      <c r="F21" s="38">
        <f>SUM(Q9:AB9)</f>
        <v>-80000</v>
      </c>
      <c r="G21" s="38">
        <f>SUM(AC9:AN9)</f>
        <v>-80000</v>
      </c>
    </row>
    <row r="22" spans="2:40" x14ac:dyDescent="0.2">
      <c r="B22" s="114"/>
      <c r="C22" s="34" t="s">
        <v>32</v>
      </c>
      <c r="D22" s="37"/>
      <c r="E22" s="38">
        <f>SUM(E10:P10)</f>
        <v>132852.27272727276</v>
      </c>
      <c r="F22" s="38">
        <f>SUM(Q10:AB10)</f>
        <v>132852.27272727276</v>
      </c>
      <c r="G22" s="38">
        <f>SUM(AC10:AN10)</f>
        <v>132852.27272727276</v>
      </c>
    </row>
    <row r="23" spans="2:40" x14ac:dyDescent="0.2">
      <c r="B23" s="114"/>
      <c r="C23" s="34" t="s">
        <v>33</v>
      </c>
      <c r="D23" s="37"/>
      <c r="E23" s="38">
        <f>SUM(E11:P11)</f>
        <v>-100000</v>
      </c>
      <c r="F23" s="38">
        <f>SUM(Q11:AB11)</f>
        <v>-60000</v>
      </c>
      <c r="G23" s="38">
        <f>SUM(AC11:AN11)</f>
        <v>-60000</v>
      </c>
    </row>
    <row r="24" spans="2:40" ht="17" thickBot="1" x14ac:dyDescent="0.25">
      <c r="B24" s="114"/>
      <c r="C24" s="34" t="s">
        <v>34</v>
      </c>
      <c r="D24" s="37">
        <f>D12</f>
        <v>-1168500</v>
      </c>
      <c r="E24" s="38">
        <f>SUM(E12:P12)</f>
        <v>0</v>
      </c>
      <c r="F24" s="38">
        <f>SUM(Q12:AB12)</f>
        <v>0</v>
      </c>
      <c r="G24" s="38">
        <f>SUM(AC12:AN12)</f>
        <v>0</v>
      </c>
    </row>
    <row r="25" spans="2:40" ht="17" thickBot="1" x14ac:dyDescent="0.25">
      <c r="B25" s="114"/>
      <c r="C25" s="39" t="s">
        <v>37</v>
      </c>
      <c r="D25" s="40">
        <f>SUM(D20:D24)</f>
        <v>-1188500</v>
      </c>
      <c r="E25" s="41">
        <f>SUM(E20:E24)</f>
        <v>2212852.2727272729</v>
      </c>
      <c r="F25" s="41">
        <f>SUM(F20:F24)</f>
        <v>352852.27272727276</v>
      </c>
      <c r="G25" s="41">
        <f>SUM(G20:G24)</f>
        <v>352852.27272727276</v>
      </c>
    </row>
    <row r="26" spans="2:40" ht="17" thickBot="1" x14ac:dyDescent="0.25">
      <c r="B26" s="114"/>
      <c r="C26" s="42" t="s">
        <v>38</v>
      </c>
      <c r="D26" s="46">
        <f>NPV(B3,E25:G25)+D25</f>
        <v>1149594.7741067167</v>
      </c>
      <c r="E26" s="43"/>
      <c r="F26" s="43"/>
      <c r="G26" s="43"/>
    </row>
    <row r="27" spans="2:40" ht="17" thickBot="1" x14ac:dyDescent="0.25">
      <c r="B27" s="114"/>
      <c r="C27" s="8" t="s">
        <v>93</v>
      </c>
      <c r="D27" s="54">
        <f>IRR(D25:G25)</f>
        <v>1.0740482075946591</v>
      </c>
    </row>
    <row r="28" spans="2:40" ht="17" thickBot="1" x14ac:dyDescent="0.25">
      <c r="B28" s="115"/>
      <c r="C28" s="8" t="s">
        <v>48</v>
      </c>
      <c r="D28" s="44" t="s">
        <v>44</v>
      </c>
    </row>
    <row r="29" spans="2:40" x14ac:dyDescent="0.2">
      <c r="D29" s="1">
        <f>D25</f>
        <v>-1188500</v>
      </c>
      <c r="E29" s="48">
        <f>D29+E25</f>
        <v>1024352.2727272729</v>
      </c>
      <c r="F29" s="1">
        <f>E29+F25</f>
        <v>1377204.5454545456</v>
      </c>
      <c r="G29" s="1">
        <f>F29+G25</f>
        <v>1730056.8181818184</v>
      </c>
    </row>
    <row r="31" spans="2:40" ht="17" customHeight="1" x14ac:dyDescent="0.2"/>
    <row r="32" spans="2:40" ht="17" thickBot="1" x14ac:dyDescent="0.25">
      <c r="E32" s="120" t="s">
        <v>44</v>
      </c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19" t="s">
        <v>45</v>
      </c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20" t="s">
        <v>46</v>
      </c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</row>
    <row r="33" spans="2:42" ht="17" customHeight="1" thickBot="1" x14ac:dyDescent="0.25">
      <c r="B33" s="113" t="s">
        <v>54</v>
      </c>
      <c r="C33" s="16"/>
      <c r="D33" s="21">
        <v>45748</v>
      </c>
      <c r="E33" s="9">
        <v>45778</v>
      </c>
      <c r="F33" s="9">
        <v>45809</v>
      </c>
      <c r="G33" s="9">
        <v>45839</v>
      </c>
      <c r="H33" s="9">
        <v>45870</v>
      </c>
      <c r="I33" s="9">
        <v>45901</v>
      </c>
      <c r="J33" s="9">
        <v>45931</v>
      </c>
      <c r="K33" s="9">
        <v>45962</v>
      </c>
      <c r="L33" s="9">
        <v>45992</v>
      </c>
      <c r="M33" s="9">
        <v>46023</v>
      </c>
      <c r="N33" s="9">
        <v>46054</v>
      </c>
      <c r="O33" s="9">
        <v>46082</v>
      </c>
      <c r="P33" s="9">
        <v>46113</v>
      </c>
      <c r="Q33" s="9">
        <v>46143</v>
      </c>
      <c r="R33" s="9">
        <v>46174</v>
      </c>
      <c r="S33" s="9">
        <v>46204</v>
      </c>
      <c r="T33" s="9">
        <v>46235</v>
      </c>
      <c r="U33" s="9">
        <v>46266</v>
      </c>
      <c r="V33" s="9">
        <v>46296</v>
      </c>
      <c r="W33" s="9">
        <v>46327</v>
      </c>
      <c r="X33" s="9">
        <v>46357</v>
      </c>
      <c r="Y33" s="9">
        <v>46388</v>
      </c>
      <c r="Z33" s="9">
        <v>46419</v>
      </c>
      <c r="AA33" s="9">
        <v>46447</v>
      </c>
      <c r="AB33" s="9">
        <v>46478</v>
      </c>
      <c r="AC33" s="9">
        <v>46508</v>
      </c>
      <c r="AD33" s="9">
        <v>46539</v>
      </c>
      <c r="AE33" s="9">
        <v>46569</v>
      </c>
      <c r="AF33" s="9">
        <v>46600</v>
      </c>
      <c r="AG33" s="9">
        <v>46631</v>
      </c>
      <c r="AH33" s="9">
        <v>46661</v>
      </c>
      <c r="AI33" s="9">
        <v>46692</v>
      </c>
      <c r="AJ33" s="9">
        <v>46722</v>
      </c>
      <c r="AK33" s="9">
        <v>46753</v>
      </c>
      <c r="AL33" s="9">
        <v>46784</v>
      </c>
      <c r="AM33" s="9">
        <v>46813</v>
      </c>
      <c r="AN33" s="10">
        <v>46844</v>
      </c>
    </row>
    <row r="34" spans="2:42" x14ac:dyDescent="0.2">
      <c r="B34" s="114"/>
      <c r="C34" s="17" t="s">
        <v>31</v>
      </c>
      <c r="D34" s="22"/>
      <c r="E34" s="19" cm="1">
        <f t="array" ref="E34:J34">TRANSPOSE(Tabla3[5 cadenas])</f>
        <v>1600000</v>
      </c>
      <c r="F34" s="19">
        <v>700000</v>
      </c>
      <c r="G34" s="19">
        <v>1000000</v>
      </c>
      <c r="H34" s="19">
        <v>1000000</v>
      </c>
      <c r="I34" s="19">
        <v>500000</v>
      </c>
      <c r="J34" s="19">
        <v>800000</v>
      </c>
      <c r="K34" s="19"/>
      <c r="L34" s="19"/>
      <c r="M34" s="19"/>
      <c r="N34" s="19"/>
      <c r="O34" s="19">
        <f>(20000)*5</f>
        <v>100000</v>
      </c>
      <c r="P34" s="19">
        <f t="shared" ref="P34:W34" si="3">(20000)*5</f>
        <v>100000</v>
      </c>
      <c r="Q34" s="19">
        <f t="shared" si="3"/>
        <v>100000</v>
      </c>
      <c r="R34" s="19">
        <f t="shared" si="3"/>
        <v>100000</v>
      </c>
      <c r="S34" s="19">
        <f t="shared" si="3"/>
        <v>100000</v>
      </c>
      <c r="T34" s="19">
        <f t="shared" si="3"/>
        <v>100000</v>
      </c>
      <c r="U34" s="19">
        <f t="shared" si="3"/>
        <v>100000</v>
      </c>
      <c r="V34" s="19">
        <f t="shared" si="3"/>
        <v>100000</v>
      </c>
      <c r="W34" s="19">
        <f t="shared" si="3"/>
        <v>100000</v>
      </c>
      <c r="X34" s="19"/>
      <c r="Y34" s="19"/>
      <c r="Z34" s="19"/>
      <c r="AA34" s="19">
        <f>(20000)*5</f>
        <v>100000</v>
      </c>
      <c r="AB34" s="19">
        <f t="shared" ref="AB34:AI34" si="4">(20000)*5</f>
        <v>100000</v>
      </c>
      <c r="AC34" s="19">
        <f t="shared" si="4"/>
        <v>100000</v>
      </c>
      <c r="AD34" s="19">
        <f t="shared" si="4"/>
        <v>100000</v>
      </c>
      <c r="AE34" s="19">
        <f t="shared" si="4"/>
        <v>100000</v>
      </c>
      <c r="AF34" s="19">
        <f t="shared" si="4"/>
        <v>100000</v>
      </c>
      <c r="AG34" s="19">
        <f t="shared" si="4"/>
        <v>100000</v>
      </c>
      <c r="AH34" s="19">
        <f t="shared" si="4"/>
        <v>100000</v>
      </c>
      <c r="AI34" s="19">
        <f t="shared" si="4"/>
        <v>100000</v>
      </c>
      <c r="AJ34" s="19"/>
      <c r="AK34" s="19"/>
      <c r="AL34" s="19"/>
      <c r="AM34" s="19">
        <f>(20000)*5</f>
        <v>100000</v>
      </c>
      <c r="AN34" s="19">
        <f>(20000)*5</f>
        <v>100000</v>
      </c>
    </row>
    <row r="35" spans="2:42" x14ac:dyDescent="0.2">
      <c r="B35" s="114"/>
      <c r="C35" s="17" t="s">
        <v>58</v>
      </c>
      <c r="D35" s="24">
        <v>-20000</v>
      </c>
      <c r="E35" s="20">
        <v>-20000</v>
      </c>
      <c r="F35" s="20"/>
      <c r="G35" s="20">
        <v>-20000</v>
      </c>
      <c r="H35" s="20"/>
      <c r="I35" s="20">
        <v>-20000</v>
      </c>
      <c r="J35" s="20"/>
      <c r="K35" s="20">
        <v>-20000</v>
      </c>
      <c r="L35" s="20">
        <v>-20000</v>
      </c>
      <c r="M35" s="20">
        <v>-20000</v>
      </c>
      <c r="N35" s="20"/>
      <c r="O35" s="20"/>
      <c r="P35" s="20">
        <v>-20000</v>
      </c>
      <c r="Q35" s="20"/>
      <c r="R35" s="20"/>
      <c r="S35" s="20"/>
      <c r="T35" s="20">
        <v>-20000</v>
      </c>
      <c r="U35" s="20"/>
      <c r="V35" s="20"/>
      <c r="W35" s="20"/>
      <c r="X35" s="20">
        <v>-20000</v>
      </c>
      <c r="Y35" s="20">
        <v>-20000</v>
      </c>
      <c r="Z35" s="20"/>
      <c r="AA35" s="20"/>
      <c r="AB35" s="20">
        <v>-20000</v>
      </c>
      <c r="AC35" s="20"/>
      <c r="AD35" s="20"/>
      <c r="AE35" s="20"/>
      <c r="AF35" s="20">
        <v>-20000</v>
      </c>
      <c r="AG35" s="20"/>
      <c r="AH35" s="20"/>
      <c r="AI35" s="20"/>
      <c r="AJ35" s="20">
        <v>-20000</v>
      </c>
      <c r="AK35" s="20">
        <v>-20000</v>
      </c>
      <c r="AL35" s="20"/>
      <c r="AM35" s="20"/>
      <c r="AN35" s="12">
        <v>-20000</v>
      </c>
    </row>
    <row r="36" spans="2:42" x14ac:dyDescent="0.2">
      <c r="B36" s="114"/>
      <c r="C36" s="17" t="s">
        <v>32</v>
      </c>
      <c r="D36" s="24"/>
      <c r="E36" s="20">
        <f>'Tablas optimista'!$C$34+'Tablas optimista'!$E$34+'Tablas optimista'!$F$34</f>
        <v>27642.992613636361</v>
      </c>
      <c r="F36" s="20">
        <f>'Tablas optimista'!$C$34+'Tablas optimista'!$E$34+'Tablas optimista'!$F$34</f>
        <v>27642.992613636361</v>
      </c>
      <c r="G36" s="20">
        <f>'Tablas optimista'!$C$34+'Tablas optimista'!$E$34+'Tablas optimista'!$F$34</f>
        <v>27642.992613636361</v>
      </c>
      <c r="H36" s="20">
        <f>'Tablas optimista'!$C$34+'Tablas optimista'!$E$34+'Tablas optimista'!$F$34</f>
        <v>27642.992613636361</v>
      </c>
      <c r="I36" s="20">
        <f>'Tablas optimista'!$C$34+'Tablas optimista'!$E$34+'Tablas optimista'!$F$34</f>
        <v>27642.992613636361</v>
      </c>
      <c r="J36" s="20">
        <f>'Tablas optimista'!$C$34+'Tablas optimista'!$E$34+'Tablas optimista'!$F$34</f>
        <v>27642.992613636361</v>
      </c>
      <c r="K36" s="20">
        <f>'Tablas optimista'!$C$34+'Tablas optimista'!$E$34+'Tablas optimista'!$F$34</f>
        <v>27642.992613636361</v>
      </c>
      <c r="L36" s="20">
        <f>'Tablas optimista'!$C$34+'Tablas optimista'!$E$34+'Tablas optimista'!$F$34</f>
        <v>27642.992613636361</v>
      </c>
      <c r="M36" s="20">
        <f>'Tablas optimista'!$C$34+'Tablas optimista'!$E$34+'Tablas optimista'!$F$34</f>
        <v>27642.992613636361</v>
      </c>
      <c r="N36" s="20">
        <f>'Tablas optimista'!$C$34+'Tablas optimista'!$E$34+'Tablas optimista'!$F$34</f>
        <v>27642.992613636361</v>
      </c>
      <c r="O36" s="20">
        <f>'Tablas optimista'!$C$34+'Tablas optimista'!$E$34+'Tablas optimista'!$F$34</f>
        <v>27642.992613636361</v>
      </c>
      <c r="P36" s="20">
        <f>'Tablas optimista'!$C$34+'Tablas optimista'!$E$34+'Tablas optimista'!$F$34</f>
        <v>27642.992613636361</v>
      </c>
      <c r="Q36" s="20">
        <f>'Tablas optimista'!$C$34+'Tablas optimista'!$E$34+'Tablas optimista'!$F$34</f>
        <v>27642.992613636361</v>
      </c>
      <c r="R36" s="20">
        <f>'Tablas optimista'!$C$34+'Tablas optimista'!$E$34+'Tablas optimista'!$F$34</f>
        <v>27642.992613636361</v>
      </c>
      <c r="S36" s="20">
        <f>'Tablas optimista'!$C$34+'Tablas optimista'!$E$34+'Tablas optimista'!$F$34</f>
        <v>27642.992613636361</v>
      </c>
      <c r="T36" s="20">
        <f>'Tablas optimista'!$C$34+'Tablas optimista'!$E$34+'Tablas optimista'!$F$34</f>
        <v>27642.992613636361</v>
      </c>
      <c r="U36" s="20">
        <f>'Tablas optimista'!$C$34+'Tablas optimista'!$E$34+'Tablas optimista'!$F$34</f>
        <v>27642.992613636361</v>
      </c>
      <c r="V36" s="20">
        <f>'Tablas optimista'!$C$34+'Tablas optimista'!$E$34+'Tablas optimista'!$F$34</f>
        <v>27642.992613636361</v>
      </c>
      <c r="W36" s="20">
        <f>'Tablas optimista'!$C$34+'Tablas optimista'!$E$34+'Tablas optimista'!$F$34</f>
        <v>27642.992613636361</v>
      </c>
      <c r="X36" s="20">
        <f>'Tablas optimista'!$C$34+'Tablas optimista'!$E$34+'Tablas optimista'!$F$34</f>
        <v>27642.992613636361</v>
      </c>
      <c r="Y36" s="20">
        <f>'Tablas optimista'!$C$34+'Tablas optimista'!$E$34+'Tablas optimista'!$F$34</f>
        <v>27642.992613636361</v>
      </c>
      <c r="Z36" s="20">
        <f>'Tablas optimista'!$C$34+'Tablas optimista'!$E$34+'Tablas optimista'!$F$34</f>
        <v>27642.992613636361</v>
      </c>
      <c r="AA36" s="20">
        <f>'Tablas optimista'!$C$34+'Tablas optimista'!$E$34+'Tablas optimista'!$F$34</f>
        <v>27642.992613636361</v>
      </c>
      <c r="AB36" s="20">
        <f>'Tablas optimista'!$C$34+'Tablas optimista'!$E$34+'Tablas optimista'!$F$34</f>
        <v>27642.992613636361</v>
      </c>
      <c r="AC36" s="20">
        <f>'Tablas optimista'!$C$34+'Tablas optimista'!$E$34+'Tablas optimista'!$F$34</f>
        <v>27642.992613636361</v>
      </c>
      <c r="AD36" s="20">
        <f>'Tablas optimista'!$C$34+'Tablas optimista'!$E$34+'Tablas optimista'!$F$34</f>
        <v>27642.992613636361</v>
      </c>
      <c r="AE36" s="20">
        <f>'Tablas optimista'!$C$34+'Tablas optimista'!$E$34+'Tablas optimista'!$F$34</f>
        <v>27642.992613636361</v>
      </c>
      <c r="AF36" s="20">
        <f>'Tablas optimista'!$C$34+'Tablas optimista'!$E$34+'Tablas optimista'!$F$34</f>
        <v>27642.992613636361</v>
      </c>
      <c r="AG36" s="20">
        <f>'Tablas optimista'!$C$34+'Tablas optimista'!$E$34+'Tablas optimista'!$F$34</f>
        <v>27642.992613636361</v>
      </c>
      <c r="AH36" s="20">
        <f>'Tablas optimista'!$C$34+'Tablas optimista'!$E$34+'Tablas optimista'!$F$34</f>
        <v>27642.992613636361</v>
      </c>
      <c r="AI36" s="20">
        <f>'Tablas optimista'!$C$34+'Tablas optimista'!$E$34+'Tablas optimista'!$F$34</f>
        <v>27642.992613636361</v>
      </c>
      <c r="AJ36" s="20">
        <f>'Tablas optimista'!$C$34+'Tablas optimista'!$E$34+'Tablas optimista'!$F$34</f>
        <v>27642.992613636361</v>
      </c>
      <c r="AK36" s="20">
        <f>'Tablas optimista'!$C$34+'Tablas optimista'!$E$34+'Tablas optimista'!$F$34</f>
        <v>27642.992613636361</v>
      </c>
      <c r="AL36" s="20">
        <f>'Tablas optimista'!$C$34+'Tablas optimista'!$E$34+'Tablas optimista'!$F$34</f>
        <v>27642.992613636361</v>
      </c>
      <c r="AM36" s="20">
        <f>'Tablas optimista'!$C$34+'Tablas optimista'!$E$34+'Tablas optimista'!$F$34</f>
        <v>27642.992613636361</v>
      </c>
      <c r="AN36" s="12">
        <f>'Tablas optimista'!$C$34+'Tablas optimista'!$E$34+'Tablas optimista'!$F$34</f>
        <v>27642.992613636361</v>
      </c>
    </row>
    <row r="37" spans="2:42" x14ac:dyDescent="0.2">
      <c r="B37" s="114"/>
      <c r="C37" s="17" t="s">
        <v>33</v>
      </c>
      <c r="D37" s="24"/>
      <c r="E37" s="20" cm="1">
        <f t="array" ref="E37:L37">TRANSPOSE(Tabla17[Costo 5 cadenas])</f>
        <v>-75000</v>
      </c>
      <c r="F37" s="20">
        <v>0</v>
      </c>
      <c r="G37" s="20">
        <v>-5000</v>
      </c>
      <c r="H37" s="20">
        <v>0</v>
      </c>
      <c r="I37" s="20">
        <v>-5000</v>
      </c>
      <c r="J37" s="20">
        <v>0</v>
      </c>
      <c r="K37" s="20">
        <v>-5000</v>
      </c>
      <c r="L37" s="20">
        <v>-50000</v>
      </c>
      <c r="M37" s="20"/>
      <c r="N37" s="20"/>
      <c r="O37" s="20"/>
      <c r="P37" s="20">
        <f>$K$37</f>
        <v>-5000</v>
      </c>
      <c r="Q37" s="20"/>
      <c r="R37" s="20"/>
      <c r="S37" s="20"/>
      <c r="T37" s="20">
        <f>$K$37</f>
        <v>-5000</v>
      </c>
      <c r="U37" s="20"/>
      <c r="V37" s="20"/>
      <c r="W37" s="20"/>
      <c r="X37" s="20">
        <v>-50000</v>
      </c>
      <c r="Y37" s="20"/>
      <c r="Z37" s="20"/>
      <c r="AA37" s="20"/>
      <c r="AB37" s="20">
        <f>$K$37</f>
        <v>-5000</v>
      </c>
      <c r="AC37" s="20"/>
      <c r="AD37" s="20"/>
      <c r="AE37" s="20"/>
      <c r="AF37" s="20">
        <f>$K$37</f>
        <v>-5000</v>
      </c>
      <c r="AG37" s="20"/>
      <c r="AH37" s="20"/>
      <c r="AI37" s="20"/>
      <c r="AJ37" s="20">
        <v>-50000</v>
      </c>
      <c r="AK37" s="20"/>
      <c r="AL37" s="20"/>
      <c r="AM37" s="20"/>
      <c r="AN37" s="12">
        <f>$K$37</f>
        <v>-5000</v>
      </c>
      <c r="AP37" t="s">
        <v>63</v>
      </c>
    </row>
    <row r="38" spans="2:42" ht="17" thickBot="1" x14ac:dyDescent="0.25">
      <c r="B38" s="114"/>
      <c r="C38" s="17" t="s">
        <v>34</v>
      </c>
      <c r="D38" s="24">
        <v>-1168500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14"/>
    </row>
    <row r="39" spans="2:42" ht="17" thickBot="1" x14ac:dyDescent="0.25">
      <c r="B39" s="114"/>
      <c r="C39" s="18" t="s">
        <v>37</v>
      </c>
      <c r="D39" s="25">
        <f t="shared" ref="D39:AN39" si="5">SUM(D34:D38)</f>
        <v>-1188500</v>
      </c>
      <c r="E39" s="26">
        <f t="shared" si="5"/>
        <v>1532642.9926136364</v>
      </c>
      <c r="F39" s="26">
        <f t="shared" si="5"/>
        <v>727642.99261363631</v>
      </c>
      <c r="G39" s="26">
        <f t="shared" si="5"/>
        <v>1002642.9926136363</v>
      </c>
      <c r="H39" s="26">
        <f t="shared" si="5"/>
        <v>1027642.9926136363</v>
      </c>
      <c r="I39" s="26">
        <f t="shared" si="5"/>
        <v>502642.99261363636</v>
      </c>
      <c r="J39" s="26">
        <f t="shared" si="5"/>
        <v>827642.99261363631</v>
      </c>
      <c r="K39" s="26">
        <f t="shared" si="5"/>
        <v>2642.9926136363611</v>
      </c>
      <c r="L39" s="26">
        <f t="shared" si="5"/>
        <v>-42357.007386363635</v>
      </c>
      <c r="M39" s="26">
        <f t="shared" si="5"/>
        <v>7642.9926136363611</v>
      </c>
      <c r="N39" s="26">
        <f t="shared" si="5"/>
        <v>27642.992613636361</v>
      </c>
      <c r="O39" s="26">
        <f t="shared" si="5"/>
        <v>127642.99261363636</v>
      </c>
      <c r="P39" s="26">
        <f t="shared" si="5"/>
        <v>102642.99261363636</v>
      </c>
      <c r="Q39" s="26">
        <f t="shared" si="5"/>
        <v>127642.99261363636</v>
      </c>
      <c r="R39" s="26">
        <f t="shared" si="5"/>
        <v>127642.99261363636</v>
      </c>
      <c r="S39" s="26">
        <f t="shared" si="5"/>
        <v>127642.99261363636</v>
      </c>
      <c r="T39" s="26">
        <f t="shared" si="5"/>
        <v>102642.99261363636</v>
      </c>
      <c r="U39" s="26">
        <f t="shared" si="5"/>
        <v>127642.99261363636</v>
      </c>
      <c r="V39" s="26">
        <f t="shared" si="5"/>
        <v>127642.99261363636</v>
      </c>
      <c r="W39" s="26">
        <f t="shared" si="5"/>
        <v>127642.99261363636</v>
      </c>
      <c r="X39" s="26">
        <f t="shared" si="5"/>
        <v>-42357.007386363635</v>
      </c>
      <c r="Y39" s="26">
        <f t="shared" si="5"/>
        <v>7642.9926136363611</v>
      </c>
      <c r="Z39" s="26">
        <f t="shared" si="5"/>
        <v>27642.992613636361</v>
      </c>
      <c r="AA39" s="26">
        <f t="shared" si="5"/>
        <v>127642.99261363636</v>
      </c>
      <c r="AB39" s="26">
        <f t="shared" si="5"/>
        <v>102642.99261363636</v>
      </c>
      <c r="AC39" s="26">
        <f t="shared" si="5"/>
        <v>127642.99261363636</v>
      </c>
      <c r="AD39" s="26">
        <f t="shared" si="5"/>
        <v>127642.99261363636</v>
      </c>
      <c r="AE39" s="26">
        <f t="shared" si="5"/>
        <v>127642.99261363636</v>
      </c>
      <c r="AF39" s="26">
        <f t="shared" si="5"/>
        <v>102642.99261363636</v>
      </c>
      <c r="AG39" s="26">
        <f t="shared" si="5"/>
        <v>127642.99261363636</v>
      </c>
      <c r="AH39" s="26">
        <f t="shared" si="5"/>
        <v>127642.99261363636</v>
      </c>
      <c r="AI39" s="26">
        <f t="shared" si="5"/>
        <v>127642.99261363636</v>
      </c>
      <c r="AJ39" s="26">
        <f t="shared" si="5"/>
        <v>-42357.007386363635</v>
      </c>
      <c r="AK39" s="26">
        <f t="shared" si="5"/>
        <v>7642.9926136363611</v>
      </c>
      <c r="AL39" s="26">
        <f t="shared" si="5"/>
        <v>27642.992613636361</v>
      </c>
      <c r="AM39" s="26">
        <f t="shared" si="5"/>
        <v>127642.99261363636</v>
      </c>
      <c r="AN39" s="15">
        <f t="shared" si="5"/>
        <v>102642.99261363636</v>
      </c>
    </row>
    <row r="40" spans="2:42" ht="17" thickBot="1" x14ac:dyDescent="0.25">
      <c r="B40" s="114"/>
      <c r="C40" s="8" t="s">
        <v>38</v>
      </c>
      <c r="D40" s="44">
        <f>NPV($B$4,E39:AN39)+D39</f>
        <v>5971922.0636722781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42" ht="17" thickBot="1" x14ac:dyDescent="0.25">
      <c r="B41" s="114"/>
      <c r="C41" s="8" t="s">
        <v>47</v>
      </c>
      <c r="D41" s="54">
        <f>IRR(D39:AN39)</f>
        <v>0.97745783061905045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42" ht="16" customHeight="1" thickBot="1" x14ac:dyDescent="0.25">
      <c r="B42" s="115"/>
      <c r="C42" s="8" t="s">
        <v>48</v>
      </c>
      <c r="D42" s="44" t="s">
        <v>50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2:42" x14ac:dyDescent="0.2">
      <c r="D43" s="1">
        <f>D39</f>
        <v>-1188500</v>
      </c>
      <c r="E43" s="48">
        <f>D43+E39</f>
        <v>344142.99261363642</v>
      </c>
      <c r="F43" s="1">
        <f>E43+F39</f>
        <v>1071785.9852272728</v>
      </c>
      <c r="G43" s="1">
        <f>F43+G39</f>
        <v>2074428.9778409093</v>
      </c>
    </row>
    <row r="44" spans="2:42" ht="17" customHeight="1" thickBot="1" x14ac:dyDescent="0.25"/>
    <row r="45" spans="2:42" ht="17" thickBot="1" x14ac:dyDescent="0.25">
      <c r="B45" s="113" t="s">
        <v>54</v>
      </c>
      <c r="C45" s="16"/>
      <c r="D45" s="27">
        <v>0</v>
      </c>
      <c r="E45" s="28">
        <v>1</v>
      </c>
      <c r="F45" s="28">
        <v>2</v>
      </c>
      <c r="G45" s="28">
        <v>3</v>
      </c>
    </row>
    <row r="46" spans="2:42" ht="16" customHeight="1" x14ac:dyDescent="0.2">
      <c r="B46" s="114"/>
      <c r="C46" s="17" t="s">
        <v>31</v>
      </c>
      <c r="D46" s="35"/>
      <c r="E46" s="36">
        <f>SUM(E34:P34)</f>
        <v>5800000</v>
      </c>
      <c r="F46" s="36">
        <f>SUM(Q34:AB34)</f>
        <v>900000</v>
      </c>
      <c r="G46" s="36">
        <f>SUM(AC34:AN34)</f>
        <v>900000</v>
      </c>
    </row>
    <row r="47" spans="2:42" x14ac:dyDescent="0.2">
      <c r="B47" s="114"/>
      <c r="C47" s="17" t="s">
        <v>58</v>
      </c>
      <c r="D47" s="37">
        <f>D35</f>
        <v>-20000</v>
      </c>
      <c r="E47" s="38">
        <f t="shared" ref="E47:E50" si="6">SUM(E35:P35)</f>
        <v>-140000</v>
      </c>
      <c r="F47" s="38">
        <f t="shared" ref="F47:F49" si="7">SUM(Q35:AB35)</f>
        <v>-80000</v>
      </c>
      <c r="G47" s="38">
        <f t="shared" ref="G47:G49" si="8">SUM(AC35:AN35)</f>
        <v>-80000</v>
      </c>
    </row>
    <row r="48" spans="2:42" x14ac:dyDescent="0.2">
      <c r="B48" s="114"/>
      <c r="C48" s="17" t="s">
        <v>32</v>
      </c>
      <c r="D48" s="37"/>
      <c r="E48" s="38">
        <f t="shared" si="6"/>
        <v>331715.91136363632</v>
      </c>
      <c r="F48" s="38">
        <f t="shared" si="7"/>
        <v>331715.91136363632</v>
      </c>
      <c r="G48" s="38">
        <f t="shared" si="8"/>
        <v>331715.91136363632</v>
      </c>
    </row>
    <row r="49" spans="2:7" x14ac:dyDescent="0.2">
      <c r="B49" s="114"/>
      <c r="C49" s="17" t="s">
        <v>33</v>
      </c>
      <c r="D49" s="37"/>
      <c r="E49" s="38">
        <f t="shared" si="6"/>
        <v>-145000</v>
      </c>
      <c r="F49" s="38">
        <f t="shared" si="7"/>
        <v>-60000</v>
      </c>
      <c r="G49" s="38">
        <f t="shared" si="8"/>
        <v>-60000</v>
      </c>
    </row>
    <row r="50" spans="2:7" ht="17" thickBot="1" x14ac:dyDescent="0.25">
      <c r="B50" s="114"/>
      <c r="C50" s="17" t="s">
        <v>34</v>
      </c>
      <c r="D50" s="37">
        <f>D38</f>
        <v>-1168500</v>
      </c>
      <c r="E50" s="38">
        <f t="shared" si="6"/>
        <v>0</v>
      </c>
      <c r="F50" s="38">
        <f>SUM(Q38:AB38)</f>
        <v>0</v>
      </c>
      <c r="G50" s="38">
        <f>SUM(AC38:AN38)</f>
        <v>0</v>
      </c>
    </row>
    <row r="51" spans="2:7" ht="17" thickBot="1" x14ac:dyDescent="0.25">
      <c r="B51" s="114"/>
      <c r="C51" s="18" t="s">
        <v>37</v>
      </c>
      <c r="D51" s="25">
        <f>SUM(D46:D50)</f>
        <v>-1188500</v>
      </c>
      <c r="E51" s="26">
        <f>SUM(E46:E50)</f>
        <v>5846715.9113636361</v>
      </c>
      <c r="F51" s="26">
        <f>SUM(F46:F50)</f>
        <v>1091715.9113636364</v>
      </c>
      <c r="G51" s="26">
        <f>SUM(G46:G50)</f>
        <v>1091715.9113636364</v>
      </c>
    </row>
    <row r="52" spans="2:7" ht="17" thickBot="1" x14ac:dyDescent="0.25">
      <c r="B52" s="114"/>
      <c r="C52" s="8" t="s">
        <v>38</v>
      </c>
      <c r="D52" s="45">
        <f>NPV(B3,E51:G51)+D51</f>
        <v>5199728.9171702145</v>
      </c>
    </row>
    <row r="53" spans="2:7" ht="17" thickBot="1" x14ac:dyDescent="0.25">
      <c r="B53" s="114"/>
      <c r="C53" s="8" t="s">
        <v>93</v>
      </c>
      <c r="D53" s="54">
        <f>IRR(D51:G51)</f>
        <v>4.1332135749660219</v>
      </c>
    </row>
    <row r="54" spans="2:7" ht="17" thickBot="1" x14ac:dyDescent="0.25">
      <c r="B54" s="115"/>
      <c r="C54" s="8" t="s">
        <v>48</v>
      </c>
      <c r="D54" s="44" t="s">
        <v>44</v>
      </c>
    </row>
    <row r="55" spans="2:7" x14ac:dyDescent="0.2">
      <c r="D55" s="1">
        <f>D51</f>
        <v>-1188500</v>
      </c>
      <c r="E55" s="48">
        <f>D55+E51</f>
        <v>4658215.9113636361</v>
      </c>
      <c r="F55" s="1">
        <f>E55+F51</f>
        <v>5749931.8227272723</v>
      </c>
      <c r="G55" s="1">
        <f>F55+G51</f>
        <v>6841647.7340909084</v>
      </c>
    </row>
  </sheetData>
  <mergeCells count="11">
    <mergeCell ref="B33:B42"/>
    <mergeCell ref="B45:B54"/>
    <mergeCell ref="B2:AN2"/>
    <mergeCell ref="B7:B16"/>
    <mergeCell ref="B19:B28"/>
    <mergeCell ref="Q6:AB6"/>
    <mergeCell ref="AC6:AN6"/>
    <mergeCell ref="E6:P6"/>
    <mergeCell ref="E32:P32"/>
    <mergeCell ref="AC32:AN32"/>
    <mergeCell ref="Q32:AB3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89B1-60AD-AA46-AFE2-4DF8BE903A51}">
  <dimension ref="A1:BU120"/>
  <sheetViews>
    <sheetView topLeftCell="I1" workbookViewId="0">
      <selection activeCell="C65" sqref="C65:AN65"/>
    </sheetView>
  </sheetViews>
  <sheetFormatPr baseColWidth="10" defaultRowHeight="16" x14ac:dyDescent="0.2"/>
  <cols>
    <col min="3" max="3" width="33.33203125" bestFit="1" customWidth="1"/>
    <col min="4" max="4" width="14.6640625" bestFit="1" customWidth="1"/>
    <col min="5" max="7" width="12.83203125" bestFit="1" customWidth="1"/>
    <col min="8" max="40" width="11.83203125" bestFit="1" customWidth="1"/>
  </cols>
  <sheetData>
    <row r="1" spans="1:42" s="111" customFormat="1" ht="17" thickBot="1" x14ac:dyDescent="0.25"/>
    <row r="2" spans="1:42" ht="25" thickBot="1" x14ac:dyDescent="0.35">
      <c r="B2" s="116" t="s">
        <v>103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8"/>
    </row>
    <row r="3" spans="1:42" x14ac:dyDescent="0.2">
      <c r="A3" s="50" t="s">
        <v>51</v>
      </c>
      <c r="B3" s="76">
        <f>18.21%</f>
        <v>0.18210000000000001</v>
      </c>
    </row>
    <row r="4" spans="1:42" ht="17" thickBot="1" x14ac:dyDescent="0.25">
      <c r="A4" s="52" t="s">
        <v>52</v>
      </c>
      <c r="B4" s="53">
        <f>1.39%</f>
        <v>1.3899999999999999E-2</v>
      </c>
    </row>
    <row r="6" spans="1:42" ht="17" thickBot="1" x14ac:dyDescent="0.25">
      <c r="D6" s="30"/>
      <c r="E6" s="120" t="s">
        <v>44</v>
      </c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19" t="s">
        <v>45</v>
      </c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20" t="s">
        <v>46</v>
      </c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</row>
    <row r="7" spans="1:42" ht="17" customHeight="1" thickBot="1" x14ac:dyDescent="0.25">
      <c r="B7" s="113" t="s">
        <v>53</v>
      </c>
      <c r="C7" s="16"/>
      <c r="D7" s="21">
        <v>45748</v>
      </c>
      <c r="E7" s="9">
        <v>45778</v>
      </c>
      <c r="F7" s="9">
        <v>45809</v>
      </c>
      <c r="G7" s="9">
        <v>45839</v>
      </c>
      <c r="H7" s="9">
        <v>45870</v>
      </c>
      <c r="I7" s="9">
        <v>45901</v>
      </c>
      <c r="J7" s="9">
        <v>45931</v>
      </c>
      <c r="K7" s="9">
        <v>45962</v>
      </c>
      <c r="L7" s="9">
        <v>45992</v>
      </c>
      <c r="M7" s="9">
        <v>46023</v>
      </c>
      <c r="N7" s="9">
        <v>46054</v>
      </c>
      <c r="O7" s="9">
        <v>46082</v>
      </c>
      <c r="P7" s="9">
        <v>46113</v>
      </c>
      <c r="Q7" s="9">
        <v>46143</v>
      </c>
      <c r="R7" s="9">
        <v>46174</v>
      </c>
      <c r="S7" s="9">
        <v>46204</v>
      </c>
      <c r="T7" s="9">
        <v>46235</v>
      </c>
      <c r="U7" s="9">
        <v>46266</v>
      </c>
      <c r="V7" s="9">
        <v>46296</v>
      </c>
      <c r="W7" s="9">
        <v>46327</v>
      </c>
      <c r="X7" s="9">
        <v>46357</v>
      </c>
      <c r="Y7" s="9">
        <v>46388</v>
      </c>
      <c r="Z7" s="9">
        <v>46419</v>
      </c>
      <c r="AA7" s="9">
        <v>46447</v>
      </c>
      <c r="AB7" s="9">
        <v>46478</v>
      </c>
      <c r="AC7" s="9">
        <v>46508</v>
      </c>
      <c r="AD7" s="9">
        <v>46539</v>
      </c>
      <c r="AE7" s="9">
        <v>46569</v>
      </c>
      <c r="AF7" s="9">
        <v>46600</v>
      </c>
      <c r="AG7" s="9">
        <v>46631</v>
      </c>
      <c r="AH7" s="9">
        <v>46661</v>
      </c>
      <c r="AI7" s="9">
        <v>46692</v>
      </c>
      <c r="AJ7" s="9">
        <v>46722</v>
      </c>
      <c r="AK7" s="9">
        <v>46753</v>
      </c>
      <c r="AL7" s="9">
        <v>46784</v>
      </c>
      <c r="AM7" s="9">
        <v>46813</v>
      </c>
      <c r="AN7" s="10">
        <v>46844</v>
      </c>
    </row>
    <row r="8" spans="1:42" ht="17" customHeight="1" x14ac:dyDescent="0.2">
      <c r="B8" s="114"/>
      <c r="C8" s="17" t="s">
        <v>95</v>
      </c>
      <c r="D8" s="22"/>
      <c r="E8" s="19">
        <f>'Tablas optimista'!$D$39+'Tablas optimista'!$D$40</f>
        <v>2174013.2215952994</v>
      </c>
      <c r="F8" s="19">
        <f>'Tablas optimista'!$D$39+'Tablas optimista'!$D$40</f>
        <v>2174013.2215952994</v>
      </c>
      <c r="G8" s="19">
        <f>'Tablas optimista'!$D$39+'Tablas optimista'!$D$40</f>
        <v>2174013.2215952994</v>
      </c>
      <c r="H8" s="19">
        <f>'Tablas optimista'!$D$39+'Tablas optimista'!$D$40</f>
        <v>2174013.2215952994</v>
      </c>
      <c r="I8" s="19">
        <f>'Tablas optimista'!$D$39+'Tablas optimista'!$D$40</f>
        <v>2174013.2215952994</v>
      </c>
      <c r="J8" s="19">
        <f>'Tablas optimista'!$D$39+'Tablas optimista'!$D$40</f>
        <v>2174013.2215952994</v>
      </c>
      <c r="K8" s="19">
        <f>'Tablas optimista'!$D$39+'Tablas optimista'!$D$40</f>
        <v>2174013.2215952994</v>
      </c>
      <c r="L8" s="19">
        <f>'Tablas optimista'!$D$39+'Tablas optimista'!$D$40</f>
        <v>2174013.2215952994</v>
      </c>
      <c r="M8" s="19">
        <f>'Tablas optimista'!$D$39+'Tablas optimista'!$D$40</f>
        <v>2174013.2215952994</v>
      </c>
      <c r="N8" s="19">
        <f>'Tablas optimista'!$D$39+'Tablas optimista'!$D$40</f>
        <v>2174013.2215952994</v>
      </c>
      <c r="O8" s="19">
        <f>'Tablas optimista'!$D$39+'Tablas optimista'!$D$40</f>
        <v>2174013.2215952994</v>
      </c>
      <c r="P8" s="19">
        <f>'Tablas optimista'!$D$39+'Tablas optimista'!$D$40</f>
        <v>2174013.2215952994</v>
      </c>
      <c r="Q8" s="19">
        <f>'Tablas optimista'!$D$39+'Tablas optimista'!$D$40</f>
        <v>2174013.2215952994</v>
      </c>
      <c r="R8" s="19">
        <f>'Tablas optimista'!$D$39+'Tablas optimista'!$D$40</f>
        <v>2174013.2215952994</v>
      </c>
      <c r="S8" s="19">
        <f>'Tablas optimista'!$D$39+'Tablas optimista'!$D$40</f>
        <v>2174013.2215952994</v>
      </c>
      <c r="T8" s="19">
        <f>'Tablas optimista'!$D$39+'Tablas optimista'!$D$40</f>
        <v>2174013.2215952994</v>
      </c>
      <c r="U8" s="19">
        <f>'Tablas optimista'!$D$39+'Tablas optimista'!$D$40</f>
        <v>2174013.2215952994</v>
      </c>
      <c r="V8" s="19">
        <f>'Tablas optimista'!$D$39+'Tablas optimista'!$D$40</f>
        <v>2174013.2215952994</v>
      </c>
      <c r="W8" s="19">
        <f>'Tablas optimista'!$D$39+'Tablas optimista'!$D$40</f>
        <v>2174013.2215952994</v>
      </c>
      <c r="X8" s="19">
        <f>'Tablas optimista'!$D$39+'Tablas optimista'!$D$40</f>
        <v>2174013.2215952994</v>
      </c>
      <c r="Y8" s="19">
        <f>'Tablas optimista'!$D$39+'Tablas optimista'!$D$40</f>
        <v>2174013.2215952994</v>
      </c>
      <c r="Z8" s="19">
        <f>'Tablas optimista'!$D$39+'Tablas optimista'!$D$40</f>
        <v>2174013.2215952994</v>
      </c>
      <c r="AA8" s="19">
        <f>'Tablas optimista'!$D$39+'Tablas optimista'!$D$40</f>
        <v>2174013.2215952994</v>
      </c>
      <c r="AB8" s="19">
        <f>'Tablas optimista'!$D$39+'Tablas optimista'!$D$40</f>
        <v>2174013.2215952994</v>
      </c>
      <c r="AC8" s="19">
        <f>'Tablas optimista'!$D$39+'Tablas optimista'!$D$40</f>
        <v>2174013.2215952994</v>
      </c>
      <c r="AD8" s="19">
        <f>'Tablas optimista'!$D$39+'Tablas optimista'!$D$40</f>
        <v>2174013.2215952994</v>
      </c>
      <c r="AE8" s="19">
        <f>'Tablas optimista'!$D$39+'Tablas optimista'!$D$40</f>
        <v>2174013.2215952994</v>
      </c>
      <c r="AF8" s="19">
        <f>'Tablas optimista'!$D$39+'Tablas optimista'!$D$40</f>
        <v>2174013.2215952994</v>
      </c>
      <c r="AG8" s="19">
        <f>'Tablas optimista'!$D$39+'Tablas optimista'!$D$40</f>
        <v>2174013.2215952994</v>
      </c>
      <c r="AH8" s="19">
        <f>'Tablas optimista'!$D$39+'Tablas optimista'!$D$40</f>
        <v>2174013.2215952994</v>
      </c>
      <c r="AI8" s="19">
        <f>'Tablas optimista'!$D$39+'Tablas optimista'!$D$40</f>
        <v>2174013.2215952994</v>
      </c>
      <c r="AJ8" s="19">
        <f>'Tablas optimista'!$D$39+'Tablas optimista'!$D$40</f>
        <v>2174013.2215952994</v>
      </c>
      <c r="AK8" s="19">
        <f>'Tablas optimista'!$D$39+'Tablas optimista'!$D$40</f>
        <v>2174013.2215952994</v>
      </c>
      <c r="AL8" s="19">
        <f>'Tablas optimista'!$D$39+'Tablas optimista'!$D$40</f>
        <v>2174013.2215952994</v>
      </c>
      <c r="AM8" s="19">
        <f>'Tablas optimista'!$D$39+'Tablas optimista'!$D$40</f>
        <v>2174013.2215952994</v>
      </c>
      <c r="AN8" s="19">
        <f>'Tablas optimista'!$D$39+'Tablas optimista'!$D$40</f>
        <v>2174013.2215952994</v>
      </c>
    </row>
    <row r="9" spans="1:42" x14ac:dyDescent="0.2">
      <c r="B9" s="114"/>
      <c r="C9" s="17" t="s">
        <v>31</v>
      </c>
      <c r="D9" s="24"/>
      <c r="E9" s="20" cm="1">
        <f t="array" ref="E9:J9">TRANSPOSE(Tabla3[Costo 2 cadenas])</f>
        <v>640000</v>
      </c>
      <c r="F9" s="20">
        <v>280000</v>
      </c>
      <c r="G9" s="20">
        <v>400000</v>
      </c>
      <c r="H9" s="20">
        <v>400000</v>
      </c>
      <c r="I9" s="20">
        <v>200000</v>
      </c>
      <c r="J9" s="20">
        <v>320000</v>
      </c>
      <c r="K9" s="20"/>
      <c r="L9" s="20"/>
      <c r="M9" s="20"/>
      <c r="N9" s="20"/>
      <c r="O9" s="20">
        <f>(20000)*2</f>
        <v>40000</v>
      </c>
      <c r="P9" s="20">
        <f t="shared" ref="P9:W9" si="0">(20000)*2</f>
        <v>40000</v>
      </c>
      <c r="Q9" s="20">
        <f t="shared" si="0"/>
        <v>40000</v>
      </c>
      <c r="R9" s="20">
        <f t="shared" si="0"/>
        <v>40000</v>
      </c>
      <c r="S9" s="20">
        <f t="shared" si="0"/>
        <v>40000</v>
      </c>
      <c r="T9" s="20">
        <f t="shared" si="0"/>
        <v>40000</v>
      </c>
      <c r="U9" s="20">
        <f t="shared" si="0"/>
        <v>40000</v>
      </c>
      <c r="V9" s="20">
        <f t="shared" si="0"/>
        <v>40000</v>
      </c>
      <c r="W9" s="20">
        <f t="shared" si="0"/>
        <v>40000</v>
      </c>
      <c r="X9" s="20"/>
      <c r="Y9" s="20"/>
      <c r="Z9" s="20"/>
      <c r="AA9" s="20">
        <f>(20000)*2</f>
        <v>40000</v>
      </c>
      <c r="AB9" s="20">
        <f t="shared" ref="AB9:AI9" si="1">(20000)*2</f>
        <v>40000</v>
      </c>
      <c r="AC9" s="20">
        <f t="shared" si="1"/>
        <v>40000</v>
      </c>
      <c r="AD9" s="20">
        <f t="shared" si="1"/>
        <v>40000</v>
      </c>
      <c r="AE9" s="20">
        <f t="shared" si="1"/>
        <v>40000</v>
      </c>
      <c r="AF9" s="20">
        <f t="shared" si="1"/>
        <v>40000</v>
      </c>
      <c r="AG9" s="20">
        <f t="shared" si="1"/>
        <v>40000</v>
      </c>
      <c r="AH9" s="20">
        <f t="shared" si="1"/>
        <v>40000</v>
      </c>
      <c r="AI9" s="20">
        <f t="shared" si="1"/>
        <v>40000</v>
      </c>
      <c r="AJ9" s="20"/>
      <c r="AK9" s="20"/>
      <c r="AL9" s="20"/>
      <c r="AM9" s="20">
        <f>(20000)*2</f>
        <v>40000</v>
      </c>
      <c r="AN9" s="102">
        <f>(20000)*2</f>
        <v>40000</v>
      </c>
    </row>
    <row r="10" spans="1:42" x14ac:dyDescent="0.2">
      <c r="B10" s="114"/>
      <c r="C10" s="17" t="s">
        <v>58</v>
      </c>
      <c r="D10" s="24">
        <v>-20000</v>
      </c>
      <c r="E10" s="20">
        <v>-20000</v>
      </c>
      <c r="F10" s="20"/>
      <c r="G10" s="20">
        <v>-20000</v>
      </c>
      <c r="H10" s="20"/>
      <c r="I10" s="20">
        <v>-20000</v>
      </c>
      <c r="J10" s="20"/>
      <c r="K10" s="20">
        <v>-20000</v>
      </c>
      <c r="L10" s="20">
        <v>-20000</v>
      </c>
      <c r="M10" s="20">
        <v>-20000</v>
      </c>
      <c r="N10" s="20"/>
      <c r="O10" s="20"/>
      <c r="P10" s="20">
        <v>-20000</v>
      </c>
      <c r="Q10" s="20"/>
      <c r="R10" s="20"/>
      <c r="S10" s="20"/>
      <c r="T10" s="20">
        <v>-20000</v>
      </c>
      <c r="U10" s="20"/>
      <c r="V10" s="20"/>
      <c r="W10" s="20"/>
      <c r="X10" s="20">
        <v>-20000</v>
      </c>
      <c r="Y10" s="20">
        <v>-20000</v>
      </c>
      <c r="Z10" s="20"/>
      <c r="AA10" s="20"/>
      <c r="AB10" s="20">
        <v>-20000</v>
      </c>
      <c r="AC10" s="20"/>
      <c r="AD10" s="20"/>
      <c r="AE10" s="20"/>
      <c r="AF10" s="20">
        <v>-20000</v>
      </c>
      <c r="AG10" s="20"/>
      <c r="AH10" s="20"/>
      <c r="AI10" s="20"/>
      <c r="AJ10" s="20">
        <v>-20000</v>
      </c>
      <c r="AK10" s="20">
        <v>-20000</v>
      </c>
      <c r="AL10" s="20"/>
      <c r="AM10" s="20"/>
      <c r="AN10" s="12">
        <v>-20000</v>
      </c>
    </row>
    <row r="11" spans="1:42" x14ac:dyDescent="0.2">
      <c r="B11" s="114"/>
      <c r="C11" s="17" t="s">
        <v>32</v>
      </c>
      <c r="D11" s="24"/>
      <c r="E11" s="20">
        <f>'Tablas optimista'!$C$34</f>
        <v>11071.022727272728</v>
      </c>
      <c r="F11" s="20">
        <f>'Tablas optimista'!$C$34</f>
        <v>11071.022727272728</v>
      </c>
      <c r="G11" s="20">
        <f>'Tablas optimista'!$C$34</f>
        <v>11071.022727272728</v>
      </c>
      <c r="H11" s="20">
        <f>'Tablas optimista'!$C$34</f>
        <v>11071.022727272728</v>
      </c>
      <c r="I11" s="20">
        <f>'Tablas optimista'!$C$34</f>
        <v>11071.022727272728</v>
      </c>
      <c r="J11" s="20">
        <f>'Tablas optimista'!$C$34</f>
        <v>11071.022727272728</v>
      </c>
      <c r="K11" s="20">
        <f>'Tablas optimista'!$C$34</f>
        <v>11071.022727272728</v>
      </c>
      <c r="L11" s="20">
        <f>'Tablas optimista'!$C$34</f>
        <v>11071.022727272728</v>
      </c>
      <c r="M11" s="20">
        <f>'Tablas optimista'!$C$34</f>
        <v>11071.022727272728</v>
      </c>
      <c r="N11" s="20">
        <f>'Tablas optimista'!$C$34</f>
        <v>11071.022727272728</v>
      </c>
      <c r="O11" s="20">
        <f>'Tablas optimista'!$C$34</f>
        <v>11071.022727272728</v>
      </c>
      <c r="P11" s="20">
        <f>'Tablas optimista'!$C$34</f>
        <v>11071.022727272728</v>
      </c>
      <c r="Q11" s="20">
        <f>'Tablas optimista'!$C$34</f>
        <v>11071.022727272728</v>
      </c>
      <c r="R11" s="20">
        <f>'Tablas optimista'!$C$34</f>
        <v>11071.022727272728</v>
      </c>
      <c r="S11" s="20">
        <f>'Tablas optimista'!$C$34</f>
        <v>11071.022727272728</v>
      </c>
      <c r="T11" s="20">
        <f>'Tablas optimista'!$C$34</f>
        <v>11071.022727272728</v>
      </c>
      <c r="U11" s="20">
        <f>'Tablas optimista'!$C$34</f>
        <v>11071.022727272728</v>
      </c>
      <c r="V11" s="20">
        <f>'Tablas optimista'!$C$34</f>
        <v>11071.022727272728</v>
      </c>
      <c r="W11" s="20">
        <f>'Tablas optimista'!$C$34</f>
        <v>11071.022727272728</v>
      </c>
      <c r="X11" s="20">
        <f>'Tablas optimista'!$C$34</f>
        <v>11071.022727272728</v>
      </c>
      <c r="Y11" s="20">
        <f>'Tablas optimista'!$C$34</f>
        <v>11071.022727272728</v>
      </c>
      <c r="Z11" s="20">
        <f>'Tablas optimista'!$C$34</f>
        <v>11071.022727272728</v>
      </c>
      <c r="AA11" s="20">
        <f>'Tablas optimista'!$C$34</f>
        <v>11071.022727272728</v>
      </c>
      <c r="AB11" s="20">
        <f>'Tablas optimista'!$C$34</f>
        <v>11071.022727272728</v>
      </c>
      <c r="AC11" s="20">
        <f>'Tablas optimista'!$C$34</f>
        <v>11071.022727272728</v>
      </c>
      <c r="AD11" s="20">
        <f>'Tablas optimista'!$C$34</f>
        <v>11071.022727272728</v>
      </c>
      <c r="AE11" s="20">
        <f>'Tablas optimista'!$C$34</f>
        <v>11071.022727272728</v>
      </c>
      <c r="AF11" s="20">
        <f>'Tablas optimista'!$C$34</f>
        <v>11071.022727272728</v>
      </c>
      <c r="AG11" s="20">
        <f>'Tablas optimista'!$C$34</f>
        <v>11071.022727272728</v>
      </c>
      <c r="AH11" s="20">
        <f>'Tablas optimista'!$C$34</f>
        <v>11071.022727272728</v>
      </c>
      <c r="AI11" s="20">
        <f>'Tablas optimista'!$C$34</f>
        <v>11071.022727272728</v>
      </c>
      <c r="AJ11" s="20">
        <f>'Tablas optimista'!$C$34</f>
        <v>11071.022727272728</v>
      </c>
      <c r="AK11" s="20">
        <f>'Tablas optimista'!$C$34</f>
        <v>11071.022727272728</v>
      </c>
      <c r="AL11" s="20">
        <f>'Tablas optimista'!$C$34</f>
        <v>11071.022727272728</v>
      </c>
      <c r="AM11" s="20">
        <f>'Tablas optimista'!$C$34</f>
        <v>11071.022727272728</v>
      </c>
      <c r="AN11" s="12">
        <f>'Tablas optimista'!$C$34</f>
        <v>11071.022727272728</v>
      </c>
    </row>
    <row r="12" spans="1:42" x14ac:dyDescent="0.2">
      <c r="B12" s="114"/>
      <c r="C12" s="17" t="s">
        <v>33</v>
      </c>
      <c r="D12" s="24"/>
      <c r="E12" s="20" cm="1">
        <f t="array" ref="E12:L12">TRANSPOSE(Tabla17[Costo 2 cadenas])</f>
        <v>-30000</v>
      </c>
      <c r="F12" s="20">
        <v>0</v>
      </c>
      <c r="G12" s="20">
        <v>-5000</v>
      </c>
      <c r="H12" s="20">
        <v>0</v>
      </c>
      <c r="I12" s="20">
        <v>-5000</v>
      </c>
      <c r="J12" s="20">
        <v>0</v>
      </c>
      <c r="K12" s="20">
        <v>-5000</v>
      </c>
      <c r="L12" s="20">
        <v>-50000</v>
      </c>
      <c r="M12" s="20"/>
      <c r="N12" s="20"/>
      <c r="O12" s="20"/>
      <c r="P12" s="20">
        <v>-5000</v>
      </c>
      <c r="Q12" s="20"/>
      <c r="R12" s="20"/>
      <c r="S12" s="20"/>
      <c r="T12" s="20">
        <v>-5000</v>
      </c>
      <c r="U12" s="20"/>
      <c r="V12" s="20"/>
      <c r="W12" s="20"/>
      <c r="X12" s="20">
        <v>-50000</v>
      </c>
      <c r="Y12" s="20"/>
      <c r="Z12" s="20"/>
      <c r="AA12" s="20"/>
      <c r="AB12" s="20">
        <v>-5000</v>
      </c>
      <c r="AC12" s="20"/>
      <c r="AD12" s="20"/>
      <c r="AE12" s="20"/>
      <c r="AF12" s="20">
        <v>-5000</v>
      </c>
      <c r="AG12" s="20"/>
      <c r="AH12" s="20"/>
      <c r="AI12" s="20"/>
      <c r="AJ12" s="20">
        <v>-50000</v>
      </c>
      <c r="AK12" s="20"/>
      <c r="AL12" s="20"/>
      <c r="AM12" s="20"/>
      <c r="AN12" s="12">
        <v>-5000</v>
      </c>
      <c r="AP12" t="s">
        <v>64</v>
      </c>
    </row>
    <row r="13" spans="1:42" ht="17" thickBot="1" x14ac:dyDescent="0.25">
      <c r="B13" s="114"/>
      <c r="C13" s="17" t="s">
        <v>34</v>
      </c>
      <c r="D13" s="77">
        <v>-1168500</v>
      </c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78"/>
      <c r="AN13" s="13"/>
    </row>
    <row r="14" spans="1:42" ht="17" thickBot="1" x14ac:dyDescent="0.25">
      <c r="B14" s="114"/>
      <c r="C14" s="18" t="s">
        <v>37</v>
      </c>
      <c r="D14" s="25">
        <f>SUM(D8:D13)</f>
        <v>-1188500</v>
      </c>
      <c r="E14" s="25">
        <f>SUM(E8:E13)</f>
        <v>2775084.2443225724</v>
      </c>
      <c r="F14" s="25">
        <f t="shared" ref="F14:AN14" si="2">SUM(F8:F13)</f>
        <v>2465084.2443225724</v>
      </c>
      <c r="G14" s="25">
        <f t="shared" si="2"/>
        <v>2560084.2443225724</v>
      </c>
      <c r="H14" s="25">
        <f t="shared" si="2"/>
        <v>2585084.2443225724</v>
      </c>
      <c r="I14" s="25">
        <f t="shared" si="2"/>
        <v>2360084.2443225724</v>
      </c>
      <c r="J14" s="25">
        <f t="shared" si="2"/>
        <v>2505084.2443225724</v>
      </c>
      <c r="K14" s="25">
        <f t="shared" si="2"/>
        <v>2160084.2443225724</v>
      </c>
      <c r="L14" s="25">
        <f t="shared" si="2"/>
        <v>2115084.2443225724</v>
      </c>
      <c r="M14" s="25">
        <f t="shared" si="2"/>
        <v>2165084.2443225724</v>
      </c>
      <c r="N14" s="25">
        <f t="shared" si="2"/>
        <v>2185084.2443225724</v>
      </c>
      <c r="O14" s="25">
        <f t="shared" si="2"/>
        <v>2225084.2443225724</v>
      </c>
      <c r="P14" s="25">
        <f t="shared" si="2"/>
        <v>2200084.2443225724</v>
      </c>
      <c r="Q14" s="25">
        <f t="shared" si="2"/>
        <v>2225084.2443225724</v>
      </c>
      <c r="R14" s="25">
        <f t="shared" si="2"/>
        <v>2225084.2443225724</v>
      </c>
      <c r="S14" s="25">
        <f t="shared" si="2"/>
        <v>2225084.2443225724</v>
      </c>
      <c r="T14" s="25">
        <f t="shared" si="2"/>
        <v>2200084.2443225724</v>
      </c>
      <c r="U14" s="25">
        <f t="shared" si="2"/>
        <v>2225084.2443225724</v>
      </c>
      <c r="V14" s="25">
        <f t="shared" si="2"/>
        <v>2225084.2443225724</v>
      </c>
      <c r="W14" s="25">
        <f t="shared" si="2"/>
        <v>2225084.2443225724</v>
      </c>
      <c r="X14" s="25">
        <f t="shared" si="2"/>
        <v>2115084.2443225724</v>
      </c>
      <c r="Y14" s="25">
        <f t="shared" si="2"/>
        <v>2165084.2443225724</v>
      </c>
      <c r="Z14" s="25">
        <f t="shared" si="2"/>
        <v>2185084.2443225724</v>
      </c>
      <c r="AA14" s="25">
        <f t="shared" si="2"/>
        <v>2225084.2443225724</v>
      </c>
      <c r="AB14" s="25">
        <f t="shared" si="2"/>
        <v>2200084.2443225724</v>
      </c>
      <c r="AC14" s="25">
        <f t="shared" si="2"/>
        <v>2225084.2443225724</v>
      </c>
      <c r="AD14" s="25">
        <f t="shared" si="2"/>
        <v>2225084.2443225724</v>
      </c>
      <c r="AE14" s="25">
        <f t="shared" si="2"/>
        <v>2225084.2443225724</v>
      </c>
      <c r="AF14" s="25">
        <f t="shared" si="2"/>
        <v>2200084.2443225724</v>
      </c>
      <c r="AG14" s="25">
        <f t="shared" si="2"/>
        <v>2225084.2443225724</v>
      </c>
      <c r="AH14" s="25">
        <f t="shared" si="2"/>
        <v>2225084.2443225724</v>
      </c>
      <c r="AI14" s="25">
        <f t="shared" si="2"/>
        <v>2225084.2443225724</v>
      </c>
      <c r="AJ14" s="25">
        <f t="shared" si="2"/>
        <v>2115084.2443225724</v>
      </c>
      <c r="AK14" s="25">
        <f t="shared" si="2"/>
        <v>2165084.2443225724</v>
      </c>
      <c r="AL14" s="25">
        <f t="shared" si="2"/>
        <v>2185084.2443225724</v>
      </c>
      <c r="AM14" s="25">
        <f t="shared" si="2"/>
        <v>2225084.2443225724</v>
      </c>
      <c r="AN14" s="25">
        <f t="shared" si="2"/>
        <v>2200084.2443225724</v>
      </c>
    </row>
    <row r="15" spans="1:42" ht="17" thickBot="1" x14ac:dyDescent="0.25">
      <c r="B15" s="114"/>
      <c r="C15" s="8" t="s">
        <v>38</v>
      </c>
      <c r="D15" s="44">
        <f>NPV($B$4,E14:AN14)+D14</f>
        <v>62694449.931102589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2" ht="17" thickBot="1" x14ac:dyDescent="0.25">
      <c r="B16" s="114"/>
      <c r="C16" s="8" t="s">
        <v>47</v>
      </c>
      <c r="D16" s="54">
        <f>IRR(D14:AN14)</f>
        <v>2.2615047876558028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2:28" ht="17" thickBot="1" x14ac:dyDescent="0.25">
      <c r="B17" s="115"/>
      <c r="C17" s="8" t="s">
        <v>48</v>
      </c>
      <c r="D17" s="44" t="s">
        <v>50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2:28" x14ac:dyDescent="0.2">
      <c r="D18" s="1">
        <f>D14</f>
        <v>-1188500</v>
      </c>
      <c r="E18" s="48">
        <f>D18+E14</f>
        <v>1586584.2443225724</v>
      </c>
      <c r="F18" s="1">
        <f>E18+F14</f>
        <v>4051668.4886451447</v>
      </c>
      <c r="G18" s="49">
        <f>F18+G14</f>
        <v>6611752.7329677176</v>
      </c>
      <c r="H18" s="1"/>
      <c r="I18" s="1"/>
      <c r="J18" s="1"/>
      <c r="K18" s="1"/>
      <c r="L18" s="1"/>
      <c r="M18" s="1"/>
      <c r="N18" s="1"/>
      <c r="O18" s="1"/>
      <c r="P18" s="1"/>
    </row>
    <row r="19" spans="2:28" ht="17" customHeight="1" thickBot="1" x14ac:dyDescent="0.25"/>
    <row r="20" spans="2:28" ht="17" customHeight="1" thickBot="1" x14ac:dyDescent="0.25">
      <c r="B20" s="113" t="s">
        <v>53</v>
      </c>
      <c r="C20" s="31"/>
      <c r="D20" s="32">
        <v>0</v>
      </c>
      <c r="E20" s="33">
        <v>1</v>
      </c>
      <c r="F20" s="33">
        <v>2</v>
      </c>
      <c r="G20" s="33">
        <v>3</v>
      </c>
    </row>
    <row r="21" spans="2:28" ht="17" customHeight="1" x14ac:dyDescent="0.2">
      <c r="B21" s="114"/>
      <c r="C21" s="17" t="s">
        <v>95</v>
      </c>
      <c r="D21" s="35"/>
      <c r="E21" s="38">
        <f t="shared" ref="E21:E26" si="3">SUM(E8:P8)</f>
        <v>26088158.659143586</v>
      </c>
      <c r="F21" s="38">
        <f t="shared" ref="F21:F26" si="4">SUM(Q8:AB8)</f>
        <v>26088158.659143586</v>
      </c>
      <c r="G21" s="38">
        <f t="shared" ref="G21:G26" si="5">SUM(AC8:AN8)</f>
        <v>26088158.659143586</v>
      </c>
    </row>
    <row r="22" spans="2:28" x14ac:dyDescent="0.2">
      <c r="B22" s="114"/>
      <c r="C22" s="34" t="s">
        <v>31</v>
      </c>
      <c r="D22" s="37"/>
      <c r="E22" s="38">
        <f t="shared" si="3"/>
        <v>2320000</v>
      </c>
      <c r="F22" s="38">
        <f t="shared" si="4"/>
        <v>360000</v>
      </c>
      <c r="G22" s="38">
        <f t="shared" si="5"/>
        <v>360000</v>
      </c>
    </row>
    <row r="23" spans="2:28" x14ac:dyDescent="0.2">
      <c r="B23" s="114"/>
      <c r="C23" s="17" t="s">
        <v>58</v>
      </c>
      <c r="D23" s="37">
        <f>D10</f>
        <v>-20000</v>
      </c>
      <c r="E23" s="38">
        <f t="shared" si="3"/>
        <v>-140000</v>
      </c>
      <c r="F23" s="38">
        <f t="shared" si="4"/>
        <v>-80000</v>
      </c>
      <c r="G23" s="38">
        <f t="shared" si="5"/>
        <v>-80000</v>
      </c>
    </row>
    <row r="24" spans="2:28" x14ac:dyDescent="0.2">
      <c r="B24" s="114"/>
      <c r="C24" s="34" t="s">
        <v>32</v>
      </c>
      <c r="D24" s="37"/>
      <c r="E24" s="38">
        <f t="shared" si="3"/>
        <v>132852.27272727276</v>
      </c>
      <c r="F24" s="38">
        <f t="shared" si="4"/>
        <v>132852.27272727276</v>
      </c>
      <c r="G24" s="38">
        <f t="shared" si="5"/>
        <v>132852.27272727276</v>
      </c>
    </row>
    <row r="25" spans="2:28" x14ac:dyDescent="0.2">
      <c r="B25" s="114"/>
      <c r="C25" s="34" t="s">
        <v>33</v>
      </c>
      <c r="D25" s="37"/>
      <c r="E25" s="38">
        <f t="shared" si="3"/>
        <v>-100000</v>
      </c>
      <c r="F25" s="38">
        <f t="shared" si="4"/>
        <v>-60000</v>
      </c>
      <c r="G25" s="38">
        <f t="shared" si="5"/>
        <v>-60000</v>
      </c>
    </row>
    <row r="26" spans="2:28" ht="17" thickBot="1" x14ac:dyDescent="0.25">
      <c r="B26" s="114"/>
      <c r="C26" s="34" t="s">
        <v>34</v>
      </c>
      <c r="D26" s="37">
        <f>D13</f>
        <v>-1168500</v>
      </c>
      <c r="E26" s="38">
        <f t="shared" si="3"/>
        <v>0</v>
      </c>
      <c r="F26" s="38">
        <f t="shared" si="4"/>
        <v>0</v>
      </c>
      <c r="G26" s="38">
        <f t="shared" si="5"/>
        <v>0</v>
      </c>
    </row>
    <row r="27" spans="2:28" ht="17" thickBot="1" x14ac:dyDescent="0.25">
      <c r="B27" s="114"/>
      <c r="C27" s="39" t="s">
        <v>37</v>
      </c>
      <c r="D27" s="41">
        <f t="shared" ref="D27:G27" si="6">SUM(D21:D26)</f>
        <v>-1188500</v>
      </c>
      <c r="E27" s="41">
        <f>SUM(E21:E26)</f>
        <v>28301010.931870859</v>
      </c>
      <c r="F27" s="41">
        <f t="shared" si="6"/>
        <v>26441010.931870859</v>
      </c>
      <c r="G27" s="41">
        <f t="shared" si="6"/>
        <v>26441010.931870859</v>
      </c>
    </row>
    <row r="28" spans="2:28" ht="17" thickBot="1" x14ac:dyDescent="0.25">
      <c r="B28" s="114"/>
      <c r="C28" s="42" t="s">
        <v>38</v>
      </c>
      <c r="D28" s="46">
        <f>NPV(B3,E27:G27)+D27</f>
        <v>57682113.905301481</v>
      </c>
      <c r="E28" s="43"/>
      <c r="F28" s="43"/>
      <c r="G28" s="43"/>
    </row>
    <row r="29" spans="2:28" ht="17" thickBot="1" x14ac:dyDescent="0.25">
      <c r="B29" s="114"/>
      <c r="C29" s="8" t="s">
        <v>93</v>
      </c>
      <c r="D29" s="54">
        <f>IRR(D27:G27)</f>
        <v>23.747671712362926</v>
      </c>
    </row>
    <row r="30" spans="2:28" ht="17" thickBot="1" x14ac:dyDescent="0.25">
      <c r="B30" s="115"/>
      <c r="C30" s="8" t="s">
        <v>48</v>
      </c>
      <c r="D30" s="44" t="s">
        <v>44</v>
      </c>
    </row>
    <row r="31" spans="2:28" x14ac:dyDescent="0.2">
      <c r="D31" s="1">
        <f>D27</f>
        <v>-1188500</v>
      </c>
      <c r="E31" s="48">
        <f>D31+E27</f>
        <v>27112510.931870859</v>
      </c>
      <c r="F31" s="1">
        <f>E31+F27</f>
        <v>53553521.863741718</v>
      </c>
      <c r="G31" s="1">
        <f>F31+G27</f>
        <v>79994532.795612574</v>
      </c>
    </row>
    <row r="33" spans="2:42" ht="17" customHeight="1" x14ac:dyDescent="0.2"/>
    <row r="34" spans="2:42" ht="17" thickBot="1" x14ac:dyDescent="0.25">
      <c r="E34" s="120" t="s">
        <v>44</v>
      </c>
      <c r="F34" s="120"/>
      <c r="G34" s="120"/>
      <c r="H34" s="120"/>
      <c r="I34" s="120"/>
      <c r="J34" s="120"/>
      <c r="K34" s="120"/>
      <c r="L34" s="120"/>
      <c r="M34" s="120"/>
      <c r="N34" s="120"/>
      <c r="O34" s="120"/>
      <c r="P34" s="120"/>
      <c r="Q34" s="119" t="s">
        <v>45</v>
      </c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20" t="s">
        <v>46</v>
      </c>
      <c r="AD34" s="120"/>
      <c r="AE34" s="120"/>
      <c r="AF34" s="120"/>
      <c r="AG34" s="120"/>
      <c r="AH34" s="120"/>
      <c r="AI34" s="120"/>
      <c r="AJ34" s="120"/>
      <c r="AK34" s="120"/>
      <c r="AL34" s="120"/>
      <c r="AM34" s="120"/>
      <c r="AN34" s="120"/>
    </row>
    <row r="35" spans="2:42" ht="17" customHeight="1" thickBot="1" x14ac:dyDescent="0.25">
      <c r="B35" s="113" t="s">
        <v>54</v>
      </c>
      <c r="C35" s="16"/>
      <c r="D35" s="21">
        <v>45748</v>
      </c>
      <c r="E35" s="9">
        <v>45778</v>
      </c>
      <c r="F35" s="9">
        <v>45809</v>
      </c>
      <c r="G35" s="9">
        <v>45839</v>
      </c>
      <c r="H35" s="9">
        <v>45870</v>
      </c>
      <c r="I35" s="9">
        <v>45901</v>
      </c>
      <c r="J35" s="9">
        <v>45931</v>
      </c>
      <c r="K35" s="9">
        <v>45962</v>
      </c>
      <c r="L35" s="9">
        <v>45992</v>
      </c>
      <c r="M35" s="9">
        <v>46023</v>
      </c>
      <c r="N35" s="9">
        <v>46054</v>
      </c>
      <c r="O35" s="9">
        <v>46082</v>
      </c>
      <c r="P35" s="9">
        <v>46113</v>
      </c>
      <c r="Q35" s="9">
        <v>46143</v>
      </c>
      <c r="R35" s="9">
        <v>46174</v>
      </c>
      <c r="S35" s="9">
        <v>46204</v>
      </c>
      <c r="T35" s="9">
        <v>46235</v>
      </c>
      <c r="U35" s="9">
        <v>46266</v>
      </c>
      <c r="V35" s="9">
        <v>46296</v>
      </c>
      <c r="W35" s="9">
        <v>46327</v>
      </c>
      <c r="X35" s="9">
        <v>46357</v>
      </c>
      <c r="Y35" s="9">
        <v>46388</v>
      </c>
      <c r="Z35" s="9">
        <v>46419</v>
      </c>
      <c r="AA35" s="9">
        <v>46447</v>
      </c>
      <c r="AB35" s="9">
        <v>46478</v>
      </c>
      <c r="AC35" s="9">
        <v>46508</v>
      </c>
      <c r="AD35" s="9">
        <v>46539</v>
      </c>
      <c r="AE35" s="9">
        <v>46569</v>
      </c>
      <c r="AF35" s="9">
        <v>46600</v>
      </c>
      <c r="AG35" s="9">
        <v>46631</v>
      </c>
      <c r="AH35" s="9">
        <v>46661</v>
      </c>
      <c r="AI35" s="9">
        <v>46692</v>
      </c>
      <c r="AJ35" s="9">
        <v>46722</v>
      </c>
      <c r="AK35" s="9">
        <v>46753</v>
      </c>
      <c r="AL35" s="9">
        <v>46784</v>
      </c>
      <c r="AM35" s="9">
        <v>46813</v>
      </c>
      <c r="AN35" s="10">
        <v>46844</v>
      </c>
    </row>
    <row r="36" spans="2:42" ht="17" customHeight="1" x14ac:dyDescent="0.2">
      <c r="B36" s="114"/>
      <c r="C36" s="17" t="s">
        <v>95</v>
      </c>
      <c r="D36" s="22"/>
      <c r="E36" s="19">
        <f>SUM('Tablas optimista'!$D$38+'Tablas optimista'!$D$39+'Tablas optimista'!$D$40+'Tablas optimista'!$D$41+'Tablas optimista'!$D$42)</f>
        <v>12705137.660732932</v>
      </c>
      <c r="F36" s="19">
        <f>SUM('Tablas optimista'!$D$38+'Tablas optimista'!$D$39+'Tablas optimista'!$D$40+'Tablas optimista'!$D$41+'Tablas optimista'!$D$42)</f>
        <v>12705137.660732932</v>
      </c>
      <c r="G36" s="19">
        <f>SUM('Tablas optimista'!$D$38+'Tablas optimista'!$D$39+'Tablas optimista'!$D$40+'Tablas optimista'!$D$41+'Tablas optimista'!$D$42)</f>
        <v>12705137.660732932</v>
      </c>
      <c r="H36" s="19">
        <f>SUM('Tablas optimista'!$D$38+'Tablas optimista'!$D$39+'Tablas optimista'!$D$40+'Tablas optimista'!$D$41+'Tablas optimista'!$D$42)</f>
        <v>12705137.660732932</v>
      </c>
      <c r="I36" s="19">
        <f>SUM('Tablas optimista'!$D$38+'Tablas optimista'!$D$39+'Tablas optimista'!$D$40+'Tablas optimista'!$D$41+'Tablas optimista'!$D$42)</f>
        <v>12705137.660732932</v>
      </c>
      <c r="J36" s="19">
        <f>SUM('Tablas optimista'!$D$38+'Tablas optimista'!$D$39+'Tablas optimista'!$D$40+'Tablas optimista'!$D$41+'Tablas optimista'!$D$42)</f>
        <v>12705137.660732932</v>
      </c>
      <c r="K36" s="19">
        <f>SUM('Tablas optimista'!$D$38+'Tablas optimista'!$D$39+'Tablas optimista'!$D$40+'Tablas optimista'!$D$41+'Tablas optimista'!$D$42)</f>
        <v>12705137.660732932</v>
      </c>
      <c r="L36" s="19">
        <f>SUM('Tablas optimista'!$D$38+'Tablas optimista'!$D$39+'Tablas optimista'!$D$40+'Tablas optimista'!$D$41+'Tablas optimista'!$D$42)</f>
        <v>12705137.660732932</v>
      </c>
      <c r="M36" s="19">
        <f>SUM('Tablas optimista'!$D$38+'Tablas optimista'!$D$39+'Tablas optimista'!$D$40+'Tablas optimista'!$D$41+'Tablas optimista'!$D$42)</f>
        <v>12705137.660732932</v>
      </c>
      <c r="N36" s="19">
        <f>SUM('Tablas optimista'!$D$38+'Tablas optimista'!$D$39+'Tablas optimista'!$D$40+'Tablas optimista'!$D$41+'Tablas optimista'!$D$42)</f>
        <v>12705137.660732932</v>
      </c>
      <c r="O36" s="19">
        <f>SUM('Tablas optimista'!$D$38+'Tablas optimista'!$D$39+'Tablas optimista'!$D$40+'Tablas optimista'!$D$41+'Tablas optimista'!$D$42)</f>
        <v>12705137.660732932</v>
      </c>
      <c r="P36" s="19">
        <f>SUM('Tablas optimista'!$D$38+'Tablas optimista'!$D$39+'Tablas optimista'!$D$40+'Tablas optimista'!$D$41+'Tablas optimista'!$D$42)</f>
        <v>12705137.660732932</v>
      </c>
      <c r="Q36" s="19">
        <f>SUM('Tablas optimista'!$D$38+'Tablas optimista'!$D$39+'Tablas optimista'!$D$40+'Tablas optimista'!$D$41+'Tablas optimista'!$D$42)</f>
        <v>12705137.660732932</v>
      </c>
      <c r="R36" s="19">
        <f>SUM('Tablas optimista'!$D$38+'Tablas optimista'!$D$39+'Tablas optimista'!$D$40+'Tablas optimista'!$D$41+'Tablas optimista'!$D$42)</f>
        <v>12705137.660732932</v>
      </c>
      <c r="S36" s="19">
        <f>SUM('Tablas optimista'!$D$38+'Tablas optimista'!$D$39+'Tablas optimista'!$D$40+'Tablas optimista'!$D$41+'Tablas optimista'!$D$42)</f>
        <v>12705137.660732932</v>
      </c>
      <c r="T36" s="19">
        <f>SUM('Tablas optimista'!$D$38+'Tablas optimista'!$D$39+'Tablas optimista'!$D$40+'Tablas optimista'!$D$41+'Tablas optimista'!$D$42)</f>
        <v>12705137.660732932</v>
      </c>
      <c r="U36" s="19">
        <f>SUM('Tablas optimista'!$D$38+'Tablas optimista'!$D$39+'Tablas optimista'!$D$40+'Tablas optimista'!$D$41+'Tablas optimista'!$D$42)</f>
        <v>12705137.660732932</v>
      </c>
      <c r="V36" s="19">
        <f>SUM('Tablas optimista'!$D$38+'Tablas optimista'!$D$39+'Tablas optimista'!$D$40+'Tablas optimista'!$D$41+'Tablas optimista'!$D$42)</f>
        <v>12705137.660732932</v>
      </c>
      <c r="W36" s="19">
        <f>SUM('Tablas optimista'!$D$38+'Tablas optimista'!$D$39+'Tablas optimista'!$D$40+'Tablas optimista'!$D$41+'Tablas optimista'!$D$42)</f>
        <v>12705137.660732932</v>
      </c>
      <c r="X36" s="19">
        <f>SUM('Tablas optimista'!$D$38+'Tablas optimista'!$D$39+'Tablas optimista'!$D$40+'Tablas optimista'!$D$41+'Tablas optimista'!$D$42)</f>
        <v>12705137.660732932</v>
      </c>
      <c r="Y36" s="19">
        <f>SUM('Tablas optimista'!$D$38+'Tablas optimista'!$D$39+'Tablas optimista'!$D$40+'Tablas optimista'!$D$41+'Tablas optimista'!$D$42)</f>
        <v>12705137.660732932</v>
      </c>
      <c r="Z36" s="19">
        <f>SUM('Tablas optimista'!$D$38+'Tablas optimista'!$D$39+'Tablas optimista'!$D$40+'Tablas optimista'!$D$41+'Tablas optimista'!$D$42)</f>
        <v>12705137.660732932</v>
      </c>
      <c r="AA36" s="19">
        <f>SUM('Tablas optimista'!$D$38+'Tablas optimista'!$D$39+'Tablas optimista'!$D$40+'Tablas optimista'!$D$41+'Tablas optimista'!$D$42)</f>
        <v>12705137.660732932</v>
      </c>
      <c r="AB36" s="19">
        <f>SUM('Tablas optimista'!$D$38+'Tablas optimista'!$D$39+'Tablas optimista'!$D$40+'Tablas optimista'!$D$41+'Tablas optimista'!$D$42)</f>
        <v>12705137.660732932</v>
      </c>
      <c r="AC36" s="19">
        <f>SUM('Tablas optimista'!$D$38+'Tablas optimista'!$D$39+'Tablas optimista'!$D$40+'Tablas optimista'!$D$41+'Tablas optimista'!$D$42)</f>
        <v>12705137.660732932</v>
      </c>
      <c r="AD36" s="19">
        <f>SUM('Tablas optimista'!$D$38+'Tablas optimista'!$D$39+'Tablas optimista'!$D$40+'Tablas optimista'!$D$41+'Tablas optimista'!$D$42)</f>
        <v>12705137.660732932</v>
      </c>
      <c r="AE36" s="19">
        <f>SUM('Tablas optimista'!$D$38+'Tablas optimista'!$D$39+'Tablas optimista'!$D$40+'Tablas optimista'!$D$41+'Tablas optimista'!$D$42)</f>
        <v>12705137.660732932</v>
      </c>
      <c r="AF36" s="19">
        <f>SUM('Tablas optimista'!$D$38+'Tablas optimista'!$D$39+'Tablas optimista'!$D$40+'Tablas optimista'!$D$41+'Tablas optimista'!$D$42)</f>
        <v>12705137.660732932</v>
      </c>
      <c r="AG36" s="19">
        <f>SUM('Tablas optimista'!$D$38+'Tablas optimista'!$D$39+'Tablas optimista'!$D$40+'Tablas optimista'!$D$41+'Tablas optimista'!$D$42)</f>
        <v>12705137.660732932</v>
      </c>
      <c r="AH36" s="19">
        <f>SUM('Tablas optimista'!$D$38+'Tablas optimista'!$D$39+'Tablas optimista'!$D$40+'Tablas optimista'!$D$41+'Tablas optimista'!$D$42)</f>
        <v>12705137.660732932</v>
      </c>
      <c r="AI36" s="19">
        <f>SUM('Tablas optimista'!$D$38+'Tablas optimista'!$D$39+'Tablas optimista'!$D$40+'Tablas optimista'!$D$41+'Tablas optimista'!$D$42)</f>
        <v>12705137.660732932</v>
      </c>
      <c r="AJ36" s="19">
        <f>SUM('Tablas optimista'!$D$38+'Tablas optimista'!$D$39+'Tablas optimista'!$D$40+'Tablas optimista'!$D$41+'Tablas optimista'!$D$42)</f>
        <v>12705137.660732932</v>
      </c>
      <c r="AK36" s="19">
        <f>SUM('Tablas optimista'!$D$38+'Tablas optimista'!$D$39+'Tablas optimista'!$D$40+'Tablas optimista'!$D$41+'Tablas optimista'!$D$42)</f>
        <v>12705137.660732932</v>
      </c>
      <c r="AL36" s="19">
        <f>SUM('Tablas optimista'!$D$38+'Tablas optimista'!$D$39+'Tablas optimista'!$D$40+'Tablas optimista'!$D$41+'Tablas optimista'!$D$42)</f>
        <v>12705137.660732932</v>
      </c>
      <c r="AM36" s="19">
        <f>SUM('Tablas optimista'!$D$38+'Tablas optimista'!$D$39+'Tablas optimista'!$D$40+'Tablas optimista'!$D$41+'Tablas optimista'!$D$42)</f>
        <v>12705137.660732932</v>
      </c>
      <c r="AN36" s="19">
        <f>SUM('Tablas optimista'!$D$38+'Tablas optimista'!$D$39+'Tablas optimista'!$D$40+'Tablas optimista'!$D$41+'Tablas optimista'!$D$42)</f>
        <v>12705137.660732932</v>
      </c>
    </row>
    <row r="37" spans="2:42" x14ac:dyDescent="0.2">
      <c r="B37" s="114"/>
      <c r="C37" s="17" t="s">
        <v>31</v>
      </c>
      <c r="D37" s="24"/>
      <c r="E37" s="20" cm="1">
        <f t="array" ref="E37:J37">TRANSPOSE(Tabla3[5 cadenas])</f>
        <v>1600000</v>
      </c>
      <c r="F37" s="20">
        <v>700000</v>
      </c>
      <c r="G37" s="20">
        <v>1000000</v>
      </c>
      <c r="H37" s="20">
        <v>1000000</v>
      </c>
      <c r="I37" s="20">
        <v>500000</v>
      </c>
      <c r="J37" s="20">
        <v>800000</v>
      </c>
      <c r="K37" s="20"/>
      <c r="L37" s="20"/>
      <c r="M37" s="20"/>
      <c r="N37" s="20"/>
      <c r="O37" s="20">
        <f>(20000)*5</f>
        <v>100000</v>
      </c>
      <c r="P37" s="20">
        <f t="shared" ref="P37:W37" si="7">(20000)*5</f>
        <v>100000</v>
      </c>
      <c r="Q37" s="20">
        <f t="shared" si="7"/>
        <v>100000</v>
      </c>
      <c r="R37" s="20">
        <f t="shared" si="7"/>
        <v>100000</v>
      </c>
      <c r="S37" s="20">
        <f t="shared" si="7"/>
        <v>100000</v>
      </c>
      <c r="T37" s="20">
        <f t="shared" si="7"/>
        <v>100000</v>
      </c>
      <c r="U37" s="20">
        <f t="shared" si="7"/>
        <v>100000</v>
      </c>
      <c r="V37" s="20">
        <f t="shared" si="7"/>
        <v>100000</v>
      </c>
      <c r="W37" s="20">
        <f t="shared" si="7"/>
        <v>100000</v>
      </c>
      <c r="X37" s="20"/>
      <c r="Y37" s="20"/>
      <c r="Z37" s="20"/>
      <c r="AA37" s="20">
        <f>(20000)*5</f>
        <v>100000</v>
      </c>
      <c r="AB37" s="20">
        <f t="shared" ref="AB37:AI37" si="8">(20000)*5</f>
        <v>100000</v>
      </c>
      <c r="AC37" s="20">
        <f t="shared" si="8"/>
        <v>100000</v>
      </c>
      <c r="AD37" s="20">
        <f t="shared" si="8"/>
        <v>100000</v>
      </c>
      <c r="AE37" s="20">
        <f t="shared" si="8"/>
        <v>100000</v>
      </c>
      <c r="AF37" s="20">
        <f t="shared" si="8"/>
        <v>100000</v>
      </c>
      <c r="AG37" s="20">
        <f t="shared" si="8"/>
        <v>100000</v>
      </c>
      <c r="AH37" s="20">
        <f t="shared" si="8"/>
        <v>100000</v>
      </c>
      <c r="AI37" s="20">
        <f t="shared" si="8"/>
        <v>100000</v>
      </c>
      <c r="AJ37" s="20"/>
      <c r="AK37" s="20"/>
      <c r="AL37" s="20"/>
      <c r="AM37" s="20">
        <f>(20000)*5</f>
        <v>100000</v>
      </c>
      <c r="AN37" s="20">
        <f>(20000)*5</f>
        <v>100000</v>
      </c>
    </row>
    <row r="38" spans="2:42" x14ac:dyDescent="0.2">
      <c r="B38" s="114"/>
      <c r="C38" s="17" t="s">
        <v>58</v>
      </c>
      <c r="D38" s="24">
        <v>-20000</v>
      </c>
      <c r="E38" s="20">
        <v>-20000</v>
      </c>
      <c r="F38" s="20"/>
      <c r="G38" s="20">
        <v>-20000</v>
      </c>
      <c r="H38" s="20"/>
      <c r="I38" s="20">
        <v>-20000</v>
      </c>
      <c r="J38" s="20"/>
      <c r="K38" s="20">
        <v>-20000</v>
      </c>
      <c r="L38" s="20">
        <v>-20000</v>
      </c>
      <c r="M38" s="20">
        <v>-20000</v>
      </c>
      <c r="N38" s="20"/>
      <c r="O38" s="20"/>
      <c r="P38" s="20">
        <v>-20000</v>
      </c>
      <c r="Q38" s="20"/>
      <c r="R38" s="20"/>
      <c r="S38" s="20"/>
      <c r="T38" s="20">
        <v>-20000</v>
      </c>
      <c r="U38" s="20"/>
      <c r="V38" s="20"/>
      <c r="W38" s="20"/>
      <c r="X38" s="20">
        <v>-20000</v>
      </c>
      <c r="Y38" s="20">
        <v>-20000</v>
      </c>
      <c r="Z38" s="20"/>
      <c r="AA38" s="20"/>
      <c r="AB38" s="20">
        <v>-20000</v>
      </c>
      <c r="AC38" s="20"/>
      <c r="AD38" s="20"/>
      <c r="AE38" s="20"/>
      <c r="AF38" s="20">
        <v>-20000</v>
      </c>
      <c r="AG38" s="20"/>
      <c r="AH38" s="20"/>
      <c r="AI38" s="20"/>
      <c r="AJ38" s="20">
        <v>-20000</v>
      </c>
      <c r="AK38" s="20">
        <v>-20000</v>
      </c>
      <c r="AL38" s="20"/>
      <c r="AM38" s="20"/>
      <c r="AN38" s="12">
        <v>-20000</v>
      </c>
    </row>
    <row r="39" spans="2:42" x14ac:dyDescent="0.2">
      <c r="B39" s="114"/>
      <c r="C39" s="17" t="s">
        <v>32</v>
      </c>
      <c r="D39" s="24"/>
      <c r="E39" s="20">
        <f>'Tablas optimista'!$C$34+'Tablas optimista'!$E$34+'Tablas optimista'!$F$34</f>
        <v>27642.992613636361</v>
      </c>
      <c r="F39" s="20">
        <f>'Tablas optimista'!$C$34+'Tablas optimista'!$E$34+'Tablas optimista'!$F$34</f>
        <v>27642.992613636361</v>
      </c>
      <c r="G39" s="20">
        <f>'Tablas optimista'!$C$34+'Tablas optimista'!$E$34+'Tablas optimista'!$F$34</f>
        <v>27642.992613636361</v>
      </c>
      <c r="H39" s="20">
        <f>'Tablas optimista'!$C$34+'Tablas optimista'!$E$34+'Tablas optimista'!$F$34</f>
        <v>27642.992613636361</v>
      </c>
      <c r="I39" s="20">
        <f>'Tablas optimista'!$C$34+'Tablas optimista'!$E$34+'Tablas optimista'!$F$34</f>
        <v>27642.992613636361</v>
      </c>
      <c r="J39" s="20">
        <f>'Tablas optimista'!$C$34+'Tablas optimista'!$E$34+'Tablas optimista'!$F$34</f>
        <v>27642.992613636361</v>
      </c>
      <c r="K39" s="20">
        <f>'Tablas optimista'!$C$34+'Tablas optimista'!$E$34+'Tablas optimista'!$F$34</f>
        <v>27642.992613636361</v>
      </c>
      <c r="L39" s="20">
        <f>'Tablas optimista'!$C$34+'Tablas optimista'!$E$34+'Tablas optimista'!$F$34</f>
        <v>27642.992613636361</v>
      </c>
      <c r="M39" s="20">
        <f>'Tablas optimista'!$C$34+'Tablas optimista'!$E$34+'Tablas optimista'!$F$34</f>
        <v>27642.992613636361</v>
      </c>
      <c r="N39" s="20">
        <f>'Tablas optimista'!$C$34+'Tablas optimista'!$E$34+'Tablas optimista'!$F$34</f>
        <v>27642.992613636361</v>
      </c>
      <c r="O39" s="20">
        <f>'Tablas optimista'!$C$34+'Tablas optimista'!$E$34+'Tablas optimista'!$F$34</f>
        <v>27642.992613636361</v>
      </c>
      <c r="P39" s="20">
        <f>'Tablas optimista'!$C$34+'Tablas optimista'!$E$34+'Tablas optimista'!$F$34</f>
        <v>27642.992613636361</v>
      </c>
      <c r="Q39" s="20">
        <f>'Tablas optimista'!$C$34+'Tablas optimista'!$E$34+'Tablas optimista'!$F$34</f>
        <v>27642.992613636361</v>
      </c>
      <c r="R39" s="20">
        <f>'Tablas optimista'!$C$34+'Tablas optimista'!$E$34+'Tablas optimista'!$F$34</f>
        <v>27642.992613636361</v>
      </c>
      <c r="S39" s="20">
        <f>'Tablas optimista'!$C$34+'Tablas optimista'!$E$34+'Tablas optimista'!$F$34</f>
        <v>27642.992613636361</v>
      </c>
      <c r="T39" s="20">
        <f>'Tablas optimista'!$C$34+'Tablas optimista'!$E$34+'Tablas optimista'!$F$34</f>
        <v>27642.992613636361</v>
      </c>
      <c r="U39" s="20">
        <f>'Tablas optimista'!$C$34+'Tablas optimista'!$E$34+'Tablas optimista'!$F$34</f>
        <v>27642.992613636361</v>
      </c>
      <c r="V39" s="20">
        <f>'Tablas optimista'!$C$34+'Tablas optimista'!$E$34+'Tablas optimista'!$F$34</f>
        <v>27642.992613636361</v>
      </c>
      <c r="W39" s="20">
        <f>'Tablas optimista'!$C$34+'Tablas optimista'!$E$34+'Tablas optimista'!$F$34</f>
        <v>27642.992613636361</v>
      </c>
      <c r="X39" s="20">
        <f>'Tablas optimista'!$C$34+'Tablas optimista'!$E$34+'Tablas optimista'!$F$34</f>
        <v>27642.992613636361</v>
      </c>
      <c r="Y39" s="20">
        <f>'Tablas optimista'!$C$34+'Tablas optimista'!$E$34+'Tablas optimista'!$F$34</f>
        <v>27642.992613636361</v>
      </c>
      <c r="Z39" s="20">
        <f>'Tablas optimista'!$C$34+'Tablas optimista'!$E$34+'Tablas optimista'!$F$34</f>
        <v>27642.992613636361</v>
      </c>
      <c r="AA39" s="20">
        <f>'Tablas optimista'!$C$34+'Tablas optimista'!$E$34+'Tablas optimista'!$F$34</f>
        <v>27642.992613636361</v>
      </c>
      <c r="AB39" s="20">
        <f>'Tablas optimista'!$C$34+'Tablas optimista'!$E$34+'Tablas optimista'!$F$34</f>
        <v>27642.992613636361</v>
      </c>
      <c r="AC39" s="20">
        <f>'Tablas optimista'!$C$34+'Tablas optimista'!$E$34+'Tablas optimista'!$F$34</f>
        <v>27642.992613636361</v>
      </c>
      <c r="AD39" s="20">
        <f>'Tablas optimista'!$C$34+'Tablas optimista'!$E$34+'Tablas optimista'!$F$34</f>
        <v>27642.992613636361</v>
      </c>
      <c r="AE39" s="20">
        <f>'Tablas optimista'!$C$34+'Tablas optimista'!$E$34+'Tablas optimista'!$F$34</f>
        <v>27642.992613636361</v>
      </c>
      <c r="AF39" s="20">
        <f>'Tablas optimista'!$C$34+'Tablas optimista'!$E$34+'Tablas optimista'!$F$34</f>
        <v>27642.992613636361</v>
      </c>
      <c r="AG39" s="20">
        <f>'Tablas optimista'!$C$34+'Tablas optimista'!$E$34+'Tablas optimista'!$F$34</f>
        <v>27642.992613636361</v>
      </c>
      <c r="AH39" s="20">
        <f>'Tablas optimista'!$C$34+'Tablas optimista'!$E$34+'Tablas optimista'!$F$34</f>
        <v>27642.992613636361</v>
      </c>
      <c r="AI39" s="20">
        <f>'Tablas optimista'!$C$34+'Tablas optimista'!$E$34+'Tablas optimista'!$F$34</f>
        <v>27642.992613636361</v>
      </c>
      <c r="AJ39" s="20">
        <f>'Tablas optimista'!$C$34+'Tablas optimista'!$E$34+'Tablas optimista'!$F$34</f>
        <v>27642.992613636361</v>
      </c>
      <c r="AK39" s="20">
        <f>'Tablas optimista'!$C$34+'Tablas optimista'!$E$34+'Tablas optimista'!$F$34</f>
        <v>27642.992613636361</v>
      </c>
      <c r="AL39" s="20">
        <f>'Tablas optimista'!$C$34+'Tablas optimista'!$E$34+'Tablas optimista'!$F$34</f>
        <v>27642.992613636361</v>
      </c>
      <c r="AM39" s="20">
        <f>'Tablas optimista'!$C$34+'Tablas optimista'!$E$34+'Tablas optimista'!$F$34</f>
        <v>27642.992613636361</v>
      </c>
      <c r="AN39" s="12">
        <f>'Tablas optimista'!$C$34+'Tablas optimista'!$E$34+'Tablas optimista'!$F$34</f>
        <v>27642.992613636361</v>
      </c>
    </row>
    <row r="40" spans="2:42" x14ac:dyDescent="0.2">
      <c r="B40" s="114"/>
      <c r="C40" s="17" t="s">
        <v>33</v>
      </c>
      <c r="D40" s="24"/>
      <c r="E40" s="20" cm="1">
        <f t="array" ref="E40:L40">TRANSPOSE(Tabla17[Costo 5 cadenas])</f>
        <v>-75000</v>
      </c>
      <c r="F40" s="20">
        <v>0</v>
      </c>
      <c r="G40" s="20">
        <v>-5000</v>
      </c>
      <c r="H40" s="20">
        <v>0</v>
      </c>
      <c r="I40" s="20">
        <v>-5000</v>
      </c>
      <c r="J40" s="20">
        <v>0</v>
      </c>
      <c r="K40" s="20">
        <v>-5000</v>
      </c>
      <c r="L40" s="20">
        <v>-50000</v>
      </c>
      <c r="M40" s="20"/>
      <c r="N40" s="20"/>
      <c r="O40" s="20"/>
      <c r="P40" s="20">
        <f>$K$40</f>
        <v>-5000</v>
      </c>
      <c r="Q40" s="20"/>
      <c r="R40" s="20"/>
      <c r="S40" s="20"/>
      <c r="T40" s="20">
        <f>$K$40</f>
        <v>-5000</v>
      </c>
      <c r="U40" s="20"/>
      <c r="V40" s="20"/>
      <c r="W40" s="20"/>
      <c r="X40" s="20">
        <v>-50000</v>
      </c>
      <c r="Y40" s="20"/>
      <c r="Z40" s="20"/>
      <c r="AA40" s="20"/>
      <c r="AB40" s="20">
        <f>$K$40</f>
        <v>-5000</v>
      </c>
      <c r="AC40" s="20"/>
      <c r="AD40" s="20"/>
      <c r="AE40" s="20"/>
      <c r="AF40" s="20">
        <f>$K$40</f>
        <v>-5000</v>
      </c>
      <c r="AG40" s="20"/>
      <c r="AH40" s="20"/>
      <c r="AI40" s="20"/>
      <c r="AJ40" s="20">
        <v>-50000</v>
      </c>
      <c r="AK40" s="20"/>
      <c r="AL40" s="20"/>
      <c r="AM40" s="20"/>
      <c r="AN40" s="12">
        <f>$K$40</f>
        <v>-5000</v>
      </c>
      <c r="AP40" t="s">
        <v>63</v>
      </c>
    </row>
    <row r="41" spans="2:42" ht="17" thickBot="1" x14ac:dyDescent="0.25">
      <c r="B41" s="114"/>
      <c r="C41" s="17" t="s">
        <v>34</v>
      </c>
      <c r="D41" s="24">
        <v>-1168500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14"/>
    </row>
    <row r="42" spans="2:42" ht="17" thickBot="1" x14ac:dyDescent="0.25">
      <c r="B42" s="114"/>
      <c r="C42" s="18" t="s">
        <v>37</v>
      </c>
      <c r="D42" s="25">
        <f>SUM(D36:D41)</f>
        <v>-1188500</v>
      </c>
      <c r="E42" s="25">
        <f t="shared" ref="E42:AN42" si="9">SUM(E36:E41)</f>
        <v>14237780.653346568</v>
      </c>
      <c r="F42" s="25">
        <f t="shared" si="9"/>
        <v>13432780.653346568</v>
      </c>
      <c r="G42" s="25">
        <f t="shared" si="9"/>
        <v>13707780.653346568</v>
      </c>
      <c r="H42" s="25">
        <f t="shared" si="9"/>
        <v>13732780.653346568</v>
      </c>
      <c r="I42" s="25">
        <f t="shared" si="9"/>
        <v>13207780.653346568</v>
      </c>
      <c r="J42" s="25">
        <f t="shared" si="9"/>
        <v>13532780.653346568</v>
      </c>
      <c r="K42" s="25">
        <f t="shared" si="9"/>
        <v>12707780.653346568</v>
      </c>
      <c r="L42" s="25">
        <f t="shared" si="9"/>
        <v>12662780.653346568</v>
      </c>
      <c r="M42" s="25">
        <f t="shared" si="9"/>
        <v>12712780.653346568</v>
      </c>
      <c r="N42" s="25">
        <f t="shared" si="9"/>
        <v>12732780.653346568</v>
      </c>
      <c r="O42" s="25">
        <f t="shared" si="9"/>
        <v>12832780.653346568</v>
      </c>
      <c r="P42" s="25">
        <f t="shared" si="9"/>
        <v>12807780.653346568</v>
      </c>
      <c r="Q42" s="25">
        <f t="shared" si="9"/>
        <v>12832780.653346568</v>
      </c>
      <c r="R42" s="25">
        <f t="shared" si="9"/>
        <v>12832780.653346568</v>
      </c>
      <c r="S42" s="25">
        <f t="shared" si="9"/>
        <v>12832780.653346568</v>
      </c>
      <c r="T42" s="25">
        <f t="shared" si="9"/>
        <v>12807780.653346568</v>
      </c>
      <c r="U42" s="25">
        <f t="shared" si="9"/>
        <v>12832780.653346568</v>
      </c>
      <c r="V42" s="25">
        <f t="shared" si="9"/>
        <v>12832780.653346568</v>
      </c>
      <c r="W42" s="25">
        <f t="shared" si="9"/>
        <v>12832780.653346568</v>
      </c>
      <c r="X42" s="25">
        <f t="shared" si="9"/>
        <v>12662780.653346568</v>
      </c>
      <c r="Y42" s="25">
        <f t="shared" si="9"/>
        <v>12712780.653346568</v>
      </c>
      <c r="Z42" s="25">
        <f t="shared" si="9"/>
        <v>12732780.653346568</v>
      </c>
      <c r="AA42" s="25">
        <f t="shared" si="9"/>
        <v>12832780.653346568</v>
      </c>
      <c r="AB42" s="25">
        <f t="shared" si="9"/>
        <v>12807780.653346568</v>
      </c>
      <c r="AC42" s="25">
        <f t="shared" si="9"/>
        <v>12832780.653346568</v>
      </c>
      <c r="AD42" s="25">
        <f t="shared" si="9"/>
        <v>12832780.653346568</v>
      </c>
      <c r="AE42" s="25">
        <f t="shared" si="9"/>
        <v>12832780.653346568</v>
      </c>
      <c r="AF42" s="25">
        <f t="shared" si="9"/>
        <v>12807780.653346568</v>
      </c>
      <c r="AG42" s="25">
        <f t="shared" si="9"/>
        <v>12832780.653346568</v>
      </c>
      <c r="AH42" s="25">
        <f t="shared" si="9"/>
        <v>12832780.653346568</v>
      </c>
      <c r="AI42" s="25">
        <f t="shared" si="9"/>
        <v>12832780.653346568</v>
      </c>
      <c r="AJ42" s="25">
        <f t="shared" si="9"/>
        <v>12662780.653346568</v>
      </c>
      <c r="AK42" s="25">
        <f t="shared" si="9"/>
        <v>12712780.653346568</v>
      </c>
      <c r="AL42" s="25">
        <f t="shared" si="9"/>
        <v>12732780.653346568</v>
      </c>
      <c r="AM42" s="25">
        <f t="shared" si="9"/>
        <v>12832780.653346568</v>
      </c>
      <c r="AN42" s="25">
        <f t="shared" si="9"/>
        <v>12807780.653346568</v>
      </c>
    </row>
    <row r="43" spans="2:42" ht="17" thickBot="1" x14ac:dyDescent="0.25">
      <c r="B43" s="114"/>
      <c r="C43" s="8" t="s">
        <v>38</v>
      </c>
      <c r="D43" s="44">
        <f>NPV($B$4,E42:AN42)+D42</f>
        <v>363926928.78248709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2:42" ht="17" thickBot="1" x14ac:dyDescent="0.25">
      <c r="B44" s="114"/>
      <c r="C44" s="8" t="s">
        <v>47</v>
      </c>
      <c r="D44" s="54">
        <f>IRR(D42:AN42)</f>
        <v>11.92861118238679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2:42" ht="16" customHeight="1" thickBot="1" x14ac:dyDescent="0.25">
      <c r="B45" s="115"/>
      <c r="C45" s="8" t="s">
        <v>48</v>
      </c>
      <c r="D45" s="44" t="s">
        <v>50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2:42" x14ac:dyDescent="0.2">
      <c r="D46" s="1">
        <f>D42</f>
        <v>-1188500</v>
      </c>
      <c r="E46" s="48">
        <f>D46+E42</f>
        <v>13049280.653346568</v>
      </c>
      <c r="F46" s="1">
        <f>E46+F42</f>
        <v>26482061.306693137</v>
      </c>
      <c r="G46" s="1">
        <f>F46+G42</f>
        <v>40189841.960039705</v>
      </c>
    </row>
    <row r="47" spans="2:42" ht="17" customHeight="1" thickBot="1" x14ac:dyDescent="0.25"/>
    <row r="48" spans="2:42" ht="17" thickBot="1" x14ac:dyDescent="0.25">
      <c r="B48" s="113" t="s">
        <v>54</v>
      </c>
      <c r="C48" s="16"/>
      <c r="D48" s="27">
        <v>0</v>
      </c>
      <c r="E48" s="28">
        <v>1</v>
      </c>
      <c r="F48" s="28">
        <v>2</v>
      </c>
      <c r="G48" s="28">
        <v>3</v>
      </c>
    </row>
    <row r="49" spans="2:7" x14ac:dyDescent="0.2">
      <c r="B49" s="114"/>
      <c r="C49" s="17" t="s">
        <v>95</v>
      </c>
      <c r="D49" s="35"/>
      <c r="E49" s="38">
        <f>SUM(E36:P36)</f>
        <v>152461651.92879516</v>
      </c>
      <c r="F49" s="38">
        <f>SUM(Q36:AB36)</f>
        <v>152461651.92879516</v>
      </c>
      <c r="G49" s="38">
        <f>SUM(AC36:AN36)</f>
        <v>152461651.92879516</v>
      </c>
    </row>
    <row r="50" spans="2:7" ht="16" customHeight="1" x14ac:dyDescent="0.2">
      <c r="B50" s="114"/>
      <c r="C50" s="17" t="s">
        <v>31</v>
      </c>
      <c r="D50" s="37"/>
      <c r="E50" s="38">
        <f>SUM(E37:P37)</f>
        <v>5800000</v>
      </c>
      <c r="F50" s="38">
        <f>SUM(Q37:AB37)</f>
        <v>900000</v>
      </c>
      <c r="G50" s="38">
        <f>SUM(AC37:AN37)</f>
        <v>900000</v>
      </c>
    </row>
    <row r="51" spans="2:7" x14ac:dyDescent="0.2">
      <c r="B51" s="114"/>
      <c r="C51" s="17" t="s">
        <v>58</v>
      </c>
      <c r="D51" s="37">
        <f>D38</f>
        <v>-20000</v>
      </c>
      <c r="E51" s="38">
        <f t="shared" ref="E51:E54" si="10">SUM(E38:P38)</f>
        <v>-140000</v>
      </c>
      <c r="F51" s="38">
        <f t="shared" ref="F51:F53" si="11">SUM(Q38:AB38)</f>
        <v>-80000</v>
      </c>
      <c r="G51" s="38">
        <f t="shared" ref="G51:G53" si="12">SUM(AC38:AN38)</f>
        <v>-80000</v>
      </c>
    </row>
    <row r="52" spans="2:7" x14ac:dyDescent="0.2">
      <c r="B52" s="114"/>
      <c r="C52" s="17" t="s">
        <v>32</v>
      </c>
      <c r="D52" s="37"/>
      <c r="E52" s="38">
        <f t="shared" si="10"/>
        <v>331715.91136363632</v>
      </c>
      <c r="F52" s="38">
        <f t="shared" si="11"/>
        <v>331715.91136363632</v>
      </c>
      <c r="G52" s="38">
        <f t="shared" si="12"/>
        <v>331715.91136363632</v>
      </c>
    </row>
    <row r="53" spans="2:7" x14ac:dyDescent="0.2">
      <c r="B53" s="114"/>
      <c r="C53" s="17" t="s">
        <v>33</v>
      </c>
      <c r="D53" s="37"/>
      <c r="E53" s="38">
        <f t="shared" si="10"/>
        <v>-145000</v>
      </c>
      <c r="F53" s="38">
        <f t="shared" si="11"/>
        <v>-60000</v>
      </c>
      <c r="G53" s="38">
        <f t="shared" si="12"/>
        <v>-60000</v>
      </c>
    </row>
    <row r="54" spans="2:7" ht="17" thickBot="1" x14ac:dyDescent="0.25">
      <c r="B54" s="114"/>
      <c r="C54" s="17" t="s">
        <v>34</v>
      </c>
      <c r="D54" s="37">
        <f>D41</f>
        <v>-1168500</v>
      </c>
      <c r="E54" s="38">
        <f t="shared" si="10"/>
        <v>0</v>
      </c>
      <c r="F54" s="38">
        <f>SUM(Q41:AB41)</f>
        <v>0</v>
      </c>
      <c r="G54" s="38">
        <f>SUM(AC41:AN41)</f>
        <v>0</v>
      </c>
    </row>
    <row r="55" spans="2:7" ht="17" thickBot="1" x14ac:dyDescent="0.25">
      <c r="B55" s="114"/>
      <c r="C55" s="18" t="s">
        <v>37</v>
      </c>
      <c r="D55" s="25">
        <f>SUM(D50:D54)</f>
        <v>-1188500</v>
      </c>
      <c r="E55" s="26">
        <f>SUM(E49:E54)</f>
        <v>158308367.84015879</v>
      </c>
      <c r="F55" s="26">
        <f>SUM(F49:F54)</f>
        <v>153553367.84015879</v>
      </c>
      <c r="G55" s="26">
        <f>SUM(G49:G54)</f>
        <v>153553367.84015879</v>
      </c>
    </row>
    <row r="56" spans="2:7" ht="17" thickBot="1" x14ac:dyDescent="0.25">
      <c r="B56" s="114"/>
      <c r="C56" s="8" t="s">
        <v>38</v>
      </c>
      <c r="D56" s="45">
        <f>NPV(B3,E55:G55)+D55</f>
        <v>335581085.72547448</v>
      </c>
    </row>
    <row r="57" spans="2:7" ht="17" thickBot="1" x14ac:dyDescent="0.25">
      <c r="B57" s="114"/>
      <c r="C57" s="8" t="s">
        <v>93</v>
      </c>
      <c r="D57" s="54">
        <f>IRR(D55:G55)</f>
        <v>133.17026859252326</v>
      </c>
    </row>
    <row r="58" spans="2:7" ht="17" thickBot="1" x14ac:dyDescent="0.25">
      <c r="B58" s="115"/>
      <c r="C58" s="8" t="s">
        <v>48</v>
      </c>
      <c r="D58" s="44" t="s">
        <v>44</v>
      </c>
    </row>
    <row r="59" spans="2:7" x14ac:dyDescent="0.2">
      <c r="D59" s="1">
        <f>D55</f>
        <v>-1188500</v>
      </c>
      <c r="E59" s="48">
        <f>D59+E55</f>
        <v>157119867.84015879</v>
      </c>
      <c r="F59" s="1">
        <f>E59+F55</f>
        <v>310673235.68031758</v>
      </c>
      <c r="G59" s="1">
        <f>F59+G55</f>
        <v>464226603.52047634</v>
      </c>
    </row>
    <row r="62" spans="2:7" s="112" customFormat="1" x14ac:dyDescent="0.2"/>
    <row r="64" spans="2:7" ht="17" thickBot="1" x14ac:dyDescent="0.25"/>
    <row r="65" spans="1:73" ht="25" thickBot="1" x14ac:dyDescent="0.35">
      <c r="C65" s="116" t="s">
        <v>106</v>
      </c>
      <c r="D65" s="117"/>
      <c r="E65" s="117"/>
      <c r="F65" s="117"/>
      <c r="G65" s="117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7"/>
      <c r="U65" s="117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7"/>
      <c r="AG65" s="117"/>
      <c r="AH65" s="117"/>
      <c r="AI65" s="117"/>
      <c r="AJ65" s="117"/>
      <c r="AK65" s="117"/>
      <c r="AL65" s="117"/>
      <c r="AM65" s="117"/>
      <c r="AN65" s="118"/>
    </row>
    <row r="66" spans="1:73" x14ac:dyDescent="0.2">
      <c r="A66" s="50" t="s">
        <v>51</v>
      </c>
      <c r="B66" s="51">
        <f>18.21%</f>
        <v>0.18210000000000001</v>
      </c>
    </row>
    <row r="67" spans="1:73" ht="17" thickBot="1" x14ac:dyDescent="0.25">
      <c r="A67" s="52" t="s">
        <v>52</v>
      </c>
      <c r="B67" s="53">
        <f>1.39%</f>
        <v>1.3899999999999999E-2</v>
      </c>
    </row>
    <row r="68" spans="1:73" ht="17" thickBot="1" x14ac:dyDescent="0.25">
      <c r="E68" s="120" t="s">
        <v>44</v>
      </c>
      <c r="F68" s="120"/>
      <c r="G68" s="120"/>
      <c r="H68" s="120"/>
      <c r="I68" s="120"/>
      <c r="J68" s="120"/>
      <c r="K68" s="120"/>
      <c r="L68" s="120"/>
      <c r="M68" s="120"/>
      <c r="N68" s="120"/>
      <c r="O68" s="120"/>
      <c r="P68" s="120"/>
      <c r="Q68" s="119" t="s">
        <v>45</v>
      </c>
      <c r="R68" s="119"/>
      <c r="S68" s="119"/>
      <c r="T68" s="119"/>
      <c r="U68" s="119"/>
      <c r="V68" s="119"/>
      <c r="W68" s="119"/>
      <c r="X68" s="119"/>
      <c r="Y68" s="119"/>
      <c r="Z68" s="119"/>
      <c r="AA68" s="119"/>
      <c r="AB68" s="119"/>
      <c r="AC68" s="120" t="s">
        <v>46</v>
      </c>
      <c r="AD68" s="120"/>
      <c r="AE68" s="120"/>
      <c r="AF68" s="120"/>
      <c r="AG68" s="120"/>
      <c r="AH68" s="120"/>
      <c r="AI68" s="120"/>
      <c r="AJ68" s="120"/>
      <c r="AK68" s="120"/>
      <c r="AL68" s="120"/>
      <c r="AM68" s="120"/>
      <c r="AN68" s="120"/>
    </row>
    <row r="69" spans="1:73" ht="17" thickBot="1" x14ac:dyDescent="0.25">
      <c r="B69" s="113" t="s">
        <v>53</v>
      </c>
      <c r="C69" s="16"/>
      <c r="D69" s="21">
        <v>45748</v>
      </c>
      <c r="E69" s="9">
        <v>45778</v>
      </c>
      <c r="F69" s="9">
        <v>45809</v>
      </c>
      <c r="G69" s="9">
        <v>45839</v>
      </c>
      <c r="H69" s="9">
        <v>45870</v>
      </c>
      <c r="I69" s="9">
        <v>45901</v>
      </c>
      <c r="J69" s="9">
        <v>45931</v>
      </c>
      <c r="K69" s="9">
        <v>45962</v>
      </c>
      <c r="L69" s="9">
        <v>45992</v>
      </c>
      <c r="M69" s="9">
        <v>46023</v>
      </c>
      <c r="N69" s="9">
        <v>46054</v>
      </c>
      <c r="O69" s="9">
        <v>46082</v>
      </c>
      <c r="P69" s="9">
        <v>46113</v>
      </c>
      <c r="Q69" s="9">
        <v>46143</v>
      </c>
      <c r="R69" s="9">
        <v>46174</v>
      </c>
      <c r="S69" s="9">
        <v>46204</v>
      </c>
      <c r="T69" s="9">
        <v>46235</v>
      </c>
      <c r="U69" s="9">
        <v>46266</v>
      </c>
      <c r="V69" s="9">
        <v>46296</v>
      </c>
      <c r="W69" s="9">
        <v>46327</v>
      </c>
      <c r="X69" s="9">
        <v>46357</v>
      </c>
      <c r="Y69" s="9">
        <v>46388</v>
      </c>
      <c r="Z69" s="9">
        <v>46419</v>
      </c>
      <c r="AA69" s="9">
        <v>46447</v>
      </c>
      <c r="AB69" s="9">
        <v>46478</v>
      </c>
      <c r="AC69" s="9">
        <v>46508</v>
      </c>
      <c r="AD69" s="9">
        <v>46539</v>
      </c>
      <c r="AE69" s="9">
        <v>46569</v>
      </c>
      <c r="AF69" s="9">
        <v>46600</v>
      </c>
      <c r="AG69" s="9">
        <v>46631</v>
      </c>
      <c r="AH69" s="9">
        <v>46661</v>
      </c>
      <c r="AI69" s="9">
        <v>46692</v>
      </c>
      <c r="AJ69" s="9">
        <v>46722</v>
      </c>
      <c r="AK69" s="9">
        <v>46753</v>
      </c>
      <c r="AL69" s="9">
        <v>46784</v>
      </c>
      <c r="AM69" s="9">
        <v>46813</v>
      </c>
      <c r="AN69" s="10">
        <v>46844</v>
      </c>
    </row>
    <row r="70" spans="1:73" ht="17" thickBot="1" x14ac:dyDescent="0.25">
      <c r="B70" s="114"/>
      <c r="C70" s="17" t="s">
        <v>95</v>
      </c>
      <c r="D70" s="24"/>
      <c r="E70" s="20">
        <f>('Tablas optimista'!$D$39+'Tablas optimista'!$D$40)*0.1</f>
        <v>217401.32215952995</v>
      </c>
      <c r="F70" s="20">
        <f>('Tablas optimista'!$D$39+'Tablas optimista'!$D$40)*0.1</f>
        <v>217401.32215952995</v>
      </c>
      <c r="G70" s="20">
        <f>('Tablas optimista'!$D$39+'Tablas optimista'!$D$40)*0.1</f>
        <v>217401.32215952995</v>
      </c>
      <c r="H70" s="20">
        <f>('Tablas optimista'!$D$39+'Tablas optimista'!$D$40)*0.1</f>
        <v>217401.32215952995</v>
      </c>
      <c r="I70" s="20">
        <f>('Tablas optimista'!$D$39+'Tablas optimista'!$D$40)*0.1</f>
        <v>217401.32215952995</v>
      </c>
      <c r="J70" s="20">
        <f>('Tablas optimista'!$D$39+'Tablas optimista'!$D$40)*0.1</f>
        <v>217401.32215952995</v>
      </c>
      <c r="K70" s="20">
        <f>('Tablas optimista'!$D$39+'Tablas optimista'!$D$40)*0.1</f>
        <v>217401.32215952995</v>
      </c>
      <c r="L70" s="20">
        <f>('Tablas optimista'!$D$39+'Tablas optimista'!$D$40)*0.1</f>
        <v>217401.32215952995</v>
      </c>
      <c r="M70" s="20">
        <f>('Tablas optimista'!$D$39+'Tablas optimista'!$D$40)*0.1</f>
        <v>217401.32215952995</v>
      </c>
      <c r="N70" s="20">
        <f>('Tablas optimista'!$D$39+'Tablas optimista'!$D$40)*0.1</f>
        <v>217401.32215952995</v>
      </c>
      <c r="O70" s="20">
        <f>('Tablas optimista'!$D$39+'Tablas optimista'!$D$40)*0.1</f>
        <v>217401.32215952995</v>
      </c>
      <c r="P70" s="20">
        <f>('Tablas optimista'!$D$39+'Tablas optimista'!$D$40)*0.1</f>
        <v>217401.32215952995</v>
      </c>
      <c r="Q70" s="20">
        <f>('Tablas optimista'!$D$39+'Tablas optimista'!$D$40)*0.1</f>
        <v>217401.32215952995</v>
      </c>
      <c r="R70" s="20">
        <f>('Tablas optimista'!$D$39+'Tablas optimista'!$D$40)*0.1</f>
        <v>217401.32215952995</v>
      </c>
      <c r="S70" s="20">
        <f>('Tablas optimista'!$D$39+'Tablas optimista'!$D$40)*0.1</f>
        <v>217401.32215952995</v>
      </c>
      <c r="T70" s="20">
        <f>('Tablas optimista'!$D$39+'Tablas optimista'!$D$40)*0.1</f>
        <v>217401.32215952995</v>
      </c>
      <c r="U70" s="20">
        <f>('Tablas optimista'!$D$39+'Tablas optimista'!$D$40)*0.1</f>
        <v>217401.32215952995</v>
      </c>
      <c r="V70" s="20">
        <f>('Tablas optimista'!$D$39+'Tablas optimista'!$D$40)*0.1</f>
        <v>217401.32215952995</v>
      </c>
      <c r="W70" s="20">
        <f>('Tablas optimista'!$D$39+'Tablas optimista'!$D$40)*0.1</f>
        <v>217401.32215952995</v>
      </c>
      <c r="X70" s="20">
        <f>('Tablas optimista'!$D$39+'Tablas optimista'!$D$40)*0.1</f>
        <v>217401.32215952995</v>
      </c>
      <c r="Y70" s="20">
        <f>('Tablas optimista'!$D$39+'Tablas optimista'!$D$40)*0.1</f>
        <v>217401.32215952995</v>
      </c>
      <c r="Z70" s="20">
        <f>('Tablas optimista'!$D$39+'Tablas optimista'!$D$40)*0.1</f>
        <v>217401.32215952995</v>
      </c>
      <c r="AA70" s="20">
        <f>('Tablas optimista'!$D$39+'Tablas optimista'!$D$40)*0.1</f>
        <v>217401.32215952995</v>
      </c>
      <c r="AB70" s="20">
        <f>('Tablas optimista'!$D$39+'Tablas optimista'!$D$40)*0.1</f>
        <v>217401.32215952995</v>
      </c>
      <c r="AC70" s="20">
        <f>('Tablas optimista'!$D$39+'Tablas optimista'!$D$40)*0.1</f>
        <v>217401.32215952995</v>
      </c>
      <c r="AD70" s="20">
        <f>('Tablas optimista'!$D$39+'Tablas optimista'!$D$40)*0.1</f>
        <v>217401.32215952995</v>
      </c>
      <c r="AE70" s="20">
        <f>('Tablas optimista'!$D$39+'Tablas optimista'!$D$40)*0.1</f>
        <v>217401.32215952995</v>
      </c>
      <c r="AF70" s="20">
        <f>('Tablas optimista'!$D$39+'Tablas optimista'!$D$40)*0.1</f>
        <v>217401.32215952995</v>
      </c>
      <c r="AG70" s="20">
        <f>('Tablas optimista'!$D$39+'Tablas optimista'!$D$40)*0.1</f>
        <v>217401.32215952995</v>
      </c>
      <c r="AH70" s="20">
        <f>('Tablas optimista'!$D$39+'Tablas optimista'!$D$40)*0.1</f>
        <v>217401.32215952995</v>
      </c>
      <c r="AI70" s="20">
        <f>('Tablas optimista'!$D$39+'Tablas optimista'!$D$40)*0.1</f>
        <v>217401.32215952995</v>
      </c>
      <c r="AJ70" s="20">
        <f>('Tablas optimista'!$D$39+'Tablas optimista'!$D$40)*0.1</f>
        <v>217401.32215952995</v>
      </c>
      <c r="AK70" s="20">
        <f>('Tablas optimista'!$D$39+'Tablas optimista'!$D$40)*0.1</f>
        <v>217401.32215952995</v>
      </c>
      <c r="AL70" s="20">
        <f>('Tablas optimista'!$D$39+'Tablas optimista'!$D$40)*0.1</f>
        <v>217401.32215952995</v>
      </c>
      <c r="AM70" s="20">
        <f>('Tablas optimista'!$D$39+'Tablas optimista'!$D$40)*0.1</f>
        <v>217401.32215952995</v>
      </c>
      <c r="AN70" s="20">
        <f>('Tablas optimista'!$D$39+'Tablas optimista'!$D$40)*0.1</f>
        <v>217401.32215952995</v>
      </c>
    </row>
    <row r="71" spans="1:73" x14ac:dyDescent="0.2">
      <c r="B71" s="114"/>
      <c r="C71" s="17" t="s">
        <v>31</v>
      </c>
      <c r="D71" s="22"/>
      <c r="E71" s="19" cm="1">
        <f t="array" ref="E71:J71">TRANSPOSE(Tabla311[2 cadenas])</f>
        <v>640000</v>
      </c>
      <c r="F71" s="19">
        <v>280000</v>
      </c>
      <c r="G71" s="19">
        <v>400000</v>
      </c>
      <c r="H71" s="19">
        <v>400000</v>
      </c>
      <c r="I71" s="19">
        <v>200000</v>
      </c>
      <c r="J71" s="19">
        <v>320000</v>
      </c>
      <c r="K71" s="19"/>
      <c r="L71" s="19"/>
      <c r="M71" s="19"/>
      <c r="N71" s="19"/>
      <c r="O71" s="19"/>
      <c r="P71" s="19">
        <f>(20000)*2</f>
        <v>40000</v>
      </c>
      <c r="Q71" s="19"/>
      <c r="R71" s="19"/>
      <c r="S71" s="19">
        <f>(20000)*2</f>
        <v>40000</v>
      </c>
      <c r="T71" s="19"/>
      <c r="U71" s="19"/>
      <c r="V71" s="19">
        <f>(20000)*2</f>
        <v>40000</v>
      </c>
      <c r="W71" s="19"/>
      <c r="X71" s="19"/>
      <c r="Y71" s="19"/>
      <c r="Z71" s="19"/>
      <c r="AA71" s="19"/>
      <c r="AB71" s="19">
        <f>(20000)*2</f>
        <v>40000</v>
      </c>
      <c r="AC71" s="19"/>
      <c r="AD71" s="19"/>
      <c r="AE71" s="19">
        <f>(20000)*2</f>
        <v>40000</v>
      </c>
      <c r="AF71" s="19"/>
      <c r="AG71" s="19"/>
      <c r="AH71" s="19">
        <f>(20000)*2</f>
        <v>40000</v>
      </c>
      <c r="AI71" s="19"/>
      <c r="AJ71" s="19"/>
      <c r="AK71" s="19"/>
      <c r="AL71" s="19"/>
      <c r="AM71" s="19"/>
      <c r="AN71" s="11">
        <f>(20000)*2</f>
        <v>40000</v>
      </c>
    </row>
    <row r="72" spans="1:73" x14ac:dyDescent="0.2">
      <c r="B72" s="114"/>
      <c r="C72" s="17" t="s">
        <v>58</v>
      </c>
      <c r="D72" s="24">
        <v>-20000</v>
      </c>
      <c r="E72" s="20">
        <v>-20000</v>
      </c>
      <c r="F72" s="20">
        <v>-20000</v>
      </c>
      <c r="G72" s="20">
        <v>-20000</v>
      </c>
      <c r="H72" s="20">
        <v>-20000</v>
      </c>
      <c r="I72" s="20">
        <v>-20000</v>
      </c>
      <c r="J72" s="20">
        <v>-20000</v>
      </c>
      <c r="K72" s="20">
        <v>-20000</v>
      </c>
      <c r="L72" s="20">
        <v>-40000</v>
      </c>
      <c r="M72" s="20">
        <v>-20000</v>
      </c>
      <c r="N72" s="20"/>
      <c r="O72" s="20"/>
      <c r="P72" s="20">
        <v>-20000</v>
      </c>
      <c r="Q72" s="20">
        <v>-20000</v>
      </c>
      <c r="R72" s="20"/>
      <c r="S72" s="20">
        <v>-20000</v>
      </c>
      <c r="T72" s="20">
        <v>-20000</v>
      </c>
      <c r="U72" s="20">
        <v>-20000</v>
      </c>
      <c r="V72" s="20"/>
      <c r="W72" s="20">
        <v>-20000</v>
      </c>
      <c r="X72" s="20">
        <v>-20000</v>
      </c>
      <c r="Y72" s="20">
        <v>-20000</v>
      </c>
      <c r="Z72" s="20"/>
      <c r="AA72" s="20"/>
      <c r="AB72" s="20">
        <v>-20000</v>
      </c>
      <c r="AC72" s="20">
        <v>-20000</v>
      </c>
      <c r="AD72" s="20"/>
      <c r="AE72" s="20">
        <v>-20000</v>
      </c>
      <c r="AF72" s="20">
        <v>-20000</v>
      </c>
      <c r="AG72" s="20">
        <v>-20000</v>
      </c>
      <c r="AH72" s="20"/>
      <c r="AI72" s="20">
        <v>-20000</v>
      </c>
      <c r="AJ72" s="20">
        <v>-20000</v>
      </c>
      <c r="AK72" s="20">
        <v>-20000</v>
      </c>
      <c r="AL72" s="20"/>
      <c r="AM72" s="20"/>
      <c r="AN72" s="12">
        <v>-20000</v>
      </c>
    </row>
    <row r="73" spans="1:73" x14ac:dyDescent="0.2">
      <c r="B73" s="114"/>
      <c r="C73" s="17" t="s">
        <v>32</v>
      </c>
      <c r="D73" s="24"/>
      <c r="E73" s="20">
        <f>'Tablas pesimista'!$C$34</f>
        <v>2214.2045454545455</v>
      </c>
      <c r="F73" s="20">
        <f>'Tablas pesimista'!$C$34</f>
        <v>2214.2045454545455</v>
      </c>
      <c r="G73" s="20">
        <f>'Tablas pesimista'!$C$34</f>
        <v>2214.2045454545455</v>
      </c>
      <c r="H73" s="20">
        <f>'Tablas pesimista'!$C$34</f>
        <v>2214.2045454545455</v>
      </c>
      <c r="I73" s="20">
        <f>'Tablas pesimista'!$C$34</f>
        <v>2214.2045454545455</v>
      </c>
      <c r="J73" s="20">
        <f>'Tablas pesimista'!$C$34</f>
        <v>2214.2045454545455</v>
      </c>
      <c r="K73" s="20">
        <f>'Tablas pesimista'!$C$34</f>
        <v>2214.2045454545455</v>
      </c>
      <c r="L73" s="20">
        <f>'Tablas pesimista'!$C$34</f>
        <v>2214.2045454545455</v>
      </c>
      <c r="M73" s="20">
        <f>'Tablas pesimista'!$C$34</f>
        <v>2214.2045454545455</v>
      </c>
      <c r="N73" s="20">
        <f>'Tablas pesimista'!$C$34</f>
        <v>2214.2045454545455</v>
      </c>
      <c r="O73" s="20">
        <f>'Tablas pesimista'!$C$34</f>
        <v>2214.2045454545455</v>
      </c>
      <c r="P73" s="20">
        <f>'Tablas pesimista'!$C$34</f>
        <v>2214.2045454545455</v>
      </c>
      <c r="Q73" s="20">
        <f>'Tablas pesimista'!$C$34</f>
        <v>2214.2045454545455</v>
      </c>
      <c r="R73" s="20">
        <f>'Tablas pesimista'!$C$34</f>
        <v>2214.2045454545455</v>
      </c>
      <c r="S73" s="20">
        <f>'Tablas pesimista'!$C$34</f>
        <v>2214.2045454545455</v>
      </c>
      <c r="T73" s="20">
        <f>'Tablas pesimista'!$C$34</f>
        <v>2214.2045454545455</v>
      </c>
      <c r="U73" s="20">
        <f>'Tablas pesimista'!$C$34</f>
        <v>2214.2045454545455</v>
      </c>
      <c r="V73" s="20">
        <f>'Tablas pesimista'!$C$34</f>
        <v>2214.2045454545455</v>
      </c>
      <c r="W73" s="20">
        <f>'Tablas pesimista'!$C$34</f>
        <v>2214.2045454545455</v>
      </c>
      <c r="X73" s="20">
        <f>'Tablas pesimista'!$C$34</f>
        <v>2214.2045454545455</v>
      </c>
      <c r="Y73" s="20">
        <f>'Tablas pesimista'!$C$34</f>
        <v>2214.2045454545455</v>
      </c>
      <c r="Z73" s="20">
        <f>'Tablas pesimista'!$C$34</f>
        <v>2214.2045454545455</v>
      </c>
      <c r="AA73" s="20">
        <f>'Tablas pesimista'!$C$34</f>
        <v>2214.2045454545455</v>
      </c>
      <c r="AB73" s="20">
        <f>'Tablas pesimista'!$C$34</f>
        <v>2214.2045454545455</v>
      </c>
      <c r="AC73" s="20">
        <f>'Tablas pesimista'!$C$34</f>
        <v>2214.2045454545455</v>
      </c>
      <c r="AD73" s="20">
        <f>'Tablas pesimista'!$C$34</f>
        <v>2214.2045454545455</v>
      </c>
      <c r="AE73" s="20">
        <f>'Tablas pesimista'!$C$34</f>
        <v>2214.2045454545455</v>
      </c>
      <c r="AF73" s="20">
        <f>'Tablas pesimista'!$C$34</f>
        <v>2214.2045454545455</v>
      </c>
      <c r="AG73" s="20">
        <f>'Tablas pesimista'!$C$34</f>
        <v>2214.2045454545455</v>
      </c>
      <c r="AH73" s="20">
        <f>'Tablas pesimista'!$C$34</f>
        <v>2214.2045454545455</v>
      </c>
      <c r="AI73" s="20">
        <f>'Tablas pesimista'!$C$34</f>
        <v>2214.2045454545455</v>
      </c>
      <c r="AJ73" s="20">
        <f>'Tablas pesimista'!$C$34</f>
        <v>2214.2045454545455</v>
      </c>
      <c r="AK73" s="24">
        <f>'Tablas pesimista'!$C$34</f>
        <v>2214.2045454545455</v>
      </c>
      <c r="AL73" s="20">
        <f>'Tablas pesimista'!$C$34</f>
        <v>2214.2045454545455</v>
      </c>
      <c r="AM73" s="20">
        <f>'Tablas pesimista'!$C$34</f>
        <v>2214.2045454545455</v>
      </c>
      <c r="AN73" s="20">
        <f>'Tablas pesimista'!$C$34</f>
        <v>2214.2045454545455</v>
      </c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12"/>
    </row>
    <row r="74" spans="1:73" x14ac:dyDescent="0.2">
      <c r="B74" s="114"/>
      <c r="C74" s="17" t="s">
        <v>33</v>
      </c>
      <c r="D74" s="24"/>
      <c r="E74" s="20" cm="1">
        <f t="array" ref="E74:L74">TRANSPOSE(Tabla1714[Costo 2 cadenas])</f>
        <v>-42000</v>
      </c>
      <c r="F74" s="20">
        <v>0</v>
      </c>
      <c r="G74" s="20">
        <v>-42000</v>
      </c>
      <c r="H74" s="20">
        <v>0</v>
      </c>
      <c r="I74" s="20">
        <v>-42000</v>
      </c>
      <c r="J74" s="20">
        <v>0</v>
      </c>
      <c r="K74" s="20">
        <v>-42000</v>
      </c>
      <c r="L74" s="20">
        <v>-50000</v>
      </c>
      <c r="M74" s="20"/>
      <c r="N74" s="20"/>
      <c r="O74" s="20"/>
      <c r="P74" s="20">
        <f>$K$10</f>
        <v>-20000</v>
      </c>
      <c r="Q74" s="20"/>
      <c r="R74" s="20"/>
      <c r="S74" s="20"/>
      <c r="T74" s="20">
        <f>$K$10</f>
        <v>-20000</v>
      </c>
      <c r="U74" s="20"/>
      <c r="V74" s="20"/>
      <c r="W74" s="20"/>
      <c r="X74" s="20">
        <v>-50000</v>
      </c>
      <c r="Y74" s="20"/>
      <c r="Z74" s="20"/>
      <c r="AA74" s="20"/>
      <c r="AB74" s="20">
        <f>$K$10</f>
        <v>-20000</v>
      </c>
      <c r="AC74" s="20"/>
      <c r="AD74" s="20"/>
      <c r="AE74" s="20"/>
      <c r="AF74" s="20">
        <f>$K$10</f>
        <v>-20000</v>
      </c>
      <c r="AG74" s="20"/>
      <c r="AH74" s="20"/>
      <c r="AI74" s="20"/>
      <c r="AJ74" s="20">
        <v>-50000</v>
      </c>
      <c r="AK74" s="20"/>
      <c r="AL74" s="20"/>
      <c r="AM74" s="20"/>
      <c r="AN74" s="12">
        <f>$K$10</f>
        <v>-20000</v>
      </c>
      <c r="AP74" t="s">
        <v>62</v>
      </c>
    </row>
    <row r="75" spans="1:73" ht="17" thickBot="1" x14ac:dyDescent="0.25">
      <c r="B75" s="114"/>
      <c r="C75" s="17" t="s">
        <v>34</v>
      </c>
      <c r="D75" s="24">
        <v>-1168500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14"/>
    </row>
    <row r="76" spans="1:73" ht="17" thickBot="1" x14ac:dyDescent="0.25">
      <c r="B76" s="114"/>
      <c r="C76" s="18" t="s">
        <v>37</v>
      </c>
      <c r="D76" s="25">
        <f>SUM(D70:D75)</f>
        <v>-1188500</v>
      </c>
      <c r="E76" s="26">
        <f>SUM(E70:E75)</f>
        <v>797615.52670498448</v>
      </c>
      <c r="F76" s="25">
        <f t="shared" ref="F76:AN76" si="13">SUM(F70:F75)</f>
        <v>479615.52670498448</v>
      </c>
      <c r="G76" s="26">
        <f t="shared" si="13"/>
        <v>557615.52670498448</v>
      </c>
      <c r="H76" s="25">
        <f t="shared" si="13"/>
        <v>599615.52670498448</v>
      </c>
      <c r="I76" s="26">
        <f t="shared" si="13"/>
        <v>357615.52670498448</v>
      </c>
      <c r="J76" s="25">
        <f t="shared" si="13"/>
        <v>519615.52670498443</v>
      </c>
      <c r="K76" s="26">
        <f t="shared" si="13"/>
        <v>157615.52670498451</v>
      </c>
      <c r="L76" s="25">
        <f t="shared" si="13"/>
        <v>129615.52670498451</v>
      </c>
      <c r="M76" s="26">
        <f t="shared" si="13"/>
        <v>199615.52670498451</v>
      </c>
      <c r="N76" s="25">
        <f t="shared" si="13"/>
        <v>219615.52670498451</v>
      </c>
      <c r="O76" s="26">
        <f t="shared" si="13"/>
        <v>219615.52670498451</v>
      </c>
      <c r="P76" s="25">
        <f t="shared" si="13"/>
        <v>219615.52670498451</v>
      </c>
      <c r="Q76" s="26">
        <f t="shared" si="13"/>
        <v>199615.52670498451</v>
      </c>
      <c r="R76" s="25">
        <f t="shared" si="13"/>
        <v>219615.52670498451</v>
      </c>
      <c r="S76" s="26">
        <f t="shared" si="13"/>
        <v>239615.52670498451</v>
      </c>
      <c r="T76" s="25">
        <f t="shared" si="13"/>
        <v>179615.52670498451</v>
      </c>
      <c r="U76" s="26">
        <f t="shared" si="13"/>
        <v>199615.52670498451</v>
      </c>
      <c r="V76" s="25">
        <f t="shared" si="13"/>
        <v>259615.52670498451</v>
      </c>
      <c r="W76" s="26">
        <f t="shared" si="13"/>
        <v>199615.52670498451</v>
      </c>
      <c r="X76" s="25">
        <f t="shared" si="13"/>
        <v>149615.52670498451</v>
      </c>
      <c r="Y76" s="26">
        <f t="shared" si="13"/>
        <v>199615.52670498451</v>
      </c>
      <c r="Z76" s="25">
        <f t="shared" si="13"/>
        <v>219615.52670498451</v>
      </c>
      <c r="AA76" s="26">
        <f t="shared" si="13"/>
        <v>219615.52670498451</v>
      </c>
      <c r="AB76" s="25">
        <f t="shared" si="13"/>
        <v>219615.52670498451</v>
      </c>
      <c r="AC76" s="26">
        <f t="shared" si="13"/>
        <v>199615.52670498451</v>
      </c>
      <c r="AD76" s="25">
        <f t="shared" si="13"/>
        <v>219615.52670498451</v>
      </c>
      <c r="AE76" s="26">
        <f t="shared" si="13"/>
        <v>239615.52670498451</v>
      </c>
      <c r="AF76" s="25">
        <f t="shared" si="13"/>
        <v>179615.52670498451</v>
      </c>
      <c r="AG76" s="26">
        <f t="shared" si="13"/>
        <v>199615.52670498451</v>
      </c>
      <c r="AH76" s="25">
        <f t="shared" si="13"/>
        <v>259615.52670498451</v>
      </c>
      <c r="AI76" s="26">
        <f t="shared" si="13"/>
        <v>199615.52670498451</v>
      </c>
      <c r="AJ76" s="25">
        <f t="shared" si="13"/>
        <v>149615.52670498451</v>
      </c>
      <c r="AK76" s="26">
        <f t="shared" si="13"/>
        <v>199615.52670498451</v>
      </c>
      <c r="AL76" s="25">
        <f t="shared" si="13"/>
        <v>219615.52670498451</v>
      </c>
      <c r="AM76" s="26">
        <f t="shared" si="13"/>
        <v>219615.52670498451</v>
      </c>
      <c r="AN76" s="25">
        <f t="shared" si="13"/>
        <v>219615.52670498451</v>
      </c>
    </row>
    <row r="77" spans="1:73" ht="17" thickBot="1" x14ac:dyDescent="0.25">
      <c r="B77" s="114"/>
      <c r="C77" s="8" t="s">
        <v>38</v>
      </c>
      <c r="D77" s="44">
        <f>NPV(B67,E76:AN76)+D76</f>
        <v>6570371.7735661604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73" ht="17" thickBot="1" x14ac:dyDescent="0.25">
      <c r="B78" s="114"/>
      <c r="C78" s="8" t="s">
        <v>47</v>
      </c>
      <c r="D78" s="54">
        <f>IRR(D76:AN76)</f>
        <v>0.48054533804886024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73" ht="17" thickBot="1" x14ac:dyDescent="0.25">
      <c r="B79" s="115"/>
      <c r="C79" s="8" t="s">
        <v>48</v>
      </c>
      <c r="D79" s="44" t="s">
        <v>104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73" x14ac:dyDescent="0.2">
      <c r="D80" s="1">
        <f>D76</f>
        <v>-1188500</v>
      </c>
      <c r="E80" s="1">
        <f>D80+E76</f>
        <v>-390884.47329501552</v>
      </c>
      <c r="F80" s="48">
        <f>E80+F76</f>
        <v>88731.053409968968</v>
      </c>
      <c r="G80" s="49">
        <f>F80+G76</f>
        <v>646346.58011495345</v>
      </c>
      <c r="H80" s="49">
        <f>G80+H76</f>
        <v>1245962.1068199379</v>
      </c>
      <c r="I80" s="1"/>
      <c r="J80" s="1"/>
      <c r="K80" s="1"/>
      <c r="L80" s="1"/>
      <c r="M80" s="1"/>
      <c r="N80" s="1"/>
      <c r="O80" s="1"/>
      <c r="P80" s="1"/>
    </row>
    <row r="81" spans="2:40" ht="17" thickBot="1" x14ac:dyDescent="0.25"/>
    <row r="82" spans="2:40" ht="17" thickBot="1" x14ac:dyDescent="0.25">
      <c r="B82" s="113" t="s">
        <v>53</v>
      </c>
      <c r="C82" s="31"/>
      <c r="D82" s="32">
        <v>0</v>
      </c>
      <c r="E82" s="33">
        <v>1</v>
      </c>
      <c r="F82" s="33">
        <v>2</v>
      </c>
      <c r="G82" s="33">
        <v>3</v>
      </c>
    </row>
    <row r="83" spans="2:40" x14ac:dyDescent="0.2">
      <c r="B83" s="114"/>
      <c r="C83" s="34"/>
      <c r="D83" s="37"/>
      <c r="E83" s="38">
        <f t="shared" ref="E83:E88" si="14">SUM(E70:P70)</f>
        <v>2608815.8659143597</v>
      </c>
      <c r="F83" s="38">
        <f t="shared" ref="F83:F88" si="15">SUM(Q70:AB70)</f>
        <v>2608815.8659143597</v>
      </c>
      <c r="G83" s="38">
        <f t="shared" ref="G83:G88" si="16">SUM(AC70:AN70)</f>
        <v>2608815.8659143597</v>
      </c>
    </row>
    <row r="84" spans="2:40" x14ac:dyDescent="0.2">
      <c r="B84" s="114"/>
      <c r="C84" s="34" t="s">
        <v>31</v>
      </c>
      <c r="D84" s="37"/>
      <c r="E84" s="38">
        <f t="shared" si="14"/>
        <v>2280000</v>
      </c>
      <c r="F84" s="38">
        <f t="shared" si="15"/>
        <v>120000</v>
      </c>
      <c r="G84" s="38">
        <f t="shared" si="16"/>
        <v>120000</v>
      </c>
    </row>
    <row r="85" spans="2:40" x14ac:dyDescent="0.2">
      <c r="B85" s="114"/>
      <c r="C85" s="17" t="s">
        <v>58</v>
      </c>
      <c r="D85" s="37">
        <f>D72</f>
        <v>-20000</v>
      </c>
      <c r="E85" s="38">
        <f t="shared" si="14"/>
        <v>-220000</v>
      </c>
      <c r="F85" s="38">
        <f t="shared" si="15"/>
        <v>-160000</v>
      </c>
      <c r="G85" s="38">
        <f t="shared" si="16"/>
        <v>-160000</v>
      </c>
    </row>
    <row r="86" spans="2:40" x14ac:dyDescent="0.2">
      <c r="B86" s="114"/>
      <c r="C86" s="34" t="s">
        <v>32</v>
      </c>
      <c r="D86" s="37"/>
      <c r="E86" s="38">
        <f t="shared" si="14"/>
        <v>26570.45454545454</v>
      </c>
      <c r="F86" s="38">
        <f t="shared" si="15"/>
        <v>26570.45454545454</v>
      </c>
      <c r="G86" s="38">
        <f t="shared" si="16"/>
        <v>26570.45454545454</v>
      </c>
    </row>
    <row r="87" spans="2:40" x14ac:dyDescent="0.2">
      <c r="B87" s="114"/>
      <c r="C87" s="34" t="s">
        <v>33</v>
      </c>
      <c r="D87" s="37"/>
      <c r="E87" s="38">
        <f t="shared" si="14"/>
        <v>-238000</v>
      </c>
      <c r="F87" s="38">
        <f t="shared" si="15"/>
        <v>-90000</v>
      </c>
      <c r="G87" s="38">
        <f t="shared" si="16"/>
        <v>-90000</v>
      </c>
    </row>
    <row r="88" spans="2:40" ht="17" thickBot="1" x14ac:dyDescent="0.25">
      <c r="B88" s="114"/>
      <c r="C88" s="34" t="s">
        <v>34</v>
      </c>
      <c r="D88" s="37">
        <f>D75</f>
        <v>-1168500</v>
      </c>
      <c r="E88" s="38">
        <f t="shared" si="14"/>
        <v>0</v>
      </c>
      <c r="F88" s="38">
        <f t="shared" si="15"/>
        <v>0</v>
      </c>
      <c r="G88" s="38">
        <f t="shared" si="16"/>
        <v>0</v>
      </c>
    </row>
    <row r="89" spans="2:40" ht="17" thickBot="1" x14ac:dyDescent="0.25">
      <c r="B89" s="114"/>
      <c r="C89" s="39" t="s">
        <v>37</v>
      </c>
      <c r="D89" s="40">
        <f>SUM(D83:D88)</f>
        <v>-1188500</v>
      </c>
      <c r="E89" s="40">
        <f t="shared" ref="E89:G89" si="17">SUM(E83:E88)</f>
        <v>4457386.3204598138</v>
      </c>
      <c r="F89" s="40">
        <f t="shared" si="17"/>
        <v>2505386.3204598143</v>
      </c>
      <c r="G89" s="40">
        <f t="shared" si="17"/>
        <v>2505386.3204598143</v>
      </c>
    </row>
    <row r="90" spans="2:40" ht="17" thickBot="1" x14ac:dyDescent="0.25">
      <c r="B90" s="114"/>
      <c r="C90" s="42" t="s">
        <v>38</v>
      </c>
      <c r="D90" s="46">
        <f>NPV(B66,E89:G89)+D89</f>
        <v>5891920.6889314214</v>
      </c>
      <c r="E90" s="43"/>
      <c r="F90" s="43"/>
      <c r="G90" s="43"/>
    </row>
    <row r="91" spans="2:40" ht="17" thickBot="1" x14ac:dyDescent="0.25">
      <c r="B91" s="114"/>
      <c r="C91" s="8" t="s">
        <v>93</v>
      </c>
      <c r="D91" s="54">
        <f>IRR(D89:G89)</f>
        <v>3.3469352388817235</v>
      </c>
    </row>
    <row r="92" spans="2:40" ht="17" thickBot="1" x14ac:dyDescent="0.25">
      <c r="B92" s="115"/>
      <c r="C92" s="8" t="s">
        <v>48</v>
      </c>
      <c r="D92" s="44" t="s">
        <v>44</v>
      </c>
    </row>
    <row r="93" spans="2:40" x14ac:dyDescent="0.2">
      <c r="D93" s="1">
        <f>D89</f>
        <v>-1188500</v>
      </c>
      <c r="E93" s="48">
        <f>D93+E89</f>
        <v>3268886.3204598138</v>
      </c>
      <c r="F93" s="1">
        <f>E93+F89</f>
        <v>5774272.6409196276</v>
      </c>
      <c r="G93" s="49">
        <f>F93+G89</f>
        <v>8279658.9613794424</v>
      </c>
    </row>
    <row r="96" spans="2:40" ht="17" thickBot="1" x14ac:dyDescent="0.25">
      <c r="E96" s="29" t="s">
        <v>44</v>
      </c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119" t="s">
        <v>45</v>
      </c>
      <c r="R96" s="119"/>
      <c r="S96" s="119"/>
      <c r="T96" s="119"/>
      <c r="U96" s="119"/>
      <c r="V96" s="119"/>
      <c r="W96" s="119"/>
      <c r="X96" s="119"/>
      <c r="Y96" s="119"/>
      <c r="Z96" s="119"/>
      <c r="AA96" s="119"/>
      <c r="AB96" s="119"/>
      <c r="AC96" s="120" t="s">
        <v>46</v>
      </c>
      <c r="AD96" s="120"/>
      <c r="AE96" s="120"/>
      <c r="AF96" s="120"/>
      <c r="AG96" s="120"/>
      <c r="AH96" s="120"/>
      <c r="AI96" s="120"/>
      <c r="AJ96" s="120"/>
      <c r="AK96" s="120"/>
      <c r="AL96" s="120"/>
      <c r="AM96" s="120"/>
      <c r="AN96" s="120"/>
    </row>
    <row r="97" spans="2:42" ht="17" thickBot="1" x14ac:dyDescent="0.25">
      <c r="B97" s="113" t="s">
        <v>54</v>
      </c>
      <c r="C97" s="16"/>
      <c r="D97" s="21">
        <v>45748</v>
      </c>
      <c r="E97" s="9">
        <v>45778</v>
      </c>
      <c r="F97" s="9">
        <v>45809</v>
      </c>
      <c r="G97" s="9">
        <v>45839</v>
      </c>
      <c r="H97" s="9">
        <v>45870</v>
      </c>
      <c r="I97" s="9">
        <v>45901</v>
      </c>
      <c r="J97" s="9">
        <v>45931</v>
      </c>
      <c r="K97" s="9">
        <v>45962</v>
      </c>
      <c r="L97" s="9">
        <v>45992</v>
      </c>
      <c r="M97" s="9">
        <v>46023</v>
      </c>
      <c r="N97" s="9">
        <v>46054</v>
      </c>
      <c r="O97" s="9">
        <v>46082</v>
      </c>
      <c r="P97" s="9">
        <v>46113</v>
      </c>
      <c r="Q97" s="9">
        <v>46143</v>
      </c>
      <c r="R97" s="9">
        <v>46174</v>
      </c>
      <c r="S97" s="9">
        <v>46204</v>
      </c>
      <c r="T97" s="9">
        <v>46235</v>
      </c>
      <c r="U97" s="9">
        <v>46266</v>
      </c>
      <c r="V97" s="9">
        <v>46296</v>
      </c>
      <c r="W97" s="9">
        <v>46327</v>
      </c>
      <c r="X97" s="9">
        <v>46357</v>
      </c>
      <c r="Y97" s="9">
        <v>46388</v>
      </c>
      <c r="Z97" s="9">
        <v>46419</v>
      </c>
      <c r="AA97" s="9">
        <v>46447</v>
      </c>
      <c r="AB97" s="9">
        <v>46478</v>
      </c>
      <c r="AC97" s="9">
        <v>46508</v>
      </c>
      <c r="AD97" s="9">
        <v>46539</v>
      </c>
      <c r="AE97" s="9">
        <v>46569</v>
      </c>
      <c r="AF97" s="9">
        <v>46600</v>
      </c>
      <c r="AG97" s="9">
        <v>46631</v>
      </c>
      <c r="AH97" s="9">
        <v>46661</v>
      </c>
      <c r="AI97" s="9">
        <v>46692</v>
      </c>
      <c r="AJ97" s="9">
        <v>46722</v>
      </c>
      <c r="AK97" s="9">
        <v>46753</v>
      </c>
      <c r="AL97" s="9">
        <v>46784</v>
      </c>
      <c r="AM97" s="9">
        <v>46813</v>
      </c>
      <c r="AN97" s="10">
        <v>46844</v>
      </c>
    </row>
    <row r="98" spans="2:42" ht="17" thickBot="1" x14ac:dyDescent="0.25">
      <c r="B98" s="114"/>
      <c r="C98" s="17"/>
      <c r="D98" s="22"/>
      <c r="E98" s="20">
        <f t="shared" ref="E98" si="18">(20000)*5</f>
        <v>100000</v>
      </c>
      <c r="F98" s="19">
        <f>SUM('Tablas optimista'!$D$38+'Tablas optimista'!$D$39+'Tablas optimista'!$D$40+'Tablas optimista'!$D$41+'Tablas optimista'!$D$42)*0.1</f>
        <v>1270513.7660732933</v>
      </c>
      <c r="G98" s="19">
        <f>SUM('Tablas optimista'!$D$38+'Tablas optimista'!$D$39+'Tablas optimista'!$D$40+'Tablas optimista'!$D$41+'Tablas optimista'!$D$42)*0.1</f>
        <v>1270513.7660732933</v>
      </c>
      <c r="H98" s="19">
        <f>SUM('Tablas optimista'!$D$38+'Tablas optimista'!$D$39+'Tablas optimista'!$D$40+'Tablas optimista'!$D$41+'Tablas optimista'!$D$42)*0.1</f>
        <v>1270513.7660732933</v>
      </c>
      <c r="I98" s="19">
        <f>SUM('Tablas optimista'!$D$38+'Tablas optimista'!$D$39+'Tablas optimista'!$D$40+'Tablas optimista'!$D$41+'Tablas optimista'!$D$42)*0.1</f>
        <v>1270513.7660732933</v>
      </c>
      <c r="J98" s="19">
        <f>SUM('Tablas optimista'!$D$38+'Tablas optimista'!$D$39+'Tablas optimista'!$D$40+'Tablas optimista'!$D$41+'Tablas optimista'!$D$42)*0.1</f>
        <v>1270513.7660732933</v>
      </c>
      <c r="K98" s="19">
        <f>SUM('Tablas optimista'!$D$38+'Tablas optimista'!$D$39+'Tablas optimista'!$D$40+'Tablas optimista'!$D$41+'Tablas optimista'!$D$42)*0.1</f>
        <v>1270513.7660732933</v>
      </c>
      <c r="L98" s="19">
        <f>SUM('Tablas optimista'!$D$38+'Tablas optimista'!$D$39+'Tablas optimista'!$D$40+'Tablas optimista'!$D$41+'Tablas optimista'!$D$42)*0.1</f>
        <v>1270513.7660732933</v>
      </c>
      <c r="M98" s="19">
        <f>SUM('Tablas optimista'!$D$38+'Tablas optimista'!$D$39+'Tablas optimista'!$D$40+'Tablas optimista'!$D$41+'Tablas optimista'!$D$42)*0.1</f>
        <v>1270513.7660732933</v>
      </c>
      <c r="N98" s="19">
        <f>SUM('Tablas optimista'!$D$38+'Tablas optimista'!$D$39+'Tablas optimista'!$D$40+'Tablas optimista'!$D$41+'Tablas optimista'!$D$42)*0.1</f>
        <v>1270513.7660732933</v>
      </c>
      <c r="O98" s="19">
        <f>SUM('Tablas optimista'!$D$38+'Tablas optimista'!$D$39+'Tablas optimista'!$D$40+'Tablas optimista'!$D$41+'Tablas optimista'!$D$42)*0.1</f>
        <v>1270513.7660732933</v>
      </c>
      <c r="P98" s="19">
        <f>SUM('Tablas optimista'!$D$38+'Tablas optimista'!$D$39+'Tablas optimista'!$D$40+'Tablas optimista'!$D$41+'Tablas optimista'!$D$42)*0.1</f>
        <v>1270513.7660732933</v>
      </c>
      <c r="Q98" s="19">
        <f>SUM('Tablas optimista'!$D$38+'Tablas optimista'!$D$39+'Tablas optimista'!$D$40+'Tablas optimista'!$D$41+'Tablas optimista'!$D$42)*0.1</f>
        <v>1270513.7660732933</v>
      </c>
      <c r="R98" s="19">
        <f>SUM('Tablas optimista'!$D$38+'Tablas optimista'!$D$39+'Tablas optimista'!$D$40+'Tablas optimista'!$D$41+'Tablas optimista'!$D$42)*0.1</f>
        <v>1270513.7660732933</v>
      </c>
      <c r="S98" s="19">
        <f>SUM('Tablas optimista'!$D$38+'Tablas optimista'!$D$39+'Tablas optimista'!$D$40+'Tablas optimista'!$D$41+'Tablas optimista'!$D$42)*0.1</f>
        <v>1270513.7660732933</v>
      </c>
      <c r="T98" s="19">
        <f>SUM('Tablas optimista'!$D$38+'Tablas optimista'!$D$39+'Tablas optimista'!$D$40+'Tablas optimista'!$D$41+'Tablas optimista'!$D$42)*0.1</f>
        <v>1270513.7660732933</v>
      </c>
      <c r="U98" s="19">
        <f>SUM('Tablas optimista'!$D$38+'Tablas optimista'!$D$39+'Tablas optimista'!$D$40+'Tablas optimista'!$D$41+'Tablas optimista'!$D$42)*0.1</f>
        <v>1270513.7660732933</v>
      </c>
      <c r="V98" s="19">
        <f>SUM('Tablas optimista'!$D$38+'Tablas optimista'!$D$39+'Tablas optimista'!$D$40+'Tablas optimista'!$D$41+'Tablas optimista'!$D$42)*0.1</f>
        <v>1270513.7660732933</v>
      </c>
      <c r="W98" s="19">
        <f>SUM('Tablas optimista'!$D$38+'Tablas optimista'!$D$39+'Tablas optimista'!$D$40+'Tablas optimista'!$D$41+'Tablas optimista'!$D$42)*0.1</f>
        <v>1270513.7660732933</v>
      </c>
      <c r="X98" s="19">
        <f>SUM('Tablas optimista'!$D$38+'Tablas optimista'!$D$39+'Tablas optimista'!$D$40+'Tablas optimista'!$D$41+'Tablas optimista'!$D$42)*0.1</f>
        <v>1270513.7660732933</v>
      </c>
      <c r="Y98" s="19">
        <f>SUM('Tablas optimista'!$D$38+'Tablas optimista'!$D$39+'Tablas optimista'!$D$40+'Tablas optimista'!$D$41+'Tablas optimista'!$D$42)*0.1</f>
        <v>1270513.7660732933</v>
      </c>
      <c r="Z98" s="19">
        <f>SUM('Tablas optimista'!$D$38+'Tablas optimista'!$D$39+'Tablas optimista'!$D$40+'Tablas optimista'!$D$41+'Tablas optimista'!$D$42)*0.1</f>
        <v>1270513.7660732933</v>
      </c>
      <c r="AA98" s="19">
        <f>SUM('Tablas optimista'!$D$38+'Tablas optimista'!$D$39+'Tablas optimista'!$D$40+'Tablas optimista'!$D$41+'Tablas optimista'!$D$42)*0.1</f>
        <v>1270513.7660732933</v>
      </c>
      <c r="AB98" s="19">
        <f>SUM('Tablas optimista'!$D$38+'Tablas optimista'!$D$39+'Tablas optimista'!$D$40+'Tablas optimista'!$D$41+'Tablas optimista'!$D$42)*0.1</f>
        <v>1270513.7660732933</v>
      </c>
      <c r="AC98" s="19">
        <f>SUM('Tablas optimista'!$D$38+'Tablas optimista'!$D$39+'Tablas optimista'!$D$40+'Tablas optimista'!$D$41+'Tablas optimista'!$D$42)*0.1</f>
        <v>1270513.7660732933</v>
      </c>
      <c r="AD98" s="19">
        <f>SUM('Tablas optimista'!$D$38+'Tablas optimista'!$D$39+'Tablas optimista'!$D$40+'Tablas optimista'!$D$41+'Tablas optimista'!$D$42)*0.1</f>
        <v>1270513.7660732933</v>
      </c>
      <c r="AE98" s="19">
        <f>SUM('Tablas optimista'!$D$38+'Tablas optimista'!$D$39+'Tablas optimista'!$D$40+'Tablas optimista'!$D$41+'Tablas optimista'!$D$42)*0.1</f>
        <v>1270513.7660732933</v>
      </c>
      <c r="AF98" s="19">
        <f>SUM('Tablas optimista'!$D$38+'Tablas optimista'!$D$39+'Tablas optimista'!$D$40+'Tablas optimista'!$D$41+'Tablas optimista'!$D$42)*0.1</f>
        <v>1270513.7660732933</v>
      </c>
      <c r="AG98" s="19">
        <f>SUM('Tablas optimista'!$D$38+'Tablas optimista'!$D$39+'Tablas optimista'!$D$40+'Tablas optimista'!$D$41+'Tablas optimista'!$D$42)*0.1</f>
        <v>1270513.7660732933</v>
      </c>
      <c r="AH98" s="19">
        <f>SUM('Tablas optimista'!$D$38+'Tablas optimista'!$D$39+'Tablas optimista'!$D$40+'Tablas optimista'!$D$41+'Tablas optimista'!$D$42)*0.1</f>
        <v>1270513.7660732933</v>
      </c>
      <c r="AI98" s="19">
        <f>SUM('Tablas optimista'!$D$38+'Tablas optimista'!$D$39+'Tablas optimista'!$D$40+'Tablas optimista'!$D$41+'Tablas optimista'!$D$42)*0.1</f>
        <v>1270513.7660732933</v>
      </c>
      <c r="AJ98" s="19">
        <f>SUM('Tablas optimista'!$D$38+'Tablas optimista'!$D$39+'Tablas optimista'!$D$40+'Tablas optimista'!$D$41+'Tablas optimista'!$D$42)*0.1</f>
        <v>1270513.7660732933</v>
      </c>
      <c r="AK98" s="19">
        <f>SUM('Tablas optimista'!$D$38+'Tablas optimista'!$D$39+'Tablas optimista'!$D$40+'Tablas optimista'!$D$41+'Tablas optimista'!$D$42)*0.1</f>
        <v>1270513.7660732933</v>
      </c>
      <c r="AL98" s="19">
        <f>SUM('Tablas optimista'!$D$38+'Tablas optimista'!$D$39+'Tablas optimista'!$D$40+'Tablas optimista'!$D$41+'Tablas optimista'!$D$42)*0.1</f>
        <v>1270513.7660732933</v>
      </c>
      <c r="AM98" s="19">
        <f>SUM('Tablas optimista'!$D$38+'Tablas optimista'!$D$39+'Tablas optimista'!$D$40+'Tablas optimista'!$D$41+'Tablas optimista'!$D$42)*0.1</f>
        <v>1270513.7660732933</v>
      </c>
      <c r="AN98" s="19">
        <f>SUM('Tablas optimista'!$D$38+'Tablas optimista'!$D$39+'Tablas optimista'!$D$40+'Tablas optimista'!$D$41+'Tablas optimista'!$D$42)*0.1</f>
        <v>1270513.7660732933</v>
      </c>
    </row>
    <row r="99" spans="2:42" x14ac:dyDescent="0.2">
      <c r="B99" s="114"/>
      <c r="C99" s="17" t="s">
        <v>31</v>
      </c>
      <c r="D99" s="22"/>
      <c r="E99" s="19" cm="1">
        <f t="array" ref="E99:J99">TRANSPOSE(Tabla311[5 cadenas])</f>
        <v>1600000</v>
      </c>
      <c r="F99" s="19">
        <v>700000</v>
      </c>
      <c r="G99" s="19">
        <v>1000000</v>
      </c>
      <c r="H99" s="19">
        <v>1000000</v>
      </c>
      <c r="I99" s="19">
        <v>500000</v>
      </c>
      <c r="J99" s="19">
        <v>800000</v>
      </c>
      <c r="K99" s="19"/>
      <c r="L99" s="19"/>
      <c r="M99" s="19"/>
      <c r="N99" s="19"/>
      <c r="O99" s="19"/>
      <c r="P99" s="19">
        <f>(20000)*5</f>
        <v>100000</v>
      </c>
      <c r="Q99" s="19"/>
      <c r="R99" s="19"/>
      <c r="S99" s="19">
        <f>(20000)*5</f>
        <v>100000</v>
      </c>
      <c r="T99" s="19"/>
      <c r="U99" s="19"/>
      <c r="V99" s="19">
        <f>(20000)*5</f>
        <v>100000</v>
      </c>
      <c r="W99" s="19"/>
      <c r="X99" s="19"/>
      <c r="Y99" s="19"/>
      <c r="Z99" s="19"/>
      <c r="AA99" s="19"/>
      <c r="AB99" s="19">
        <f>(20000)*5</f>
        <v>100000</v>
      </c>
      <c r="AC99" s="19"/>
      <c r="AD99" s="19"/>
      <c r="AE99" s="19">
        <f>(20000)*5</f>
        <v>100000</v>
      </c>
      <c r="AF99" s="19"/>
      <c r="AG99" s="19"/>
      <c r="AH99" s="19">
        <f>(20000)*5</f>
        <v>100000</v>
      </c>
      <c r="AI99" s="19"/>
      <c r="AJ99" s="19"/>
      <c r="AK99" s="19"/>
      <c r="AL99" s="19"/>
      <c r="AM99" s="19"/>
      <c r="AN99" s="11">
        <f>(20000)*5</f>
        <v>100000</v>
      </c>
    </row>
    <row r="100" spans="2:42" x14ac:dyDescent="0.2">
      <c r="B100" s="114"/>
      <c r="C100" s="17" t="s">
        <v>58</v>
      </c>
      <c r="D100" s="24">
        <v>-20000</v>
      </c>
      <c r="E100" s="20">
        <v>-20000</v>
      </c>
      <c r="F100" s="20">
        <v>-20000</v>
      </c>
      <c r="G100" s="20">
        <v>-20000</v>
      </c>
      <c r="H100" s="20">
        <v>-20000</v>
      </c>
      <c r="I100" s="20">
        <v>-20000</v>
      </c>
      <c r="J100" s="20">
        <v>-20000</v>
      </c>
      <c r="K100" s="20">
        <v>-20000</v>
      </c>
      <c r="L100" s="20">
        <v>-40000</v>
      </c>
      <c r="M100" s="20">
        <v>-20000</v>
      </c>
      <c r="N100" s="20"/>
      <c r="O100" s="20"/>
      <c r="P100" s="20">
        <v>-20000</v>
      </c>
      <c r="Q100" s="20">
        <v>-20000</v>
      </c>
      <c r="R100" s="20"/>
      <c r="S100" s="20">
        <v>-20000</v>
      </c>
      <c r="T100" s="20">
        <v>-20000</v>
      </c>
      <c r="U100" s="20">
        <v>-20000</v>
      </c>
      <c r="V100" s="20"/>
      <c r="W100" s="20">
        <v>-20000</v>
      </c>
      <c r="X100" s="20">
        <v>-20000</v>
      </c>
      <c r="Y100" s="20">
        <v>-20000</v>
      </c>
      <c r="Z100" s="20"/>
      <c r="AA100" s="20"/>
      <c r="AB100" s="20">
        <v>-20000</v>
      </c>
      <c r="AC100" s="20">
        <v>-20000</v>
      </c>
      <c r="AD100" s="20"/>
      <c r="AE100" s="20">
        <v>-20000</v>
      </c>
      <c r="AF100" s="20">
        <v>-20000</v>
      </c>
      <c r="AG100" s="20">
        <v>-20000</v>
      </c>
      <c r="AH100" s="20"/>
      <c r="AI100" s="20">
        <v>-20000</v>
      </c>
      <c r="AJ100" s="20">
        <v>-20000</v>
      </c>
      <c r="AK100" s="20">
        <v>-20000</v>
      </c>
      <c r="AL100" s="20"/>
      <c r="AM100" s="20"/>
      <c r="AN100" s="12">
        <v>-20000</v>
      </c>
    </row>
    <row r="101" spans="2:42" x14ac:dyDescent="0.2">
      <c r="B101" s="114"/>
      <c r="C101" s="17" t="s">
        <v>32</v>
      </c>
      <c r="D101" s="24"/>
      <c r="E101" s="20">
        <f>'Tablas pesimista'!$C$34+'Tablas pesimista'!$E$34+'Tablas pesimista'!$F$34</f>
        <v>5528.5985227272722</v>
      </c>
      <c r="F101" s="20">
        <f>'Tablas pesimista'!$C$34+'Tablas pesimista'!$E$34+'Tablas pesimista'!$F$34</f>
        <v>5528.5985227272722</v>
      </c>
      <c r="G101" s="20">
        <f>'Tablas pesimista'!$C$34+'Tablas pesimista'!$E$34+'Tablas pesimista'!$F$34</f>
        <v>5528.5985227272722</v>
      </c>
      <c r="H101" s="20">
        <f>'Tablas pesimista'!$C$34+'Tablas pesimista'!$E$34+'Tablas pesimista'!$F$34</f>
        <v>5528.5985227272722</v>
      </c>
      <c r="I101" s="20">
        <f>'Tablas pesimista'!$C$34+'Tablas pesimista'!$E$34+'Tablas pesimista'!$F$34</f>
        <v>5528.5985227272722</v>
      </c>
      <c r="J101" s="20">
        <f>'Tablas pesimista'!$C$34+'Tablas pesimista'!$E$34+'Tablas pesimista'!$F$34</f>
        <v>5528.5985227272722</v>
      </c>
      <c r="K101" s="20">
        <f>'Tablas pesimista'!$C$34+'Tablas pesimista'!$E$34+'Tablas pesimista'!$F$34</f>
        <v>5528.5985227272722</v>
      </c>
      <c r="L101" s="20">
        <f>'Tablas pesimista'!$C$34+'Tablas pesimista'!$E$34+'Tablas pesimista'!$F$34</f>
        <v>5528.5985227272722</v>
      </c>
      <c r="M101" s="20">
        <f>'Tablas pesimista'!$C$34+'Tablas pesimista'!$E$34+'Tablas pesimista'!$F$34</f>
        <v>5528.5985227272722</v>
      </c>
      <c r="N101" s="20">
        <f>'Tablas pesimista'!$C$34+'Tablas pesimista'!$E$34+'Tablas pesimista'!$F$34</f>
        <v>5528.5985227272722</v>
      </c>
      <c r="O101" s="20">
        <f>'Tablas pesimista'!$C$34+'Tablas pesimista'!$E$34+'Tablas pesimista'!$F$34</f>
        <v>5528.5985227272722</v>
      </c>
      <c r="P101" s="20">
        <f>'Tablas pesimista'!$C$34+'Tablas pesimista'!$E$34+'Tablas pesimista'!$F$34</f>
        <v>5528.5985227272722</v>
      </c>
      <c r="Q101" s="20">
        <f>'Tablas pesimista'!$C$34+'Tablas pesimista'!$E$34+'Tablas pesimista'!$F$34</f>
        <v>5528.5985227272722</v>
      </c>
      <c r="R101" s="20">
        <f>'Tablas pesimista'!$C$34+'Tablas pesimista'!$E$34+'Tablas pesimista'!$F$34</f>
        <v>5528.5985227272722</v>
      </c>
      <c r="S101" s="20">
        <f>'Tablas pesimista'!$C$34+'Tablas pesimista'!$E$34+'Tablas pesimista'!$F$34</f>
        <v>5528.5985227272722</v>
      </c>
      <c r="T101" s="20">
        <f>'Tablas pesimista'!$C$34+'Tablas pesimista'!$E$34+'Tablas pesimista'!$F$34</f>
        <v>5528.5985227272722</v>
      </c>
      <c r="U101" s="20">
        <f>'Tablas pesimista'!$C$34+'Tablas pesimista'!$E$34+'Tablas pesimista'!$F$34</f>
        <v>5528.5985227272722</v>
      </c>
      <c r="V101" s="20">
        <f>'Tablas pesimista'!$C$34+'Tablas pesimista'!$E$34+'Tablas pesimista'!$F$34</f>
        <v>5528.5985227272722</v>
      </c>
      <c r="W101" s="20">
        <f>'Tablas pesimista'!$C$34+'Tablas pesimista'!$E$34+'Tablas pesimista'!$F$34</f>
        <v>5528.5985227272722</v>
      </c>
      <c r="X101" s="20">
        <f>'Tablas pesimista'!$C$34+'Tablas pesimista'!$E$34+'Tablas pesimista'!$F$34</f>
        <v>5528.5985227272722</v>
      </c>
      <c r="Y101" s="20">
        <f>'Tablas pesimista'!$C$34+'Tablas pesimista'!$E$34+'Tablas pesimista'!$F$34</f>
        <v>5528.5985227272722</v>
      </c>
      <c r="Z101" s="20">
        <f>'Tablas pesimista'!$C$34+'Tablas pesimista'!$E$34+'Tablas pesimista'!$F$34</f>
        <v>5528.5985227272722</v>
      </c>
      <c r="AA101" s="20">
        <f>'Tablas pesimista'!$C$34+'Tablas pesimista'!$E$34+'Tablas pesimista'!$F$34</f>
        <v>5528.5985227272722</v>
      </c>
      <c r="AB101" s="20">
        <f>'Tablas pesimista'!$C$34+'Tablas pesimista'!$E$34+'Tablas pesimista'!$F$34</f>
        <v>5528.5985227272722</v>
      </c>
      <c r="AC101" s="20">
        <f>'Tablas pesimista'!$C$34+'Tablas pesimista'!$E$34+'Tablas pesimista'!$F$34</f>
        <v>5528.5985227272722</v>
      </c>
      <c r="AD101" s="20">
        <f>'Tablas pesimista'!$C$34+'Tablas pesimista'!$E$34+'Tablas pesimista'!$F$34</f>
        <v>5528.5985227272722</v>
      </c>
      <c r="AE101" s="20">
        <f>'Tablas pesimista'!$C$34+'Tablas pesimista'!$E$34+'Tablas pesimista'!$F$34</f>
        <v>5528.5985227272722</v>
      </c>
      <c r="AF101" s="20">
        <f>'Tablas pesimista'!$C$34+'Tablas pesimista'!$E$34+'Tablas pesimista'!$F$34</f>
        <v>5528.5985227272722</v>
      </c>
      <c r="AG101" s="20">
        <f>'Tablas pesimista'!$C$34+'Tablas pesimista'!$E$34+'Tablas pesimista'!$F$34</f>
        <v>5528.5985227272722</v>
      </c>
      <c r="AH101" s="20">
        <f>'Tablas pesimista'!$C$34+'Tablas pesimista'!$E$34+'Tablas pesimista'!$F$34</f>
        <v>5528.5985227272722</v>
      </c>
      <c r="AI101" s="20">
        <f>'Tablas pesimista'!$C$34+'Tablas pesimista'!$E$34+'Tablas pesimista'!$F$34</f>
        <v>5528.5985227272722</v>
      </c>
      <c r="AJ101" s="20">
        <f>'Tablas pesimista'!$C$34+'Tablas pesimista'!$E$34+'Tablas pesimista'!$F$34</f>
        <v>5528.5985227272722</v>
      </c>
      <c r="AK101" s="20">
        <f>'Tablas pesimista'!$C$34+'Tablas pesimista'!$E$34+'Tablas pesimista'!$F$34</f>
        <v>5528.5985227272722</v>
      </c>
      <c r="AL101" s="20">
        <f>'Tablas pesimista'!$C$34+'Tablas pesimista'!$E$34+'Tablas pesimista'!$F$34</f>
        <v>5528.5985227272722</v>
      </c>
      <c r="AM101" s="20">
        <f>'Tablas pesimista'!$C$34+'Tablas pesimista'!$E$34+'Tablas pesimista'!$F$34</f>
        <v>5528.5985227272722</v>
      </c>
      <c r="AN101" s="12">
        <f>'Tablas pesimista'!$C$34+'Tablas pesimista'!$E$34+'Tablas pesimista'!$F$34</f>
        <v>5528.5985227272722</v>
      </c>
    </row>
    <row r="102" spans="2:42" x14ac:dyDescent="0.2">
      <c r="B102" s="114"/>
      <c r="C102" s="17" t="s">
        <v>33</v>
      </c>
      <c r="D102" s="24"/>
      <c r="E102" s="20" cm="1">
        <f t="array" ref="E102:L102">TRANSPOSE(Tabla1714[Costo 5 cadenas])</f>
        <v>-105000</v>
      </c>
      <c r="F102" s="20">
        <v>0</v>
      </c>
      <c r="G102" s="20">
        <v>-105000</v>
      </c>
      <c r="H102" s="20">
        <v>0</v>
      </c>
      <c r="I102" s="20">
        <v>-105000</v>
      </c>
      <c r="J102" s="20">
        <v>0</v>
      </c>
      <c r="K102" s="20">
        <v>-105000</v>
      </c>
      <c r="L102" s="20">
        <v>-50000</v>
      </c>
      <c r="M102" s="20"/>
      <c r="N102" s="20"/>
      <c r="O102" s="20"/>
      <c r="P102" s="20">
        <f>$K$36</f>
        <v>12705137.660732932</v>
      </c>
      <c r="Q102" s="20"/>
      <c r="R102" s="20"/>
      <c r="S102" s="20"/>
      <c r="T102" s="20">
        <f>$K$36</f>
        <v>12705137.660732932</v>
      </c>
      <c r="U102" s="20"/>
      <c r="V102" s="20"/>
      <c r="W102" s="20"/>
      <c r="X102" s="20">
        <v>-50000</v>
      </c>
      <c r="Y102" s="20"/>
      <c r="Z102" s="20"/>
      <c r="AA102" s="20"/>
      <c r="AB102" s="20">
        <f>$K$36</f>
        <v>12705137.660732932</v>
      </c>
      <c r="AC102" s="20"/>
      <c r="AD102" s="20"/>
      <c r="AE102" s="20"/>
      <c r="AF102" s="20">
        <f>$K$36</f>
        <v>12705137.660732932</v>
      </c>
      <c r="AG102" s="20"/>
      <c r="AH102" s="20"/>
      <c r="AI102" s="20"/>
      <c r="AJ102" s="20">
        <v>-50000</v>
      </c>
      <c r="AK102" s="20"/>
      <c r="AL102" s="20"/>
      <c r="AM102" s="20"/>
      <c r="AN102" s="12">
        <f>$K$36</f>
        <v>12705137.660732932</v>
      </c>
      <c r="AP102" t="s">
        <v>65</v>
      </c>
    </row>
    <row r="103" spans="2:42" ht="17" thickBot="1" x14ac:dyDescent="0.25">
      <c r="B103" s="114"/>
      <c r="C103" s="17" t="s">
        <v>34</v>
      </c>
      <c r="D103" s="24">
        <v>-1168500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14"/>
    </row>
    <row r="104" spans="2:42" ht="17" thickBot="1" x14ac:dyDescent="0.25">
      <c r="B104" s="114"/>
      <c r="C104" s="18" t="s">
        <v>37</v>
      </c>
      <c r="D104" s="25">
        <f t="shared" ref="D104:AN104" si="19">SUM(D99:D103)</f>
        <v>-1188500</v>
      </c>
      <c r="E104" s="26">
        <f t="shared" si="19"/>
        <v>1480528.5985227274</v>
      </c>
      <c r="F104" s="26">
        <f t="shared" si="19"/>
        <v>685528.59852272726</v>
      </c>
      <c r="G104" s="26">
        <f t="shared" si="19"/>
        <v>880528.59852272726</v>
      </c>
      <c r="H104" s="26">
        <f t="shared" si="19"/>
        <v>985528.59852272726</v>
      </c>
      <c r="I104" s="26">
        <f t="shared" si="19"/>
        <v>380528.59852272726</v>
      </c>
      <c r="J104" s="26">
        <f t="shared" si="19"/>
        <v>785528.59852272726</v>
      </c>
      <c r="K104" s="26">
        <f t="shared" si="19"/>
        <v>-119471.40147727272</v>
      </c>
      <c r="L104" s="26">
        <f t="shared" si="19"/>
        <v>-84471.401477272724</v>
      </c>
      <c r="M104" s="26">
        <f t="shared" si="19"/>
        <v>-14471.401477272728</v>
      </c>
      <c r="N104" s="26">
        <f t="shared" si="19"/>
        <v>5528.5985227272722</v>
      </c>
      <c r="O104" s="26">
        <f t="shared" si="19"/>
        <v>5528.5985227272722</v>
      </c>
      <c r="P104" s="26">
        <f t="shared" si="19"/>
        <v>12790666.259255659</v>
      </c>
      <c r="Q104" s="26">
        <f t="shared" si="19"/>
        <v>-14471.401477272728</v>
      </c>
      <c r="R104" s="26">
        <f t="shared" si="19"/>
        <v>5528.5985227272722</v>
      </c>
      <c r="S104" s="26">
        <f t="shared" si="19"/>
        <v>85528.598522727276</v>
      </c>
      <c r="T104" s="26">
        <f t="shared" si="19"/>
        <v>12690666.259255659</v>
      </c>
      <c r="U104" s="26">
        <f t="shared" si="19"/>
        <v>-14471.401477272728</v>
      </c>
      <c r="V104" s="26">
        <f t="shared" si="19"/>
        <v>105528.59852272728</v>
      </c>
      <c r="W104" s="26">
        <f t="shared" si="19"/>
        <v>-14471.401477272728</v>
      </c>
      <c r="X104" s="26">
        <f t="shared" si="19"/>
        <v>-64471.401477272724</v>
      </c>
      <c r="Y104" s="26">
        <f t="shared" si="19"/>
        <v>-14471.401477272728</v>
      </c>
      <c r="Z104" s="26">
        <f t="shared" si="19"/>
        <v>5528.5985227272722</v>
      </c>
      <c r="AA104" s="26">
        <f t="shared" si="19"/>
        <v>5528.5985227272722</v>
      </c>
      <c r="AB104" s="26">
        <f t="shared" si="19"/>
        <v>12790666.259255659</v>
      </c>
      <c r="AC104" s="26">
        <f t="shared" si="19"/>
        <v>-14471.401477272728</v>
      </c>
      <c r="AD104" s="26">
        <f t="shared" si="19"/>
        <v>5528.5985227272722</v>
      </c>
      <c r="AE104" s="26">
        <f t="shared" si="19"/>
        <v>85528.598522727276</v>
      </c>
      <c r="AF104" s="26">
        <f t="shared" si="19"/>
        <v>12690666.259255659</v>
      </c>
      <c r="AG104" s="26">
        <f t="shared" si="19"/>
        <v>-14471.401477272728</v>
      </c>
      <c r="AH104" s="26">
        <f t="shared" si="19"/>
        <v>105528.59852272728</v>
      </c>
      <c r="AI104" s="26">
        <f t="shared" si="19"/>
        <v>-14471.401477272728</v>
      </c>
      <c r="AJ104" s="26">
        <f t="shared" si="19"/>
        <v>-64471.401477272724</v>
      </c>
      <c r="AK104" s="26">
        <f t="shared" si="19"/>
        <v>-14471.401477272728</v>
      </c>
      <c r="AL104" s="26">
        <f t="shared" si="19"/>
        <v>5528.5985227272722</v>
      </c>
      <c r="AM104" s="26">
        <f t="shared" si="19"/>
        <v>5528.5985227272722</v>
      </c>
      <c r="AN104" s="15">
        <f t="shared" si="19"/>
        <v>12790666.259255659</v>
      </c>
    </row>
    <row r="105" spans="2:42" ht="17" thickBot="1" x14ac:dyDescent="0.25">
      <c r="B105" s="114"/>
      <c r="C105" s="8" t="s">
        <v>38</v>
      </c>
      <c r="D105" s="47">
        <f>NPV(B67,E104:AN104)+D104</f>
        <v>50337493.327737421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2:42" ht="17" thickBot="1" x14ac:dyDescent="0.25">
      <c r="B106" s="114"/>
      <c r="C106" s="8" t="s">
        <v>93</v>
      </c>
      <c r="D106" s="54">
        <f>IRR(D104:AN104)</f>
        <v>0.91953345382950502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2:42" ht="17" thickBot="1" x14ac:dyDescent="0.25">
      <c r="B107" s="115"/>
      <c r="C107" s="8" t="s">
        <v>48</v>
      </c>
      <c r="D107" s="44" t="s">
        <v>44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2:42" x14ac:dyDescent="0.2">
      <c r="D108" s="1">
        <f>D104</f>
        <v>-1188500</v>
      </c>
      <c r="E108" s="48">
        <f>D108+E104</f>
        <v>292028.59852272738</v>
      </c>
      <c r="F108" s="1">
        <f>E108+F104</f>
        <v>977557.19704545464</v>
      </c>
      <c r="G108" s="49">
        <f>F108+G104</f>
        <v>1858085.7955681819</v>
      </c>
    </row>
    <row r="109" spans="2:42" ht="17" thickBot="1" x14ac:dyDescent="0.25"/>
    <row r="110" spans="2:42" ht="17" thickBot="1" x14ac:dyDescent="0.25">
      <c r="B110" s="113" t="s">
        <v>54</v>
      </c>
      <c r="C110" s="31"/>
      <c r="D110" s="32">
        <v>0</v>
      </c>
      <c r="E110" s="33">
        <v>1</v>
      </c>
      <c r="F110" s="33">
        <v>2</v>
      </c>
      <c r="G110" s="33">
        <v>3</v>
      </c>
    </row>
    <row r="111" spans="2:42" x14ac:dyDescent="0.2">
      <c r="B111" s="114"/>
      <c r="C111" s="34" t="s">
        <v>31</v>
      </c>
      <c r="D111" s="35"/>
      <c r="E111" s="36">
        <f>SUM(E97:P97)</f>
        <v>551354</v>
      </c>
      <c r="F111" s="36">
        <f>SUM(Q99:AB99)</f>
        <v>300000</v>
      </c>
      <c r="G111" s="36">
        <f>SUM(AC99:AN99)</f>
        <v>300000</v>
      </c>
    </row>
    <row r="112" spans="2:42" x14ac:dyDescent="0.2">
      <c r="B112" s="114"/>
      <c r="C112" s="17" t="s">
        <v>58</v>
      </c>
      <c r="D112" s="37">
        <f>D100</f>
        <v>-20000</v>
      </c>
      <c r="E112" s="38">
        <f>SUM(E99:P99)</f>
        <v>5700000</v>
      </c>
      <c r="F112" s="38">
        <f>SUM(Q100:AB100)</f>
        <v>-160000</v>
      </c>
      <c r="G112" s="38">
        <f>SUM(AC100:AN100)</f>
        <v>-160000</v>
      </c>
    </row>
    <row r="113" spans="2:7" x14ac:dyDescent="0.2">
      <c r="B113" s="114"/>
      <c r="C113" s="34" t="s">
        <v>32</v>
      </c>
      <c r="D113" s="37"/>
      <c r="E113" s="38">
        <f>SUM(E100:P100)</f>
        <v>-220000</v>
      </c>
      <c r="F113" s="38">
        <f>SUM(Q101:AB101)</f>
        <v>66343.182272727281</v>
      </c>
      <c r="G113" s="38">
        <f>SUM(AC101:AN101)</f>
        <v>66343.182272727281</v>
      </c>
    </row>
    <row r="114" spans="2:7" x14ac:dyDescent="0.2">
      <c r="B114" s="114"/>
      <c r="C114" s="34" t="s">
        <v>33</v>
      </c>
      <c r="D114" s="37"/>
      <c r="E114" s="38">
        <f>SUM(E101:P101)</f>
        <v>66343.182272727281</v>
      </c>
      <c r="F114" s="38">
        <f>SUM(Q102:AB102)</f>
        <v>25360275.321465865</v>
      </c>
      <c r="G114" s="38">
        <f>SUM(AC102:AN102)</f>
        <v>25360275.321465865</v>
      </c>
    </row>
    <row r="115" spans="2:7" ht="17" thickBot="1" x14ac:dyDescent="0.25">
      <c r="B115" s="114"/>
      <c r="C115" s="34" t="s">
        <v>34</v>
      </c>
      <c r="D115" s="37">
        <f>D103</f>
        <v>-1168500</v>
      </c>
      <c r="E115" s="38">
        <f>SUM(E102:P102)</f>
        <v>12235137.660732932</v>
      </c>
      <c r="F115" s="38">
        <f>SUM(Q103:AB103)</f>
        <v>0</v>
      </c>
      <c r="G115" s="38">
        <f>SUM(AC103:AN103)</f>
        <v>0</v>
      </c>
    </row>
    <row r="116" spans="2:7" ht="17" thickBot="1" x14ac:dyDescent="0.25">
      <c r="B116" s="114"/>
      <c r="C116" s="39" t="s">
        <v>37</v>
      </c>
      <c r="D116" s="40">
        <f>SUM(D111:D115)</f>
        <v>-1188500</v>
      </c>
      <c r="E116" s="41">
        <f>SUM(E111:E115)</f>
        <v>18332834.843005661</v>
      </c>
      <c r="F116" s="41">
        <f>SUM(F111:F115)</f>
        <v>25566618.503738593</v>
      </c>
      <c r="G116" s="41">
        <f>SUM(G111:G115)</f>
        <v>25566618.503738593</v>
      </c>
    </row>
    <row r="117" spans="2:7" ht="17" thickBot="1" x14ac:dyDescent="0.25">
      <c r="B117" s="114"/>
      <c r="C117" s="42" t="s">
        <v>38</v>
      </c>
      <c r="D117" s="46">
        <f>NPV(B66,E116:G116)+D116</f>
        <v>48094417.406663671</v>
      </c>
      <c r="E117" s="43"/>
      <c r="F117" s="43"/>
      <c r="G117" s="43"/>
    </row>
    <row r="118" spans="2:7" ht="17" thickBot="1" x14ac:dyDescent="0.25">
      <c r="B118" s="114"/>
      <c r="C118" s="8" t="s">
        <v>93</v>
      </c>
      <c r="D118" s="54">
        <f>IRR(D116:G116)</f>
        <v>15.783288083352577</v>
      </c>
    </row>
    <row r="119" spans="2:7" ht="17" thickBot="1" x14ac:dyDescent="0.25">
      <c r="B119" s="115"/>
      <c r="C119" s="8" t="s">
        <v>48</v>
      </c>
      <c r="D119" s="44" t="s">
        <v>44</v>
      </c>
    </row>
    <row r="120" spans="2:7" x14ac:dyDescent="0.2">
      <c r="D120" s="1">
        <f>D116</f>
        <v>-1188500</v>
      </c>
      <c r="E120" s="48">
        <f>D120+E116</f>
        <v>17144334.843005661</v>
      </c>
      <c r="F120" s="1">
        <f>E120+F116</f>
        <v>42710953.346744254</v>
      </c>
      <c r="G120" s="49">
        <f>F120+G116</f>
        <v>68277571.850482851</v>
      </c>
    </row>
  </sheetData>
  <mergeCells count="21">
    <mergeCell ref="B2:AN2"/>
    <mergeCell ref="E6:P6"/>
    <mergeCell ref="Q6:AB6"/>
    <mergeCell ref="AC6:AN6"/>
    <mergeCell ref="B7:B17"/>
    <mergeCell ref="B20:B30"/>
    <mergeCell ref="C65:AN65"/>
    <mergeCell ref="E68:P68"/>
    <mergeCell ref="Q68:AB68"/>
    <mergeCell ref="AC68:AN68"/>
    <mergeCell ref="E34:P34"/>
    <mergeCell ref="Q34:AB34"/>
    <mergeCell ref="AC34:AN34"/>
    <mergeCell ref="B35:B45"/>
    <mergeCell ref="B48:B58"/>
    <mergeCell ref="B110:B119"/>
    <mergeCell ref="B69:B79"/>
    <mergeCell ref="B82:B92"/>
    <mergeCell ref="Q96:AB96"/>
    <mergeCell ref="AC96:AN96"/>
    <mergeCell ref="B97:B10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BF980-178A-7741-A149-930C06C190F6}">
  <dimension ref="B2:O34"/>
  <sheetViews>
    <sheetView topLeftCell="A7" workbookViewId="0">
      <selection activeCell="B29" sqref="B29:G34"/>
    </sheetView>
  </sheetViews>
  <sheetFormatPr baseColWidth="10" defaultRowHeight="16" x14ac:dyDescent="0.2"/>
  <cols>
    <col min="2" max="2" width="35.6640625" bestFit="1" customWidth="1"/>
    <col min="3" max="6" width="13.83203125" customWidth="1"/>
    <col min="7" max="7" width="13.83203125" style="1" customWidth="1"/>
    <col min="9" max="9" width="17.33203125" bestFit="1" customWidth="1"/>
    <col min="11" max="11" width="11" customWidth="1"/>
    <col min="12" max="12" width="15.6640625" style="1" customWidth="1"/>
    <col min="13" max="13" width="17.83203125" style="1" customWidth="1"/>
    <col min="14" max="14" width="12.1640625" customWidth="1"/>
    <col min="15" max="15" width="10.83203125" style="1"/>
  </cols>
  <sheetData>
    <row r="2" spans="2:15" x14ac:dyDescent="0.2">
      <c r="E2" s="1"/>
    </row>
    <row r="3" spans="2:15" x14ac:dyDescent="0.2">
      <c r="E3" s="1"/>
    </row>
    <row r="4" spans="2:15" x14ac:dyDescent="0.2">
      <c r="B4" s="55" t="s">
        <v>0</v>
      </c>
      <c r="C4" t="s">
        <v>9</v>
      </c>
      <c r="D4" t="s">
        <v>11</v>
      </c>
      <c r="E4" t="s">
        <v>14</v>
      </c>
      <c r="F4" s="55" t="s">
        <v>13</v>
      </c>
      <c r="G4" s="58" t="s">
        <v>55</v>
      </c>
      <c r="H4" s="55" t="s">
        <v>56</v>
      </c>
      <c r="I4" s="55" t="s">
        <v>57</v>
      </c>
      <c r="L4"/>
      <c r="M4"/>
      <c r="O4"/>
    </row>
    <row r="5" spans="2:15" x14ac:dyDescent="0.2">
      <c r="B5" s="56" t="s">
        <v>1</v>
      </c>
      <c r="C5" s="55" t="s">
        <v>10</v>
      </c>
      <c r="D5" s="55">
        <v>7000</v>
      </c>
      <c r="E5" s="60">
        <f>-D5*3</f>
        <v>-21000</v>
      </c>
      <c r="F5" s="56">
        <v>2</v>
      </c>
      <c r="G5" s="20">
        <f t="shared" ref="G5" si="0">F5*E5</f>
        <v>-42000</v>
      </c>
      <c r="H5" s="56">
        <v>5</v>
      </c>
      <c r="I5" s="63">
        <f>Tabla1714[[#This Row],['# Cadenas2]]*Tabla1714[[#This Row],[Costo por cadena]]</f>
        <v>-105000</v>
      </c>
      <c r="L5"/>
      <c r="M5"/>
      <c r="O5"/>
    </row>
    <row r="6" spans="2:15" x14ac:dyDescent="0.2">
      <c r="B6" s="56" t="s">
        <v>2</v>
      </c>
      <c r="C6" s="56">
        <v>0</v>
      </c>
      <c r="D6" s="56">
        <v>7000</v>
      </c>
      <c r="E6" s="61">
        <f>-D6*Tabla1714[[#This Row],[Cantidad]]</f>
        <v>0</v>
      </c>
      <c r="F6" s="56">
        <v>2</v>
      </c>
      <c r="G6" s="20">
        <f>F6*E6</f>
        <v>0</v>
      </c>
      <c r="H6" s="56">
        <v>5</v>
      </c>
      <c r="I6" s="63">
        <f>Tabla1714[[#This Row],['# Cadenas2]]*Tabla1714[[#This Row],[Costo por cadena]]</f>
        <v>0</v>
      </c>
      <c r="L6"/>
      <c r="M6"/>
      <c r="O6"/>
    </row>
    <row r="7" spans="2:15" x14ac:dyDescent="0.2">
      <c r="B7" s="56" t="s">
        <v>3</v>
      </c>
      <c r="C7" s="56" t="s">
        <v>10</v>
      </c>
      <c r="D7" s="56">
        <v>7000</v>
      </c>
      <c r="E7" s="61">
        <f>-D7*3</f>
        <v>-21000</v>
      </c>
      <c r="F7" s="56">
        <v>2</v>
      </c>
      <c r="G7" s="20">
        <f t="shared" ref="G7:G12" si="1">F7*E7</f>
        <v>-42000</v>
      </c>
      <c r="H7" s="56">
        <v>5</v>
      </c>
      <c r="I7" s="63">
        <f>Tabla1714[[#This Row],['# Cadenas2]]*Tabla1714[[#This Row],[Costo por cadena]]</f>
        <v>-105000</v>
      </c>
      <c r="L7"/>
      <c r="M7"/>
      <c r="O7"/>
    </row>
    <row r="8" spans="2:15" x14ac:dyDescent="0.2">
      <c r="B8" s="56" t="s">
        <v>4</v>
      </c>
      <c r="C8" s="56">
        <v>0</v>
      </c>
      <c r="D8" s="56">
        <v>7000</v>
      </c>
      <c r="E8" s="61">
        <f>-D8*Tabla1714[[#This Row],[Cantidad]]</f>
        <v>0</v>
      </c>
      <c r="F8" s="56">
        <v>2</v>
      </c>
      <c r="G8" s="20">
        <f t="shared" si="1"/>
        <v>0</v>
      </c>
      <c r="H8" s="56">
        <v>5</v>
      </c>
      <c r="I8" s="63">
        <f>Tabla1714[[#This Row],['# Cadenas2]]*Tabla1714[[#This Row],[Costo por cadena]]</f>
        <v>0</v>
      </c>
      <c r="L8"/>
      <c r="M8"/>
      <c r="O8"/>
    </row>
    <row r="9" spans="2:15" x14ac:dyDescent="0.2">
      <c r="B9" s="56" t="s">
        <v>5</v>
      </c>
      <c r="C9" s="56" t="s">
        <v>10</v>
      </c>
      <c r="D9" s="56">
        <v>7000</v>
      </c>
      <c r="E9" s="61">
        <f>-D9*3</f>
        <v>-21000</v>
      </c>
      <c r="F9" s="56">
        <v>2</v>
      </c>
      <c r="G9" s="20">
        <f t="shared" si="1"/>
        <v>-42000</v>
      </c>
      <c r="H9" s="56">
        <v>5</v>
      </c>
      <c r="I9" s="63">
        <f>Tabla1714[[#This Row],['# Cadenas2]]*Tabla1714[[#This Row],[Costo por cadena]]</f>
        <v>-105000</v>
      </c>
      <c r="L9"/>
      <c r="M9"/>
      <c r="O9"/>
    </row>
    <row r="10" spans="2:15" x14ac:dyDescent="0.2">
      <c r="B10" s="56" t="s">
        <v>6</v>
      </c>
      <c r="C10" s="56">
        <v>0</v>
      </c>
      <c r="D10" s="56">
        <v>7000</v>
      </c>
      <c r="E10" s="61">
        <f>-D10*Tabla1714[[#This Row],[Cantidad]]</f>
        <v>0</v>
      </c>
      <c r="F10" s="56">
        <v>2</v>
      </c>
      <c r="G10" s="20">
        <f t="shared" si="1"/>
        <v>0</v>
      </c>
      <c r="H10" s="56">
        <v>5</v>
      </c>
      <c r="I10" s="63">
        <f>Tabla1714[[#This Row],['# Cadenas2]]*Tabla1714[[#This Row],[Costo por cadena]]</f>
        <v>0</v>
      </c>
      <c r="L10"/>
      <c r="M10"/>
      <c r="O10"/>
    </row>
    <row r="11" spans="2:15" x14ac:dyDescent="0.2">
      <c r="B11" s="56" t="s">
        <v>7</v>
      </c>
      <c r="C11" s="56" t="s">
        <v>10</v>
      </c>
      <c r="D11" s="56">
        <v>7000</v>
      </c>
      <c r="E11" s="61">
        <f>-D11*3</f>
        <v>-21000</v>
      </c>
      <c r="F11" s="56">
        <v>2</v>
      </c>
      <c r="G11" s="20">
        <f t="shared" si="1"/>
        <v>-42000</v>
      </c>
      <c r="H11" s="56">
        <v>5</v>
      </c>
      <c r="I11" s="63">
        <f>Tabla1714[[#This Row],['# Cadenas2]]*Tabla1714[[#This Row],[Costo por cadena]]</f>
        <v>-105000</v>
      </c>
      <c r="L11"/>
      <c r="M11"/>
      <c r="O11"/>
    </row>
    <row r="12" spans="2:15" x14ac:dyDescent="0.2">
      <c r="B12" s="57" t="s">
        <v>8</v>
      </c>
      <c r="C12" s="57">
        <v>1</v>
      </c>
      <c r="D12" s="57">
        <v>50000</v>
      </c>
      <c r="E12" s="62">
        <f>-D12*Tabla1714[[#This Row],[Cantidad]]</f>
        <v>-50000</v>
      </c>
      <c r="F12" s="57">
        <v>1</v>
      </c>
      <c r="G12" s="59">
        <f t="shared" si="1"/>
        <v>-50000</v>
      </c>
      <c r="H12" s="57">
        <v>1</v>
      </c>
      <c r="I12" s="64">
        <f>Tabla1714[[#This Row],['# Cadenas2]]*Tabla1714[[#This Row],[Costo por cadena]]</f>
        <v>-50000</v>
      </c>
      <c r="L12"/>
      <c r="M12"/>
      <c r="O12"/>
    </row>
    <row r="13" spans="2:15" x14ac:dyDescent="0.2">
      <c r="E13" s="1"/>
    </row>
    <row r="14" spans="2:15" x14ac:dyDescent="0.2">
      <c r="E14" s="1"/>
    </row>
    <row r="15" spans="2:15" x14ac:dyDescent="0.2">
      <c r="E15" s="1"/>
    </row>
    <row r="16" spans="2:15" x14ac:dyDescent="0.2">
      <c r="E16" s="1"/>
    </row>
    <row r="17" spans="2:7" x14ac:dyDescent="0.2">
      <c r="B17" s="55" t="s">
        <v>0</v>
      </c>
      <c r="C17" s="55" t="s">
        <v>16</v>
      </c>
      <c r="D17" s="65" t="s">
        <v>17</v>
      </c>
      <c r="E17" s="55" t="s">
        <v>18</v>
      </c>
      <c r="F17" s="65" t="s">
        <v>35</v>
      </c>
      <c r="G17" s="58" t="s">
        <v>36</v>
      </c>
    </row>
    <row r="18" spans="2:7" x14ac:dyDescent="0.2">
      <c r="B18" s="56" t="s">
        <v>15</v>
      </c>
      <c r="C18" s="56">
        <v>16</v>
      </c>
      <c r="D18" s="66">
        <f>C18/3</f>
        <v>5.333333333333333</v>
      </c>
      <c r="E18" s="20">
        <f>D18*3*20000</f>
        <v>320000</v>
      </c>
      <c r="F18" s="68">
        <f>Tabla311[[#This Row],[Costo ahorrado del equipo de formación (por cadena)]]*2</f>
        <v>640000</v>
      </c>
      <c r="G18" s="20">
        <f>Tabla311[[#This Row],[Costo ahorrado del equipo de formación (por cadena)]]*5</f>
        <v>1600000</v>
      </c>
    </row>
    <row r="19" spans="2:7" x14ac:dyDescent="0.2">
      <c r="B19" s="56" t="s">
        <v>2</v>
      </c>
      <c r="C19" s="56">
        <v>7</v>
      </c>
      <c r="D19" s="66">
        <f t="shared" ref="D19:D23" si="2">C19/3</f>
        <v>2.3333333333333335</v>
      </c>
      <c r="E19" s="20">
        <f t="shared" ref="E19:E23" si="3">D19*3*20000</f>
        <v>140000</v>
      </c>
      <c r="F19" s="68">
        <f>Tabla311[[#This Row],[Costo ahorrado del equipo de formación (por cadena)]]*2</f>
        <v>280000</v>
      </c>
      <c r="G19" s="20">
        <f>Tabla311[[#This Row],[Costo ahorrado del equipo de formación (por cadena)]]*5</f>
        <v>700000</v>
      </c>
    </row>
    <row r="20" spans="2:7" x14ac:dyDescent="0.2">
      <c r="B20" s="56" t="s">
        <v>3</v>
      </c>
      <c r="C20" s="56">
        <v>10</v>
      </c>
      <c r="D20" s="66">
        <f t="shared" si="2"/>
        <v>3.3333333333333335</v>
      </c>
      <c r="E20" s="20">
        <f t="shared" si="3"/>
        <v>200000</v>
      </c>
      <c r="F20" s="68">
        <f>Tabla311[[#This Row],[Costo ahorrado del equipo de formación (por cadena)]]*2</f>
        <v>400000</v>
      </c>
      <c r="G20" s="20">
        <f>Tabla311[[#This Row],[Costo ahorrado del equipo de formación (por cadena)]]*5</f>
        <v>1000000</v>
      </c>
    </row>
    <row r="21" spans="2:7" x14ac:dyDescent="0.2">
      <c r="B21" s="56" t="s">
        <v>4</v>
      </c>
      <c r="C21" s="56">
        <v>10</v>
      </c>
      <c r="D21" s="66">
        <f t="shared" si="2"/>
        <v>3.3333333333333335</v>
      </c>
      <c r="E21" s="20">
        <f t="shared" si="3"/>
        <v>200000</v>
      </c>
      <c r="F21" s="68">
        <f>Tabla311[[#This Row],[Costo ahorrado del equipo de formación (por cadena)]]*2</f>
        <v>400000</v>
      </c>
      <c r="G21" s="20">
        <f>Tabla311[[#This Row],[Costo ahorrado del equipo de formación (por cadena)]]*5</f>
        <v>1000000</v>
      </c>
    </row>
    <row r="22" spans="2:7" x14ac:dyDescent="0.2">
      <c r="B22" s="56" t="s">
        <v>5</v>
      </c>
      <c r="C22" s="56">
        <v>5</v>
      </c>
      <c r="D22" s="66">
        <f t="shared" si="2"/>
        <v>1.6666666666666667</v>
      </c>
      <c r="E22" s="20">
        <f t="shared" si="3"/>
        <v>100000</v>
      </c>
      <c r="F22" s="68">
        <f>Tabla311[[#This Row],[Costo ahorrado del equipo de formación (por cadena)]]*2</f>
        <v>200000</v>
      </c>
      <c r="G22" s="20">
        <f>Tabla311[[#This Row],[Costo ahorrado del equipo de formación (por cadena)]]*5</f>
        <v>500000</v>
      </c>
    </row>
    <row r="23" spans="2:7" x14ac:dyDescent="0.2">
      <c r="B23" s="57" t="s">
        <v>6</v>
      </c>
      <c r="C23" s="57">
        <v>8</v>
      </c>
      <c r="D23" s="67">
        <f t="shared" si="2"/>
        <v>2.6666666666666665</v>
      </c>
      <c r="E23" s="59">
        <f t="shared" si="3"/>
        <v>160000</v>
      </c>
      <c r="F23" s="69">
        <f>Tabla311[[#This Row],[Costo ahorrado del equipo de formación (por cadena)]]*2</f>
        <v>320000</v>
      </c>
      <c r="G23" s="59">
        <f>Tabla311[[#This Row],[Costo ahorrado del equipo de formación (por cadena)]]*5</f>
        <v>800000</v>
      </c>
    </row>
    <row r="29" spans="2:7" x14ac:dyDescent="0.2">
      <c r="B29" s="55" t="s">
        <v>19</v>
      </c>
      <c r="C29" s="55" t="s">
        <v>25</v>
      </c>
      <c r="D29" s="65" t="s">
        <v>26</v>
      </c>
      <c r="E29" s="55" t="s">
        <v>27</v>
      </c>
      <c r="F29" s="65" t="s">
        <v>28</v>
      </c>
      <c r="G29" s="1" t="s">
        <v>29</v>
      </c>
    </row>
    <row r="30" spans="2:7" x14ac:dyDescent="0.2">
      <c r="B30" s="56" t="s">
        <v>20</v>
      </c>
      <c r="C30" s="20">
        <v>19485000</v>
      </c>
      <c r="D30" s="66" t="s">
        <v>30</v>
      </c>
      <c r="E30" s="20">
        <v>19166667</v>
      </c>
      <c r="F30" s="101">
        <v>10000000</v>
      </c>
      <c r="G30" s="58" t="s">
        <v>30</v>
      </c>
    </row>
    <row r="31" spans="2:7" x14ac:dyDescent="0.2">
      <c r="B31" s="56" t="s">
        <v>21</v>
      </c>
      <c r="C31" s="56">
        <v>18</v>
      </c>
      <c r="D31" s="66">
        <v>0</v>
      </c>
      <c r="E31" s="56">
        <v>140</v>
      </c>
      <c r="F31" s="66">
        <v>120</v>
      </c>
      <c r="G31" s="100">
        <v>0</v>
      </c>
    </row>
    <row r="32" spans="2:7" x14ac:dyDescent="0.2">
      <c r="B32" s="56" t="s">
        <v>22</v>
      </c>
      <c r="C32" s="20">
        <f>(C30/C31)/(44*4)</f>
        <v>6150.568181818182</v>
      </c>
      <c r="D32" s="66" t="s">
        <v>30</v>
      </c>
      <c r="E32" s="63">
        <f>(E30/E31)/(44*4)</f>
        <v>777.86797889610386</v>
      </c>
      <c r="F32" s="68">
        <f>(F30/F31)/(44*4)</f>
        <v>473.48484848484844</v>
      </c>
      <c r="G32" s="20" t="s">
        <v>30</v>
      </c>
    </row>
    <row r="33" spans="2:7" x14ac:dyDescent="0.2">
      <c r="B33" s="56" t="s">
        <v>43</v>
      </c>
      <c r="C33" s="56">
        <f>C31*0.02</f>
        <v>0.36</v>
      </c>
      <c r="D33" s="66">
        <f t="shared" ref="D33:G33" si="4">D31*0.02</f>
        <v>0</v>
      </c>
      <c r="E33" s="56">
        <f t="shared" si="4"/>
        <v>2.8000000000000003</v>
      </c>
      <c r="F33" s="66">
        <f t="shared" si="4"/>
        <v>2.4</v>
      </c>
      <c r="G33" s="56">
        <f t="shared" si="4"/>
        <v>0</v>
      </c>
    </row>
    <row r="34" spans="2:7" x14ac:dyDescent="0.2">
      <c r="B34" s="57" t="s">
        <v>24</v>
      </c>
      <c r="C34" s="64">
        <f>C32*C33</f>
        <v>2214.2045454545455</v>
      </c>
      <c r="D34" s="67" t="s">
        <v>30</v>
      </c>
      <c r="E34" s="64">
        <f>E32*E33</f>
        <v>2178.0303409090911</v>
      </c>
      <c r="F34" s="69">
        <f>F32*F33</f>
        <v>1136.3636363636363</v>
      </c>
      <c r="G34" s="59" t="s">
        <v>30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DBF07-ECC7-FE43-AEF6-50C8F431417D}">
  <dimension ref="A1:AP54"/>
  <sheetViews>
    <sheetView topLeftCell="J47" workbookViewId="0">
      <selection activeCell="Z21" sqref="Z21"/>
    </sheetView>
  </sheetViews>
  <sheetFormatPr baseColWidth="10" defaultRowHeight="16" x14ac:dyDescent="0.2"/>
  <cols>
    <col min="3" max="3" width="33.33203125" bestFit="1" customWidth="1"/>
    <col min="4" max="4" width="12.6640625" bestFit="1" customWidth="1"/>
    <col min="5" max="5" width="19.33203125" bestFit="1" customWidth="1"/>
  </cols>
  <sheetData>
    <row r="1" spans="1:42" ht="17" thickBot="1" x14ac:dyDescent="0.25"/>
    <row r="2" spans="1:42" ht="25" thickBot="1" x14ac:dyDescent="0.35">
      <c r="C2" s="116" t="s">
        <v>105</v>
      </c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8"/>
    </row>
    <row r="3" spans="1:42" x14ac:dyDescent="0.2">
      <c r="A3" s="50" t="s">
        <v>51</v>
      </c>
      <c r="B3" s="51">
        <f>18.21%</f>
        <v>0.18210000000000001</v>
      </c>
    </row>
    <row r="4" spans="1:42" ht="17" thickBot="1" x14ac:dyDescent="0.25">
      <c r="A4" s="52" t="s">
        <v>52</v>
      </c>
      <c r="B4" s="53">
        <f>1.39%</f>
        <v>1.3899999999999999E-2</v>
      </c>
    </row>
    <row r="5" spans="1:42" ht="17" thickBot="1" x14ac:dyDescent="0.25">
      <c r="E5" s="120" t="s">
        <v>44</v>
      </c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19" t="s">
        <v>45</v>
      </c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20" t="s">
        <v>46</v>
      </c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120"/>
    </row>
    <row r="6" spans="1:42" ht="17" customHeight="1" thickBot="1" x14ac:dyDescent="0.25">
      <c r="B6" s="113" t="s">
        <v>53</v>
      </c>
      <c r="C6" s="16"/>
      <c r="D6" s="21">
        <v>45748</v>
      </c>
      <c r="E6" s="9">
        <v>45778</v>
      </c>
      <c r="F6" s="9">
        <v>45809</v>
      </c>
      <c r="G6" s="9">
        <v>45839</v>
      </c>
      <c r="H6" s="9">
        <v>45870</v>
      </c>
      <c r="I6" s="9">
        <v>45901</v>
      </c>
      <c r="J6" s="9">
        <v>45931</v>
      </c>
      <c r="K6" s="9">
        <v>45962</v>
      </c>
      <c r="L6" s="9">
        <v>45992</v>
      </c>
      <c r="M6" s="9">
        <v>46023</v>
      </c>
      <c r="N6" s="9">
        <v>46054</v>
      </c>
      <c r="O6" s="9">
        <v>46082</v>
      </c>
      <c r="P6" s="9">
        <v>46113</v>
      </c>
      <c r="Q6" s="9">
        <v>46143</v>
      </c>
      <c r="R6" s="9">
        <v>46174</v>
      </c>
      <c r="S6" s="9">
        <v>46204</v>
      </c>
      <c r="T6" s="9">
        <v>46235</v>
      </c>
      <c r="U6" s="9">
        <v>46266</v>
      </c>
      <c r="V6" s="9">
        <v>46296</v>
      </c>
      <c r="W6" s="9">
        <v>46327</v>
      </c>
      <c r="X6" s="9">
        <v>46357</v>
      </c>
      <c r="Y6" s="9">
        <v>46388</v>
      </c>
      <c r="Z6" s="9">
        <v>46419</v>
      </c>
      <c r="AA6" s="9">
        <v>46447</v>
      </c>
      <c r="AB6" s="9">
        <v>46478</v>
      </c>
      <c r="AC6" s="9">
        <v>46508</v>
      </c>
      <c r="AD6" s="9">
        <v>46539</v>
      </c>
      <c r="AE6" s="9">
        <v>46569</v>
      </c>
      <c r="AF6" s="9">
        <v>46600</v>
      </c>
      <c r="AG6" s="9">
        <v>46631</v>
      </c>
      <c r="AH6" s="9">
        <v>46661</v>
      </c>
      <c r="AI6" s="9">
        <v>46692</v>
      </c>
      <c r="AJ6" s="9">
        <v>46722</v>
      </c>
      <c r="AK6" s="9">
        <v>46753</v>
      </c>
      <c r="AL6" s="9">
        <v>46784</v>
      </c>
      <c r="AM6" s="9">
        <v>46813</v>
      </c>
      <c r="AN6" s="10">
        <v>46844</v>
      </c>
    </row>
    <row r="7" spans="1:42" x14ac:dyDescent="0.2">
      <c r="B7" s="114"/>
      <c r="C7" s="17" t="s">
        <v>31</v>
      </c>
      <c r="D7" s="22"/>
      <c r="E7" s="19" cm="1">
        <f t="array" ref="E7:J7">TRANSPOSE(Tabla311[2 cadenas])</f>
        <v>640000</v>
      </c>
      <c r="F7" s="19">
        <v>280000</v>
      </c>
      <c r="G7" s="19">
        <v>400000</v>
      </c>
      <c r="H7" s="19">
        <v>400000</v>
      </c>
      <c r="I7" s="19">
        <v>200000</v>
      </c>
      <c r="J7" s="19">
        <v>320000</v>
      </c>
      <c r="K7" s="19"/>
      <c r="L7" s="19"/>
      <c r="M7" s="19"/>
      <c r="N7" s="19"/>
      <c r="O7" s="19">
        <f>(20000)*2</f>
        <v>40000</v>
      </c>
      <c r="Q7" s="127">
        <v>40000</v>
      </c>
      <c r="R7" s="19"/>
      <c r="S7" s="127">
        <v>40000</v>
      </c>
      <c r="T7" s="127"/>
      <c r="U7" s="127">
        <v>40000</v>
      </c>
      <c r="V7" s="127"/>
      <c r="W7" s="127">
        <v>40000</v>
      </c>
      <c r="X7" s="127"/>
      <c r="Z7" s="19"/>
      <c r="AA7" s="19">
        <f>(20000)*2</f>
        <v>40000</v>
      </c>
      <c r="AC7" s="127">
        <v>40000</v>
      </c>
      <c r="AD7" s="19"/>
      <c r="AE7" s="127">
        <v>40000</v>
      </c>
      <c r="AF7" s="127"/>
      <c r="AG7" s="127">
        <v>40000</v>
      </c>
      <c r="AH7" s="127"/>
      <c r="AI7" s="127">
        <v>40000</v>
      </c>
      <c r="AJ7" s="127"/>
      <c r="AL7" s="19"/>
      <c r="AM7" s="19">
        <f>(20000)*2</f>
        <v>40000</v>
      </c>
      <c r="AN7" s="12"/>
    </row>
    <row r="8" spans="1:42" x14ac:dyDescent="0.2">
      <c r="B8" s="114"/>
      <c r="C8" s="17" t="s">
        <v>58</v>
      </c>
      <c r="D8" s="24">
        <v>-20000</v>
      </c>
      <c r="E8" s="20">
        <v>-20000</v>
      </c>
      <c r="F8" s="20">
        <v>-20000</v>
      </c>
      <c r="G8" s="20">
        <v>-20000</v>
      </c>
      <c r="H8" s="20">
        <v>-20000</v>
      </c>
      <c r="I8" s="20">
        <v>-20000</v>
      </c>
      <c r="J8" s="20">
        <v>-20000</v>
      </c>
      <c r="K8" s="20">
        <v>-20000</v>
      </c>
      <c r="L8" s="20">
        <v>-40000</v>
      </c>
      <c r="M8" s="20">
        <v>-20000</v>
      </c>
      <c r="N8" s="20"/>
      <c r="O8" s="20"/>
      <c r="P8" s="20">
        <v>-20000</v>
      </c>
      <c r="Q8" s="20"/>
      <c r="R8" s="20"/>
      <c r="S8" s="20">
        <v>-20000</v>
      </c>
      <c r="T8" s="20">
        <v>-20000</v>
      </c>
      <c r="U8" s="20"/>
      <c r="V8" s="20"/>
      <c r="W8" s="20"/>
      <c r="X8" s="20">
        <v>-20000</v>
      </c>
      <c r="Y8" s="20"/>
      <c r="Z8" s="20"/>
      <c r="AA8" s="20"/>
      <c r="AB8" s="20">
        <v>-20000</v>
      </c>
      <c r="AC8" s="20"/>
      <c r="AD8" s="20"/>
      <c r="AE8" s="20">
        <v>-20000</v>
      </c>
      <c r="AF8" s="20">
        <v>-20000</v>
      </c>
      <c r="AG8" s="20"/>
      <c r="AH8" s="20"/>
      <c r="AJ8" s="20">
        <v>-20000</v>
      </c>
      <c r="AK8" s="20"/>
      <c r="AL8" s="20"/>
      <c r="AM8" s="20"/>
      <c r="AN8" s="12">
        <v>-20000</v>
      </c>
    </row>
    <row r="9" spans="1:42" x14ac:dyDescent="0.2">
      <c r="B9" s="114"/>
      <c r="C9" s="17" t="s">
        <v>32</v>
      </c>
      <c r="D9" s="24"/>
      <c r="E9" s="20">
        <f>'Tablas pesimista'!$C$34</f>
        <v>2214.2045454545455</v>
      </c>
      <c r="F9" s="20">
        <f>'Tablas pesimista'!$C$34</f>
        <v>2214.2045454545455</v>
      </c>
      <c r="G9" s="20">
        <f>'Tablas pesimista'!$C$34</f>
        <v>2214.2045454545455</v>
      </c>
      <c r="H9" s="20">
        <f>'Tablas pesimista'!$C$34</f>
        <v>2214.2045454545455</v>
      </c>
      <c r="I9" s="20">
        <f>'Tablas pesimista'!$C$34</f>
        <v>2214.2045454545455</v>
      </c>
      <c r="J9" s="20">
        <f>'Tablas pesimista'!$C$34</f>
        <v>2214.2045454545455</v>
      </c>
      <c r="K9" s="20">
        <f>'Tablas pesimista'!$C$34</f>
        <v>2214.2045454545455</v>
      </c>
      <c r="L9" s="20">
        <f>'Tablas pesimista'!$C$34</f>
        <v>2214.2045454545455</v>
      </c>
      <c r="M9" s="20">
        <f>'Tablas pesimista'!$C$34</f>
        <v>2214.2045454545455</v>
      </c>
      <c r="N9" s="20">
        <f>'Tablas pesimista'!$C$34</f>
        <v>2214.2045454545455</v>
      </c>
      <c r="O9" s="20">
        <f>'Tablas pesimista'!$C$34</f>
        <v>2214.2045454545455</v>
      </c>
      <c r="P9" s="20">
        <f>'Tablas pesimista'!$C$34</f>
        <v>2214.2045454545455</v>
      </c>
      <c r="Q9" s="20">
        <f>'Tablas pesimista'!$C$34</f>
        <v>2214.2045454545455</v>
      </c>
      <c r="R9" s="20">
        <f>'Tablas pesimista'!$C$34</f>
        <v>2214.2045454545455</v>
      </c>
      <c r="S9" s="20">
        <f>'Tablas pesimista'!$C$34</f>
        <v>2214.2045454545455</v>
      </c>
      <c r="T9" s="20">
        <f>'Tablas pesimista'!$C$34</f>
        <v>2214.2045454545455</v>
      </c>
      <c r="U9" s="20">
        <f>'Tablas pesimista'!$C$34</f>
        <v>2214.2045454545455</v>
      </c>
      <c r="V9" s="20">
        <f>'Tablas pesimista'!$C$34</f>
        <v>2214.2045454545455</v>
      </c>
      <c r="W9" s="20">
        <f>'Tablas pesimista'!$C$34</f>
        <v>2214.2045454545455</v>
      </c>
      <c r="X9" s="20">
        <f>'Tablas pesimista'!$C$34</f>
        <v>2214.2045454545455</v>
      </c>
      <c r="Y9" s="20">
        <f>'Tablas pesimista'!$C$34</f>
        <v>2214.2045454545455</v>
      </c>
      <c r="Z9" s="20">
        <f>'Tablas pesimista'!$C$34</f>
        <v>2214.2045454545455</v>
      </c>
      <c r="AA9" s="20">
        <f>'Tablas pesimista'!$C$34</f>
        <v>2214.2045454545455</v>
      </c>
      <c r="AB9" s="20">
        <f>'Tablas pesimista'!$C$34</f>
        <v>2214.2045454545455</v>
      </c>
      <c r="AC9" s="20">
        <f>'Tablas pesimista'!$C$34</f>
        <v>2214.2045454545455</v>
      </c>
      <c r="AD9" s="20">
        <f>'Tablas pesimista'!$C$34</f>
        <v>2214.2045454545455</v>
      </c>
      <c r="AE9" s="20">
        <f>'Tablas pesimista'!$C$34</f>
        <v>2214.2045454545455</v>
      </c>
      <c r="AF9" s="20">
        <f>'Tablas pesimista'!$C$34</f>
        <v>2214.2045454545455</v>
      </c>
      <c r="AG9" s="20">
        <f>'Tablas pesimista'!$C$34</f>
        <v>2214.2045454545455</v>
      </c>
      <c r="AH9" s="20">
        <f>'Tablas pesimista'!$C$34</f>
        <v>2214.2045454545455</v>
      </c>
      <c r="AI9" s="20">
        <f>'Tablas pesimista'!$C$34</f>
        <v>2214.2045454545455</v>
      </c>
      <c r="AJ9" s="20">
        <f>'Tablas pesimista'!$C$34</f>
        <v>2214.2045454545455</v>
      </c>
      <c r="AK9" s="20">
        <f>'Tablas pesimista'!$C$34</f>
        <v>2214.2045454545455</v>
      </c>
      <c r="AL9" s="20">
        <f>'Tablas pesimista'!$C$34</f>
        <v>2214.2045454545455</v>
      </c>
      <c r="AM9" s="20">
        <f>'Tablas pesimista'!$C$34</f>
        <v>2214.2045454545455</v>
      </c>
      <c r="AN9" s="12">
        <f>'Tablas pesimista'!$C$34</f>
        <v>2214.2045454545455</v>
      </c>
    </row>
    <row r="10" spans="1:42" x14ac:dyDescent="0.2">
      <c r="B10" s="114"/>
      <c r="C10" s="17" t="s">
        <v>33</v>
      </c>
      <c r="D10" s="24"/>
      <c r="E10" s="20" cm="1">
        <f t="array" ref="E10:L10">TRANSPOSE(Tabla1714[Costo 2 cadenas])</f>
        <v>-42000</v>
      </c>
      <c r="F10" s="20">
        <v>0</v>
      </c>
      <c r="G10" s="20">
        <v>-42000</v>
      </c>
      <c r="H10" s="20">
        <v>0</v>
      </c>
      <c r="I10" s="20">
        <v>-42000</v>
      </c>
      <c r="J10" s="20">
        <v>0</v>
      </c>
      <c r="K10" s="20">
        <v>-42000</v>
      </c>
      <c r="L10" s="20">
        <v>-50000</v>
      </c>
      <c r="M10" s="20"/>
      <c r="N10" s="20"/>
      <c r="O10" s="20"/>
      <c r="P10" s="20">
        <f>$K$10</f>
        <v>-42000</v>
      </c>
      <c r="Q10" s="20"/>
      <c r="R10" s="20"/>
      <c r="S10" s="20"/>
      <c r="T10" s="20">
        <f>$K$10</f>
        <v>-42000</v>
      </c>
      <c r="U10" s="20"/>
      <c r="V10" s="20"/>
      <c r="W10" s="20"/>
      <c r="X10" s="20">
        <v>-50000</v>
      </c>
      <c r="Y10" s="20"/>
      <c r="Z10" s="20"/>
      <c r="AA10" s="20"/>
      <c r="AB10" s="20">
        <f>$K$10</f>
        <v>-42000</v>
      </c>
      <c r="AC10" s="20"/>
      <c r="AD10" s="20"/>
      <c r="AE10" s="20"/>
      <c r="AF10" s="20">
        <f>$K$10</f>
        <v>-42000</v>
      </c>
      <c r="AG10" s="20"/>
      <c r="AH10" s="20"/>
      <c r="AI10" s="20"/>
      <c r="AJ10" s="20">
        <v>-50000</v>
      </c>
      <c r="AK10" s="20"/>
      <c r="AL10" s="20"/>
      <c r="AM10" s="20"/>
      <c r="AN10" s="12">
        <f>$K$10</f>
        <v>-42000</v>
      </c>
      <c r="AP10" t="s">
        <v>62</v>
      </c>
    </row>
    <row r="11" spans="1:42" ht="17" thickBot="1" x14ac:dyDescent="0.25">
      <c r="B11" s="114"/>
      <c r="C11" s="17" t="s">
        <v>34</v>
      </c>
      <c r="D11" s="24">
        <v>-1168500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14"/>
    </row>
    <row r="12" spans="1:42" ht="17" thickBot="1" x14ac:dyDescent="0.25">
      <c r="B12" s="114"/>
      <c r="C12" s="18" t="s">
        <v>37</v>
      </c>
      <c r="D12" s="25">
        <f t="shared" ref="D12:AN12" si="0">SUM(D7:D11)</f>
        <v>-1188500</v>
      </c>
      <c r="E12" s="26">
        <f t="shared" si="0"/>
        <v>580214.20454545459</v>
      </c>
      <c r="F12" s="26">
        <f t="shared" si="0"/>
        <v>262214.20454545453</v>
      </c>
      <c r="G12" s="26">
        <f t="shared" si="0"/>
        <v>340214.20454545453</v>
      </c>
      <c r="H12" s="26">
        <f t="shared" si="0"/>
        <v>382214.20454545453</v>
      </c>
      <c r="I12" s="26">
        <f t="shared" si="0"/>
        <v>140214.20454545456</v>
      </c>
      <c r="J12" s="26">
        <f t="shared" si="0"/>
        <v>302214.20454545453</v>
      </c>
      <c r="K12" s="26">
        <f t="shared" si="0"/>
        <v>-59785.795454545456</v>
      </c>
      <c r="L12" s="26">
        <f t="shared" si="0"/>
        <v>-87785.795454545456</v>
      </c>
      <c r="M12" s="26">
        <f t="shared" si="0"/>
        <v>-17785.795454545456</v>
      </c>
      <c r="N12" s="26">
        <f t="shared" si="0"/>
        <v>2214.2045454545455</v>
      </c>
      <c r="O12" s="26">
        <f>SUM(O7:O11)</f>
        <v>42214.204545454544</v>
      </c>
      <c r="P12" s="26">
        <f t="shared" si="0"/>
        <v>-59785.795454545456</v>
      </c>
      <c r="Q12" s="26">
        <f t="shared" si="0"/>
        <v>42214.204545454544</v>
      </c>
      <c r="R12" s="26">
        <f>SUM(R7:R11)</f>
        <v>2214.2045454545455</v>
      </c>
      <c r="S12" s="26">
        <f t="shared" si="0"/>
        <v>22214.204545454544</v>
      </c>
      <c r="T12" s="26">
        <f t="shared" si="0"/>
        <v>-59785.795454545456</v>
      </c>
      <c r="U12" s="26">
        <f>SUM(U7:U11)</f>
        <v>42214.204545454544</v>
      </c>
      <c r="V12" s="26">
        <f t="shared" si="0"/>
        <v>2214.2045454545455</v>
      </c>
      <c r="W12" s="26">
        <f t="shared" si="0"/>
        <v>42214.204545454544</v>
      </c>
      <c r="X12" s="26">
        <f>SUM(X7:X11)</f>
        <v>-67785.795454545456</v>
      </c>
      <c r="Y12" s="26">
        <f t="shared" si="0"/>
        <v>2214.2045454545455</v>
      </c>
      <c r="Z12" s="26">
        <f t="shared" si="0"/>
        <v>2214.2045454545455</v>
      </c>
      <c r="AA12" s="26">
        <f>SUM(AA7:AA11)</f>
        <v>42214.204545454544</v>
      </c>
      <c r="AB12" s="26">
        <f t="shared" si="0"/>
        <v>-59785.795454545456</v>
      </c>
      <c r="AC12" s="26">
        <f t="shared" si="0"/>
        <v>42214.204545454544</v>
      </c>
      <c r="AD12" s="26">
        <f t="shared" si="0"/>
        <v>2214.2045454545455</v>
      </c>
      <c r="AE12" s="26">
        <f t="shared" si="0"/>
        <v>22214.204545454544</v>
      </c>
      <c r="AF12" s="26">
        <f t="shared" si="0"/>
        <v>-59785.795454545456</v>
      </c>
      <c r="AG12" s="26">
        <f t="shared" si="0"/>
        <v>42214.204545454544</v>
      </c>
      <c r="AH12" s="26">
        <f t="shared" si="0"/>
        <v>2214.2045454545455</v>
      </c>
      <c r="AI12" s="26">
        <f t="shared" si="0"/>
        <v>42214.204545454544</v>
      </c>
      <c r="AJ12" s="26">
        <f t="shared" si="0"/>
        <v>-67785.795454545456</v>
      </c>
      <c r="AK12" s="26">
        <f t="shared" si="0"/>
        <v>2214.2045454545455</v>
      </c>
      <c r="AL12" s="26">
        <f t="shared" si="0"/>
        <v>2214.2045454545455</v>
      </c>
      <c r="AM12" s="26">
        <f t="shared" si="0"/>
        <v>42214.204545454544</v>
      </c>
      <c r="AN12" s="15">
        <f t="shared" si="0"/>
        <v>-59785.795454545456</v>
      </c>
    </row>
    <row r="13" spans="1:42" ht="17" thickBot="1" x14ac:dyDescent="0.25">
      <c r="B13" s="114"/>
      <c r="C13" s="8" t="s">
        <v>38</v>
      </c>
      <c r="D13" s="44">
        <f>NPV(B4,E12:AN12)+D12</f>
        <v>601668.74015522934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42" ht="17" thickBot="1" x14ac:dyDescent="0.25">
      <c r="B14" s="114"/>
      <c r="C14" s="8" t="s">
        <v>47</v>
      </c>
      <c r="D14" s="54">
        <f>IRR(D12:AN12)</f>
        <v>0.19109493648601639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42" ht="17" thickBot="1" x14ac:dyDescent="0.25">
      <c r="B15" s="115"/>
      <c r="C15" s="8" t="s">
        <v>48</v>
      </c>
      <c r="D15" s="44" t="s">
        <v>94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2" x14ac:dyDescent="0.2">
      <c r="D16" s="1">
        <f>D12</f>
        <v>-1188500</v>
      </c>
      <c r="E16" s="1">
        <f>D16+E12</f>
        <v>-608285.79545454541</v>
      </c>
      <c r="F16" s="1">
        <f>E16+F12</f>
        <v>-346071.59090909088</v>
      </c>
      <c r="G16" s="49">
        <f>F16+G12</f>
        <v>-5857.3863636363531</v>
      </c>
      <c r="H16" s="48">
        <f>G16+H12</f>
        <v>376356.81818181818</v>
      </c>
      <c r="I16" s="1"/>
      <c r="J16" s="1"/>
      <c r="K16" s="1"/>
      <c r="L16" s="1"/>
      <c r="M16" s="1"/>
      <c r="N16" s="1"/>
      <c r="O16" s="1"/>
      <c r="P16" s="1"/>
    </row>
    <row r="17" spans="2:40" ht="17" customHeight="1" thickBot="1" x14ac:dyDescent="0.25"/>
    <row r="18" spans="2:40" ht="17" thickBot="1" x14ac:dyDescent="0.25">
      <c r="B18" s="113" t="s">
        <v>53</v>
      </c>
      <c r="C18" s="31"/>
      <c r="D18" s="32">
        <v>0</v>
      </c>
      <c r="E18" s="33">
        <v>1</v>
      </c>
      <c r="F18" s="33">
        <v>2</v>
      </c>
      <c r="G18" s="33">
        <v>3</v>
      </c>
    </row>
    <row r="19" spans="2:40" ht="17" customHeight="1" x14ac:dyDescent="0.2">
      <c r="B19" s="114"/>
      <c r="C19" s="34" t="s">
        <v>31</v>
      </c>
      <c r="D19" s="35"/>
      <c r="E19" s="36">
        <f>SUM(E7:O7)</f>
        <v>2280000</v>
      </c>
      <c r="F19" s="36">
        <f>SUM(Q7:AA7)</f>
        <v>200000</v>
      </c>
      <c r="G19" s="36">
        <f>SUM(AC7:AN7)</f>
        <v>200000</v>
      </c>
    </row>
    <row r="20" spans="2:40" x14ac:dyDescent="0.2">
      <c r="B20" s="114"/>
      <c r="C20" s="17" t="s">
        <v>58</v>
      </c>
      <c r="D20" s="37">
        <f>D8</f>
        <v>-20000</v>
      </c>
      <c r="E20" s="38">
        <f>SUM(E8:P8)</f>
        <v>-220000</v>
      </c>
      <c r="F20" s="38">
        <f>SUM(Q8:AB8)</f>
        <v>-80000</v>
      </c>
      <c r="G20" s="38">
        <f>SUM(AC8:AN8)</f>
        <v>-80000</v>
      </c>
    </row>
    <row r="21" spans="2:40" x14ac:dyDescent="0.2">
      <c r="B21" s="114"/>
      <c r="C21" s="34" t="s">
        <v>32</v>
      </c>
      <c r="D21" s="37"/>
      <c r="E21" s="38">
        <f>SUM(E9:P9)</f>
        <v>26570.45454545454</v>
      </c>
      <c r="F21" s="38">
        <f>SUM(Q9:AB9)</f>
        <v>26570.45454545454</v>
      </c>
      <c r="G21" s="38">
        <f>SUM(AC9:AN9)</f>
        <v>26570.45454545454</v>
      </c>
    </row>
    <row r="22" spans="2:40" x14ac:dyDescent="0.2">
      <c r="B22" s="114"/>
      <c r="C22" s="34" t="s">
        <v>33</v>
      </c>
      <c r="D22" s="37"/>
      <c r="E22" s="38">
        <f>SUM(E10:P10)</f>
        <v>-260000</v>
      </c>
      <c r="F22" s="38">
        <f>SUM(Q10:AB10)</f>
        <v>-134000</v>
      </c>
      <c r="G22" s="38">
        <f>SUM(AC10:AN10)</f>
        <v>-134000</v>
      </c>
    </row>
    <row r="23" spans="2:40" ht="17" thickBot="1" x14ac:dyDescent="0.25">
      <c r="B23" s="114"/>
      <c r="C23" s="34" t="s">
        <v>34</v>
      </c>
      <c r="D23" s="37">
        <f>D11</f>
        <v>-1168500</v>
      </c>
      <c r="E23" s="38">
        <f>SUM(E11:P11)</f>
        <v>0</v>
      </c>
      <c r="F23" s="38">
        <f>SUM(Q11:AB11)</f>
        <v>0</v>
      </c>
      <c r="G23" s="38">
        <f>SUM(AC11:AN11)</f>
        <v>0</v>
      </c>
    </row>
    <row r="24" spans="2:40" ht="17" thickBot="1" x14ac:dyDescent="0.25">
      <c r="B24" s="114"/>
      <c r="C24" s="39" t="s">
        <v>37</v>
      </c>
      <c r="D24" s="40">
        <f>SUM(D19:D23)</f>
        <v>-1188500</v>
      </c>
      <c r="E24" s="41">
        <f>SUM(E19:E23)</f>
        <v>1826570.4545454546</v>
      </c>
      <c r="F24" s="41">
        <f>SUM(F19:F23)</f>
        <v>12570.45454545453</v>
      </c>
      <c r="G24" s="41">
        <f>SUM(G19:G23)</f>
        <v>12570.45454545453</v>
      </c>
    </row>
    <row r="25" spans="2:40" ht="17" thickBot="1" x14ac:dyDescent="0.25">
      <c r="B25" s="114"/>
      <c r="C25" s="42" t="s">
        <v>38</v>
      </c>
      <c r="D25" s="46">
        <f>NPV(B3,E24:G24)+D24</f>
        <v>373297.06817694986</v>
      </c>
      <c r="E25" s="43"/>
      <c r="F25" s="43"/>
      <c r="G25" s="43"/>
    </row>
    <row r="26" spans="2:40" ht="17" thickBot="1" x14ac:dyDescent="0.25">
      <c r="B26" s="114"/>
      <c r="C26" s="8" t="s">
        <v>93</v>
      </c>
      <c r="D26" s="54">
        <f>IRR(D24:G24)</f>
        <v>0.54811550898994588</v>
      </c>
    </row>
    <row r="27" spans="2:40" ht="17" thickBot="1" x14ac:dyDescent="0.25">
      <c r="B27" s="115"/>
      <c r="C27" s="8" t="s">
        <v>48</v>
      </c>
      <c r="D27" s="44" t="s">
        <v>44</v>
      </c>
    </row>
    <row r="28" spans="2:40" x14ac:dyDescent="0.2">
      <c r="D28" s="1">
        <f>D24</f>
        <v>-1188500</v>
      </c>
      <c r="E28" s="48">
        <f>D28+E24</f>
        <v>638070.45454545459</v>
      </c>
      <c r="F28" s="1">
        <f>E28+F24</f>
        <v>650640.90909090918</v>
      </c>
      <c r="G28" s="49">
        <f>F28+G24</f>
        <v>663211.36363636376</v>
      </c>
    </row>
    <row r="30" spans="2:40" ht="16" customHeight="1" x14ac:dyDescent="0.2"/>
    <row r="31" spans="2:40" ht="17" thickBot="1" x14ac:dyDescent="0.25">
      <c r="E31" s="29" t="s">
        <v>44</v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119" t="s">
        <v>45</v>
      </c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20" t="s">
        <v>46</v>
      </c>
      <c r="AD31" s="120"/>
      <c r="AE31" s="120"/>
      <c r="AF31" s="120"/>
      <c r="AG31" s="120"/>
      <c r="AH31" s="120"/>
      <c r="AI31" s="120"/>
      <c r="AJ31" s="120"/>
      <c r="AK31" s="120"/>
      <c r="AL31" s="120"/>
      <c r="AM31" s="120"/>
      <c r="AN31" s="120"/>
    </row>
    <row r="32" spans="2:40" ht="17" thickBot="1" x14ac:dyDescent="0.25">
      <c r="B32" s="113" t="s">
        <v>54</v>
      </c>
      <c r="C32" s="16"/>
      <c r="D32" s="21">
        <v>45748</v>
      </c>
      <c r="E32" s="9">
        <v>45778</v>
      </c>
      <c r="F32" s="9">
        <v>45809</v>
      </c>
      <c r="G32" s="9">
        <v>45839</v>
      </c>
      <c r="H32" s="9">
        <v>45870</v>
      </c>
      <c r="I32" s="9">
        <v>45901</v>
      </c>
      <c r="J32" s="9">
        <v>45931</v>
      </c>
      <c r="K32" s="9">
        <v>45962</v>
      </c>
      <c r="L32" s="9">
        <v>45992</v>
      </c>
      <c r="M32" s="9">
        <v>46023</v>
      </c>
      <c r="N32" s="9">
        <v>46054</v>
      </c>
      <c r="O32" s="9">
        <v>46082</v>
      </c>
      <c r="P32" s="9">
        <v>46113</v>
      </c>
      <c r="Q32" s="9">
        <v>46143</v>
      </c>
      <c r="R32" s="9">
        <v>46174</v>
      </c>
      <c r="S32" s="9">
        <v>46204</v>
      </c>
      <c r="T32" s="9">
        <v>46235</v>
      </c>
      <c r="U32" s="9">
        <v>46266</v>
      </c>
      <c r="V32" s="9">
        <v>46296</v>
      </c>
      <c r="W32" s="9">
        <v>46327</v>
      </c>
      <c r="X32" s="9">
        <v>46357</v>
      </c>
      <c r="Y32" s="9">
        <v>46388</v>
      </c>
      <c r="Z32" s="9">
        <v>46419</v>
      </c>
      <c r="AA32" s="9">
        <v>46447</v>
      </c>
      <c r="AB32" s="9">
        <v>46478</v>
      </c>
      <c r="AC32" s="9">
        <v>46508</v>
      </c>
      <c r="AD32" s="9">
        <v>46539</v>
      </c>
      <c r="AE32" s="9">
        <v>46569</v>
      </c>
      <c r="AF32" s="9">
        <v>46600</v>
      </c>
      <c r="AG32" s="9">
        <v>46631</v>
      </c>
      <c r="AH32" s="9">
        <v>46661</v>
      </c>
      <c r="AI32" s="9">
        <v>46692</v>
      </c>
      <c r="AJ32" s="9">
        <v>46722</v>
      </c>
      <c r="AK32" s="9">
        <v>46753</v>
      </c>
      <c r="AL32" s="9">
        <v>46784</v>
      </c>
      <c r="AM32" s="9">
        <v>46813</v>
      </c>
      <c r="AN32" s="10">
        <v>46844</v>
      </c>
    </row>
    <row r="33" spans="2:42" ht="16" customHeight="1" x14ac:dyDescent="0.2">
      <c r="B33" s="114"/>
      <c r="C33" s="17" t="s">
        <v>31</v>
      </c>
      <c r="D33" s="22"/>
      <c r="E33" s="19" cm="1">
        <f t="array" ref="E33:J33">TRANSPOSE(Tabla311[5 cadenas])</f>
        <v>1600000</v>
      </c>
      <c r="F33" s="19">
        <v>700000</v>
      </c>
      <c r="G33" s="19">
        <v>1000000</v>
      </c>
      <c r="H33" s="19">
        <v>1000000</v>
      </c>
      <c r="I33" s="19">
        <v>500000</v>
      </c>
      <c r="J33" s="19">
        <v>800000</v>
      </c>
      <c r="K33" s="19"/>
      <c r="L33" s="19"/>
      <c r="M33" s="19"/>
      <c r="N33" s="19"/>
      <c r="O33" s="19">
        <f>(20000)*5</f>
        <v>100000</v>
      </c>
      <c r="Q33" s="128">
        <v>100000</v>
      </c>
      <c r="R33" s="128"/>
      <c r="S33" s="128">
        <v>100000</v>
      </c>
      <c r="T33" s="128"/>
      <c r="U33" s="128">
        <v>100000</v>
      </c>
      <c r="W33" s="19">
        <f>(20000)*5</f>
        <v>100000</v>
      </c>
      <c r="X33" s="128"/>
      <c r="Y33" s="19"/>
      <c r="Z33" s="128"/>
      <c r="AA33" s="19">
        <f>(20000)*5</f>
        <v>100000</v>
      </c>
      <c r="AC33" s="128">
        <v>100000</v>
      </c>
      <c r="AE33" s="128">
        <v>100000</v>
      </c>
      <c r="AG33" s="19">
        <f>(20000)*5</f>
        <v>100000</v>
      </c>
      <c r="AI33" s="128">
        <v>100000</v>
      </c>
      <c r="AK33" s="19"/>
      <c r="AL33" s="128"/>
      <c r="AM33" s="11">
        <f>(20000)*5</f>
        <v>100000</v>
      </c>
      <c r="AN33" s="11"/>
    </row>
    <row r="34" spans="2:42" x14ac:dyDescent="0.2">
      <c r="B34" s="114"/>
      <c r="C34" s="17" t="s">
        <v>58</v>
      </c>
      <c r="D34" s="24">
        <v>-20000</v>
      </c>
      <c r="E34" s="20">
        <v>-20000</v>
      </c>
      <c r="F34" s="20">
        <v>-20000</v>
      </c>
      <c r="G34" s="20">
        <v>-20000</v>
      </c>
      <c r="H34" s="20">
        <v>-20000</v>
      </c>
      <c r="I34" s="20">
        <v>-20000</v>
      </c>
      <c r="J34" s="20">
        <v>-20000</v>
      </c>
      <c r="K34" s="20">
        <v>-20000</v>
      </c>
      <c r="L34" s="20">
        <v>-40000</v>
      </c>
      <c r="M34" s="20">
        <v>-20000</v>
      </c>
      <c r="N34" s="20"/>
      <c r="O34" s="20"/>
      <c r="P34" s="20">
        <v>-20000</v>
      </c>
      <c r="Q34" s="20"/>
      <c r="R34" s="20"/>
      <c r="S34" s="20">
        <v>-20000</v>
      </c>
      <c r="T34" s="20">
        <v>-20000</v>
      </c>
      <c r="U34" s="20"/>
      <c r="V34" s="20"/>
      <c r="W34" s="20"/>
      <c r="X34" s="20">
        <v>-20000</v>
      </c>
      <c r="Y34" s="20"/>
      <c r="Z34" s="20"/>
      <c r="AA34" s="20"/>
      <c r="AB34" s="20">
        <v>-20000</v>
      </c>
      <c r="AC34" s="20"/>
      <c r="AD34" s="20"/>
      <c r="AE34" s="20">
        <v>-20000</v>
      </c>
      <c r="AF34" s="20">
        <v>-20000</v>
      </c>
      <c r="AG34" s="20"/>
      <c r="AH34" s="20"/>
      <c r="AI34" s="20"/>
      <c r="AJ34" s="20">
        <v>-20000</v>
      </c>
      <c r="AK34" s="20"/>
      <c r="AL34" s="20"/>
      <c r="AM34" s="20"/>
      <c r="AN34" s="12">
        <v>-20000</v>
      </c>
    </row>
    <row r="35" spans="2:42" x14ac:dyDescent="0.2">
      <c r="B35" s="114"/>
      <c r="C35" s="17" t="s">
        <v>32</v>
      </c>
      <c r="D35" s="24"/>
      <c r="E35" s="20">
        <f>'Tablas pesimista'!$C$34+'Tablas pesimista'!$E$34+'Tablas pesimista'!$F$34</f>
        <v>5528.5985227272722</v>
      </c>
      <c r="F35" s="20">
        <f>'Tablas pesimista'!$C$34+'Tablas pesimista'!$E$34+'Tablas pesimista'!$F$34</f>
        <v>5528.5985227272722</v>
      </c>
      <c r="G35" s="20">
        <f>'Tablas pesimista'!$C$34+'Tablas pesimista'!$E$34+'Tablas pesimista'!$F$34</f>
        <v>5528.5985227272722</v>
      </c>
      <c r="H35" s="20">
        <f>'Tablas pesimista'!$C$34+'Tablas pesimista'!$E$34+'Tablas pesimista'!$F$34</f>
        <v>5528.5985227272722</v>
      </c>
      <c r="I35" s="20">
        <f>'Tablas pesimista'!$C$34+'Tablas pesimista'!$E$34+'Tablas pesimista'!$F$34</f>
        <v>5528.5985227272722</v>
      </c>
      <c r="J35" s="20">
        <f>'Tablas pesimista'!$C$34+'Tablas pesimista'!$E$34+'Tablas pesimista'!$F$34</f>
        <v>5528.5985227272722</v>
      </c>
      <c r="K35" s="20">
        <f>'Tablas pesimista'!$C$34+'Tablas pesimista'!$E$34+'Tablas pesimista'!$F$34</f>
        <v>5528.5985227272722</v>
      </c>
      <c r="L35" s="20">
        <f>'Tablas pesimista'!$C$34+'Tablas pesimista'!$E$34+'Tablas pesimista'!$F$34</f>
        <v>5528.5985227272722</v>
      </c>
      <c r="M35" s="20">
        <f>'Tablas pesimista'!$C$34+'Tablas pesimista'!$E$34+'Tablas pesimista'!$F$34</f>
        <v>5528.5985227272722</v>
      </c>
      <c r="N35" s="20">
        <f>'Tablas pesimista'!$C$34+'Tablas pesimista'!$E$34+'Tablas pesimista'!$F$34</f>
        <v>5528.5985227272722</v>
      </c>
      <c r="O35" s="20">
        <f>'Tablas pesimista'!$C$34+'Tablas pesimista'!$E$34+'Tablas pesimista'!$F$34</f>
        <v>5528.5985227272722</v>
      </c>
      <c r="P35" s="20">
        <f>'Tablas pesimista'!$C$34+'Tablas pesimista'!$E$34+'Tablas pesimista'!$F$34</f>
        <v>5528.5985227272722</v>
      </c>
      <c r="Q35" s="20">
        <f>'Tablas pesimista'!$C$34+'Tablas pesimista'!$E$34+'Tablas pesimista'!$F$34</f>
        <v>5528.5985227272722</v>
      </c>
      <c r="R35" s="20">
        <f>'Tablas pesimista'!$C$34+'Tablas pesimista'!$E$34+'Tablas pesimista'!$F$34</f>
        <v>5528.5985227272722</v>
      </c>
      <c r="S35" s="20">
        <f>'Tablas pesimista'!$C$34+'Tablas pesimista'!$E$34+'Tablas pesimista'!$F$34</f>
        <v>5528.5985227272722</v>
      </c>
      <c r="T35" s="20">
        <f>'Tablas pesimista'!$C$34+'Tablas pesimista'!$E$34+'Tablas pesimista'!$F$34</f>
        <v>5528.5985227272722</v>
      </c>
      <c r="U35" s="20">
        <f>'Tablas pesimista'!$C$34+'Tablas pesimista'!$E$34+'Tablas pesimista'!$F$34</f>
        <v>5528.5985227272722</v>
      </c>
      <c r="V35" s="20">
        <f>'Tablas pesimista'!$C$34+'Tablas pesimista'!$E$34+'Tablas pesimista'!$F$34</f>
        <v>5528.5985227272722</v>
      </c>
      <c r="W35" s="20">
        <f>'Tablas pesimista'!$C$34+'Tablas pesimista'!$E$34+'Tablas pesimista'!$F$34</f>
        <v>5528.5985227272722</v>
      </c>
      <c r="X35" s="20">
        <f>'Tablas pesimista'!$C$34+'Tablas pesimista'!$E$34+'Tablas pesimista'!$F$34</f>
        <v>5528.5985227272722</v>
      </c>
      <c r="Y35" s="20">
        <f>'Tablas pesimista'!$C$34+'Tablas pesimista'!$E$34+'Tablas pesimista'!$F$34</f>
        <v>5528.5985227272722</v>
      </c>
      <c r="Z35" s="20">
        <f>'Tablas pesimista'!$C$34+'Tablas pesimista'!$E$34+'Tablas pesimista'!$F$34</f>
        <v>5528.5985227272722</v>
      </c>
      <c r="AA35" s="20">
        <f>'Tablas pesimista'!$C$34+'Tablas pesimista'!$E$34+'Tablas pesimista'!$F$34</f>
        <v>5528.5985227272722</v>
      </c>
      <c r="AB35" s="20">
        <f>'Tablas pesimista'!$C$34+'Tablas pesimista'!$E$34+'Tablas pesimista'!$F$34</f>
        <v>5528.5985227272722</v>
      </c>
      <c r="AC35" s="20">
        <f>'Tablas pesimista'!$C$34+'Tablas pesimista'!$E$34+'Tablas pesimista'!$F$34</f>
        <v>5528.5985227272722</v>
      </c>
      <c r="AD35" s="20">
        <f>'Tablas pesimista'!$C$34+'Tablas pesimista'!$E$34+'Tablas pesimista'!$F$34</f>
        <v>5528.5985227272722</v>
      </c>
      <c r="AE35" s="20">
        <f>'Tablas pesimista'!$C$34+'Tablas pesimista'!$E$34+'Tablas pesimista'!$F$34</f>
        <v>5528.5985227272722</v>
      </c>
      <c r="AF35" s="20">
        <f>'Tablas pesimista'!$C$34+'Tablas pesimista'!$E$34+'Tablas pesimista'!$F$34</f>
        <v>5528.5985227272722</v>
      </c>
      <c r="AG35" s="20">
        <f>'Tablas pesimista'!$C$34+'Tablas pesimista'!$E$34+'Tablas pesimista'!$F$34</f>
        <v>5528.5985227272722</v>
      </c>
      <c r="AH35" s="20">
        <f>'Tablas pesimista'!$C$34+'Tablas pesimista'!$E$34+'Tablas pesimista'!$F$34</f>
        <v>5528.5985227272722</v>
      </c>
      <c r="AI35" s="20">
        <f>'Tablas pesimista'!$C$34+'Tablas pesimista'!$E$34+'Tablas pesimista'!$F$34</f>
        <v>5528.5985227272722</v>
      </c>
      <c r="AJ35" s="20">
        <f>'Tablas pesimista'!$C$34+'Tablas pesimista'!$E$34+'Tablas pesimista'!$F$34</f>
        <v>5528.5985227272722</v>
      </c>
      <c r="AK35" s="20">
        <f>'Tablas pesimista'!$C$34+'Tablas pesimista'!$E$34+'Tablas pesimista'!$F$34</f>
        <v>5528.5985227272722</v>
      </c>
      <c r="AL35" s="20">
        <f>'Tablas pesimista'!$C$34+'Tablas pesimista'!$E$34+'Tablas pesimista'!$F$34</f>
        <v>5528.5985227272722</v>
      </c>
      <c r="AM35" s="20">
        <f>'Tablas pesimista'!$C$34+'Tablas pesimista'!$E$34+'Tablas pesimista'!$F$34</f>
        <v>5528.5985227272722</v>
      </c>
      <c r="AN35" s="12">
        <f>'Tablas pesimista'!$C$34+'Tablas pesimista'!$E$34+'Tablas pesimista'!$F$34</f>
        <v>5528.5985227272722</v>
      </c>
    </row>
    <row r="36" spans="2:42" x14ac:dyDescent="0.2">
      <c r="B36" s="114"/>
      <c r="C36" s="17" t="s">
        <v>33</v>
      </c>
      <c r="D36" s="24"/>
      <c r="E36" s="20" cm="1">
        <f t="array" ref="E36:L36">TRANSPOSE(Tabla1714[Costo 5 cadenas])</f>
        <v>-105000</v>
      </c>
      <c r="F36" s="20">
        <v>0</v>
      </c>
      <c r="G36" s="20">
        <v>-105000</v>
      </c>
      <c r="H36" s="20">
        <v>0</v>
      </c>
      <c r="I36" s="20">
        <v>-105000</v>
      </c>
      <c r="J36" s="20">
        <v>0</v>
      </c>
      <c r="K36" s="20">
        <v>-105000</v>
      </c>
      <c r="L36" s="20">
        <v>-50000</v>
      </c>
      <c r="M36" s="20"/>
      <c r="N36" s="20"/>
      <c r="O36" s="20"/>
      <c r="P36" s="20">
        <f>$K$36</f>
        <v>-105000</v>
      </c>
      <c r="Q36" s="20"/>
      <c r="R36" s="20"/>
      <c r="S36" s="20"/>
      <c r="T36" s="20">
        <f>$K$36</f>
        <v>-105000</v>
      </c>
      <c r="U36" s="20"/>
      <c r="V36" s="20"/>
      <c r="W36" s="20"/>
      <c r="X36" s="20">
        <v>-50000</v>
      </c>
      <c r="Y36" s="20"/>
      <c r="Z36" s="20"/>
      <c r="AA36" s="20"/>
      <c r="AB36" s="20">
        <f>$K$36</f>
        <v>-105000</v>
      </c>
      <c r="AC36" s="20"/>
      <c r="AD36" s="20"/>
      <c r="AE36" s="20"/>
      <c r="AF36" s="20">
        <f>$K$36</f>
        <v>-105000</v>
      </c>
      <c r="AG36" s="20"/>
      <c r="AH36" s="20"/>
      <c r="AI36" s="20"/>
      <c r="AJ36" s="20">
        <v>-50000</v>
      </c>
      <c r="AK36" s="20"/>
      <c r="AL36" s="20"/>
      <c r="AM36" s="20"/>
      <c r="AN36" s="12">
        <f>$K$36</f>
        <v>-105000</v>
      </c>
      <c r="AP36" t="s">
        <v>65</v>
      </c>
    </row>
    <row r="37" spans="2:42" ht="17" thickBot="1" x14ac:dyDescent="0.25">
      <c r="B37" s="114"/>
      <c r="C37" s="17" t="s">
        <v>34</v>
      </c>
      <c r="D37" s="24">
        <v>-1168500</v>
      </c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14"/>
    </row>
    <row r="38" spans="2:42" ht="17" thickBot="1" x14ac:dyDescent="0.25">
      <c r="B38" s="114"/>
      <c r="C38" s="18" t="s">
        <v>37</v>
      </c>
      <c r="D38" s="25">
        <f t="shared" ref="D38:AN38" si="1">SUM(D33:D37)</f>
        <v>-1188500</v>
      </c>
      <c r="E38" s="26">
        <f t="shared" si="1"/>
        <v>1480528.5985227274</v>
      </c>
      <c r="F38" s="26">
        <f t="shared" si="1"/>
        <v>685528.59852272726</v>
      </c>
      <c r="G38" s="26">
        <f t="shared" si="1"/>
        <v>880528.59852272726</v>
      </c>
      <c r="H38" s="26">
        <f t="shared" si="1"/>
        <v>985528.59852272726</v>
      </c>
      <c r="I38" s="26">
        <f t="shared" si="1"/>
        <v>380528.59852272726</v>
      </c>
      <c r="J38" s="26">
        <f t="shared" si="1"/>
        <v>785528.59852272726</v>
      </c>
      <c r="K38" s="26">
        <f t="shared" si="1"/>
        <v>-119471.40147727272</v>
      </c>
      <c r="L38" s="26">
        <f t="shared" si="1"/>
        <v>-84471.401477272724</v>
      </c>
      <c r="M38" s="26">
        <f t="shared" si="1"/>
        <v>-14471.401477272728</v>
      </c>
      <c r="N38" s="26">
        <f t="shared" si="1"/>
        <v>5528.5985227272722</v>
      </c>
      <c r="O38" s="26">
        <f>SUM(O33:O37)</f>
        <v>105528.59852272728</v>
      </c>
      <c r="P38" s="26">
        <f t="shared" si="1"/>
        <v>-119471.40147727272</v>
      </c>
      <c r="Q38" s="26">
        <f t="shared" si="1"/>
        <v>105528.59852272728</v>
      </c>
      <c r="R38" s="26">
        <f t="shared" si="1"/>
        <v>5528.5985227272722</v>
      </c>
      <c r="S38" s="26">
        <f t="shared" si="1"/>
        <v>85528.598522727276</v>
      </c>
      <c r="T38" s="26">
        <f t="shared" si="1"/>
        <v>-119471.40147727272</v>
      </c>
      <c r="U38" s="26">
        <f t="shared" si="1"/>
        <v>105528.59852272728</v>
      </c>
      <c r="V38" s="26">
        <f t="shared" si="1"/>
        <v>5528.5985227272722</v>
      </c>
      <c r="W38" s="26">
        <f>SUM(W33:W37)</f>
        <v>105528.59852272728</v>
      </c>
      <c r="X38" s="26">
        <f t="shared" si="1"/>
        <v>-64471.401477272724</v>
      </c>
      <c r="Y38" s="26">
        <f t="shared" si="1"/>
        <v>5528.5985227272722</v>
      </c>
      <c r="Z38" s="26">
        <f t="shared" si="1"/>
        <v>5528.5985227272722</v>
      </c>
      <c r="AA38" s="26">
        <f>SUM(AA33:AA37)</f>
        <v>105528.59852272728</v>
      </c>
      <c r="AB38" s="26">
        <f t="shared" si="1"/>
        <v>-119471.40147727272</v>
      </c>
      <c r="AC38" s="26">
        <f>SUM(AC33:AC37)</f>
        <v>105528.59852272728</v>
      </c>
      <c r="AD38" s="26">
        <f t="shared" si="1"/>
        <v>5528.5985227272722</v>
      </c>
      <c r="AE38" s="26">
        <f>SUM(AE33:AE37)</f>
        <v>85528.598522727276</v>
      </c>
      <c r="AF38" s="26">
        <f t="shared" si="1"/>
        <v>-119471.40147727272</v>
      </c>
      <c r="AG38" s="26">
        <f>SUM(AG33:AG37)</f>
        <v>105528.59852272728</v>
      </c>
      <c r="AH38" s="26">
        <f t="shared" si="1"/>
        <v>5528.5985227272722</v>
      </c>
      <c r="AI38" s="26">
        <f>SUM(AI33:AI37)</f>
        <v>105528.59852272728</v>
      </c>
      <c r="AJ38" s="26">
        <f t="shared" si="1"/>
        <v>-64471.401477272724</v>
      </c>
      <c r="AK38" s="26">
        <f t="shared" si="1"/>
        <v>5528.5985227272722</v>
      </c>
      <c r="AL38" s="26">
        <f t="shared" si="1"/>
        <v>5528.5985227272722</v>
      </c>
      <c r="AM38" s="26">
        <f t="shared" si="1"/>
        <v>105528.59852272728</v>
      </c>
      <c r="AN38" s="15">
        <f t="shared" si="1"/>
        <v>-119471.40147727272</v>
      </c>
    </row>
    <row r="39" spans="2:42" ht="17" thickBot="1" x14ac:dyDescent="0.25">
      <c r="B39" s="114"/>
      <c r="C39" s="8" t="s">
        <v>38</v>
      </c>
      <c r="D39" s="47">
        <f>NPV(B4,E38:AN38)+D38</f>
        <v>3934780.0839526746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2:42" ht="17" thickBot="1" x14ac:dyDescent="0.25">
      <c r="B40" s="114"/>
      <c r="C40" s="8" t="s">
        <v>93</v>
      </c>
      <c r="D40" s="54">
        <f>IRR(D38:AN38)</f>
        <v>0.91424187559227033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2:42" ht="17" customHeight="1" thickBot="1" x14ac:dyDescent="0.25">
      <c r="B41" s="115"/>
      <c r="C41" s="8" t="s">
        <v>48</v>
      </c>
      <c r="D41" s="44" t="s">
        <v>44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2:42" x14ac:dyDescent="0.2">
      <c r="D42" s="1">
        <f>D38</f>
        <v>-1188500</v>
      </c>
      <c r="E42" s="48">
        <f>D42+E38</f>
        <v>292028.59852272738</v>
      </c>
      <c r="F42" s="1">
        <f>E42+F38</f>
        <v>977557.19704545464</v>
      </c>
      <c r="G42" s="49">
        <f>F42+G38</f>
        <v>1858085.7955681819</v>
      </c>
    </row>
    <row r="43" spans="2:42" ht="17" thickBot="1" x14ac:dyDescent="0.25"/>
    <row r="44" spans="2:42" ht="17" thickBot="1" x14ac:dyDescent="0.25">
      <c r="B44" s="113" t="s">
        <v>54</v>
      </c>
      <c r="C44" s="31"/>
      <c r="D44" s="32">
        <v>0</v>
      </c>
      <c r="E44" s="33">
        <v>1</v>
      </c>
      <c r="F44" s="33">
        <v>2</v>
      </c>
      <c r="G44" s="33">
        <v>3</v>
      </c>
    </row>
    <row r="45" spans="2:42" x14ac:dyDescent="0.2">
      <c r="B45" s="114"/>
      <c r="C45" s="34" t="s">
        <v>31</v>
      </c>
      <c r="D45" s="35"/>
      <c r="E45" s="36">
        <f>SUM(E33:O33)</f>
        <v>5700000</v>
      </c>
      <c r="F45" s="36">
        <f>SUM(Q33:AA33)</f>
        <v>500000</v>
      </c>
      <c r="G45" s="36">
        <f>SUM(AC33:AN33)</f>
        <v>500000</v>
      </c>
    </row>
    <row r="46" spans="2:42" x14ac:dyDescent="0.2">
      <c r="B46" s="114"/>
      <c r="C46" s="17" t="s">
        <v>58</v>
      </c>
      <c r="D46" s="37">
        <f>D34</f>
        <v>-20000</v>
      </c>
      <c r="E46" s="38">
        <f>SUM(E34:P34)</f>
        <v>-220000</v>
      </c>
      <c r="F46" s="38">
        <f>SUM(Q34:AB34)</f>
        <v>-80000</v>
      </c>
      <c r="G46" s="38">
        <f>SUM(AC34:AN34)</f>
        <v>-80000</v>
      </c>
    </row>
    <row r="47" spans="2:42" x14ac:dyDescent="0.2">
      <c r="B47" s="114"/>
      <c r="C47" s="34" t="s">
        <v>32</v>
      </c>
      <c r="D47" s="37"/>
      <c r="E47" s="38">
        <f>SUM(E35:P35)</f>
        <v>66343.182272727281</v>
      </c>
      <c r="F47" s="38">
        <f>SUM(Q35:AB35)</f>
        <v>66343.182272727281</v>
      </c>
      <c r="G47" s="38">
        <f>SUM(AC35:AN35)</f>
        <v>66343.182272727281</v>
      </c>
    </row>
    <row r="48" spans="2:42" x14ac:dyDescent="0.2">
      <c r="B48" s="114"/>
      <c r="C48" s="34" t="s">
        <v>33</v>
      </c>
      <c r="D48" s="37"/>
      <c r="E48" s="38">
        <f>SUM(E36:P36)</f>
        <v>-575000</v>
      </c>
      <c r="F48" s="38">
        <f>SUM(Q36:AB36)</f>
        <v>-260000</v>
      </c>
      <c r="G48" s="38">
        <f>SUM(AC36:AN36)</f>
        <v>-260000</v>
      </c>
    </row>
    <row r="49" spans="2:7" ht="17" thickBot="1" x14ac:dyDescent="0.25">
      <c r="B49" s="114"/>
      <c r="C49" s="34" t="s">
        <v>34</v>
      </c>
      <c r="D49" s="37">
        <f>D37</f>
        <v>-1168500</v>
      </c>
      <c r="E49" s="38">
        <f>SUM(E37:P37)</f>
        <v>0</v>
      </c>
      <c r="F49" s="38">
        <f>SUM(Q37:AB37)</f>
        <v>0</v>
      </c>
      <c r="G49" s="38">
        <f>SUM(AC37:AN37)</f>
        <v>0</v>
      </c>
    </row>
    <row r="50" spans="2:7" ht="17" thickBot="1" x14ac:dyDescent="0.25">
      <c r="B50" s="114"/>
      <c r="C50" s="39" t="s">
        <v>37</v>
      </c>
      <c r="D50" s="40">
        <f>SUM(D45:D49)</f>
        <v>-1188500</v>
      </c>
      <c r="E50" s="41">
        <f>SUM(E45:E49)</f>
        <v>4971343.1822727276</v>
      </c>
      <c r="F50" s="41">
        <f>SUM(F45:F49)</f>
        <v>226343.18227272725</v>
      </c>
      <c r="G50" s="41">
        <f>SUM(G45:G49)</f>
        <v>226343.18227272725</v>
      </c>
    </row>
    <row r="51" spans="2:7" ht="17" thickBot="1" x14ac:dyDescent="0.25">
      <c r="B51" s="114"/>
      <c r="C51" s="42" t="s">
        <v>38</v>
      </c>
      <c r="D51" s="46">
        <f>NPV(B3,E50:G50)+D50</f>
        <v>3316023.9636687916</v>
      </c>
      <c r="E51" s="43"/>
      <c r="F51" s="43"/>
      <c r="G51" s="43"/>
    </row>
    <row r="52" spans="2:7" ht="17" thickBot="1" x14ac:dyDescent="0.25">
      <c r="B52" s="114"/>
      <c r="C52" s="8" t="s">
        <v>93</v>
      </c>
      <c r="D52" s="54">
        <f>IRR(D50:G50)</f>
        <v>3.2384062607315043</v>
      </c>
    </row>
    <row r="53" spans="2:7" ht="17" thickBot="1" x14ac:dyDescent="0.25">
      <c r="B53" s="115"/>
      <c r="C53" s="8" t="s">
        <v>48</v>
      </c>
      <c r="D53" s="44" t="s">
        <v>44</v>
      </c>
    </row>
    <row r="54" spans="2:7" x14ac:dyDescent="0.2">
      <c r="D54" s="1">
        <f>D50</f>
        <v>-1188500</v>
      </c>
      <c r="E54" s="48">
        <f>D54+E50</f>
        <v>3782843.1822727276</v>
      </c>
      <c r="F54" s="1">
        <f>E54+F50</f>
        <v>4009186.3645454547</v>
      </c>
      <c r="G54" s="49">
        <f>F54+G50</f>
        <v>4235529.5468181819</v>
      </c>
    </row>
  </sheetData>
  <mergeCells count="10">
    <mergeCell ref="B32:B41"/>
    <mergeCell ref="C2:AN2"/>
    <mergeCell ref="B6:B15"/>
    <mergeCell ref="B18:B27"/>
    <mergeCell ref="B44:B53"/>
    <mergeCell ref="E5:P5"/>
    <mergeCell ref="AC5:AN5"/>
    <mergeCell ref="AC31:AN31"/>
    <mergeCell ref="Q5:AB5"/>
    <mergeCell ref="Q31:AB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2428-8086-A149-A6DD-DF16197B1CA9}">
  <dimension ref="A1:AN161"/>
  <sheetViews>
    <sheetView tabSelected="1" workbookViewId="0">
      <selection activeCell="K159" sqref="K159"/>
    </sheetView>
  </sheetViews>
  <sheetFormatPr baseColWidth="10" defaultRowHeight="16" x14ac:dyDescent="0.2"/>
  <cols>
    <col min="3" max="3" width="33.33203125" bestFit="1" customWidth="1"/>
    <col min="4" max="4" width="12.6640625" bestFit="1" customWidth="1"/>
  </cols>
  <sheetData>
    <row r="1" spans="1:40" ht="17" thickBot="1" x14ac:dyDescent="0.25"/>
    <row r="2" spans="1:40" ht="25" thickBot="1" x14ac:dyDescent="0.35">
      <c r="B2" s="116" t="s">
        <v>42</v>
      </c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17"/>
      <c r="S2" s="117"/>
      <c r="T2" s="117"/>
      <c r="U2" s="117"/>
      <c r="V2" s="117"/>
      <c r="W2" s="117"/>
      <c r="X2" s="117"/>
      <c r="Y2" s="117"/>
      <c r="Z2" s="117"/>
      <c r="AA2" s="117"/>
      <c r="AB2" s="117"/>
      <c r="AC2" s="117"/>
      <c r="AD2" s="117"/>
      <c r="AE2" s="117"/>
      <c r="AF2" s="117"/>
      <c r="AG2" s="117"/>
      <c r="AH2" s="117"/>
      <c r="AI2" s="117"/>
      <c r="AJ2" s="117"/>
      <c r="AK2" s="117"/>
      <c r="AL2" s="117"/>
      <c r="AM2" s="117"/>
      <c r="AN2" s="118"/>
    </row>
    <row r="3" spans="1:40" x14ac:dyDescent="0.2">
      <c r="A3" s="50" t="s">
        <v>51</v>
      </c>
      <c r="B3" s="76">
        <f>18.21%</f>
        <v>0.18210000000000001</v>
      </c>
    </row>
    <row r="4" spans="1:40" ht="17" thickBot="1" x14ac:dyDescent="0.25">
      <c r="A4" s="52" t="s">
        <v>52</v>
      </c>
      <c r="B4" s="53">
        <f>1.39%</f>
        <v>1.3899999999999999E-2</v>
      </c>
    </row>
    <row r="6" spans="1:40" ht="17" thickBot="1" x14ac:dyDescent="0.25">
      <c r="D6" s="30"/>
      <c r="E6" s="120" t="s">
        <v>44</v>
      </c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19" t="s">
        <v>45</v>
      </c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20" t="s">
        <v>46</v>
      </c>
      <c r="AD6" s="120"/>
      <c r="AE6" s="120"/>
      <c r="AF6" s="120"/>
      <c r="AG6" s="120"/>
      <c r="AH6" s="120"/>
      <c r="AI6" s="120"/>
      <c r="AJ6" s="120"/>
      <c r="AK6" s="120"/>
      <c r="AL6" s="120"/>
      <c r="AM6" s="120"/>
      <c r="AN6" s="120"/>
    </row>
    <row r="7" spans="1:40" ht="17" customHeight="1" thickBot="1" x14ac:dyDescent="0.25">
      <c r="A7" s="124" t="s">
        <v>59</v>
      </c>
      <c r="B7" s="121" t="s">
        <v>53</v>
      </c>
      <c r="C7" s="16"/>
      <c r="D7" s="21">
        <v>45748</v>
      </c>
      <c r="E7" s="9">
        <v>45778</v>
      </c>
      <c r="F7" s="9">
        <v>45809</v>
      </c>
      <c r="G7" s="9">
        <v>45839</v>
      </c>
      <c r="H7" s="9">
        <v>45870</v>
      </c>
      <c r="I7" s="9">
        <v>45901</v>
      </c>
      <c r="J7" s="9">
        <v>45931</v>
      </c>
      <c r="K7" s="9">
        <v>45962</v>
      </c>
      <c r="L7" s="9">
        <v>45992</v>
      </c>
      <c r="M7" s="9">
        <v>46023</v>
      </c>
      <c r="N7" s="9">
        <v>46054</v>
      </c>
      <c r="O7" s="9">
        <v>46082</v>
      </c>
      <c r="P7" s="9">
        <v>46113</v>
      </c>
      <c r="Q7" s="9">
        <v>46143</v>
      </c>
      <c r="R7" s="9">
        <v>46174</v>
      </c>
      <c r="S7" s="9">
        <v>46204</v>
      </c>
      <c r="T7" s="9">
        <v>46235</v>
      </c>
      <c r="U7" s="9">
        <v>46266</v>
      </c>
      <c r="V7" s="9">
        <v>46296</v>
      </c>
      <c r="W7" s="9">
        <v>46327</v>
      </c>
      <c r="X7" s="9">
        <v>46357</v>
      </c>
      <c r="Y7" s="9">
        <v>46388</v>
      </c>
      <c r="Z7" s="9">
        <v>46419</v>
      </c>
      <c r="AA7" s="9">
        <v>46447</v>
      </c>
      <c r="AB7" s="9">
        <v>46478</v>
      </c>
      <c r="AC7" s="9">
        <v>46508</v>
      </c>
      <c r="AD7" s="9">
        <v>46539</v>
      </c>
      <c r="AE7" s="9">
        <v>46569</v>
      </c>
      <c r="AF7" s="9">
        <v>46600</v>
      </c>
      <c r="AG7" s="9">
        <v>46631</v>
      </c>
      <c r="AH7" s="9">
        <v>46661</v>
      </c>
      <c r="AI7" s="9">
        <v>46692</v>
      </c>
      <c r="AJ7" s="9">
        <v>46722</v>
      </c>
      <c r="AK7" s="9">
        <v>46753</v>
      </c>
      <c r="AL7" s="9">
        <v>46784</v>
      </c>
      <c r="AM7" s="9">
        <v>46813</v>
      </c>
      <c r="AN7" s="10">
        <v>46844</v>
      </c>
    </row>
    <row r="8" spans="1:40" x14ac:dyDescent="0.2">
      <c r="A8" s="125"/>
      <c r="B8" s="122"/>
      <c r="C8" s="85" t="s">
        <v>31</v>
      </c>
      <c r="D8" s="22"/>
      <c r="E8" s="19" cm="1">
        <f t="array" ref="E8:J8">TRANSPOSE(Tabla311[2 cadenas])</f>
        <v>640000</v>
      </c>
      <c r="F8" s="19">
        <v>280000</v>
      </c>
      <c r="G8" s="19">
        <v>400000</v>
      </c>
      <c r="H8" s="19">
        <v>400000</v>
      </c>
      <c r="I8" s="19">
        <v>200000</v>
      </c>
      <c r="J8" s="19">
        <v>320000</v>
      </c>
      <c r="K8" s="19"/>
      <c r="L8" s="19"/>
      <c r="M8" s="19"/>
      <c r="N8" s="19"/>
      <c r="O8" s="19">
        <f>(20000)*2</f>
        <v>40000</v>
      </c>
      <c r="Q8" s="127">
        <v>40000</v>
      </c>
      <c r="R8" s="19"/>
      <c r="S8" s="127">
        <v>40000</v>
      </c>
      <c r="T8" s="127"/>
      <c r="U8" s="127">
        <v>40000</v>
      </c>
      <c r="V8" s="127"/>
      <c r="W8" s="127">
        <v>40000</v>
      </c>
      <c r="X8" s="127"/>
      <c r="Z8" s="19"/>
      <c r="AA8" s="19">
        <f>(20000)*2</f>
        <v>40000</v>
      </c>
      <c r="AC8" s="127">
        <v>40000</v>
      </c>
      <c r="AD8" s="19"/>
      <c r="AE8" s="127">
        <v>40000</v>
      </c>
      <c r="AF8" s="127"/>
      <c r="AG8" s="127">
        <v>40000</v>
      </c>
      <c r="AH8" s="127"/>
      <c r="AI8" s="127">
        <v>40000</v>
      </c>
      <c r="AJ8" s="127"/>
      <c r="AL8" s="19"/>
      <c r="AM8" s="19">
        <f>(20000)*2</f>
        <v>40000</v>
      </c>
      <c r="AN8" s="12"/>
    </row>
    <row r="9" spans="1:40" x14ac:dyDescent="0.2">
      <c r="A9" s="125"/>
      <c r="B9" s="122"/>
      <c r="C9" s="17" t="s">
        <v>58</v>
      </c>
      <c r="D9" s="24">
        <v>-20000</v>
      </c>
      <c r="E9" s="20">
        <v>-20000</v>
      </c>
      <c r="F9" s="20"/>
      <c r="G9" s="20">
        <v>-20000</v>
      </c>
      <c r="H9" s="20"/>
      <c r="I9" s="20">
        <v>-20000</v>
      </c>
      <c r="J9" s="20"/>
      <c r="K9" s="20">
        <v>-20000</v>
      </c>
      <c r="L9" s="20">
        <v>-20000</v>
      </c>
      <c r="M9" s="20">
        <v>-20000</v>
      </c>
      <c r="N9" s="20"/>
      <c r="O9" s="20"/>
      <c r="P9" s="20">
        <v>-20000</v>
      </c>
      <c r="Q9" s="20"/>
      <c r="R9" s="20"/>
      <c r="S9" s="20"/>
      <c r="T9" s="20">
        <v>-20000</v>
      </c>
      <c r="U9" s="20"/>
      <c r="V9" s="20"/>
      <c r="W9" s="20"/>
      <c r="X9" s="20">
        <v>-20000</v>
      </c>
      <c r="Y9" s="20">
        <v>-20000</v>
      </c>
      <c r="Z9" s="20"/>
      <c r="AA9" s="20"/>
      <c r="AB9" s="20">
        <v>-20000</v>
      </c>
      <c r="AC9" s="20"/>
      <c r="AD9" s="20"/>
      <c r="AE9" s="20"/>
      <c r="AF9" s="20">
        <v>-20000</v>
      </c>
      <c r="AG9" s="20"/>
      <c r="AH9" s="20"/>
      <c r="AI9" s="20"/>
      <c r="AJ9" s="20">
        <v>-20000</v>
      </c>
      <c r="AK9" s="20">
        <v>-20000</v>
      </c>
      <c r="AL9" s="20"/>
      <c r="AM9" s="20"/>
      <c r="AN9" s="12">
        <v>-20000</v>
      </c>
    </row>
    <row r="10" spans="1:40" x14ac:dyDescent="0.2">
      <c r="A10" s="125"/>
      <c r="B10" s="122"/>
      <c r="C10" s="17" t="s">
        <v>32</v>
      </c>
      <c r="D10" s="24"/>
      <c r="E10" s="20">
        <f>'Tablas optimista'!$C$34</f>
        <v>11071.022727272728</v>
      </c>
      <c r="F10" s="20">
        <f>'Tablas optimista'!$C$34</f>
        <v>11071.022727272728</v>
      </c>
      <c r="G10" s="20">
        <f>'Tablas optimista'!$C$34</f>
        <v>11071.022727272728</v>
      </c>
      <c r="H10" s="20">
        <f>'Tablas optimista'!$C$34</f>
        <v>11071.022727272728</v>
      </c>
      <c r="I10" s="20">
        <f>'Tablas optimista'!$C$34</f>
        <v>11071.022727272728</v>
      </c>
      <c r="J10" s="20">
        <f>'Tablas optimista'!$C$34</f>
        <v>11071.022727272728</v>
      </c>
      <c r="K10" s="20">
        <f>'Tablas optimista'!$C$34</f>
        <v>11071.022727272728</v>
      </c>
      <c r="L10" s="20">
        <f>'Tablas optimista'!$C$34</f>
        <v>11071.022727272728</v>
      </c>
      <c r="M10" s="20">
        <f>'Tablas optimista'!$C$34</f>
        <v>11071.022727272728</v>
      </c>
      <c r="N10" s="20">
        <f>'Tablas optimista'!$C$34</f>
        <v>11071.022727272728</v>
      </c>
      <c r="O10" s="20">
        <f>'Tablas optimista'!$C$34</f>
        <v>11071.022727272728</v>
      </c>
      <c r="P10" s="20">
        <f>'Tablas optimista'!$C$34</f>
        <v>11071.022727272728</v>
      </c>
      <c r="Q10" s="20">
        <f>'Tablas optimista'!$C$34</f>
        <v>11071.022727272728</v>
      </c>
      <c r="R10" s="20">
        <f>'Tablas optimista'!$C$34</f>
        <v>11071.022727272728</v>
      </c>
      <c r="S10" s="20">
        <f>'Tablas optimista'!$C$34</f>
        <v>11071.022727272728</v>
      </c>
      <c r="T10" s="20">
        <f>'Tablas optimista'!$C$34</f>
        <v>11071.022727272728</v>
      </c>
      <c r="U10" s="20">
        <f>'Tablas optimista'!$C$34</f>
        <v>11071.022727272728</v>
      </c>
      <c r="V10" s="20">
        <f>'Tablas optimista'!$C$34</f>
        <v>11071.022727272728</v>
      </c>
      <c r="W10" s="20">
        <f>'Tablas optimista'!$C$34</f>
        <v>11071.022727272728</v>
      </c>
      <c r="X10" s="20">
        <f>'Tablas optimista'!$C$34</f>
        <v>11071.022727272728</v>
      </c>
      <c r="Y10" s="20">
        <f>'Tablas optimista'!$C$34</f>
        <v>11071.022727272728</v>
      </c>
      <c r="Z10" s="20">
        <f>'Tablas optimista'!$C$34</f>
        <v>11071.022727272728</v>
      </c>
      <c r="AA10" s="20">
        <f>'Tablas optimista'!$C$34</f>
        <v>11071.022727272728</v>
      </c>
      <c r="AB10" s="20">
        <f>'Tablas optimista'!$C$34</f>
        <v>11071.022727272728</v>
      </c>
      <c r="AC10" s="20">
        <f>'Tablas optimista'!$C$34</f>
        <v>11071.022727272728</v>
      </c>
      <c r="AD10" s="20">
        <f>'Tablas optimista'!$C$34</f>
        <v>11071.022727272728</v>
      </c>
      <c r="AE10" s="20">
        <f>'Tablas optimista'!$C$34</f>
        <v>11071.022727272728</v>
      </c>
      <c r="AF10" s="20">
        <f>'Tablas optimista'!$C$34</f>
        <v>11071.022727272728</v>
      </c>
      <c r="AG10" s="20">
        <f>'Tablas optimista'!$C$34</f>
        <v>11071.022727272728</v>
      </c>
      <c r="AH10" s="20">
        <f>'Tablas optimista'!$C$34</f>
        <v>11071.022727272728</v>
      </c>
      <c r="AI10" s="20">
        <f>'Tablas optimista'!$C$34</f>
        <v>11071.022727272728</v>
      </c>
      <c r="AJ10" s="20">
        <f>'Tablas optimista'!$C$34</f>
        <v>11071.022727272728</v>
      </c>
      <c r="AK10" s="20">
        <f>'Tablas optimista'!$C$34</f>
        <v>11071.022727272728</v>
      </c>
      <c r="AL10" s="20">
        <f>'Tablas optimista'!$C$34</f>
        <v>11071.022727272728</v>
      </c>
      <c r="AM10" s="20">
        <f>'Tablas optimista'!$C$34</f>
        <v>11071.022727272728</v>
      </c>
      <c r="AN10" s="12">
        <f>'Tablas optimista'!$C$34</f>
        <v>11071.022727272728</v>
      </c>
    </row>
    <row r="11" spans="1:40" x14ac:dyDescent="0.2">
      <c r="A11" s="125"/>
      <c r="B11" s="122"/>
      <c r="C11" s="17" t="s">
        <v>33</v>
      </c>
      <c r="D11" s="24"/>
      <c r="E11" s="20" cm="1">
        <f t="array" ref="E11:L11">TRANSPOSE(Tabla17[Costo 2 cadenas])</f>
        <v>-30000</v>
      </c>
      <c r="F11" s="20">
        <v>0</v>
      </c>
      <c r="G11" s="20">
        <v>-5000</v>
      </c>
      <c r="H11" s="20">
        <v>0</v>
      </c>
      <c r="I11" s="20">
        <v>-5000</v>
      </c>
      <c r="J11" s="20">
        <v>0</v>
      </c>
      <c r="K11" s="20">
        <v>-5000</v>
      </c>
      <c r="L11" s="20">
        <v>-50000</v>
      </c>
      <c r="M11" s="20"/>
      <c r="N11" s="20"/>
      <c r="O11" s="20"/>
      <c r="P11" s="20">
        <v>-5000</v>
      </c>
      <c r="Q11" s="20"/>
      <c r="R11" s="20"/>
      <c r="S11" s="20"/>
      <c r="T11" s="20">
        <v>-5000</v>
      </c>
      <c r="U11" s="20"/>
      <c r="V11" s="20"/>
      <c r="W11" s="20"/>
      <c r="X11" s="20">
        <v>-50000</v>
      </c>
      <c r="Y11" s="20"/>
      <c r="Z11" s="20"/>
      <c r="AA11" s="20"/>
      <c r="AB11" s="20">
        <v>-5000</v>
      </c>
      <c r="AC11" s="20"/>
      <c r="AD11" s="20"/>
      <c r="AE11" s="20"/>
      <c r="AF11" s="20">
        <v>-5000</v>
      </c>
      <c r="AG11" s="20"/>
      <c r="AH11" s="20"/>
      <c r="AI11" s="20"/>
      <c r="AJ11" s="20">
        <v>-50000</v>
      </c>
      <c r="AK11" s="20"/>
      <c r="AL11" s="20"/>
      <c r="AM11" s="20"/>
      <c r="AN11" s="12">
        <v>-5000</v>
      </c>
    </row>
    <row r="12" spans="1:40" ht="17" thickBot="1" x14ac:dyDescent="0.25">
      <c r="A12" s="125"/>
      <c r="B12" s="122"/>
      <c r="C12" s="17" t="s">
        <v>34</v>
      </c>
      <c r="D12" s="77">
        <v>-1168500</v>
      </c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13"/>
    </row>
    <row r="13" spans="1:40" ht="17" thickBot="1" x14ac:dyDescent="0.25">
      <c r="A13" s="125"/>
      <c r="B13" s="122"/>
      <c r="C13" s="18" t="s">
        <v>37</v>
      </c>
      <c r="D13" s="25">
        <f t="shared" ref="D13:AN13" si="0">SUM(D8:D12)</f>
        <v>-1188500</v>
      </c>
      <c r="E13" s="26">
        <f t="shared" si="0"/>
        <v>601071.02272727271</v>
      </c>
      <c r="F13" s="26">
        <f t="shared" si="0"/>
        <v>291071.02272727271</v>
      </c>
      <c r="G13" s="26">
        <f t="shared" si="0"/>
        <v>386071.02272727271</v>
      </c>
      <c r="H13" s="26">
        <f t="shared" si="0"/>
        <v>411071.02272727271</v>
      </c>
      <c r="I13" s="26">
        <f t="shared" si="0"/>
        <v>186071.02272727274</v>
      </c>
      <c r="J13" s="26">
        <f t="shared" si="0"/>
        <v>331071.02272727271</v>
      </c>
      <c r="K13" s="26">
        <f t="shared" si="0"/>
        <v>-13928.977272727272</v>
      </c>
      <c r="L13" s="26">
        <f t="shared" si="0"/>
        <v>-58928.977272727272</v>
      </c>
      <c r="M13" s="26">
        <f t="shared" si="0"/>
        <v>-8928.9772727272721</v>
      </c>
      <c r="N13" s="26">
        <f t="shared" si="0"/>
        <v>11071.022727272728</v>
      </c>
      <c r="O13" s="26">
        <f t="shared" si="0"/>
        <v>51071.022727272728</v>
      </c>
      <c r="P13" s="26">
        <f t="shared" si="0"/>
        <v>-13928.977272727272</v>
      </c>
      <c r="Q13" s="26">
        <f t="shared" si="0"/>
        <v>51071.022727272728</v>
      </c>
      <c r="R13" s="26">
        <f t="shared" si="0"/>
        <v>11071.022727272728</v>
      </c>
      <c r="S13" s="26">
        <f t="shared" si="0"/>
        <v>51071.022727272728</v>
      </c>
      <c r="T13" s="26">
        <f t="shared" si="0"/>
        <v>-13928.977272727272</v>
      </c>
      <c r="U13" s="26">
        <f t="shared" si="0"/>
        <v>51071.022727272728</v>
      </c>
      <c r="V13" s="26">
        <f t="shared" si="0"/>
        <v>11071.022727272728</v>
      </c>
      <c r="W13" s="26">
        <f t="shared" si="0"/>
        <v>51071.022727272728</v>
      </c>
      <c r="X13" s="26">
        <f t="shared" si="0"/>
        <v>-58928.977272727272</v>
      </c>
      <c r="Y13" s="26">
        <f t="shared" si="0"/>
        <v>-8928.9772727272721</v>
      </c>
      <c r="Z13" s="26">
        <f t="shared" si="0"/>
        <v>11071.022727272728</v>
      </c>
      <c r="AA13" s="26">
        <f t="shared" si="0"/>
        <v>51071.022727272728</v>
      </c>
      <c r="AB13" s="26">
        <f t="shared" si="0"/>
        <v>-13928.977272727272</v>
      </c>
      <c r="AC13" s="26">
        <f t="shared" si="0"/>
        <v>51071.022727272728</v>
      </c>
      <c r="AD13" s="26">
        <f t="shared" si="0"/>
        <v>11071.022727272728</v>
      </c>
      <c r="AE13" s="26">
        <f t="shared" si="0"/>
        <v>51071.022727272728</v>
      </c>
      <c r="AF13" s="26">
        <f t="shared" si="0"/>
        <v>-13928.977272727272</v>
      </c>
      <c r="AG13" s="26">
        <f t="shared" si="0"/>
        <v>51071.022727272728</v>
      </c>
      <c r="AH13" s="26">
        <f t="shared" si="0"/>
        <v>11071.022727272728</v>
      </c>
      <c r="AI13" s="26">
        <f t="shared" si="0"/>
        <v>51071.022727272728</v>
      </c>
      <c r="AJ13" s="26">
        <f t="shared" si="0"/>
        <v>-58928.977272727272</v>
      </c>
      <c r="AK13" s="26">
        <f t="shared" si="0"/>
        <v>-8928.9772727272721</v>
      </c>
      <c r="AL13" s="26">
        <f t="shared" si="0"/>
        <v>11071.022727272728</v>
      </c>
      <c r="AM13" s="26">
        <f t="shared" si="0"/>
        <v>51071.022727272728</v>
      </c>
      <c r="AN13" s="15">
        <f t="shared" si="0"/>
        <v>-13928.977272727272</v>
      </c>
    </row>
    <row r="14" spans="1:40" ht="17" thickBot="1" x14ac:dyDescent="0.25">
      <c r="A14" s="125"/>
      <c r="B14" s="122"/>
      <c r="C14" s="8" t="s">
        <v>38</v>
      </c>
      <c r="D14" s="44">
        <f>NPV($B$4,E13:AN13)+D13</f>
        <v>1178980.714361351</v>
      </c>
      <c r="E14" s="1"/>
      <c r="F14" s="7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40" ht="17" thickBot="1" x14ac:dyDescent="0.25">
      <c r="A15" s="125"/>
      <c r="B15" s="122"/>
      <c r="C15" s="8" t="s">
        <v>47</v>
      </c>
      <c r="D15" s="54">
        <f>IRR(D13:AN13)</f>
        <v>0.2457829567915033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40" ht="17" thickBot="1" x14ac:dyDescent="0.25">
      <c r="A16" s="125"/>
      <c r="B16" s="123"/>
      <c r="C16" s="8" t="s">
        <v>48</v>
      </c>
      <c r="D16" s="44" t="s">
        <v>49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40" x14ac:dyDescent="0.2">
      <c r="A17" s="125"/>
      <c r="D17" s="1">
        <f>D13</f>
        <v>-1188500</v>
      </c>
      <c r="E17" s="1">
        <f>D17+E13</f>
        <v>-587428.97727272729</v>
      </c>
      <c r="F17" s="1">
        <f>E17+F13</f>
        <v>-296357.95454545459</v>
      </c>
      <c r="G17" s="48">
        <f>F17+G13</f>
        <v>89713.068181818118</v>
      </c>
      <c r="H17" s="1"/>
      <c r="I17" s="1"/>
      <c r="J17" s="1"/>
      <c r="K17" s="1"/>
      <c r="L17" s="1"/>
      <c r="M17" s="1"/>
      <c r="N17" s="1"/>
      <c r="O17" s="1"/>
      <c r="P17" s="1"/>
    </row>
    <row r="18" spans="1:40" ht="17" customHeight="1" thickBot="1" x14ac:dyDescent="0.25">
      <c r="A18" s="125"/>
    </row>
    <row r="19" spans="1:40" ht="17" customHeight="1" thickBot="1" x14ac:dyDescent="0.25">
      <c r="A19" s="125"/>
      <c r="B19" s="121" t="s">
        <v>53</v>
      </c>
      <c r="C19" s="31"/>
      <c r="D19" s="32">
        <v>0</v>
      </c>
      <c r="E19" s="33">
        <v>1</v>
      </c>
      <c r="F19" s="33">
        <v>2</v>
      </c>
      <c r="G19" s="33">
        <v>3</v>
      </c>
    </row>
    <row r="20" spans="1:40" x14ac:dyDescent="0.2">
      <c r="A20" s="125"/>
      <c r="B20" s="122"/>
      <c r="C20" s="86" t="s">
        <v>31</v>
      </c>
      <c r="D20" s="35"/>
      <c r="E20" s="36">
        <f>SUM(E8:P8)</f>
        <v>2280000</v>
      </c>
      <c r="F20" s="36">
        <f>SUM(Q8:AB8)</f>
        <v>200000</v>
      </c>
      <c r="G20" s="36">
        <f>SUM(AC8:AN8)</f>
        <v>200000</v>
      </c>
    </row>
    <row r="21" spans="1:40" x14ac:dyDescent="0.2">
      <c r="A21" s="125"/>
      <c r="B21" s="122"/>
      <c r="C21" s="17" t="s">
        <v>58</v>
      </c>
      <c r="D21" s="37">
        <f>D9</f>
        <v>-20000</v>
      </c>
      <c r="E21" s="38">
        <f>SUM(E9:P9)</f>
        <v>-140000</v>
      </c>
      <c r="F21" s="38">
        <f>SUM(Q9:AB9)</f>
        <v>-80000</v>
      </c>
      <c r="G21" s="38">
        <f>SUM(AC9:AN9)</f>
        <v>-80000</v>
      </c>
    </row>
    <row r="22" spans="1:40" x14ac:dyDescent="0.2">
      <c r="A22" s="125"/>
      <c r="B22" s="122"/>
      <c r="C22" s="34" t="s">
        <v>32</v>
      </c>
      <c r="D22" s="37"/>
      <c r="E22" s="38">
        <f>SUM(E10:P10)</f>
        <v>132852.27272727276</v>
      </c>
      <c r="F22" s="38">
        <f>SUM(Q10:AB10)</f>
        <v>132852.27272727276</v>
      </c>
      <c r="G22" s="38">
        <f>SUM(AC10:AN10)</f>
        <v>132852.27272727276</v>
      </c>
    </row>
    <row r="23" spans="1:40" x14ac:dyDescent="0.2">
      <c r="A23" s="125"/>
      <c r="B23" s="122"/>
      <c r="C23" s="34" t="s">
        <v>33</v>
      </c>
      <c r="D23" s="37"/>
      <c r="E23" s="38">
        <f>SUM(E11:P11)</f>
        <v>-100000</v>
      </c>
      <c r="F23" s="38">
        <f>SUM(Q11:AB11)</f>
        <v>-60000</v>
      </c>
      <c r="G23" s="38">
        <f>SUM(AC11:AN11)</f>
        <v>-60000</v>
      </c>
    </row>
    <row r="24" spans="1:40" ht="17" thickBot="1" x14ac:dyDescent="0.25">
      <c r="A24" s="125"/>
      <c r="B24" s="122"/>
      <c r="C24" s="34" t="s">
        <v>34</v>
      </c>
      <c r="D24" s="37">
        <f>D12</f>
        <v>-1168500</v>
      </c>
      <c r="E24" s="38">
        <f>SUM(E12:P12)</f>
        <v>0</v>
      </c>
      <c r="F24" s="38">
        <f>SUM(Q12:AB12)</f>
        <v>0</v>
      </c>
      <c r="G24" s="38">
        <f>SUM(AC12:AN12)</f>
        <v>0</v>
      </c>
    </row>
    <row r="25" spans="1:40" ht="17" thickBot="1" x14ac:dyDescent="0.25">
      <c r="A25" s="125"/>
      <c r="B25" s="122"/>
      <c r="C25" s="39" t="s">
        <v>37</v>
      </c>
      <c r="D25" s="40">
        <f>SUM(D20:D24)</f>
        <v>-1188500</v>
      </c>
      <c r="E25" s="41">
        <f>SUM(E20:E24)</f>
        <v>2172852.2727272729</v>
      </c>
      <c r="F25" s="41">
        <f>SUM(F20:F24)</f>
        <v>192852.27272727276</v>
      </c>
      <c r="G25" s="41">
        <f>SUM(G20:G24)</f>
        <v>192852.27272727276</v>
      </c>
    </row>
    <row r="26" spans="1:40" ht="17" thickBot="1" x14ac:dyDescent="0.25">
      <c r="A26" s="125"/>
      <c r="B26" s="122"/>
      <c r="C26" s="42" t="s">
        <v>38</v>
      </c>
      <c r="D26" s="46">
        <f>NPV(B3,E25:G25)+D25</f>
        <v>904392.22177620535</v>
      </c>
      <c r="E26" s="80" t="s">
        <v>60</v>
      </c>
      <c r="F26" s="81">
        <f>(Sensibilidad!D26-'Evaluación optimista'!$D$26)/'Evaluación optimista'!$D$26</f>
        <v>-0.21329476947304674</v>
      </c>
      <c r="G26" s="43"/>
    </row>
    <row r="27" spans="1:40" ht="17" thickBot="1" x14ac:dyDescent="0.25">
      <c r="A27" s="125"/>
      <c r="B27" s="122"/>
      <c r="C27" s="8" t="s">
        <v>47</v>
      </c>
      <c r="D27" s="54">
        <f>IRR(D25:G25)</f>
        <v>0.95379021031811262</v>
      </c>
      <c r="E27" s="82" t="s">
        <v>60</v>
      </c>
      <c r="F27" s="81">
        <f>(Sensibilidad!D27-'Evaluación optimista'!$D$27)/'Evaluación optimista'!$D$27</f>
        <v>-0.11196703874760464</v>
      </c>
    </row>
    <row r="28" spans="1:40" ht="17" thickBot="1" x14ac:dyDescent="0.25">
      <c r="A28" s="125"/>
      <c r="B28" s="123"/>
      <c r="C28" s="8" t="s">
        <v>48</v>
      </c>
      <c r="D28" s="44" t="s">
        <v>44</v>
      </c>
    </row>
    <row r="29" spans="1:40" x14ac:dyDescent="0.2">
      <c r="A29" s="125"/>
      <c r="D29" s="1">
        <f>D25</f>
        <v>-1188500</v>
      </c>
      <c r="E29" s="48">
        <f>D29+E25</f>
        <v>984352.27272727294</v>
      </c>
      <c r="F29" s="1">
        <f>E29+F25</f>
        <v>1177204.5454545456</v>
      </c>
      <c r="G29" s="1">
        <f>F29+G25</f>
        <v>1370056.8181818184</v>
      </c>
    </row>
    <row r="30" spans="1:40" x14ac:dyDescent="0.2">
      <c r="A30" s="125"/>
    </row>
    <row r="31" spans="1:40" ht="17" customHeight="1" x14ac:dyDescent="0.2">
      <c r="A31" s="125"/>
    </row>
    <row r="32" spans="1:40" ht="17" thickBot="1" x14ac:dyDescent="0.25">
      <c r="A32" s="125"/>
      <c r="E32" s="120" t="s">
        <v>44</v>
      </c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19" t="s">
        <v>45</v>
      </c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20" t="s">
        <v>46</v>
      </c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</row>
    <row r="33" spans="1:40" ht="17" customHeight="1" thickBot="1" x14ac:dyDescent="0.25">
      <c r="A33" s="125"/>
      <c r="B33" s="121" t="s">
        <v>54</v>
      </c>
      <c r="C33" s="16"/>
      <c r="D33" s="21">
        <v>45748</v>
      </c>
      <c r="E33" s="9">
        <v>45778</v>
      </c>
      <c r="F33" s="9">
        <v>45809</v>
      </c>
      <c r="G33" s="9">
        <v>45839</v>
      </c>
      <c r="H33" s="9">
        <v>45870</v>
      </c>
      <c r="I33" s="9">
        <v>45901</v>
      </c>
      <c r="J33" s="9">
        <v>45931</v>
      </c>
      <c r="K33" s="9">
        <v>45962</v>
      </c>
      <c r="L33" s="9">
        <v>45992</v>
      </c>
      <c r="M33" s="9">
        <v>46023</v>
      </c>
      <c r="N33" s="9">
        <v>46054</v>
      </c>
      <c r="O33" s="9">
        <v>46082</v>
      </c>
      <c r="P33" s="9">
        <v>46113</v>
      </c>
      <c r="Q33" s="9">
        <v>46143</v>
      </c>
      <c r="R33" s="9">
        <v>46174</v>
      </c>
      <c r="S33" s="9">
        <v>46204</v>
      </c>
      <c r="T33" s="9">
        <v>46235</v>
      </c>
      <c r="U33" s="9">
        <v>46266</v>
      </c>
      <c r="V33" s="9">
        <v>46296</v>
      </c>
      <c r="W33" s="9">
        <v>46327</v>
      </c>
      <c r="X33" s="9">
        <v>46357</v>
      </c>
      <c r="Y33" s="9">
        <v>46388</v>
      </c>
      <c r="Z33" s="9">
        <v>46419</v>
      </c>
      <c r="AA33" s="9">
        <v>46447</v>
      </c>
      <c r="AB33" s="9">
        <v>46478</v>
      </c>
      <c r="AC33" s="9">
        <v>46508</v>
      </c>
      <c r="AD33" s="9">
        <v>46539</v>
      </c>
      <c r="AE33" s="9">
        <v>46569</v>
      </c>
      <c r="AF33" s="9">
        <v>46600</v>
      </c>
      <c r="AG33" s="9">
        <v>46631</v>
      </c>
      <c r="AH33" s="9">
        <v>46661</v>
      </c>
      <c r="AI33" s="9">
        <v>46692</v>
      </c>
      <c r="AJ33" s="9">
        <v>46722</v>
      </c>
      <c r="AK33" s="9">
        <v>46753</v>
      </c>
      <c r="AL33" s="9">
        <v>46784</v>
      </c>
      <c r="AM33" s="9">
        <v>46813</v>
      </c>
      <c r="AN33" s="10">
        <v>46844</v>
      </c>
    </row>
    <row r="34" spans="1:40" x14ac:dyDescent="0.2">
      <c r="A34" s="125"/>
      <c r="B34" s="122"/>
      <c r="C34" s="85" t="s">
        <v>31</v>
      </c>
      <c r="D34" s="22"/>
      <c r="E34" s="19" cm="1">
        <f t="array" ref="E34:J34">TRANSPOSE(Tabla311[5 cadenas])</f>
        <v>1600000</v>
      </c>
      <c r="F34" s="19">
        <v>700000</v>
      </c>
      <c r="G34" s="19">
        <v>1000000</v>
      </c>
      <c r="H34" s="19">
        <v>1000000</v>
      </c>
      <c r="I34" s="19">
        <v>500000</v>
      </c>
      <c r="J34" s="19">
        <v>800000</v>
      </c>
      <c r="K34" s="19"/>
      <c r="L34" s="19"/>
      <c r="M34" s="19"/>
      <c r="N34" s="19"/>
      <c r="O34" s="19">
        <f>(20000)*5</f>
        <v>100000</v>
      </c>
      <c r="Q34" s="128">
        <v>100000</v>
      </c>
      <c r="R34" s="128"/>
      <c r="S34" s="128">
        <v>100000</v>
      </c>
      <c r="T34" s="128"/>
      <c r="U34" s="128">
        <v>100000</v>
      </c>
      <c r="W34" s="19">
        <f>(20000)*5</f>
        <v>100000</v>
      </c>
      <c r="X34" s="128"/>
      <c r="Y34" s="19"/>
      <c r="Z34" s="128"/>
      <c r="AA34" s="19">
        <f>(20000)*5</f>
        <v>100000</v>
      </c>
      <c r="AC34" s="128">
        <v>100000</v>
      </c>
      <c r="AE34" s="128">
        <v>100000</v>
      </c>
      <c r="AG34" s="19">
        <f>(20000)*5</f>
        <v>100000</v>
      </c>
      <c r="AI34" s="128">
        <v>100000</v>
      </c>
      <c r="AK34" s="19"/>
      <c r="AL34" s="128"/>
      <c r="AM34" s="11">
        <f>(20000)*5</f>
        <v>100000</v>
      </c>
      <c r="AN34" s="11"/>
    </row>
    <row r="35" spans="1:40" x14ac:dyDescent="0.2">
      <c r="A35" s="125"/>
      <c r="B35" s="122"/>
      <c r="C35" s="17" t="s">
        <v>58</v>
      </c>
      <c r="D35" s="24">
        <v>-20000</v>
      </c>
      <c r="E35" s="20">
        <v>-20000</v>
      </c>
      <c r="F35" s="20"/>
      <c r="G35" s="20">
        <v>-20000</v>
      </c>
      <c r="H35" s="20"/>
      <c r="I35" s="20">
        <v>-20000</v>
      </c>
      <c r="J35" s="20"/>
      <c r="K35" s="20">
        <v>-20000</v>
      </c>
      <c r="L35" s="20">
        <v>-20000</v>
      </c>
      <c r="M35" s="20">
        <v>-20000</v>
      </c>
      <c r="N35" s="20"/>
      <c r="O35" s="20"/>
      <c r="P35" s="20">
        <v>-20000</v>
      </c>
      <c r="Q35" s="20"/>
      <c r="R35" s="20"/>
      <c r="S35" s="20"/>
      <c r="T35" s="20">
        <v>-20000</v>
      </c>
      <c r="U35" s="20"/>
      <c r="V35" s="20"/>
      <c r="W35" s="20"/>
      <c r="X35" s="20">
        <v>-20000</v>
      </c>
      <c r="Y35" s="20">
        <v>-20000</v>
      </c>
      <c r="Z35" s="20"/>
      <c r="AA35" s="20"/>
      <c r="AB35" s="20">
        <v>-20000</v>
      </c>
      <c r="AC35" s="20"/>
      <c r="AD35" s="20"/>
      <c r="AE35" s="20"/>
      <c r="AF35" s="20">
        <v>-20000</v>
      </c>
      <c r="AG35" s="20"/>
      <c r="AH35" s="20"/>
      <c r="AI35" s="20"/>
      <c r="AJ35" s="20">
        <v>-20000</v>
      </c>
      <c r="AK35" s="20">
        <v>-20000</v>
      </c>
      <c r="AL35" s="20"/>
      <c r="AM35" s="20"/>
      <c r="AN35" s="12">
        <v>-20000</v>
      </c>
    </row>
    <row r="36" spans="1:40" x14ac:dyDescent="0.2">
      <c r="A36" s="125"/>
      <c r="B36" s="122"/>
      <c r="C36" s="17" t="s">
        <v>32</v>
      </c>
      <c r="D36" s="24"/>
      <c r="E36" s="20">
        <f>'Tablas optimista'!$C$34+'Tablas optimista'!$E$34+'Tablas optimista'!$F$34</f>
        <v>27642.992613636361</v>
      </c>
      <c r="F36" s="20">
        <f>'Tablas optimista'!$C$34+'Tablas optimista'!$E$34+'Tablas optimista'!$F$34</f>
        <v>27642.992613636361</v>
      </c>
      <c r="G36" s="20">
        <f>'Tablas optimista'!$C$34+'Tablas optimista'!$E$34+'Tablas optimista'!$F$34</f>
        <v>27642.992613636361</v>
      </c>
      <c r="H36" s="20">
        <f>'Tablas optimista'!$C$34+'Tablas optimista'!$E$34+'Tablas optimista'!$F$34</f>
        <v>27642.992613636361</v>
      </c>
      <c r="I36" s="20">
        <f>'Tablas optimista'!$C$34+'Tablas optimista'!$E$34+'Tablas optimista'!$F$34</f>
        <v>27642.992613636361</v>
      </c>
      <c r="J36" s="20">
        <f>'Tablas optimista'!$C$34+'Tablas optimista'!$E$34+'Tablas optimista'!$F$34</f>
        <v>27642.992613636361</v>
      </c>
      <c r="K36" s="20">
        <f>'Tablas optimista'!$C$34+'Tablas optimista'!$E$34+'Tablas optimista'!$F$34</f>
        <v>27642.992613636361</v>
      </c>
      <c r="L36" s="20">
        <f>'Tablas optimista'!$C$34+'Tablas optimista'!$E$34+'Tablas optimista'!$F$34</f>
        <v>27642.992613636361</v>
      </c>
      <c r="M36" s="20">
        <f>'Tablas optimista'!$C$34+'Tablas optimista'!$E$34+'Tablas optimista'!$F$34</f>
        <v>27642.992613636361</v>
      </c>
      <c r="N36" s="20">
        <f>'Tablas optimista'!$C$34+'Tablas optimista'!$E$34+'Tablas optimista'!$F$34</f>
        <v>27642.992613636361</v>
      </c>
      <c r="O36" s="20">
        <f>'Tablas optimista'!$C$34+'Tablas optimista'!$E$34+'Tablas optimista'!$F$34</f>
        <v>27642.992613636361</v>
      </c>
      <c r="P36" s="20">
        <f>'Tablas optimista'!$C$34+'Tablas optimista'!$E$34+'Tablas optimista'!$F$34</f>
        <v>27642.992613636361</v>
      </c>
      <c r="Q36" s="20">
        <f>'Tablas optimista'!$C$34+'Tablas optimista'!$E$34+'Tablas optimista'!$F$34</f>
        <v>27642.992613636361</v>
      </c>
      <c r="R36" s="20">
        <f>'Tablas optimista'!$C$34+'Tablas optimista'!$E$34+'Tablas optimista'!$F$34</f>
        <v>27642.992613636361</v>
      </c>
      <c r="S36" s="20">
        <f>'Tablas optimista'!$C$34+'Tablas optimista'!$E$34+'Tablas optimista'!$F$34</f>
        <v>27642.992613636361</v>
      </c>
      <c r="T36" s="20">
        <f>'Tablas optimista'!$C$34+'Tablas optimista'!$E$34+'Tablas optimista'!$F$34</f>
        <v>27642.992613636361</v>
      </c>
      <c r="U36" s="20">
        <f>'Tablas optimista'!$C$34+'Tablas optimista'!$E$34+'Tablas optimista'!$F$34</f>
        <v>27642.992613636361</v>
      </c>
      <c r="V36" s="20">
        <f>'Tablas optimista'!$C$34+'Tablas optimista'!$E$34+'Tablas optimista'!$F$34</f>
        <v>27642.992613636361</v>
      </c>
      <c r="W36" s="20">
        <f>'Tablas optimista'!$C$34+'Tablas optimista'!$E$34+'Tablas optimista'!$F$34</f>
        <v>27642.992613636361</v>
      </c>
      <c r="X36" s="20">
        <f>'Tablas optimista'!$C$34+'Tablas optimista'!$E$34+'Tablas optimista'!$F$34</f>
        <v>27642.992613636361</v>
      </c>
      <c r="Y36" s="20">
        <f>'Tablas optimista'!$C$34+'Tablas optimista'!$E$34+'Tablas optimista'!$F$34</f>
        <v>27642.992613636361</v>
      </c>
      <c r="Z36" s="20">
        <f>'Tablas optimista'!$C$34+'Tablas optimista'!$E$34+'Tablas optimista'!$F$34</f>
        <v>27642.992613636361</v>
      </c>
      <c r="AA36" s="20">
        <f>'Tablas optimista'!$C$34+'Tablas optimista'!$E$34+'Tablas optimista'!$F$34</f>
        <v>27642.992613636361</v>
      </c>
      <c r="AB36" s="20">
        <f>'Tablas optimista'!$C$34+'Tablas optimista'!$E$34+'Tablas optimista'!$F$34</f>
        <v>27642.992613636361</v>
      </c>
      <c r="AC36" s="20">
        <f>'Tablas optimista'!$C$34+'Tablas optimista'!$E$34+'Tablas optimista'!$F$34</f>
        <v>27642.992613636361</v>
      </c>
      <c r="AD36" s="20">
        <f>'Tablas optimista'!$C$34+'Tablas optimista'!$E$34+'Tablas optimista'!$F$34</f>
        <v>27642.992613636361</v>
      </c>
      <c r="AE36" s="20">
        <f>'Tablas optimista'!$C$34+'Tablas optimista'!$E$34+'Tablas optimista'!$F$34</f>
        <v>27642.992613636361</v>
      </c>
      <c r="AF36" s="20">
        <f>'Tablas optimista'!$C$34+'Tablas optimista'!$E$34+'Tablas optimista'!$F$34</f>
        <v>27642.992613636361</v>
      </c>
      <c r="AG36" s="20">
        <f>'Tablas optimista'!$C$34+'Tablas optimista'!$E$34+'Tablas optimista'!$F$34</f>
        <v>27642.992613636361</v>
      </c>
      <c r="AH36" s="20">
        <f>'Tablas optimista'!$C$34+'Tablas optimista'!$E$34+'Tablas optimista'!$F$34</f>
        <v>27642.992613636361</v>
      </c>
      <c r="AI36" s="20">
        <f>'Tablas optimista'!$C$34+'Tablas optimista'!$E$34+'Tablas optimista'!$F$34</f>
        <v>27642.992613636361</v>
      </c>
      <c r="AJ36" s="20">
        <f>'Tablas optimista'!$C$34+'Tablas optimista'!$E$34+'Tablas optimista'!$F$34</f>
        <v>27642.992613636361</v>
      </c>
      <c r="AK36" s="20">
        <f>'Tablas optimista'!$C$34+'Tablas optimista'!$E$34+'Tablas optimista'!$F$34</f>
        <v>27642.992613636361</v>
      </c>
      <c r="AL36" s="20">
        <f>'Tablas optimista'!$C$34+'Tablas optimista'!$E$34+'Tablas optimista'!$F$34</f>
        <v>27642.992613636361</v>
      </c>
      <c r="AM36" s="20">
        <f>'Tablas optimista'!$C$34+'Tablas optimista'!$E$34+'Tablas optimista'!$F$34</f>
        <v>27642.992613636361</v>
      </c>
      <c r="AN36" s="12">
        <f>'Tablas optimista'!$C$34+'Tablas optimista'!$E$34+'Tablas optimista'!$F$34</f>
        <v>27642.992613636361</v>
      </c>
    </row>
    <row r="37" spans="1:40" x14ac:dyDescent="0.2">
      <c r="A37" s="125"/>
      <c r="B37" s="122"/>
      <c r="C37" s="17" t="s">
        <v>33</v>
      </c>
      <c r="D37" s="24"/>
      <c r="E37" s="20" cm="1">
        <f t="array" ref="E37:L37">TRANSPOSE(Tabla17[Costo 5 cadenas])</f>
        <v>-75000</v>
      </c>
      <c r="F37" s="20">
        <v>0</v>
      </c>
      <c r="G37" s="20">
        <v>-5000</v>
      </c>
      <c r="H37" s="20">
        <v>0</v>
      </c>
      <c r="I37" s="20">
        <v>-5000</v>
      </c>
      <c r="J37" s="20">
        <v>0</v>
      </c>
      <c r="K37" s="20">
        <v>-5000</v>
      </c>
      <c r="L37" s="20">
        <v>-50000</v>
      </c>
      <c r="M37" s="20"/>
      <c r="N37" s="20"/>
      <c r="O37" s="20"/>
      <c r="P37" s="20">
        <f>$K$37</f>
        <v>-5000</v>
      </c>
      <c r="Q37" s="20"/>
      <c r="R37" s="20"/>
      <c r="S37" s="20"/>
      <c r="T37" s="20">
        <f>$K$37</f>
        <v>-5000</v>
      </c>
      <c r="U37" s="20"/>
      <c r="V37" s="20"/>
      <c r="W37" s="20"/>
      <c r="X37" s="20">
        <v>-50000</v>
      </c>
      <c r="Y37" s="20"/>
      <c r="Z37" s="20"/>
      <c r="AA37" s="20"/>
      <c r="AB37" s="20">
        <f>$K$37</f>
        <v>-5000</v>
      </c>
      <c r="AC37" s="20"/>
      <c r="AD37" s="20"/>
      <c r="AE37" s="20"/>
      <c r="AF37" s="20">
        <f>$K$37</f>
        <v>-5000</v>
      </c>
      <c r="AG37" s="20"/>
      <c r="AH37" s="20"/>
      <c r="AI37" s="20"/>
      <c r="AJ37" s="20">
        <v>-50000</v>
      </c>
      <c r="AK37" s="20"/>
      <c r="AL37" s="20"/>
      <c r="AM37" s="20"/>
      <c r="AN37" s="12">
        <f>$K$37</f>
        <v>-5000</v>
      </c>
    </row>
    <row r="38" spans="1:40" ht="17" thickBot="1" x14ac:dyDescent="0.25">
      <c r="A38" s="125"/>
      <c r="B38" s="122"/>
      <c r="C38" s="17" t="s">
        <v>34</v>
      </c>
      <c r="D38" s="24">
        <v>-1168500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14"/>
    </row>
    <row r="39" spans="1:40" ht="17" thickBot="1" x14ac:dyDescent="0.25">
      <c r="A39" s="125"/>
      <c r="B39" s="122"/>
      <c r="C39" s="18" t="s">
        <v>37</v>
      </c>
      <c r="D39" s="25">
        <f t="shared" ref="D39:AN39" si="1">SUM(D34:D38)</f>
        <v>-1188500</v>
      </c>
      <c r="E39" s="26">
        <f t="shared" si="1"/>
        <v>1532642.9926136364</v>
      </c>
      <c r="F39" s="26">
        <f t="shared" si="1"/>
        <v>727642.99261363631</v>
      </c>
      <c r="G39" s="26">
        <f t="shared" si="1"/>
        <v>1002642.9926136363</v>
      </c>
      <c r="H39" s="26">
        <f t="shared" si="1"/>
        <v>1027642.9926136363</v>
      </c>
      <c r="I39" s="26">
        <f t="shared" si="1"/>
        <v>502642.99261363636</v>
      </c>
      <c r="J39" s="26">
        <f t="shared" si="1"/>
        <v>827642.99261363631</v>
      </c>
      <c r="K39" s="26">
        <f t="shared" si="1"/>
        <v>2642.9926136363611</v>
      </c>
      <c r="L39" s="26">
        <f t="shared" si="1"/>
        <v>-42357.007386363635</v>
      </c>
      <c r="M39" s="26">
        <f t="shared" si="1"/>
        <v>7642.9926136363611</v>
      </c>
      <c r="N39" s="26">
        <f t="shared" si="1"/>
        <v>27642.992613636361</v>
      </c>
      <c r="O39" s="26">
        <f t="shared" si="1"/>
        <v>127642.99261363636</v>
      </c>
      <c r="P39" s="26">
        <f t="shared" si="1"/>
        <v>2642.9926136363611</v>
      </c>
      <c r="Q39" s="26">
        <f t="shared" si="1"/>
        <v>127642.99261363636</v>
      </c>
      <c r="R39" s="26">
        <f t="shared" si="1"/>
        <v>27642.992613636361</v>
      </c>
      <c r="S39" s="26">
        <f t="shared" si="1"/>
        <v>127642.99261363636</v>
      </c>
      <c r="T39" s="26">
        <f t="shared" si="1"/>
        <v>2642.9926136363611</v>
      </c>
      <c r="U39" s="26">
        <f t="shared" si="1"/>
        <v>127642.99261363636</v>
      </c>
      <c r="V39" s="26">
        <f t="shared" si="1"/>
        <v>27642.992613636361</v>
      </c>
      <c r="W39" s="26">
        <f t="shared" si="1"/>
        <v>127642.99261363636</v>
      </c>
      <c r="X39" s="26">
        <f t="shared" si="1"/>
        <v>-42357.007386363635</v>
      </c>
      <c r="Y39" s="26">
        <f t="shared" si="1"/>
        <v>7642.9926136363611</v>
      </c>
      <c r="Z39" s="26">
        <f t="shared" si="1"/>
        <v>27642.992613636361</v>
      </c>
      <c r="AA39" s="26">
        <f t="shared" si="1"/>
        <v>127642.99261363636</v>
      </c>
      <c r="AB39" s="26">
        <f t="shared" si="1"/>
        <v>2642.9926136363611</v>
      </c>
      <c r="AC39" s="26">
        <f t="shared" si="1"/>
        <v>127642.99261363636</v>
      </c>
      <c r="AD39" s="26">
        <f t="shared" si="1"/>
        <v>27642.992613636361</v>
      </c>
      <c r="AE39" s="26">
        <f t="shared" si="1"/>
        <v>127642.99261363636</v>
      </c>
      <c r="AF39" s="26">
        <f t="shared" si="1"/>
        <v>2642.9926136363611</v>
      </c>
      <c r="AG39" s="26">
        <f t="shared" si="1"/>
        <v>127642.99261363636</v>
      </c>
      <c r="AH39" s="26">
        <f t="shared" si="1"/>
        <v>27642.992613636361</v>
      </c>
      <c r="AI39" s="26">
        <f t="shared" si="1"/>
        <v>127642.99261363636</v>
      </c>
      <c r="AJ39" s="26">
        <f t="shared" si="1"/>
        <v>-42357.007386363635</v>
      </c>
      <c r="AK39" s="26">
        <f t="shared" si="1"/>
        <v>7642.9926136363611</v>
      </c>
      <c r="AL39" s="26">
        <f t="shared" si="1"/>
        <v>27642.992613636361</v>
      </c>
      <c r="AM39" s="26">
        <f t="shared" si="1"/>
        <v>127642.99261363636</v>
      </c>
      <c r="AN39" s="15">
        <f t="shared" si="1"/>
        <v>2642.9926136363611</v>
      </c>
    </row>
    <row r="40" spans="1:40" ht="17" thickBot="1" x14ac:dyDescent="0.25">
      <c r="A40" s="125"/>
      <c r="B40" s="122"/>
      <c r="C40" s="8" t="s">
        <v>38</v>
      </c>
      <c r="D40" s="44">
        <f>NPV($B$4,E39:AN39)+D39</f>
        <v>5310066.322680505</v>
      </c>
      <c r="E40" s="1"/>
      <c r="F40" s="7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40" ht="17" thickBot="1" x14ac:dyDescent="0.25">
      <c r="A41" s="125"/>
      <c r="B41" s="122"/>
      <c r="C41" s="8" t="s">
        <v>47</v>
      </c>
      <c r="D41" s="54">
        <f>IRR(D39:AN39)</f>
        <v>0.9774202869752302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40" ht="16" customHeight="1" thickBot="1" x14ac:dyDescent="0.25">
      <c r="A42" s="125"/>
      <c r="B42" s="123"/>
      <c r="C42" s="8" t="s">
        <v>48</v>
      </c>
      <c r="D42" s="44" t="s">
        <v>50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40" x14ac:dyDescent="0.2">
      <c r="A43" s="125"/>
      <c r="D43" s="1">
        <f>D39</f>
        <v>-1188500</v>
      </c>
      <c r="E43" s="48">
        <f>D43+E39</f>
        <v>344142.99261363642</v>
      </c>
      <c r="F43" s="1">
        <f>E43+F39</f>
        <v>1071785.9852272728</v>
      </c>
      <c r="G43" s="1">
        <f>F43+G39</f>
        <v>2074428.9778409093</v>
      </c>
    </row>
    <row r="44" spans="1:40" ht="17" customHeight="1" thickBot="1" x14ac:dyDescent="0.25">
      <c r="A44" s="125"/>
    </row>
    <row r="45" spans="1:40" ht="17" thickBot="1" x14ac:dyDescent="0.25">
      <c r="A45" s="125"/>
      <c r="B45" s="121" t="s">
        <v>54</v>
      </c>
      <c r="C45" s="16"/>
      <c r="D45" s="27">
        <v>0</v>
      </c>
      <c r="E45" s="28">
        <v>1</v>
      </c>
      <c r="F45" s="28">
        <v>2</v>
      </c>
      <c r="G45" s="28">
        <v>3</v>
      </c>
    </row>
    <row r="46" spans="1:40" ht="16" customHeight="1" x14ac:dyDescent="0.2">
      <c r="A46" s="125"/>
      <c r="B46" s="122"/>
      <c r="C46" s="85" t="s">
        <v>31</v>
      </c>
      <c r="D46" s="35"/>
      <c r="E46" s="36">
        <f>SUM(E34:P34)</f>
        <v>5700000</v>
      </c>
      <c r="F46" s="36">
        <f>SUM(Q34:AB34)</f>
        <v>500000</v>
      </c>
      <c r="G46" s="36">
        <f>SUM(AC34:AN34)</f>
        <v>500000</v>
      </c>
    </row>
    <row r="47" spans="1:40" x14ac:dyDescent="0.2">
      <c r="A47" s="125"/>
      <c r="B47" s="122"/>
      <c r="C47" s="17" t="s">
        <v>58</v>
      </c>
      <c r="D47" s="37">
        <f>D35</f>
        <v>-20000</v>
      </c>
      <c r="E47" s="38">
        <f t="shared" ref="E47:E50" si="2">SUM(E35:P35)</f>
        <v>-140000</v>
      </c>
      <c r="F47" s="38">
        <f t="shared" ref="F47:F49" si="3">SUM(Q35:AB35)</f>
        <v>-80000</v>
      </c>
      <c r="G47" s="38">
        <f t="shared" ref="G47:G49" si="4">SUM(AC35:AN35)</f>
        <v>-80000</v>
      </c>
    </row>
    <row r="48" spans="1:40" x14ac:dyDescent="0.2">
      <c r="A48" s="125"/>
      <c r="B48" s="122"/>
      <c r="C48" s="17" t="s">
        <v>32</v>
      </c>
      <c r="D48" s="37"/>
      <c r="E48" s="38">
        <f t="shared" si="2"/>
        <v>331715.91136363632</v>
      </c>
      <c r="F48" s="38">
        <f t="shared" si="3"/>
        <v>331715.91136363632</v>
      </c>
      <c r="G48" s="38">
        <f t="shared" si="4"/>
        <v>331715.91136363632</v>
      </c>
    </row>
    <row r="49" spans="1:40" x14ac:dyDescent="0.2">
      <c r="A49" s="125"/>
      <c r="B49" s="122"/>
      <c r="C49" s="17" t="s">
        <v>33</v>
      </c>
      <c r="D49" s="37"/>
      <c r="E49" s="38">
        <f t="shared" si="2"/>
        <v>-145000</v>
      </c>
      <c r="F49" s="38">
        <f t="shared" si="3"/>
        <v>-60000</v>
      </c>
      <c r="G49" s="38">
        <f t="shared" si="4"/>
        <v>-60000</v>
      </c>
    </row>
    <row r="50" spans="1:40" ht="17" thickBot="1" x14ac:dyDescent="0.25">
      <c r="A50" s="125"/>
      <c r="B50" s="122"/>
      <c r="C50" s="17" t="s">
        <v>34</v>
      </c>
      <c r="D50" s="37">
        <f>D38</f>
        <v>-1168500</v>
      </c>
      <c r="E50" s="38">
        <f t="shared" si="2"/>
        <v>0</v>
      </c>
      <c r="F50" s="38">
        <f>SUM(Q38:AB38)</f>
        <v>0</v>
      </c>
      <c r="G50" s="38">
        <f>SUM(AC38:AN38)</f>
        <v>0</v>
      </c>
    </row>
    <row r="51" spans="1:40" ht="17" thickBot="1" x14ac:dyDescent="0.25">
      <c r="A51" s="125"/>
      <c r="B51" s="122"/>
      <c r="C51" s="18" t="s">
        <v>37</v>
      </c>
      <c r="D51" s="25">
        <f>SUM(D46:D50)</f>
        <v>-1188500</v>
      </c>
      <c r="E51" s="26">
        <f>SUM(E46:E50)</f>
        <v>5746715.9113636361</v>
      </c>
      <c r="F51" s="26">
        <f>SUM(F46:F50)</f>
        <v>691715.91136363638</v>
      </c>
      <c r="G51" s="26">
        <f>SUM(G46:G50)</f>
        <v>691715.91136363638</v>
      </c>
    </row>
    <row r="52" spans="1:40" ht="17" thickBot="1" x14ac:dyDescent="0.25">
      <c r="A52" s="125"/>
      <c r="B52" s="122"/>
      <c r="C52" s="8" t="s">
        <v>38</v>
      </c>
      <c r="D52" s="45">
        <f>NPV(B3,E51:G51)+D51</f>
        <v>4586722.5363439377</v>
      </c>
      <c r="E52" s="82" t="s">
        <v>60</v>
      </c>
      <c r="F52" s="83">
        <f>(Sensibilidad!D52-'Evaluación optimista'!D52)/'Evaluación optimista'!D52</f>
        <v>-0.1178919883307851</v>
      </c>
    </row>
    <row r="53" spans="1:40" ht="17" thickBot="1" x14ac:dyDescent="0.25">
      <c r="A53" s="125"/>
      <c r="B53" s="122"/>
      <c r="C53" s="8" t="s">
        <v>47</v>
      </c>
      <c r="D53" s="54">
        <f>IRR(D51:G51)</f>
        <v>3.9757446569848582</v>
      </c>
      <c r="E53" s="82" t="s">
        <v>60</v>
      </c>
      <c r="F53" s="83">
        <f>(Sensibilidad!D53-'Evaluación optimista'!D53)/'Evaluación optimista'!D53</f>
        <v>-3.8098422722435341E-2</v>
      </c>
    </row>
    <row r="54" spans="1:40" ht="17" thickBot="1" x14ac:dyDescent="0.25">
      <c r="A54" s="125"/>
      <c r="B54" s="123"/>
      <c r="C54" s="8" t="s">
        <v>48</v>
      </c>
      <c r="D54" s="44" t="s">
        <v>44</v>
      </c>
    </row>
    <row r="55" spans="1:40" ht="17" thickBot="1" x14ac:dyDescent="0.25">
      <c r="A55" s="126"/>
      <c r="D55" s="1">
        <f>D51</f>
        <v>-1188500</v>
      </c>
      <c r="E55" s="48">
        <f>D55+E51</f>
        <v>4558215.9113636361</v>
      </c>
      <c r="F55" s="1">
        <f>E55+F51</f>
        <v>5249931.8227272723</v>
      </c>
      <c r="G55" s="1">
        <f>F55+G51</f>
        <v>5941647.7340909084</v>
      </c>
    </row>
    <row r="60" spans="1:40" ht="17" thickBot="1" x14ac:dyDescent="0.25">
      <c r="D60" s="30"/>
      <c r="E60" s="120" t="s">
        <v>44</v>
      </c>
      <c r="F60" s="120"/>
      <c r="G60" s="120"/>
      <c r="H60" s="120"/>
      <c r="I60" s="120"/>
      <c r="J60" s="120"/>
      <c r="K60" s="120"/>
      <c r="L60" s="120"/>
      <c r="M60" s="120"/>
      <c r="N60" s="120"/>
      <c r="O60" s="120"/>
      <c r="P60" s="120"/>
      <c r="Q60" s="119" t="s">
        <v>45</v>
      </c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20" t="s">
        <v>46</v>
      </c>
      <c r="AD60" s="120"/>
      <c r="AE60" s="120"/>
      <c r="AF60" s="120"/>
      <c r="AG60" s="120"/>
      <c r="AH60" s="120"/>
      <c r="AI60" s="120"/>
      <c r="AJ60" s="120"/>
      <c r="AK60" s="120"/>
      <c r="AL60" s="120"/>
      <c r="AM60" s="120"/>
      <c r="AN60" s="120"/>
    </row>
    <row r="61" spans="1:40" ht="17" thickBot="1" x14ac:dyDescent="0.25">
      <c r="A61" s="124" t="s">
        <v>61</v>
      </c>
      <c r="B61" s="121" t="s">
        <v>53</v>
      </c>
      <c r="C61" s="16"/>
      <c r="D61" s="21">
        <v>45748</v>
      </c>
      <c r="E61" s="9">
        <v>45778</v>
      </c>
      <c r="F61" s="9">
        <v>45809</v>
      </c>
      <c r="G61" s="9">
        <v>45839</v>
      </c>
      <c r="H61" s="9">
        <v>45870</v>
      </c>
      <c r="I61" s="9">
        <v>45901</v>
      </c>
      <c r="J61" s="9">
        <v>45931</v>
      </c>
      <c r="K61" s="9">
        <v>45962</v>
      </c>
      <c r="L61" s="9">
        <v>45992</v>
      </c>
      <c r="M61" s="9">
        <v>46023</v>
      </c>
      <c r="N61" s="9">
        <v>46054</v>
      </c>
      <c r="O61" s="9">
        <v>46082</v>
      </c>
      <c r="P61" s="9">
        <v>46113</v>
      </c>
      <c r="Q61" s="9">
        <v>46143</v>
      </c>
      <c r="R61" s="9">
        <v>46174</v>
      </c>
      <c r="S61" s="9">
        <v>46204</v>
      </c>
      <c r="T61" s="9">
        <v>46235</v>
      </c>
      <c r="U61" s="9">
        <v>46266</v>
      </c>
      <c r="V61" s="9">
        <v>46296</v>
      </c>
      <c r="W61" s="9">
        <v>46327</v>
      </c>
      <c r="X61" s="9">
        <v>46357</v>
      </c>
      <c r="Y61" s="9">
        <v>46388</v>
      </c>
      <c r="Z61" s="9">
        <v>46419</v>
      </c>
      <c r="AA61" s="9">
        <v>46447</v>
      </c>
      <c r="AB61" s="9">
        <v>46478</v>
      </c>
      <c r="AC61" s="9">
        <v>46508</v>
      </c>
      <c r="AD61" s="9">
        <v>46539</v>
      </c>
      <c r="AE61" s="9">
        <v>46569</v>
      </c>
      <c r="AF61" s="9">
        <v>46600</v>
      </c>
      <c r="AG61" s="9">
        <v>46631</v>
      </c>
      <c r="AH61" s="9">
        <v>46661</v>
      </c>
      <c r="AI61" s="9">
        <v>46692</v>
      </c>
      <c r="AJ61" s="9">
        <v>46722</v>
      </c>
      <c r="AK61" s="9">
        <v>46753</v>
      </c>
      <c r="AL61" s="9">
        <v>46784</v>
      </c>
      <c r="AM61" s="9">
        <v>46813</v>
      </c>
      <c r="AN61" s="10">
        <v>46844</v>
      </c>
    </row>
    <row r="62" spans="1:40" x14ac:dyDescent="0.2">
      <c r="A62" s="125"/>
      <c r="B62" s="122"/>
      <c r="C62" s="17" t="s">
        <v>31</v>
      </c>
      <c r="D62" s="22"/>
      <c r="E62" s="19" cm="1">
        <f t="array" ref="E62:J62">TRANSPOSE(Tabla3[Costo 2 cadenas])</f>
        <v>640000</v>
      </c>
      <c r="F62" s="19">
        <v>280000</v>
      </c>
      <c r="G62" s="19">
        <v>400000</v>
      </c>
      <c r="H62" s="19">
        <v>400000</v>
      </c>
      <c r="I62" s="19">
        <v>200000</v>
      </c>
      <c r="J62" s="19">
        <v>320000</v>
      </c>
      <c r="K62" s="19"/>
      <c r="L62" s="19"/>
      <c r="M62" s="19"/>
      <c r="N62" s="19"/>
      <c r="O62" s="19">
        <f>(20000)*2</f>
        <v>40000</v>
      </c>
      <c r="P62" s="19">
        <f t="shared" ref="P62:W62" si="5">(20000)*2</f>
        <v>40000</v>
      </c>
      <c r="Q62" s="19">
        <f t="shared" si="5"/>
        <v>40000</v>
      </c>
      <c r="R62" s="19">
        <f t="shared" si="5"/>
        <v>40000</v>
      </c>
      <c r="S62" s="19">
        <f t="shared" si="5"/>
        <v>40000</v>
      </c>
      <c r="T62" s="19">
        <f t="shared" si="5"/>
        <v>40000</v>
      </c>
      <c r="U62" s="19">
        <f t="shared" si="5"/>
        <v>40000</v>
      </c>
      <c r="V62" s="19">
        <f t="shared" si="5"/>
        <v>40000</v>
      </c>
      <c r="W62" s="19">
        <f t="shared" si="5"/>
        <v>40000</v>
      </c>
      <c r="X62" s="19"/>
      <c r="Y62" s="19"/>
      <c r="Z62" s="19"/>
      <c r="AA62" s="19">
        <f>(20000)*2</f>
        <v>40000</v>
      </c>
      <c r="AB62" s="19">
        <f t="shared" ref="AB62:AI62" si="6">(20000)*2</f>
        <v>40000</v>
      </c>
      <c r="AC62" s="19">
        <f t="shared" si="6"/>
        <v>40000</v>
      </c>
      <c r="AD62" s="19">
        <f t="shared" si="6"/>
        <v>40000</v>
      </c>
      <c r="AE62" s="19">
        <f t="shared" si="6"/>
        <v>40000</v>
      </c>
      <c r="AF62" s="19">
        <f t="shared" si="6"/>
        <v>40000</v>
      </c>
      <c r="AG62" s="19">
        <f t="shared" si="6"/>
        <v>40000</v>
      </c>
      <c r="AH62" s="19">
        <f t="shared" si="6"/>
        <v>40000</v>
      </c>
      <c r="AI62" s="19">
        <f t="shared" si="6"/>
        <v>40000</v>
      </c>
      <c r="AJ62" s="19"/>
      <c r="AK62" s="19"/>
      <c r="AL62" s="19"/>
      <c r="AM62" s="19">
        <f>(20000)*2</f>
        <v>40000</v>
      </c>
      <c r="AN62" s="23">
        <f>(20000)*2</f>
        <v>40000</v>
      </c>
    </row>
    <row r="63" spans="1:40" x14ac:dyDescent="0.2">
      <c r="A63" s="125"/>
      <c r="B63" s="122"/>
      <c r="C63" s="17" t="s">
        <v>58</v>
      </c>
      <c r="D63" s="24">
        <v>-20000</v>
      </c>
      <c r="E63" s="20">
        <v>-20000</v>
      </c>
      <c r="F63" s="20"/>
      <c r="G63" s="20">
        <v>-20000</v>
      </c>
      <c r="H63" s="20"/>
      <c r="I63" s="20">
        <v>-20000</v>
      </c>
      <c r="J63" s="20"/>
      <c r="K63" s="20">
        <v>-20000</v>
      </c>
      <c r="L63" s="20">
        <v>-20000</v>
      </c>
      <c r="M63" s="20">
        <v>-20000</v>
      </c>
      <c r="N63" s="20"/>
      <c r="O63" s="20"/>
      <c r="P63" s="20">
        <v>-20000</v>
      </c>
      <c r="Q63" s="20"/>
      <c r="R63" s="20"/>
      <c r="S63" s="20"/>
      <c r="T63" s="20">
        <v>-20000</v>
      </c>
      <c r="U63" s="20"/>
      <c r="V63" s="20"/>
      <c r="W63" s="20"/>
      <c r="X63" s="20">
        <v>-20000</v>
      </c>
      <c r="Y63" s="20">
        <v>-20000</v>
      </c>
      <c r="Z63" s="20"/>
      <c r="AA63" s="20"/>
      <c r="AB63" s="20">
        <v>-20000</v>
      </c>
      <c r="AC63" s="20"/>
      <c r="AD63" s="20"/>
      <c r="AE63" s="20"/>
      <c r="AF63" s="20">
        <v>-20000</v>
      </c>
      <c r="AG63" s="20"/>
      <c r="AH63" s="20"/>
      <c r="AI63" s="20"/>
      <c r="AJ63" s="20">
        <v>-20000</v>
      </c>
      <c r="AK63" s="20">
        <v>-20000</v>
      </c>
      <c r="AL63" s="20"/>
      <c r="AM63" s="20"/>
      <c r="AN63" s="12">
        <v>-20000</v>
      </c>
    </row>
    <row r="64" spans="1:40" x14ac:dyDescent="0.2">
      <c r="A64" s="125"/>
      <c r="B64" s="122"/>
      <c r="C64" s="85" t="s">
        <v>32</v>
      </c>
      <c r="D64" s="24"/>
      <c r="E64" s="20">
        <f>'Tablas pesimista'!$C$34</f>
        <v>2214.2045454545455</v>
      </c>
      <c r="F64" s="20">
        <f>'Tablas pesimista'!$C$34</f>
        <v>2214.2045454545455</v>
      </c>
      <c r="G64" s="20">
        <f>'Tablas pesimista'!$C$34</f>
        <v>2214.2045454545455</v>
      </c>
      <c r="H64" s="20">
        <f>'Tablas pesimista'!$C$34</f>
        <v>2214.2045454545455</v>
      </c>
      <c r="I64" s="20">
        <f>'Tablas pesimista'!$C$34</f>
        <v>2214.2045454545455</v>
      </c>
      <c r="J64" s="20">
        <f>'Tablas pesimista'!$C$34</f>
        <v>2214.2045454545455</v>
      </c>
      <c r="K64" s="20">
        <f>'Tablas pesimista'!$C$34</f>
        <v>2214.2045454545455</v>
      </c>
      <c r="L64" s="20">
        <f>'Tablas pesimista'!$C$34</f>
        <v>2214.2045454545455</v>
      </c>
      <c r="M64" s="20">
        <f>'Tablas pesimista'!$C$34</f>
        <v>2214.2045454545455</v>
      </c>
      <c r="N64" s="20">
        <f>'Tablas pesimista'!$C$34</f>
        <v>2214.2045454545455</v>
      </c>
      <c r="O64" s="20">
        <f>'Tablas pesimista'!$C$34</f>
        <v>2214.2045454545455</v>
      </c>
      <c r="P64" s="20">
        <f>'Tablas pesimista'!$C$34</f>
        <v>2214.2045454545455</v>
      </c>
      <c r="Q64" s="20">
        <f>'Tablas pesimista'!$C$34</f>
        <v>2214.2045454545455</v>
      </c>
      <c r="R64" s="20">
        <f>'Tablas pesimista'!$C$34</f>
        <v>2214.2045454545455</v>
      </c>
      <c r="S64" s="20">
        <f>'Tablas pesimista'!$C$34</f>
        <v>2214.2045454545455</v>
      </c>
      <c r="T64" s="20">
        <f>'Tablas pesimista'!$C$34</f>
        <v>2214.2045454545455</v>
      </c>
      <c r="U64" s="20">
        <f>'Tablas pesimista'!$C$34</f>
        <v>2214.2045454545455</v>
      </c>
      <c r="V64" s="20">
        <f>'Tablas pesimista'!$C$34</f>
        <v>2214.2045454545455</v>
      </c>
      <c r="W64" s="20">
        <f>'Tablas pesimista'!$C$34</f>
        <v>2214.2045454545455</v>
      </c>
      <c r="X64" s="20">
        <f>'Tablas pesimista'!$C$34</f>
        <v>2214.2045454545455</v>
      </c>
      <c r="Y64" s="20">
        <f>'Tablas pesimista'!$C$34</f>
        <v>2214.2045454545455</v>
      </c>
      <c r="Z64" s="20">
        <f>'Tablas pesimista'!$C$34</f>
        <v>2214.2045454545455</v>
      </c>
      <c r="AA64" s="20">
        <f>'Tablas pesimista'!$C$34</f>
        <v>2214.2045454545455</v>
      </c>
      <c r="AB64" s="20">
        <f>'Tablas pesimista'!$C$34</f>
        <v>2214.2045454545455</v>
      </c>
      <c r="AC64" s="20">
        <f>'Tablas pesimista'!$C$34</f>
        <v>2214.2045454545455</v>
      </c>
      <c r="AD64" s="20">
        <f>'Tablas pesimista'!$C$34</f>
        <v>2214.2045454545455</v>
      </c>
      <c r="AE64" s="20">
        <f>'Tablas pesimista'!$C$34</f>
        <v>2214.2045454545455</v>
      </c>
      <c r="AF64" s="20">
        <f>'Tablas pesimista'!$C$34</f>
        <v>2214.2045454545455</v>
      </c>
      <c r="AG64" s="20">
        <f>'Tablas pesimista'!$C$34</f>
        <v>2214.2045454545455</v>
      </c>
      <c r="AH64" s="20">
        <f>'Tablas pesimista'!$C$34</f>
        <v>2214.2045454545455</v>
      </c>
      <c r="AI64" s="20">
        <f>'Tablas pesimista'!$C$34</f>
        <v>2214.2045454545455</v>
      </c>
      <c r="AJ64" s="20">
        <f>'Tablas pesimista'!$C$34</f>
        <v>2214.2045454545455</v>
      </c>
      <c r="AK64" s="20">
        <f>'Tablas pesimista'!$C$34</f>
        <v>2214.2045454545455</v>
      </c>
      <c r="AL64" s="20">
        <f>'Tablas pesimista'!$C$34</f>
        <v>2214.2045454545455</v>
      </c>
      <c r="AM64" s="20">
        <f>'Tablas pesimista'!$C$34</f>
        <v>2214.2045454545455</v>
      </c>
      <c r="AN64" s="12">
        <f>'Tablas pesimista'!$C$34</f>
        <v>2214.2045454545455</v>
      </c>
    </row>
    <row r="65" spans="1:40" x14ac:dyDescent="0.2">
      <c r="A65" s="125"/>
      <c r="B65" s="122"/>
      <c r="C65" s="17" t="s">
        <v>33</v>
      </c>
      <c r="D65" s="24"/>
      <c r="E65" s="20" cm="1">
        <f t="array" ref="E65:L65">TRANSPOSE(Tabla17[Costo 2 cadenas])</f>
        <v>-30000</v>
      </c>
      <c r="F65" s="20">
        <v>0</v>
      </c>
      <c r="G65" s="20">
        <v>-5000</v>
      </c>
      <c r="H65" s="20">
        <v>0</v>
      </c>
      <c r="I65" s="20">
        <v>-5000</v>
      </c>
      <c r="J65" s="20">
        <v>0</v>
      </c>
      <c r="K65" s="20">
        <v>-5000</v>
      </c>
      <c r="L65" s="20">
        <v>-50000</v>
      </c>
      <c r="M65" s="20"/>
      <c r="N65" s="20"/>
      <c r="O65" s="20"/>
      <c r="P65" s="20">
        <v>-5000</v>
      </c>
      <c r="Q65" s="20"/>
      <c r="R65" s="20"/>
      <c r="S65" s="20"/>
      <c r="T65" s="20">
        <v>-5000</v>
      </c>
      <c r="U65" s="20"/>
      <c r="V65" s="20"/>
      <c r="W65" s="20"/>
      <c r="X65" s="20">
        <v>-50000</v>
      </c>
      <c r="Y65" s="20"/>
      <c r="Z65" s="20"/>
      <c r="AA65" s="20"/>
      <c r="AB65" s="20">
        <v>-5000</v>
      </c>
      <c r="AC65" s="20"/>
      <c r="AD65" s="20"/>
      <c r="AE65" s="20"/>
      <c r="AF65" s="20">
        <v>-5000</v>
      </c>
      <c r="AG65" s="20"/>
      <c r="AH65" s="20"/>
      <c r="AI65" s="20"/>
      <c r="AJ65" s="20">
        <v>-50000</v>
      </c>
      <c r="AK65" s="20"/>
      <c r="AL65" s="20"/>
      <c r="AM65" s="20"/>
      <c r="AN65" s="12">
        <v>-5000</v>
      </c>
    </row>
    <row r="66" spans="1:40" ht="17" thickBot="1" x14ac:dyDescent="0.25">
      <c r="A66" s="125"/>
      <c r="B66" s="122"/>
      <c r="C66" s="17" t="s">
        <v>34</v>
      </c>
      <c r="D66" s="77">
        <v>-1168500</v>
      </c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78"/>
      <c r="Q66" s="78"/>
      <c r="R66" s="78"/>
      <c r="S66" s="78"/>
      <c r="T66" s="78"/>
      <c r="U66" s="78"/>
      <c r="V66" s="78"/>
      <c r="W66" s="78"/>
      <c r="X66" s="78"/>
      <c r="Y66" s="78"/>
      <c r="Z66" s="78"/>
      <c r="AA66" s="78"/>
      <c r="AB66" s="78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13"/>
    </row>
    <row r="67" spans="1:40" ht="17" thickBot="1" x14ac:dyDescent="0.25">
      <c r="A67" s="125"/>
      <c r="B67" s="122"/>
      <c r="C67" s="18" t="s">
        <v>37</v>
      </c>
      <c r="D67" s="25">
        <f t="shared" ref="D67:AN67" si="7">SUM(D62:D66)</f>
        <v>-1188500</v>
      </c>
      <c r="E67" s="26">
        <f t="shared" si="7"/>
        <v>592214.20454545459</v>
      </c>
      <c r="F67" s="26">
        <f t="shared" si="7"/>
        <v>282214.20454545453</v>
      </c>
      <c r="G67" s="26">
        <f t="shared" si="7"/>
        <v>377214.20454545453</v>
      </c>
      <c r="H67" s="26">
        <f t="shared" si="7"/>
        <v>402214.20454545453</v>
      </c>
      <c r="I67" s="26">
        <f t="shared" si="7"/>
        <v>177214.20454545456</v>
      </c>
      <c r="J67" s="26">
        <f t="shared" si="7"/>
        <v>322214.20454545453</v>
      </c>
      <c r="K67" s="26">
        <f t="shared" si="7"/>
        <v>-22785.795454545456</v>
      </c>
      <c r="L67" s="26">
        <f t="shared" si="7"/>
        <v>-67785.795454545456</v>
      </c>
      <c r="M67" s="26">
        <f t="shared" si="7"/>
        <v>-17785.795454545456</v>
      </c>
      <c r="N67" s="26">
        <f t="shared" si="7"/>
        <v>2214.2045454545455</v>
      </c>
      <c r="O67" s="26">
        <f t="shared" si="7"/>
        <v>42214.204545454544</v>
      </c>
      <c r="P67" s="26">
        <f t="shared" si="7"/>
        <v>17214.204545454544</v>
      </c>
      <c r="Q67" s="26">
        <f t="shared" si="7"/>
        <v>42214.204545454544</v>
      </c>
      <c r="R67" s="26">
        <f t="shared" si="7"/>
        <v>42214.204545454544</v>
      </c>
      <c r="S67" s="26">
        <f t="shared" si="7"/>
        <v>42214.204545454544</v>
      </c>
      <c r="T67" s="26">
        <f t="shared" si="7"/>
        <v>17214.204545454544</v>
      </c>
      <c r="U67" s="26">
        <f t="shared" si="7"/>
        <v>42214.204545454544</v>
      </c>
      <c r="V67" s="26">
        <f t="shared" si="7"/>
        <v>42214.204545454544</v>
      </c>
      <c r="W67" s="26">
        <f t="shared" si="7"/>
        <v>42214.204545454544</v>
      </c>
      <c r="X67" s="26">
        <f t="shared" si="7"/>
        <v>-67785.795454545456</v>
      </c>
      <c r="Y67" s="26">
        <f t="shared" si="7"/>
        <v>-17785.795454545456</v>
      </c>
      <c r="Z67" s="26">
        <f t="shared" si="7"/>
        <v>2214.2045454545455</v>
      </c>
      <c r="AA67" s="26">
        <f t="shared" si="7"/>
        <v>42214.204545454544</v>
      </c>
      <c r="AB67" s="26">
        <f t="shared" si="7"/>
        <v>17214.204545454544</v>
      </c>
      <c r="AC67" s="26">
        <f t="shared" si="7"/>
        <v>42214.204545454544</v>
      </c>
      <c r="AD67" s="26">
        <f t="shared" si="7"/>
        <v>42214.204545454544</v>
      </c>
      <c r="AE67" s="26">
        <f t="shared" si="7"/>
        <v>42214.204545454544</v>
      </c>
      <c r="AF67" s="26">
        <f t="shared" si="7"/>
        <v>17214.204545454544</v>
      </c>
      <c r="AG67" s="26">
        <f t="shared" si="7"/>
        <v>42214.204545454544</v>
      </c>
      <c r="AH67" s="26">
        <f t="shared" si="7"/>
        <v>42214.204545454544</v>
      </c>
      <c r="AI67" s="26">
        <f t="shared" si="7"/>
        <v>42214.204545454544</v>
      </c>
      <c r="AJ67" s="26">
        <f t="shared" si="7"/>
        <v>-67785.795454545456</v>
      </c>
      <c r="AK67" s="26">
        <f t="shared" si="7"/>
        <v>-17785.795454545456</v>
      </c>
      <c r="AL67" s="26">
        <f t="shared" si="7"/>
        <v>2214.2045454545455</v>
      </c>
      <c r="AM67" s="26">
        <f t="shared" si="7"/>
        <v>42214.204545454544</v>
      </c>
      <c r="AN67" s="15">
        <f t="shared" si="7"/>
        <v>17214.204545454544</v>
      </c>
    </row>
    <row r="68" spans="1:40" ht="17" thickBot="1" x14ac:dyDescent="0.25">
      <c r="A68" s="125"/>
      <c r="B68" s="122"/>
      <c r="C68" s="8" t="s">
        <v>38</v>
      </c>
      <c r="D68" s="44">
        <f>NPV($B$4,E67:AN67)+D67</f>
        <v>1194190.6958443513</v>
      </c>
      <c r="E68" s="1"/>
      <c r="F68" s="7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40" ht="17" thickBot="1" x14ac:dyDescent="0.25">
      <c r="A69" s="125"/>
      <c r="B69" s="122"/>
      <c r="C69" s="8" t="s">
        <v>47</v>
      </c>
      <c r="D69" s="54">
        <f>IRR(D67:AN67)</f>
        <v>0.23389448880287489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40" ht="17" thickBot="1" x14ac:dyDescent="0.25">
      <c r="A70" s="125"/>
      <c r="B70" s="123"/>
      <c r="C70" s="8" t="s">
        <v>48</v>
      </c>
      <c r="D70" s="44" t="s">
        <v>49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40" x14ac:dyDescent="0.2">
      <c r="A71" s="125"/>
      <c r="D71" s="1">
        <f>D67</f>
        <v>-1188500</v>
      </c>
      <c r="E71" s="1">
        <f>D71+E67</f>
        <v>-596285.79545454541</v>
      </c>
      <c r="F71" s="1">
        <f>E71+F67</f>
        <v>-314071.59090909088</v>
      </c>
      <c r="G71" s="48">
        <f>F71+G67</f>
        <v>63142.613636363647</v>
      </c>
      <c r="H71" s="1"/>
      <c r="I71" s="1"/>
      <c r="J71" s="1"/>
      <c r="K71" s="1"/>
      <c r="L71" s="1"/>
      <c r="M71" s="1"/>
      <c r="N71" s="1"/>
      <c r="O71" s="1"/>
      <c r="P71" s="1"/>
    </row>
    <row r="72" spans="1:40" ht="17" thickBot="1" x14ac:dyDescent="0.25">
      <c r="A72" s="125"/>
    </row>
    <row r="73" spans="1:40" ht="17" thickBot="1" x14ac:dyDescent="0.25">
      <c r="A73" s="125"/>
      <c r="B73" s="121" t="s">
        <v>53</v>
      </c>
      <c r="C73" s="31"/>
      <c r="D73" s="32">
        <v>0</v>
      </c>
      <c r="E73" s="33">
        <v>1</v>
      </c>
      <c r="F73" s="33">
        <v>2</v>
      </c>
      <c r="G73" s="33">
        <v>3</v>
      </c>
    </row>
    <row r="74" spans="1:40" x14ac:dyDescent="0.2">
      <c r="A74" s="125"/>
      <c r="B74" s="122"/>
      <c r="C74" s="34" t="s">
        <v>31</v>
      </c>
      <c r="D74" s="35"/>
      <c r="E74" s="36">
        <f>SUM(E62:P62)</f>
        <v>2320000</v>
      </c>
      <c r="F74" s="36">
        <f>SUM(Q62:AB62)</f>
        <v>360000</v>
      </c>
      <c r="G74" s="36">
        <f>SUM(AC62:AN62)</f>
        <v>360000</v>
      </c>
    </row>
    <row r="75" spans="1:40" x14ac:dyDescent="0.2">
      <c r="A75" s="125"/>
      <c r="B75" s="122"/>
      <c r="C75" s="17" t="s">
        <v>58</v>
      </c>
      <c r="D75" s="37">
        <f>D63</f>
        <v>-20000</v>
      </c>
      <c r="E75" s="38">
        <f>SUM(E63:P63)</f>
        <v>-140000</v>
      </c>
      <c r="F75" s="38">
        <f>SUM(Q63:AB63)</f>
        <v>-80000</v>
      </c>
      <c r="G75" s="38">
        <f>SUM(AC63:AN63)</f>
        <v>-80000</v>
      </c>
    </row>
    <row r="76" spans="1:40" x14ac:dyDescent="0.2">
      <c r="A76" s="125"/>
      <c r="B76" s="122"/>
      <c r="C76" s="86" t="s">
        <v>32</v>
      </c>
      <c r="D76" s="37"/>
      <c r="E76" s="38">
        <f>SUM(E64:P64)</f>
        <v>26570.45454545454</v>
      </c>
      <c r="F76" s="38">
        <f>SUM(Q64:AB64)</f>
        <v>26570.45454545454</v>
      </c>
      <c r="G76" s="38">
        <f>SUM(AC64:AN64)</f>
        <v>26570.45454545454</v>
      </c>
    </row>
    <row r="77" spans="1:40" x14ac:dyDescent="0.2">
      <c r="A77" s="125"/>
      <c r="B77" s="122"/>
      <c r="C77" s="34" t="s">
        <v>33</v>
      </c>
      <c r="D77" s="37"/>
      <c r="E77" s="38">
        <f>SUM(E65:P65)</f>
        <v>-100000</v>
      </c>
      <c r="F77" s="38">
        <f>SUM(Q65:AB65)</f>
        <v>-60000</v>
      </c>
      <c r="G77" s="38">
        <f>SUM(AC65:AN65)</f>
        <v>-60000</v>
      </c>
    </row>
    <row r="78" spans="1:40" ht="17" thickBot="1" x14ac:dyDescent="0.25">
      <c r="A78" s="125"/>
      <c r="B78" s="122"/>
      <c r="C78" s="34" t="s">
        <v>34</v>
      </c>
      <c r="D78" s="37">
        <f>D66</f>
        <v>-1168500</v>
      </c>
      <c r="E78" s="38">
        <f>SUM(E66:P66)</f>
        <v>0</v>
      </c>
      <c r="F78" s="38">
        <f>SUM(Q66:AB66)</f>
        <v>0</v>
      </c>
      <c r="G78" s="38">
        <f>SUM(AC66:AN66)</f>
        <v>0</v>
      </c>
    </row>
    <row r="79" spans="1:40" ht="17" thickBot="1" x14ac:dyDescent="0.25">
      <c r="A79" s="125"/>
      <c r="B79" s="122"/>
      <c r="C79" s="39" t="s">
        <v>37</v>
      </c>
      <c r="D79" s="40">
        <f>SUM(D74:D78)</f>
        <v>-1188500</v>
      </c>
      <c r="E79" s="41">
        <f>SUM(E74:E78)</f>
        <v>2106570.4545454546</v>
      </c>
      <c r="F79" s="41">
        <f>SUM(F74:F78)</f>
        <v>246570.45454545453</v>
      </c>
      <c r="G79" s="41">
        <f>SUM(G74:G78)</f>
        <v>246570.45454545453</v>
      </c>
    </row>
    <row r="80" spans="1:40" ht="17" thickBot="1" x14ac:dyDescent="0.25">
      <c r="A80" s="125"/>
      <c r="B80" s="122"/>
      <c r="C80" s="42" t="s">
        <v>38</v>
      </c>
      <c r="D80" s="84">
        <f>NPV($B$3,E79:G79)+D79</f>
        <v>919284.19534320012</v>
      </c>
      <c r="E80" s="80" t="s">
        <v>60</v>
      </c>
      <c r="F80" s="81">
        <f>(Sensibilidad!D80-'Evaluación optimista'!$D$26)/'Evaluación optimista'!$D$26</f>
        <v>-0.20034066259780764</v>
      </c>
      <c r="G80" s="43"/>
    </row>
    <row r="81" spans="1:40" ht="17" thickBot="1" x14ac:dyDescent="0.25">
      <c r="A81" s="125"/>
      <c r="B81" s="122"/>
      <c r="C81" s="8" t="s">
        <v>47</v>
      </c>
      <c r="D81" s="54">
        <f>IRR(D79:G79)</f>
        <v>0.93507794973468172</v>
      </c>
      <c r="E81" s="82" t="s">
        <v>60</v>
      </c>
      <c r="F81" s="81">
        <f>(Sensibilidad!D81-'Evaluación optimista'!$D$27)/'Evaluación optimista'!$D$27</f>
        <v>-0.12938921817224813</v>
      </c>
    </row>
    <row r="82" spans="1:40" ht="17" thickBot="1" x14ac:dyDescent="0.25">
      <c r="A82" s="125"/>
      <c r="B82" s="123"/>
      <c r="C82" s="8" t="s">
        <v>48</v>
      </c>
      <c r="D82" s="44" t="s">
        <v>44</v>
      </c>
    </row>
    <row r="83" spans="1:40" x14ac:dyDescent="0.2">
      <c r="A83" s="125"/>
      <c r="D83" s="1">
        <f>D79</f>
        <v>-1188500</v>
      </c>
      <c r="E83" s="48">
        <f>D83+E79</f>
        <v>918070.45454545459</v>
      </c>
      <c r="F83" s="1">
        <f>E83+F79</f>
        <v>1164640.9090909092</v>
      </c>
      <c r="G83" s="1">
        <f>F83+G79</f>
        <v>1411211.3636363638</v>
      </c>
    </row>
    <row r="84" spans="1:40" x14ac:dyDescent="0.2">
      <c r="A84" s="125"/>
    </row>
    <row r="85" spans="1:40" x14ac:dyDescent="0.2">
      <c r="A85" s="125"/>
    </row>
    <row r="86" spans="1:40" ht="17" thickBot="1" x14ac:dyDescent="0.25">
      <c r="A86" s="125"/>
      <c r="E86" s="120" t="s">
        <v>44</v>
      </c>
      <c r="F86" s="120"/>
      <c r="G86" s="120"/>
      <c r="H86" s="120"/>
      <c r="I86" s="120"/>
      <c r="J86" s="120"/>
      <c r="K86" s="120"/>
      <c r="L86" s="120"/>
      <c r="M86" s="120"/>
      <c r="N86" s="120"/>
      <c r="O86" s="120"/>
      <c r="P86" s="120"/>
      <c r="Q86" s="119" t="s">
        <v>45</v>
      </c>
      <c r="R86" s="119"/>
      <c r="S86" s="119"/>
      <c r="T86" s="119"/>
      <c r="U86" s="119"/>
      <c r="V86" s="119"/>
      <c r="W86" s="119"/>
      <c r="X86" s="119"/>
      <c r="Y86" s="119"/>
      <c r="Z86" s="119"/>
      <c r="AA86" s="119"/>
      <c r="AB86" s="119"/>
      <c r="AC86" s="120" t="s">
        <v>46</v>
      </c>
      <c r="AD86" s="120"/>
      <c r="AE86" s="120"/>
      <c r="AF86" s="120"/>
      <c r="AG86" s="120"/>
      <c r="AH86" s="120"/>
      <c r="AI86" s="120"/>
      <c r="AJ86" s="120"/>
      <c r="AK86" s="120"/>
      <c r="AL86" s="120"/>
      <c r="AM86" s="120"/>
      <c r="AN86" s="120"/>
    </row>
    <row r="87" spans="1:40" ht="17" thickBot="1" x14ac:dyDescent="0.25">
      <c r="A87" s="125"/>
      <c r="B87" s="121" t="s">
        <v>54</v>
      </c>
      <c r="C87" s="16"/>
      <c r="D87" s="21">
        <v>45748</v>
      </c>
      <c r="E87" s="9">
        <v>45778</v>
      </c>
      <c r="F87" s="9">
        <v>45809</v>
      </c>
      <c r="G87" s="9">
        <v>45839</v>
      </c>
      <c r="H87" s="9">
        <v>45870</v>
      </c>
      <c r="I87" s="9">
        <v>45901</v>
      </c>
      <c r="J87" s="9">
        <v>45931</v>
      </c>
      <c r="K87" s="9">
        <v>45962</v>
      </c>
      <c r="L87" s="9">
        <v>45992</v>
      </c>
      <c r="M87" s="9">
        <v>46023</v>
      </c>
      <c r="N87" s="9">
        <v>46054</v>
      </c>
      <c r="O87" s="9">
        <v>46082</v>
      </c>
      <c r="P87" s="9">
        <v>46113</v>
      </c>
      <c r="Q87" s="9">
        <v>46143</v>
      </c>
      <c r="R87" s="9">
        <v>46174</v>
      </c>
      <c r="S87" s="9">
        <v>46204</v>
      </c>
      <c r="T87" s="9">
        <v>46235</v>
      </c>
      <c r="U87" s="9">
        <v>46266</v>
      </c>
      <c r="V87" s="9">
        <v>46296</v>
      </c>
      <c r="W87" s="9">
        <v>46327</v>
      </c>
      <c r="X87" s="9">
        <v>46357</v>
      </c>
      <c r="Y87" s="9">
        <v>46388</v>
      </c>
      <c r="Z87" s="9">
        <v>46419</v>
      </c>
      <c r="AA87" s="9">
        <v>46447</v>
      </c>
      <c r="AB87" s="9">
        <v>46478</v>
      </c>
      <c r="AC87" s="9">
        <v>46508</v>
      </c>
      <c r="AD87" s="9">
        <v>46539</v>
      </c>
      <c r="AE87" s="9">
        <v>46569</v>
      </c>
      <c r="AF87" s="9">
        <v>46600</v>
      </c>
      <c r="AG87" s="9">
        <v>46631</v>
      </c>
      <c r="AH87" s="9">
        <v>46661</v>
      </c>
      <c r="AI87" s="9">
        <v>46692</v>
      </c>
      <c r="AJ87" s="9">
        <v>46722</v>
      </c>
      <c r="AK87" s="9">
        <v>46753</v>
      </c>
      <c r="AL87" s="9">
        <v>46784</v>
      </c>
      <c r="AM87" s="9">
        <v>46813</v>
      </c>
      <c r="AN87" s="10">
        <v>46844</v>
      </c>
    </row>
    <row r="88" spans="1:40" x14ac:dyDescent="0.2">
      <c r="A88" s="125"/>
      <c r="B88" s="122"/>
      <c r="C88" s="17" t="s">
        <v>31</v>
      </c>
      <c r="D88" s="22"/>
      <c r="E88" s="19" cm="1">
        <f t="array" ref="E88:J88">TRANSPOSE(Tabla3[5 cadenas])</f>
        <v>1600000</v>
      </c>
      <c r="F88" s="19">
        <v>700000</v>
      </c>
      <c r="G88" s="19">
        <v>1000000</v>
      </c>
      <c r="H88" s="19">
        <v>1000000</v>
      </c>
      <c r="I88" s="19">
        <v>500000</v>
      </c>
      <c r="J88" s="19">
        <v>800000</v>
      </c>
      <c r="K88" s="19"/>
      <c r="L88" s="19"/>
      <c r="M88" s="19"/>
      <c r="N88" s="19"/>
      <c r="O88" s="19">
        <f>(20000)*5</f>
        <v>100000</v>
      </c>
      <c r="P88" s="19">
        <f t="shared" ref="P88:W88" si="8">(20000)*5</f>
        <v>100000</v>
      </c>
      <c r="Q88" s="19">
        <f t="shared" si="8"/>
        <v>100000</v>
      </c>
      <c r="R88" s="19">
        <f t="shared" si="8"/>
        <v>100000</v>
      </c>
      <c r="S88" s="19">
        <f t="shared" si="8"/>
        <v>100000</v>
      </c>
      <c r="T88" s="19">
        <f t="shared" si="8"/>
        <v>100000</v>
      </c>
      <c r="U88" s="19">
        <f t="shared" si="8"/>
        <v>100000</v>
      </c>
      <c r="V88" s="19">
        <f t="shared" si="8"/>
        <v>100000</v>
      </c>
      <c r="W88" s="19">
        <f t="shared" si="8"/>
        <v>100000</v>
      </c>
      <c r="X88" s="19"/>
      <c r="Y88" s="19"/>
      <c r="Z88" s="19"/>
      <c r="AA88" s="19">
        <f>(20000)*5</f>
        <v>100000</v>
      </c>
      <c r="AB88" s="19">
        <f t="shared" ref="AB88:AI88" si="9">(20000)*5</f>
        <v>100000</v>
      </c>
      <c r="AC88" s="19">
        <f t="shared" si="9"/>
        <v>100000</v>
      </c>
      <c r="AD88" s="19">
        <f t="shared" si="9"/>
        <v>100000</v>
      </c>
      <c r="AE88" s="19">
        <f t="shared" si="9"/>
        <v>100000</v>
      </c>
      <c r="AF88" s="19">
        <f t="shared" si="9"/>
        <v>100000</v>
      </c>
      <c r="AG88" s="19">
        <f t="shared" si="9"/>
        <v>100000</v>
      </c>
      <c r="AH88" s="19">
        <f t="shared" si="9"/>
        <v>100000</v>
      </c>
      <c r="AI88" s="19">
        <f t="shared" si="9"/>
        <v>100000</v>
      </c>
      <c r="AJ88" s="19"/>
      <c r="AK88" s="19"/>
      <c r="AL88" s="19"/>
      <c r="AM88" s="19">
        <f>(20000)*5</f>
        <v>100000</v>
      </c>
      <c r="AN88" s="19">
        <f>(20000)*5</f>
        <v>100000</v>
      </c>
    </row>
    <row r="89" spans="1:40" x14ac:dyDescent="0.2">
      <c r="A89" s="125"/>
      <c r="B89" s="122"/>
      <c r="C89" s="17" t="s">
        <v>58</v>
      </c>
      <c r="D89" s="24">
        <v>-20000</v>
      </c>
      <c r="E89" s="20">
        <v>-20000</v>
      </c>
      <c r="F89" s="20"/>
      <c r="G89" s="20">
        <v>-20000</v>
      </c>
      <c r="H89" s="20"/>
      <c r="I89" s="20">
        <v>-20000</v>
      </c>
      <c r="J89" s="20"/>
      <c r="K89" s="20">
        <v>-20000</v>
      </c>
      <c r="L89" s="20">
        <v>-20000</v>
      </c>
      <c r="M89" s="20">
        <v>-20000</v>
      </c>
      <c r="N89" s="20"/>
      <c r="O89" s="20"/>
      <c r="P89" s="20">
        <v>-20000</v>
      </c>
      <c r="Q89" s="20"/>
      <c r="R89" s="20"/>
      <c r="S89" s="20"/>
      <c r="T89" s="20">
        <v>-20000</v>
      </c>
      <c r="U89" s="20"/>
      <c r="V89" s="20"/>
      <c r="W89" s="20"/>
      <c r="X89" s="20">
        <v>-20000</v>
      </c>
      <c r="Y89" s="20">
        <v>-20000</v>
      </c>
      <c r="Z89" s="20"/>
      <c r="AA89" s="20"/>
      <c r="AB89" s="20">
        <v>-20000</v>
      </c>
      <c r="AC89" s="20"/>
      <c r="AD89" s="20"/>
      <c r="AE89" s="20"/>
      <c r="AF89" s="20">
        <v>-20000</v>
      </c>
      <c r="AG89" s="20"/>
      <c r="AH89" s="20"/>
      <c r="AI89" s="20"/>
      <c r="AJ89" s="20">
        <v>-20000</v>
      </c>
      <c r="AK89" s="20">
        <v>-20000</v>
      </c>
      <c r="AL89" s="20"/>
      <c r="AM89" s="20"/>
      <c r="AN89" s="12">
        <v>-20000</v>
      </c>
    </row>
    <row r="90" spans="1:40" x14ac:dyDescent="0.2">
      <c r="A90" s="125"/>
      <c r="B90" s="122"/>
      <c r="C90" s="85" t="s">
        <v>32</v>
      </c>
      <c r="D90" s="24"/>
      <c r="E90" s="20">
        <f>'Tablas pesimista'!$C$34+'Tablas pesimista'!$E$34+'Tablas pesimista'!$F$34</f>
        <v>5528.5985227272722</v>
      </c>
      <c r="F90" s="20">
        <f>'Tablas pesimista'!$C$34+'Tablas pesimista'!$E$34+'Tablas pesimista'!$F$34</f>
        <v>5528.5985227272722</v>
      </c>
      <c r="G90" s="20">
        <f>'Tablas pesimista'!$C$34+'Tablas pesimista'!$E$34+'Tablas pesimista'!$F$34</f>
        <v>5528.5985227272722</v>
      </c>
      <c r="H90" s="20">
        <f>'Tablas pesimista'!$C$34+'Tablas pesimista'!$E$34+'Tablas pesimista'!$F$34</f>
        <v>5528.5985227272722</v>
      </c>
      <c r="I90" s="20">
        <f>'Tablas pesimista'!$C$34+'Tablas pesimista'!$E$34+'Tablas pesimista'!$F$34</f>
        <v>5528.5985227272722</v>
      </c>
      <c r="J90" s="20">
        <f>'Tablas pesimista'!$C$34+'Tablas pesimista'!$E$34+'Tablas pesimista'!$F$34</f>
        <v>5528.5985227272722</v>
      </c>
      <c r="K90" s="20">
        <f>'Tablas pesimista'!$C$34+'Tablas pesimista'!$E$34+'Tablas pesimista'!$F$34</f>
        <v>5528.5985227272722</v>
      </c>
      <c r="L90" s="20">
        <f>'Tablas pesimista'!$C$34+'Tablas pesimista'!$E$34+'Tablas pesimista'!$F$34</f>
        <v>5528.5985227272722</v>
      </c>
      <c r="M90" s="20">
        <f>'Tablas pesimista'!$C$34+'Tablas pesimista'!$E$34+'Tablas pesimista'!$F$34</f>
        <v>5528.5985227272722</v>
      </c>
      <c r="N90" s="20">
        <f>'Tablas pesimista'!$C$34+'Tablas pesimista'!$E$34+'Tablas pesimista'!$F$34</f>
        <v>5528.5985227272722</v>
      </c>
      <c r="O90" s="20">
        <f>'Tablas pesimista'!$C$34+'Tablas pesimista'!$E$34+'Tablas pesimista'!$F$34</f>
        <v>5528.5985227272722</v>
      </c>
      <c r="P90" s="20">
        <f>'Tablas pesimista'!$C$34+'Tablas pesimista'!$E$34+'Tablas pesimista'!$F$34</f>
        <v>5528.5985227272722</v>
      </c>
      <c r="Q90" s="20">
        <f>'Tablas pesimista'!$C$34+'Tablas pesimista'!$E$34+'Tablas pesimista'!$F$34</f>
        <v>5528.5985227272722</v>
      </c>
      <c r="R90" s="20">
        <f>'Tablas pesimista'!$C$34+'Tablas pesimista'!$E$34+'Tablas pesimista'!$F$34</f>
        <v>5528.5985227272722</v>
      </c>
      <c r="S90" s="20">
        <f>'Tablas pesimista'!$C$34+'Tablas pesimista'!$E$34+'Tablas pesimista'!$F$34</f>
        <v>5528.5985227272722</v>
      </c>
      <c r="T90" s="20">
        <f>'Tablas pesimista'!$C$34+'Tablas pesimista'!$E$34+'Tablas pesimista'!$F$34</f>
        <v>5528.5985227272722</v>
      </c>
      <c r="U90" s="20">
        <f>'Tablas pesimista'!$C$34+'Tablas pesimista'!$E$34+'Tablas pesimista'!$F$34</f>
        <v>5528.5985227272722</v>
      </c>
      <c r="V90" s="20">
        <f>'Tablas pesimista'!$C$34+'Tablas pesimista'!$E$34+'Tablas pesimista'!$F$34</f>
        <v>5528.5985227272722</v>
      </c>
      <c r="W90" s="20">
        <f>'Tablas pesimista'!$C$34+'Tablas pesimista'!$E$34+'Tablas pesimista'!$F$34</f>
        <v>5528.5985227272722</v>
      </c>
      <c r="X90" s="20">
        <f>'Tablas pesimista'!$C$34+'Tablas pesimista'!$E$34+'Tablas pesimista'!$F$34</f>
        <v>5528.5985227272722</v>
      </c>
      <c r="Y90" s="20">
        <f>'Tablas pesimista'!$C$34+'Tablas pesimista'!$E$34+'Tablas pesimista'!$F$34</f>
        <v>5528.5985227272722</v>
      </c>
      <c r="Z90" s="20">
        <f>'Tablas pesimista'!$C$34+'Tablas pesimista'!$E$34+'Tablas pesimista'!$F$34</f>
        <v>5528.5985227272722</v>
      </c>
      <c r="AA90" s="20">
        <f>'Tablas pesimista'!$C$34+'Tablas pesimista'!$E$34+'Tablas pesimista'!$F$34</f>
        <v>5528.5985227272722</v>
      </c>
      <c r="AB90" s="20">
        <f>'Tablas pesimista'!$C$34+'Tablas pesimista'!$E$34+'Tablas pesimista'!$F$34</f>
        <v>5528.5985227272722</v>
      </c>
      <c r="AC90" s="20">
        <f>'Tablas pesimista'!$C$34+'Tablas pesimista'!$E$34+'Tablas pesimista'!$F$34</f>
        <v>5528.5985227272722</v>
      </c>
      <c r="AD90" s="20">
        <f>'Tablas pesimista'!$C$34+'Tablas pesimista'!$E$34+'Tablas pesimista'!$F$34</f>
        <v>5528.5985227272722</v>
      </c>
      <c r="AE90" s="20">
        <f>'Tablas pesimista'!$C$34+'Tablas pesimista'!$E$34+'Tablas pesimista'!$F$34</f>
        <v>5528.5985227272722</v>
      </c>
      <c r="AF90" s="20">
        <f>'Tablas pesimista'!$C$34+'Tablas pesimista'!$E$34+'Tablas pesimista'!$F$34</f>
        <v>5528.5985227272722</v>
      </c>
      <c r="AG90" s="20">
        <f>'Tablas pesimista'!$C$34+'Tablas pesimista'!$E$34+'Tablas pesimista'!$F$34</f>
        <v>5528.5985227272722</v>
      </c>
      <c r="AH90" s="20">
        <f>'Tablas pesimista'!$C$34+'Tablas pesimista'!$E$34+'Tablas pesimista'!$F$34</f>
        <v>5528.5985227272722</v>
      </c>
      <c r="AI90" s="20">
        <f>'Tablas pesimista'!$C$34+'Tablas pesimista'!$E$34+'Tablas pesimista'!$F$34</f>
        <v>5528.5985227272722</v>
      </c>
      <c r="AJ90" s="20">
        <f>'Tablas pesimista'!$C$34+'Tablas pesimista'!$E$34+'Tablas pesimista'!$F$34</f>
        <v>5528.5985227272722</v>
      </c>
      <c r="AK90" s="20">
        <f>'Tablas pesimista'!$C$34+'Tablas pesimista'!$E$34+'Tablas pesimista'!$F$34</f>
        <v>5528.5985227272722</v>
      </c>
      <c r="AL90" s="20">
        <f>'Tablas pesimista'!$C$34+'Tablas pesimista'!$E$34+'Tablas pesimista'!$F$34</f>
        <v>5528.5985227272722</v>
      </c>
      <c r="AM90" s="20">
        <f>'Tablas pesimista'!$C$34+'Tablas pesimista'!$E$34+'Tablas pesimista'!$F$34</f>
        <v>5528.5985227272722</v>
      </c>
      <c r="AN90" s="12">
        <f>'Tablas pesimista'!$C$34+'Tablas pesimista'!$E$34+'Tablas pesimista'!$F$34</f>
        <v>5528.5985227272722</v>
      </c>
    </row>
    <row r="91" spans="1:40" x14ac:dyDescent="0.2">
      <c r="A91" s="125"/>
      <c r="B91" s="122"/>
      <c r="C91" s="17" t="s">
        <v>33</v>
      </c>
      <c r="D91" s="24"/>
      <c r="E91" s="20" cm="1">
        <f t="array" ref="E91:L91">TRANSPOSE(Tabla17[Costo 5 cadenas])</f>
        <v>-75000</v>
      </c>
      <c r="F91" s="20">
        <v>0</v>
      </c>
      <c r="G91" s="20">
        <v>-5000</v>
      </c>
      <c r="H91" s="20">
        <v>0</v>
      </c>
      <c r="I91" s="20">
        <v>-5000</v>
      </c>
      <c r="J91" s="20">
        <v>0</v>
      </c>
      <c r="K91" s="20">
        <v>-5000</v>
      </c>
      <c r="L91" s="20">
        <v>-50000</v>
      </c>
      <c r="M91" s="20"/>
      <c r="N91" s="20"/>
      <c r="O91" s="20"/>
      <c r="P91" s="20">
        <f>$K$37</f>
        <v>-5000</v>
      </c>
      <c r="Q91" s="20"/>
      <c r="R91" s="20"/>
      <c r="S91" s="20"/>
      <c r="T91" s="20">
        <f>$K$37</f>
        <v>-5000</v>
      </c>
      <c r="U91" s="20"/>
      <c r="V91" s="20"/>
      <c r="W91" s="20"/>
      <c r="X91" s="20">
        <v>-50000</v>
      </c>
      <c r="Y91" s="20"/>
      <c r="Z91" s="20"/>
      <c r="AA91" s="20"/>
      <c r="AB91" s="20">
        <f>$K$37</f>
        <v>-5000</v>
      </c>
      <c r="AC91" s="20"/>
      <c r="AD91" s="20"/>
      <c r="AE91" s="20"/>
      <c r="AF91" s="20">
        <f>$K$37</f>
        <v>-5000</v>
      </c>
      <c r="AG91" s="20"/>
      <c r="AH91" s="20"/>
      <c r="AI91" s="20"/>
      <c r="AJ91" s="20">
        <v>-50000</v>
      </c>
      <c r="AK91" s="20"/>
      <c r="AL91" s="20"/>
      <c r="AM91" s="20"/>
      <c r="AN91" s="12">
        <f>$K$37</f>
        <v>-5000</v>
      </c>
    </row>
    <row r="92" spans="1:40" ht="17" thickBot="1" x14ac:dyDescent="0.25">
      <c r="A92" s="125"/>
      <c r="B92" s="122"/>
      <c r="C92" s="17" t="s">
        <v>34</v>
      </c>
      <c r="D92" s="24">
        <v>-1168500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14"/>
    </row>
    <row r="93" spans="1:40" ht="17" thickBot="1" x14ac:dyDescent="0.25">
      <c r="A93" s="125"/>
      <c r="B93" s="122"/>
      <c r="C93" s="18" t="s">
        <v>37</v>
      </c>
      <c r="D93" s="25">
        <f t="shared" ref="D93:AN93" si="10">SUM(D88:D92)</f>
        <v>-1188500</v>
      </c>
      <c r="E93" s="26">
        <f t="shared" si="10"/>
        <v>1510528.5985227274</v>
      </c>
      <c r="F93" s="26">
        <f t="shared" si="10"/>
        <v>705528.59852272726</v>
      </c>
      <c r="G93" s="26">
        <f t="shared" si="10"/>
        <v>980528.59852272726</v>
      </c>
      <c r="H93" s="26">
        <f t="shared" si="10"/>
        <v>1005528.5985227273</v>
      </c>
      <c r="I93" s="26">
        <f t="shared" si="10"/>
        <v>480528.59852272726</v>
      </c>
      <c r="J93" s="26">
        <f t="shared" si="10"/>
        <v>805528.59852272726</v>
      </c>
      <c r="K93" s="26">
        <f t="shared" si="10"/>
        <v>-19471.401477272728</v>
      </c>
      <c r="L93" s="26">
        <f t="shared" si="10"/>
        <v>-64471.401477272724</v>
      </c>
      <c r="M93" s="26">
        <f t="shared" si="10"/>
        <v>-14471.401477272728</v>
      </c>
      <c r="N93" s="26">
        <f t="shared" si="10"/>
        <v>5528.5985227272722</v>
      </c>
      <c r="O93" s="26">
        <f t="shared" si="10"/>
        <v>105528.59852272728</v>
      </c>
      <c r="P93" s="26">
        <f t="shared" si="10"/>
        <v>80528.598522727276</v>
      </c>
      <c r="Q93" s="26">
        <f t="shared" si="10"/>
        <v>105528.59852272728</v>
      </c>
      <c r="R93" s="26">
        <f t="shared" si="10"/>
        <v>105528.59852272728</v>
      </c>
      <c r="S93" s="26">
        <f t="shared" si="10"/>
        <v>105528.59852272728</v>
      </c>
      <c r="T93" s="26">
        <f t="shared" si="10"/>
        <v>80528.598522727276</v>
      </c>
      <c r="U93" s="26">
        <f t="shared" si="10"/>
        <v>105528.59852272728</v>
      </c>
      <c r="V93" s="26">
        <f t="shared" si="10"/>
        <v>105528.59852272728</v>
      </c>
      <c r="W93" s="26">
        <f t="shared" si="10"/>
        <v>105528.59852272728</v>
      </c>
      <c r="X93" s="26">
        <f t="shared" si="10"/>
        <v>-64471.401477272724</v>
      </c>
      <c r="Y93" s="26">
        <f t="shared" si="10"/>
        <v>-14471.401477272728</v>
      </c>
      <c r="Z93" s="26">
        <f t="shared" si="10"/>
        <v>5528.5985227272722</v>
      </c>
      <c r="AA93" s="26">
        <f t="shared" si="10"/>
        <v>105528.59852272728</v>
      </c>
      <c r="AB93" s="26">
        <f t="shared" si="10"/>
        <v>80528.598522727276</v>
      </c>
      <c r="AC93" s="26">
        <f t="shared" si="10"/>
        <v>105528.59852272728</v>
      </c>
      <c r="AD93" s="26">
        <f t="shared" si="10"/>
        <v>105528.59852272728</v>
      </c>
      <c r="AE93" s="26">
        <f t="shared" si="10"/>
        <v>105528.59852272728</v>
      </c>
      <c r="AF93" s="26">
        <f t="shared" si="10"/>
        <v>80528.598522727276</v>
      </c>
      <c r="AG93" s="26">
        <f t="shared" si="10"/>
        <v>105528.59852272728</v>
      </c>
      <c r="AH93" s="26">
        <f t="shared" si="10"/>
        <v>105528.59852272728</v>
      </c>
      <c r="AI93" s="26">
        <f t="shared" si="10"/>
        <v>105528.59852272728</v>
      </c>
      <c r="AJ93" s="26">
        <f t="shared" si="10"/>
        <v>-64471.401477272724</v>
      </c>
      <c r="AK93" s="26">
        <f t="shared" si="10"/>
        <v>-14471.401477272728</v>
      </c>
      <c r="AL93" s="26">
        <f t="shared" si="10"/>
        <v>5528.5985227272722</v>
      </c>
      <c r="AM93" s="26">
        <f t="shared" si="10"/>
        <v>105528.59852272728</v>
      </c>
      <c r="AN93" s="15">
        <f t="shared" si="10"/>
        <v>80528.598522727276</v>
      </c>
    </row>
    <row r="94" spans="1:40" ht="17" thickBot="1" x14ac:dyDescent="0.25">
      <c r="A94" s="125"/>
      <c r="B94" s="122"/>
      <c r="C94" s="8" t="s">
        <v>38</v>
      </c>
      <c r="D94" s="44">
        <f>NPV($B$4,E93:AN93)+D93</f>
        <v>5348870.3269044608</v>
      </c>
      <c r="E94" s="1"/>
      <c r="F94" s="79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40" ht="17" thickBot="1" x14ac:dyDescent="0.25">
      <c r="A95" s="125"/>
      <c r="B95" s="122"/>
      <c r="C95" s="8" t="s">
        <v>47</v>
      </c>
      <c r="D95" s="54">
        <f>IRR(D93:AN93)</f>
        <v>0.9546812283914774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40" ht="17" thickBot="1" x14ac:dyDescent="0.25">
      <c r="A96" s="125"/>
      <c r="B96" s="123"/>
      <c r="C96" s="8" t="s">
        <v>48</v>
      </c>
      <c r="D96" s="44" t="s">
        <v>50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40" x14ac:dyDescent="0.2">
      <c r="A97" s="125"/>
      <c r="D97" s="1">
        <f>D93</f>
        <v>-1188500</v>
      </c>
      <c r="E97" s="48">
        <f>D97+E93</f>
        <v>322028.59852272738</v>
      </c>
      <c r="F97" s="1">
        <f>E97+F93</f>
        <v>1027557.1970454546</v>
      </c>
      <c r="G97" s="1">
        <f>F97+G93</f>
        <v>2008085.7955681819</v>
      </c>
    </row>
    <row r="98" spans="1:40" ht="17" thickBot="1" x14ac:dyDescent="0.25">
      <c r="A98" s="125"/>
    </row>
    <row r="99" spans="1:40" ht="17" thickBot="1" x14ac:dyDescent="0.25">
      <c r="A99" s="125"/>
      <c r="B99" s="121" t="s">
        <v>54</v>
      </c>
      <c r="C99" s="16"/>
      <c r="D99" s="27">
        <v>0</v>
      </c>
      <c r="E99" s="28">
        <v>1</v>
      </c>
      <c r="F99" s="28">
        <v>2</v>
      </c>
      <c r="G99" s="28">
        <v>3</v>
      </c>
    </row>
    <row r="100" spans="1:40" x14ac:dyDescent="0.2">
      <c r="A100" s="125"/>
      <c r="B100" s="122"/>
      <c r="C100" s="17" t="s">
        <v>31</v>
      </c>
      <c r="D100" s="35"/>
      <c r="E100" s="36">
        <f>SUM(E88:P88)</f>
        <v>5800000</v>
      </c>
      <c r="F100" s="36">
        <f>SUM(Q88:AB88)</f>
        <v>900000</v>
      </c>
      <c r="G100" s="36">
        <f>SUM(AC88:AN88)</f>
        <v>900000</v>
      </c>
    </row>
    <row r="101" spans="1:40" x14ac:dyDescent="0.2">
      <c r="A101" s="125"/>
      <c r="B101" s="122"/>
      <c r="C101" s="17" t="s">
        <v>58</v>
      </c>
      <c r="D101" s="37">
        <f>D89</f>
        <v>-20000</v>
      </c>
      <c r="E101" s="38">
        <f t="shared" ref="E101:E104" si="11">SUM(E89:P89)</f>
        <v>-140000</v>
      </c>
      <c r="F101" s="38">
        <f t="shared" ref="F101:F103" si="12">SUM(Q89:AB89)</f>
        <v>-80000</v>
      </c>
      <c r="G101" s="38">
        <f t="shared" ref="G101:G103" si="13">SUM(AC89:AN89)</f>
        <v>-80000</v>
      </c>
    </row>
    <row r="102" spans="1:40" x14ac:dyDescent="0.2">
      <c r="A102" s="125"/>
      <c r="B102" s="122"/>
      <c r="C102" s="85" t="s">
        <v>32</v>
      </c>
      <c r="D102" s="37"/>
      <c r="E102" s="38">
        <f t="shared" si="11"/>
        <v>66343.182272727281</v>
      </c>
      <c r="F102" s="38">
        <f t="shared" si="12"/>
        <v>66343.182272727281</v>
      </c>
      <c r="G102" s="38">
        <f t="shared" si="13"/>
        <v>66343.182272727281</v>
      </c>
    </row>
    <row r="103" spans="1:40" x14ac:dyDescent="0.2">
      <c r="A103" s="125"/>
      <c r="B103" s="122"/>
      <c r="C103" s="17" t="s">
        <v>33</v>
      </c>
      <c r="D103" s="37"/>
      <c r="E103" s="38">
        <f t="shared" si="11"/>
        <v>-145000</v>
      </c>
      <c r="F103" s="38">
        <f t="shared" si="12"/>
        <v>-60000</v>
      </c>
      <c r="G103" s="38">
        <f t="shared" si="13"/>
        <v>-60000</v>
      </c>
    </row>
    <row r="104" spans="1:40" ht="17" thickBot="1" x14ac:dyDescent="0.25">
      <c r="A104" s="125"/>
      <c r="B104" s="122"/>
      <c r="C104" s="17" t="s">
        <v>34</v>
      </c>
      <c r="D104" s="37">
        <f>D92</f>
        <v>-1168500</v>
      </c>
      <c r="E104" s="38">
        <f t="shared" si="11"/>
        <v>0</v>
      </c>
      <c r="F104" s="38">
        <f>SUM(Q92:AB92)</f>
        <v>0</v>
      </c>
      <c r="G104" s="38">
        <f>SUM(AC92:AN92)</f>
        <v>0</v>
      </c>
    </row>
    <row r="105" spans="1:40" ht="17" thickBot="1" x14ac:dyDescent="0.25">
      <c r="A105" s="125"/>
      <c r="B105" s="122"/>
      <c r="C105" s="18" t="s">
        <v>37</v>
      </c>
      <c r="D105" s="25">
        <f>SUM(D100:D104)</f>
        <v>-1188500</v>
      </c>
      <c r="E105" s="26">
        <f>SUM(E100:E104)</f>
        <v>5581343.1822727276</v>
      </c>
      <c r="F105" s="26">
        <f>SUM(F100:F104)</f>
        <v>826343.18227272725</v>
      </c>
      <c r="G105" s="26">
        <f>SUM(G100:G104)</f>
        <v>826343.18227272725</v>
      </c>
    </row>
    <row r="106" spans="1:40" ht="17" thickBot="1" x14ac:dyDescent="0.25">
      <c r="A106" s="125"/>
      <c r="B106" s="122"/>
      <c r="C106" s="8" t="s">
        <v>38</v>
      </c>
      <c r="D106" s="45">
        <f>NPV($B$3,E105:G105)+D105</f>
        <v>4624671.5096988343</v>
      </c>
      <c r="E106" s="80" t="s">
        <v>60</v>
      </c>
      <c r="F106" s="81">
        <f>(Sensibilidad!D106-'Evaluación optimista'!$D$52)/'Evaluación optimista'!$D$52</f>
        <v>-0.11059372837158148</v>
      </c>
    </row>
    <row r="107" spans="1:40" ht="17" thickBot="1" x14ac:dyDescent="0.25">
      <c r="A107" s="125"/>
      <c r="B107" s="122"/>
      <c r="C107" s="8" t="s">
        <v>47</v>
      </c>
      <c r="D107" s="54">
        <f>IRR(D105:G105)</f>
        <v>3.8682793993199702</v>
      </c>
      <c r="E107" s="82" t="s">
        <v>60</v>
      </c>
      <c r="F107" s="81">
        <f>(Sensibilidad!D107-'Evaluación optimista'!$D$53)/'Evaluación optimista'!$D$53</f>
        <v>-6.4098835165620413E-2</v>
      </c>
    </row>
    <row r="108" spans="1:40" ht="17" thickBot="1" x14ac:dyDescent="0.25">
      <c r="A108" s="125"/>
      <c r="B108" s="123"/>
      <c r="C108" s="8" t="s">
        <v>48</v>
      </c>
      <c r="D108" s="44" t="s">
        <v>44</v>
      </c>
    </row>
    <row r="109" spans="1:40" ht="17" thickBot="1" x14ac:dyDescent="0.25">
      <c r="A109" s="126"/>
      <c r="D109" s="1">
        <f>D105</f>
        <v>-1188500</v>
      </c>
      <c r="E109" s="48">
        <f>D109+E105</f>
        <v>4392843.1822727276</v>
      </c>
      <c r="F109" s="1">
        <f>E109+F105</f>
        <v>5219186.3645454552</v>
      </c>
      <c r="G109" s="1">
        <f>F109+G105</f>
        <v>6045529.5468181828</v>
      </c>
    </row>
    <row r="112" spans="1:40" ht="17" thickBot="1" x14ac:dyDescent="0.25">
      <c r="D112" s="30"/>
      <c r="E112" s="120" t="s">
        <v>44</v>
      </c>
      <c r="F112" s="120"/>
      <c r="G112" s="120"/>
      <c r="H112" s="120"/>
      <c r="I112" s="120"/>
      <c r="J112" s="120"/>
      <c r="K112" s="120"/>
      <c r="L112" s="120"/>
      <c r="M112" s="120"/>
      <c r="N112" s="120"/>
      <c r="O112" s="120"/>
      <c r="P112" s="120"/>
      <c r="Q112" s="119" t="s">
        <v>45</v>
      </c>
      <c r="R112" s="119"/>
      <c r="S112" s="119"/>
      <c r="T112" s="119"/>
      <c r="U112" s="119"/>
      <c r="V112" s="119"/>
      <c r="W112" s="119"/>
      <c r="X112" s="119"/>
      <c r="Y112" s="119"/>
      <c r="Z112" s="119"/>
      <c r="AA112" s="119"/>
      <c r="AB112" s="119"/>
      <c r="AC112" s="120" t="s">
        <v>46</v>
      </c>
      <c r="AD112" s="120"/>
      <c r="AE112" s="120"/>
      <c r="AF112" s="120"/>
      <c r="AG112" s="120"/>
      <c r="AH112" s="120"/>
      <c r="AI112" s="120"/>
      <c r="AJ112" s="120"/>
      <c r="AK112" s="120"/>
      <c r="AL112" s="120"/>
      <c r="AM112" s="120"/>
      <c r="AN112" s="120"/>
    </row>
    <row r="113" spans="1:40" ht="17" thickBot="1" x14ac:dyDescent="0.25">
      <c r="A113" s="124" t="s">
        <v>61</v>
      </c>
      <c r="B113" s="121" t="s">
        <v>53</v>
      </c>
      <c r="C113" s="16"/>
      <c r="D113" s="21">
        <v>45748</v>
      </c>
      <c r="E113" s="9">
        <v>45778</v>
      </c>
      <c r="F113" s="9">
        <v>45809</v>
      </c>
      <c r="G113" s="9">
        <v>45839</v>
      </c>
      <c r="H113" s="9">
        <v>45870</v>
      </c>
      <c r="I113" s="9">
        <v>45901</v>
      </c>
      <c r="J113" s="9">
        <v>45931</v>
      </c>
      <c r="K113" s="9">
        <v>45962</v>
      </c>
      <c r="L113" s="9">
        <v>45992</v>
      </c>
      <c r="M113" s="9">
        <v>46023</v>
      </c>
      <c r="N113" s="9">
        <v>46054</v>
      </c>
      <c r="O113" s="9">
        <v>46082</v>
      </c>
      <c r="P113" s="9">
        <v>46113</v>
      </c>
      <c r="Q113" s="9">
        <v>46143</v>
      </c>
      <c r="R113" s="9">
        <v>46174</v>
      </c>
      <c r="S113" s="9">
        <v>46204</v>
      </c>
      <c r="T113" s="9">
        <v>46235</v>
      </c>
      <c r="U113" s="9">
        <v>46266</v>
      </c>
      <c r="V113" s="9">
        <v>46296</v>
      </c>
      <c r="W113" s="9">
        <v>46327</v>
      </c>
      <c r="X113" s="9">
        <v>46357</v>
      </c>
      <c r="Y113" s="9">
        <v>46388</v>
      </c>
      <c r="Z113" s="9">
        <v>46419</v>
      </c>
      <c r="AA113" s="9">
        <v>46447</v>
      </c>
      <c r="AB113" s="9">
        <v>46478</v>
      </c>
      <c r="AC113" s="9">
        <v>46508</v>
      </c>
      <c r="AD113" s="9">
        <v>46539</v>
      </c>
      <c r="AE113" s="9">
        <v>46569</v>
      </c>
      <c r="AF113" s="9">
        <v>46600</v>
      </c>
      <c r="AG113" s="9">
        <v>46631</v>
      </c>
      <c r="AH113" s="9">
        <v>46661</v>
      </c>
      <c r="AI113" s="9">
        <v>46692</v>
      </c>
      <c r="AJ113" s="9">
        <v>46722</v>
      </c>
      <c r="AK113" s="9">
        <v>46753</v>
      </c>
      <c r="AL113" s="9">
        <v>46784</v>
      </c>
      <c r="AM113" s="9">
        <v>46813</v>
      </c>
      <c r="AN113" s="10">
        <v>46844</v>
      </c>
    </row>
    <row r="114" spans="1:40" x14ac:dyDescent="0.2">
      <c r="A114" s="125"/>
      <c r="B114" s="122"/>
      <c r="C114" s="17" t="s">
        <v>31</v>
      </c>
      <c r="D114" s="22"/>
      <c r="E114" s="19" cm="1">
        <f t="array" ref="E114:J114">TRANSPOSE(Tabla3[Costo 2 cadenas])</f>
        <v>640000</v>
      </c>
      <c r="F114" s="19">
        <v>280000</v>
      </c>
      <c r="G114" s="19">
        <v>400000</v>
      </c>
      <c r="H114" s="19">
        <v>400000</v>
      </c>
      <c r="I114" s="19">
        <v>200000</v>
      </c>
      <c r="J114" s="19">
        <v>320000</v>
      </c>
      <c r="K114" s="19"/>
      <c r="L114" s="19"/>
      <c r="M114" s="19"/>
      <c r="N114" s="19"/>
      <c r="O114" s="19">
        <f>(20000)*2</f>
        <v>40000</v>
      </c>
      <c r="P114" s="19">
        <f t="shared" ref="P114:W114" si="14">(20000)*2</f>
        <v>40000</v>
      </c>
      <c r="Q114" s="19">
        <f t="shared" si="14"/>
        <v>40000</v>
      </c>
      <c r="R114" s="19">
        <f t="shared" si="14"/>
        <v>40000</v>
      </c>
      <c r="S114" s="19">
        <f t="shared" si="14"/>
        <v>40000</v>
      </c>
      <c r="T114" s="19">
        <f t="shared" si="14"/>
        <v>40000</v>
      </c>
      <c r="U114" s="19">
        <f t="shared" si="14"/>
        <v>40000</v>
      </c>
      <c r="V114" s="19">
        <f t="shared" si="14"/>
        <v>40000</v>
      </c>
      <c r="W114" s="19">
        <f t="shared" si="14"/>
        <v>40000</v>
      </c>
      <c r="X114" s="19"/>
      <c r="Y114" s="19"/>
      <c r="Z114" s="19"/>
      <c r="AA114" s="19">
        <f>(20000)*2</f>
        <v>40000</v>
      </c>
      <c r="AB114" s="19">
        <f t="shared" ref="AB114:AI114" si="15">(20000)*2</f>
        <v>40000</v>
      </c>
      <c r="AC114" s="19">
        <f t="shared" si="15"/>
        <v>40000</v>
      </c>
      <c r="AD114" s="19">
        <f t="shared" si="15"/>
        <v>40000</v>
      </c>
      <c r="AE114" s="19">
        <f t="shared" si="15"/>
        <v>40000</v>
      </c>
      <c r="AF114" s="19">
        <f t="shared" si="15"/>
        <v>40000</v>
      </c>
      <c r="AG114" s="19">
        <f t="shared" si="15"/>
        <v>40000</v>
      </c>
      <c r="AH114" s="19">
        <f t="shared" si="15"/>
        <v>40000</v>
      </c>
      <c r="AI114" s="19">
        <f t="shared" si="15"/>
        <v>40000</v>
      </c>
      <c r="AJ114" s="19"/>
      <c r="AK114" s="19"/>
      <c r="AL114" s="19"/>
      <c r="AM114" s="19">
        <f>(20000)*2</f>
        <v>40000</v>
      </c>
      <c r="AN114" s="23">
        <f>(20000)*2</f>
        <v>40000</v>
      </c>
    </row>
    <row r="115" spans="1:40" x14ac:dyDescent="0.2">
      <c r="A115" s="125"/>
      <c r="B115" s="122"/>
      <c r="C115" s="17" t="s">
        <v>58</v>
      </c>
      <c r="D115" s="24">
        <v>-20000</v>
      </c>
      <c r="E115" s="20">
        <v>-20000</v>
      </c>
      <c r="F115" s="20"/>
      <c r="G115" s="20">
        <v>-20000</v>
      </c>
      <c r="H115" s="20"/>
      <c r="I115" s="20">
        <v>-20000</v>
      </c>
      <c r="J115" s="20"/>
      <c r="K115" s="20">
        <v>-20000</v>
      </c>
      <c r="L115" s="20">
        <v>-20000</v>
      </c>
      <c r="M115" s="20">
        <v>-20000</v>
      </c>
      <c r="N115" s="20"/>
      <c r="O115" s="20"/>
      <c r="P115" s="20">
        <v>-20000</v>
      </c>
      <c r="Q115" s="20"/>
      <c r="R115" s="20"/>
      <c r="S115" s="20"/>
      <c r="T115" s="20">
        <v>-20000</v>
      </c>
      <c r="U115" s="20"/>
      <c r="V115" s="20"/>
      <c r="W115" s="20"/>
      <c r="X115" s="20">
        <v>-20000</v>
      </c>
      <c r="Y115" s="20">
        <v>-20000</v>
      </c>
      <c r="Z115" s="20"/>
      <c r="AA115" s="20"/>
      <c r="AB115" s="20">
        <v>-20000</v>
      </c>
      <c r="AC115" s="20"/>
      <c r="AD115" s="20"/>
      <c r="AE115" s="20"/>
      <c r="AF115" s="20">
        <v>-20000</v>
      </c>
      <c r="AG115" s="20"/>
      <c r="AH115" s="20"/>
      <c r="AI115" s="20"/>
      <c r="AJ115" s="20">
        <v>-20000</v>
      </c>
      <c r="AK115" s="20">
        <v>-20000</v>
      </c>
      <c r="AL115" s="20"/>
      <c r="AM115" s="20"/>
      <c r="AN115" s="12">
        <v>-20000</v>
      </c>
    </row>
    <row r="116" spans="1:40" x14ac:dyDescent="0.2">
      <c r="A116" s="125"/>
      <c r="B116" s="122"/>
      <c r="C116" s="17" t="s">
        <v>32</v>
      </c>
      <c r="D116" s="24"/>
      <c r="E116" s="20">
        <f>'Tablas optimista'!$C$34</f>
        <v>11071.022727272728</v>
      </c>
      <c r="F116" s="20">
        <f>'Tablas optimista'!$C$34</f>
        <v>11071.022727272728</v>
      </c>
      <c r="G116" s="20">
        <f>'Tablas optimista'!$C$34</f>
        <v>11071.022727272728</v>
      </c>
      <c r="H116" s="20">
        <f>'Tablas optimista'!$C$34</f>
        <v>11071.022727272728</v>
      </c>
      <c r="I116" s="20">
        <f>'Tablas optimista'!$C$34</f>
        <v>11071.022727272728</v>
      </c>
      <c r="J116" s="20">
        <f>'Tablas optimista'!$C$34</f>
        <v>11071.022727272728</v>
      </c>
      <c r="K116" s="20">
        <f>'Tablas optimista'!$C$34</f>
        <v>11071.022727272728</v>
      </c>
      <c r="L116" s="20">
        <f>'Tablas optimista'!$C$34</f>
        <v>11071.022727272728</v>
      </c>
      <c r="M116" s="20">
        <f>'Tablas optimista'!$C$34</f>
        <v>11071.022727272728</v>
      </c>
      <c r="N116" s="20">
        <f>'Tablas optimista'!$C$34</f>
        <v>11071.022727272728</v>
      </c>
      <c r="O116" s="20">
        <f>'Tablas optimista'!$C$34</f>
        <v>11071.022727272728</v>
      </c>
      <c r="P116" s="20">
        <f>'Tablas optimista'!$C$34</f>
        <v>11071.022727272728</v>
      </c>
      <c r="Q116" s="20">
        <f>'Tablas optimista'!$C$34</f>
        <v>11071.022727272728</v>
      </c>
      <c r="R116" s="20">
        <f>'Tablas optimista'!$C$34</f>
        <v>11071.022727272728</v>
      </c>
      <c r="S116" s="20">
        <f>'Tablas optimista'!$C$34</f>
        <v>11071.022727272728</v>
      </c>
      <c r="T116" s="20">
        <f>'Tablas optimista'!$C$34</f>
        <v>11071.022727272728</v>
      </c>
      <c r="U116" s="20">
        <f>'Tablas optimista'!$C$34</f>
        <v>11071.022727272728</v>
      </c>
      <c r="V116" s="20">
        <f>'Tablas optimista'!$C$34</f>
        <v>11071.022727272728</v>
      </c>
      <c r="W116" s="20">
        <f>'Tablas optimista'!$C$34</f>
        <v>11071.022727272728</v>
      </c>
      <c r="X116" s="20">
        <f>'Tablas optimista'!$C$34</f>
        <v>11071.022727272728</v>
      </c>
      <c r="Y116" s="20">
        <f>'Tablas optimista'!$C$34</f>
        <v>11071.022727272728</v>
      </c>
      <c r="Z116" s="20">
        <f>'Tablas optimista'!$C$34</f>
        <v>11071.022727272728</v>
      </c>
      <c r="AA116" s="20">
        <f>'Tablas optimista'!$C$34</f>
        <v>11071.022727272728</v>
      </c>
      <c r="AB116" s="20">
        <f>'Tablas optimista'!$C$34</f>
        <v>11071.022727272728</v>
      </c>
      <c r="AC116" s="20">
        <f>'Tablas optimista'!$C$34</f>
        <v>11071.022727272728</v>
      </c>
      <c r="AD116" s="20">
        <f>'Tablas optimista'!$C$34</f>
        <v>11071.022727272728</v>
      </c>
      <c r="AE116" s="20">
        <f>'Tablas optimista'!$C$34</f>
        <v>11071.022727272728</v>
      </c>
      <c r="AF116" s="20">
        <f>'Tablas optimista'!$C$34</f>
        <v>11071.022727272728</v>
      </c>
      <c r="AG116" s="20">
        <f>'Tablas optimista'!$C$34</f>
        <v>11071.022727272728</v>
      </c>
      <c r="AH116" s="20">
        <f>'Tablas optimista'!$C$34</f>
        <v>11071.022727272728</v>
      </c>
      <c r="AI116" s="20">
        <f>'Tablas optimista'!$C$34</f>
        <v>11071.022727272728</v>
      </c>
      <c r="AJ116" s="20">
        <f>'Tablas optimista'!$C$34</f>
        <v>11071.022727272728</v>
      </c>
      <c r="AK116" s="20">
        <f>'Tablas optimista'!$C$34</f>
        <v>11071.022727272728</v>
      </c>
      <c r="AL116" s="20">
        <f>'Tablas optimista'!$C$34</f>
        <v>11071.022727272728</v>
      </c>
      <c r="AM116" s="20">
        <f>'Tablas optimista'!$C$34</f>
        <v>11071.022727272728</v>
      </c>
      <c r="AN116" s="12">
        <f>'Tablas optimista'!$C$34</f>
        <v>11071.022727272728</v>
      </c>
    </row>
    <row r="117" spans="1:40" x14ac:dyDescent="0.2">
      <c r="A117" s="125"/>
      <c r="B117" s="122"/>
      <c r="C117" s="85" t="s">
        <v>33</v>
      </c>
      <c r="D117" s="24"/>
      <c r="E117" s="20" cm="1">
        <f t="array" ref="E117:L117">TRANSPOSE(Tabla1714[Costo 2 cadenas])</f>
        <v>-42000</v>
      </c>
      <c r="F117" s="20">
        <v>0</v>
      </c>
      <c r="G117" s="20">
        <v>-42000</v>
      </c>
      <c r="H117" s="20">
        <v>0</v>
      </c>
      <c r="I117" s="20">
        <v>-42000</v>
      </c>
      <c r="J117" s="20">
        <v>0</v>
      </c>
      <c r="K117" s="20">
        <v>-42000</v>
      </c>
      <c r="L117" s="20">
        <v>-50000</v>
      </c>
      <c r="M117" s="20"/>
      <c r="N117" s="20"/>
      <c r="O117" s="20"/>
      <c r="P117" s="20">
        <f>$K$10</f>
        <v>11071.022727272728</v>
      </c>
      <c r="Q117" s="20"/>
      <c r="R117" s="20"/>
      <c r="S117" s="20"/>
      <c r="T117" s="20">
        <f>$K$10</f>
        <v>11071.022727272728</v>
      </c>
      <c r="U117" s="20"/>
      <c r="V117" s="20"/>
      <c r="W117" s="20"/>
      <c r="X117" s="20">
        <v>-50000</v>
      </c>
      <c r="Y117" s="20"/>
      <c r="Z117" s="20"/>
      <c r="AA117" s="20"/>
      <c r="AB117" s="20">
        <f>$K$10</f>
        <v>11071.022727272728</v>
      </c>
      <c r="AC117" s="20"/>
      <c r="AD117" s="20"/>
      <c r="AE117" s="20"/>
      <c r="AF117" s="20">
        <f>$K$10</f>
        <v>11071.022727272728</v>
      </c>
      <c r="AG117" s="20"/>
      <c r="AH117" s="20"/>
      <c r="AI117" s="20"/>
      <c r="AJ117" s="20">
        <v>-50000</v>
      </c>
      <c r="AK117" s="20"/>
      <c r="AL117" s="20"/>
      <c r="AM117" s="20"/>
      <c r="AN117" s="12">
        <f>$K$10</f>
        <v>11071.022727272728</v>
      </c>
    </row>
    <row r="118" spans="1:40" ht="17" thickBot="1" x14ac:dyDescent="0.25">
      <c r="A118" s="125"/>
      <c r="B118" s="122"/>
      <c r="C118" s="17" t="s">
        <v>34</v>
      </c>
      <c r="D118" s="77">
        <v>-1168500</v>
      </c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78"/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13"/>
    </row>
    <row r="119" spans="1:40" ht="17" thickBot="1" x14ac:dyDescent="0.25">
      <c r="A119" s="125"/>
      <c r="B119" s="122"/>
      <c r="C119" s="18" t="s">
        <v>37</v>
      </c>
      <c r="D119" s="25">
        <f t="shared" ref="D119:AN119" si="16">SUM(D114:D118)</f>
        <v>-1188500</v>
      </c>
      <c r="E119" s="26">
        <f t="shared" si="16"/>
        <v>589071.02272727271</v>
      </c>
      <c r="F119" s="26">
        <f t="shared" si="16"/>
        <v>291071.02272727271</v>
      </c>
      <c r="G119" s="26">
        <f t="shared" si="16"/>
        <v>349071.02272727271</v>
      </c>
      <c r="H119" s="26">
        <f t="shared" si="16"/>
        <v>411071.02272727271</v>
      </c>
      <c r="I119" s="26">
        <f t="shared" si="16"/>
        <v>149071.02272727274</v>
      </c>
      <c r="J119" s="26">
        <f t="shared" si="16"/>
        <v>331071.02272727271</v>
      </c>
      <c r="K119" s="26">
        <f t="shared" si="16"/>
        <v>-50928.977272727272</v>
      </c>
      <c r="L119" s="26">
        <f t="shared" si="16"/>
        <v>-58928.977272727272</v>
      </c>
      <c r="M119" s="26">
        <f t="shared" si="16"/>
        <v>-8928.9772727272721</v>
      </c>
      <c r="N119" s="26">
        <f t="shared" si="16"/>
        <v>11071.022727272728</v>
      </c>
      <c r="O119" s="26">
        <f t="shared" si="16"/>
        <v>51071.022727272728</v>
      </c>
      <c r="P119" s="26">
        <f t="shared" si="16"/>
        <v>42142.045454545456</v>
      </c>
      <c r="Q119" s="26">
        <f t="shared" si="16"/>
        <v>51071.022727272728</v>
      </c>
      <c r="R119" s="26">
        <f t="shared" si="16"/>
        <v>51071.022727272728</v>
      </c>
      <c r="S119" s="26">
        <f t="shared" si="16"/>
        <v>51071.022727272728</v>
      </c>
      <c r="T119" s="26">
        <f t="shared" si="16"/>
        <v>42142.045454545456</v>
      </c>
      <c r="U119" s="26">
        <f t="shared" si="16"/>
        <v>51071.022727272728</v>
      </c>
      <c r="V119" s="26">
        <f t="shared" si="16"/>
        <v>51071.022727272728</v>
      </c>
      <c r="W119" s="26">
        <f t="shared" si="16"/>
        <v>51071.022727272728</v>
      </c>
      <c r="X119" s="26">
        <f t="shared" si="16"/>
        <v>-58928.977272727272</v>
      </c>
      <c r="Y119" s="26">
        <f t="shared" si="16"/>
        <v>-8928.9772727272721</v>
      </c>
      <c r="Z119" s="26">
        <f t="shared" si="16"/>
        <v>11071.022727272728</v>
      </c>
      <c r="AA119" s="26">
        <f t="shared" si="16"/>
        <v>51071.022727272728</v>
      </c>
      <c r="AB119" s="26">
        <f t="shared" si="16"/>
        <v>42142.045454545456</v>
      </c>
      <c r="AC119" s="26">
        <f t="shared" si="16"/>
        <v>51071.022727272728</v>
      </c>
      <c r="AD119" s="26">
        <f t="shared" si="16"/>
        <v>51071.022727272728</v>
      </c>
      <c r="AE119" s="26">
        <f t="shared" si="16"/>
        <v>51071.022727272728</v>
      </c>
      <c r="AF119" s="26">
        <f t="shared" si="16"/>
        <v>42142.045454545456</v>
      </c>
      <c r="AG119" s="26">
        <f t="shared" si="16"/>
        <v>51071.022727272728</v>
      </c>
      <c r="AH119" s="26">
        <f t="shared" si="16"/>
        <v>51071.022727272728</v>
      </c>
      <c r="AI119" s="26">
        <f t="shared" si="16"/>
        <v>51071.022727272728</v>
      </c>
      <c r="AJ119" s="26">
        <f t="shared" si="16"/>
        <v>-58928.977272727272</v>
      </c>
      <c r="AK119" s="26">
        <f t="shared" si="16"/>
        <v>-8928.9772727272721</v>
      </c>
      <c r="AL119" s="26">
        <f t="shared" si="16"/>
        <v>11071.022727272728</v>
      </c>
      <c r="AM119" s="26">
        <f t="shared" si="16"/>
        <v>51071.022727272728</v>
      </c>
      <c r="AN119" s="15">
        <f t="shared" si="16"/>
        <v>42142.045454545456</v>
      </c>
    </row>
    <row r="120" spans="1:40" ht="17" thickBot="1" x14ac:dyDescent="0.25">
      <c r="A120" s="125"/>
      <c r="B120" s="122"/>
      <c r="C120" s="8" t="s">
        <v>38</v>
      </c>
      <c r="D120" s="44">
        <f>NPV($B$4,E119:AN119)+D119</f>
        <v>1387002.9348076233</v>
      </c>
      <c r="E120" s="1"/>
      <c r="F120" s="79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40" ht="17" thickBot="1" x14ac:dyDescent="0.25">
      <c r="A121" s="125"/>
      <c r="B121" s="122"/>
      <c r="C121" s="8" t="s">
        <v>47</v>
      </c>
      <c r="D121" s="54">
        <f>IRR(D119:AN119)</f>
        <v>0.22956484228867535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40" ht="17" thickBot="1" x14ac:dyDescent="0.25">
      <c r="A122" s="125"/>
      <c r="B122" s="123"/>
      <c r="C122" s="8" t="s">
        <v>48</v>
      </c>
      <c r="D122" s="44" t="s">
        <v>49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40" x14ac:dyDescent="0.2">
      <c r="A123" s="125"/>
      <c r="D123" s="1">
        <f>D119</f>
        <v>-1188500</v>
      </c>
      <c r="E123" s="1">
        <f>D123+E119</f>
        <v>-599428.97727272729</v>
      </c>
      <c r="F123" s="1">
        <f>E123+F119</f>
        <v>-308357.95454545459</v>
      </c>
      <c r="G123" s="48">
        <f>F123+G119</f>
        <v>40713.068181818118</v>
      </c>
      <c r="H123" s="1"/>
      <c r="I123" s="1"/>
      <c r="J123" s="1"/>
      <c r="K123" s="1"/>
      <c r="L123" s="1"/>
      <c r="M123" s="1"/>
      <c r="N123" s="1"/>
      <c r="O123" s="1"/>
      <c r="P123" s="1"/>
    </row>
    <row r="124" spans="1:40" ht="17" thickBot="1" x14ac:dyDescent="0.25">
      <c r="A124" s="125"/>
    </row>
    <row r="125" spans="1:40" ht="17" thickBot="1" x14ac:dyDescent="0.25">
      <c r="A125" s="125"/>
      <c r="B125" s="121" t="s">
        <v>53</v>
      </c>
      <c r="C125" s="31"/>
      <c r="D125" s="32">
        <v>0</v>
      </c>
      <c r="E125" s="33">
        <v>1</v>
      </c>
      <c r="F125" s="33">
        <v>2</v>
      </c>
      <c r="G125" s="33">
        <v>3</v>
      </c>
    </row>
    <row r="126" spans="1:40" x14ac:dyDescent="0.2">
      <c r="A126" s="125"/>
      <c r="B126" s="122"/>
      <c r="C126" s="34" t="s">
        <v>31</v>
      </c>
      <c r="D126" s="35"/>
      <c r="E126" s="36">
        <f>SUM(E114:P114)</f>
        <v>2320000</v>
      </c>
      <c r="F126" s="36">
        <f>SUM(Q114:AB114)</f>
        <v>360000</v>
      </c>
      <c r="G126" s="36">
        <f>SUM(AC114:AN114)</f>
        <v>360000</v>
      </c>
    </row>
    <row r="127" spans="1:40" x14ac:dyDescent="0.2">
      <c r="A127" s="125"/>
      <c r="B127" s="122"/>
      <c r="C127" s="17" t="s">
        <v>58</v>
      </c>
      <c r="D127" s="37">
        <f>D115</f>
        <v>-20000</v>
      </c>
      <c r="E127" s="38">
        <f>SUM(E115:P115)</f>
        <v>-140000</v>
      </c>
      <c r="F127" s="38">
        <f>SUM(Q115:AB115)</f>
        <v>-80000</v>
      </c>
      <c r="G127" s="38">
        <f>SUM(AC115:AN115)</f>
        <v>-80000</v>
      </c>
    </row>
    <row r="128" spans="1:40" x14ac:dyDescent="0.2">
      <c r="A128" s="125"/>
      <c r="B128" s="122"/>
      <c r="C128" s="17" t="s">
        <v>32</v>
      </c>
      <c r="D128" s="37"/>
      <c r="E128" s="38">
        <f>SUM(E116:P116)</f>
        <v>132852.27272727276</v>
      </c>
      <c r="F128" s="38">
        <f>SUM(Q116:AB116)</f>
        <v>132852.27272727276</v>
      </c>
      <c r="G128" s="38">
        <f>SUM(AC116:AN116)</f>
        <v>132852.27272727276</v>
      </c>
    </row>
    <row r="129" spans="1:40" x14ac:dyDescent="0.2">
      <c r="A129" s="125"/>
      <c r="B129" s="122"/>
      <c r="C129" s="85" t="s">
        <v>33</v>
      </c>
      <c r="D129" s="37"/>
      <c r="E129" s="38">
        <f>SUM(E117:P117)</f>
        <v>-206928.97727272726</v>
      </c>
      <c r="F129" s="38">
        <f>SUM(Q117:AB117)</f>
        <v>-27857.954545454544</v>
      </c>
      <c r="G129" s="38">
        <f>SUM(AC117:AN117)</f>
        <v>-27857.954545454544</v>
      </c>
    </row>
    <row r="130" spans="1:40" ht="17" thickBot="1" x14ac:dyDescent="0.25">
      <c r="A130" s="125"/>
      <c r="B130" s="122"/>
      <c r="C130" s="34" t="s">
        <v>34</v>
      </c>
      <c r="D130" s="37">
        <f>D118</f>
        <v>-1168500</v>
      </c>
      <c r="E130" s="38">
        <f>SUM(E118:P118)</f>
        <v>0</v>
      </c>
      <c r="F130" s="38">
        <f>SUM(Q118:AB118)</f>
        <v>0</v>
      </c>
      <c r="G130" s="38">
        <f>SUM(AC118:AN118)</f>
        <v>0</v>
      </c>
    </row>
    <row r="131" spans="1:40" ht="17" thickBot="1" x14ac:dyDescent="0.25">
      <c r="A131" s="125"/>
      <c r="B131" s="122"/>
      <c r="C131" s="39" t="s">
        <v>37</v>
      </c>
      <c r="D131" s="40">
        <f>SUM(D126:D130)</f>
        <v>-1188500</v>
      </c>
      <c r="E131" s="41">
        <f>SUM(E126:E130)</f>
        <v>2105923.2954545459</v>
      </c>
      <c r="F131" s="41">
        <f>SUM(F126:F130)</f>
        <v>384994.31818181823</v>
      </c>
      <c r="G131" s="41">
        <f>SUM(G126:G130)</f>
        <v>384994.31818181823</v>
      </c>
    </row>
    <row r="132" spans="1:40" ht="17" thickBot="1" x14ac:dyDescent="0.25">
      <c r="A132" s="125"/>
      <c r="B132" s="122"/>
      <c r="C132" s="42" t="s">
        <v>38</v>
      </c>
      <c r="D132" s="84">
        <f>NPV($B$3,E131:G131)+D131</f>
        <v>1101598.5187134924</v>
      </c>
      <c r="E132" s="80" t="s">
        <v>60</v>
      </c>
      <c r="F132" s="81">
        <f>(Sensibilidad!D132-'Evaluación optimista'!$D$26)/'Evaluación optimista'!$D$26</f>
        <v>-4.1750585923217509E-2</v>
      </c>
      <c r="G132" s="43"/>
    </row>
    <row r="133" spans="1:40" ht="17" thickBot="1" x14ac:dyDescent="0.25">
      <c r="A133" s="125"/>
      <c r="B133" s="122"/>
      <c r="C133" s="8" t="s">
        <v>47</v>
      </c>
      <c r="D133" s="54">
        <f>IRR(D131:G131)</f>
        <v>1.012808586587659</v>
      </c>
      <c r="E133" s="82" t="s">
        <v>60</v>
      </c>
      <c r="F133" s="81">
        <f>(Sensibilidad!D133-'Evaluación optimista'!$D$27)/'Evaluación optimista'!$D$27</f>
        <v>-5.7017571999069559E-2</v>
      </c>
    </row>
    <row r="134" spans="1:40" ht="17" thickBot="1" x14ac:dyDescent="0.25">
      <c r="A134" s="125"/>
      <c r="B134" s="123"/>
      <c r="C134" s="8" t="s">
        <v>48</v>
      </c>
      <c r="D134" s="44" t="s">
        <v>44</v>
      </c>
    </row>
    <row r="135" spans="1:40" x14ac:dyDescent="0.2">
      <c r="A135" s="125"/>
      <c r="D135" s="1">
        <f>D131</f>
        <v>-1188500</v>
      </c>
      <c r="E135" s="48">
        <f>D135+E131</f>
        <v>917423.29545454588</v>
      </c>
      <c r="F135" s="1">
        <f>E135+F131</f>
        <v>1302417.6136363642</v>
      </c>
      <c r="G135" s="1">
        <f>F135+G131</f>
        <v>1687411.9318181826</v>
      </c>
    </row>
    <row r="136" spans="1:40" x14ac:dyDescent="0.2">
      <c r="A136" s="125"/>
    </row>
    <row r="137" spans="1:40" x14ac:dyDescent="0.2">
      <c r="A137" s="125"/>
    </row>
    <row r="138" spans="1:40" ht="17" thickBot="1" x14ac:dyDescent="0.25">
      <c r="A138" s="125"/>
      <c r="E138" s="120" t="s">
        <v>44</v>
      </c>
      <c r="F138" s="120"/>
      <c r="G138" s="120"/>
      <c r="H138" s="120"/>
      <c r="I138" s="120"/>
      <c r="J138" s="120"/>
      <c r="K138" s="120"/>
      <c r="L138" s="120"/>
      <c r="M138" s="120"/>
      <c r="N138" s="120"/>
      <c r="O138" s="120"/>
      <c r="P138" s="120"/>
      <c r="Q138" s="119" t="s">
        <v>45</v>
      </c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20" t="s">
        <v>46</v>
      </c>
      <c r="AD138" s="120"/>
      <c r="AE138" s="120"/>
      <c r="AF138" s="120"/>
      <c r="AG138" s="120"/>
      <c r="AH138" s="120"/>
      <c r="AI138" s="120"/>
      <c r="AJ138" s="120"/>
      <c r="AK138" s="120"/>
      <c r="AL138" s="120"/>
      <c r="AM138" s="120"/>
      <c r="AN138" s="120"/>
    </row>
    <row r="139" spans="1:40" ht="17" thickBot="1" x14ac:dyDescent="0.25">
      <c r="A139" s="125"/>
      <c r="B139" s="121" t="s">
        <v>54</v>
      </c>
      <c r="C139" s="16"/>
      <c r="D139" s="21">
        <v>45748</v>
      </c>
      <c r="E139" s="9">
        <v>45778</v>
      </c>
      <c r="F139" s="9">
        <v>45809</v>
      </c>
      <c r="G139" s="9">
        <v>45839</v>
      </c>
      <c r="H139" s="9">
        <v>45870</v>
      </c>
      <c r="I139" s="9">
        <v>45901</v>
      </c>
      <c r="J139" s="9">
        <v>45931</v>
      </c>
      <c r="K139" s="9">
        <v>45962</v>
      </c>
      <c r="L139" s="9">
        <v>45992</v>
      </c>
      <c r="M139" s="9">
        <v>46023</v>
      </c>
      <c r="N139" s="9">
        <v>46054</v>
      </c>
      <c r="O139" s="9">
        <v>46082</v>
      </c>
      <c r="P139" s="9">
        <v>46113</v>
      </c>
      <c r="Q139" s="9">
        <v>46143</v>
      </c>
      <c r="R139" s="9">
        <v>46174</v>
      </c>
      <c r="S139" s="9">
        <v>46204</v>
      </c>
      <c r="T139" s="9">
        <v>46235</v>
      </c>
      <c r="U139" s="9">
        <v>46266</v>
      </c>
      <c r="V139" s="9">
        <v>46296</v>
      </c>
      <c r="W139" s="9">
        <v>46327</v>
      </c>
      <c r="X139" s="9">
        <v>46357</v>
      </c>
      <c r="Y139" s="9">
        <v>46388</v>
      </c>
      <c r="Z139" s="9">
        <v>46419</v>
      </c>
      <c r="AA139" s="9">
        <v>46447</v>
      </c>
      <c r="AB139" s="9">
        <v>46478</v>
      </c>
      <c r="AC139" s="9">
        <v>46508</v>
      </c>
      <c r="AD139" s="9">
        <v>46539</v>
      </c>
      <c r="AE139" s="9">
        <v>46569</v>
      </c>
      <c r="AF139" s="9">
        <v>46600</v>
      </c>
      <c r="AG139" s="9">
        <v>46631</v>
      </c>
      <c r="AH139" s="9">
        <v>46661</v>
      </c>
      <c r="AI139" s="9">
        <v>46692</v>
      </c>
      <c r="AJ139" s="9">
        <v>46722</v>
      </c>
      <c r="AK139" s="9">
        <v>46753</v>
      </c>
      <c r="AL139" s="9">
        <v>46784</v>
      </c>
      <c r="AM139" s="9">
        <v>46813</v>
      </c>
      <c r="AN139" s="10">
        <v>46844</v>
      </c>
    </row>
    <row r="140" spans="1:40" x14ac:dyDescent="0.2">
      <c r="A140" s="125"/>
      <c r="B140" s="122"/>
      <c r="C140" s="17" t="s">
        <v>31</v>
      </c>
      <c r="D140" s="22"/>
      <c r="E140" s="19" cm="1">
        <f t="array" ref="E140:J140">TRANSPOSE(Tabla3[5 cadenas])</f>
        <v>1600000</v>
      </c>
      <c r="F140" s="19">
        <v>700000</v>
      </c>
      <c r="G140" s="19">
        <v>1000000</v>
      </c>
      <c r="H140" s="19">
        <v>1000000</v>
      </c>
      <c r="I140" s="19">
        <v>500000</v>
      </c>
      <c r="J140" s="19">
        <v>800000</v>
      </c>
      <c r="K140" s="19"/>
      <c r="L140" s="19"/>
      <c r="M140" s="19"/>
      <c r="N140" s="19"/>
      <c r="O140" s="19">
        <f>(20000)*5</f>
        <v>100000</v>
      </c>
      <c r="P140" s="19">
        <f t="shared" ref="P140:W140" si="17">(20000)*5</f>
        <v>100000</v>
      </c>
      <c r="Q140" s="19">
        <f t="shared" si="17"/>
        <v>100000</v>
      </c>
      <c r="R140" s="19">
        <f t="shared" si="17"/>
        <v>100000</v>
      </c>
      <c r="S140" s="19">
        <f t="shared" si="17"/>
        <v>100000</v>
      </c>
      <c r="T140" s="19">
        <f t="shared" si="17"/>
        <v>100000</v>
      </c>
      <c r="U140" s="19">
        <f t="shared" si="17"/>
        <v>100000</v>
      </c>
      <c r="V140" s="19">
        <f t="shared" si="17"/>
        <v>100000</v>
      </c>
      <c r="W140" s="19">
        <f t="shared" si="17"/>
        <v>100000</v>
      </c>
      <c r="X140" s="19"/>
      <c r="Y140" s="19"/>
      <c r="Z140" s="19"/>
      <c r="AA140" s="19">
        <f>(20000)*5</f>
        <v>100000</v>
      </c>
      <c r="AB140" s="19">
        <f t="shared" ref="AB140:AI140" si="18">(20000)*5</f>
        <v>100000</v>
      </c>
      <c r="AC140" s="19">
        <f t="shared" si="18"/>
        <v>100000</v>
      </c>
      <c r="AD140" s="19">
        <f t="shared" si="18"/>
        <v>100000</v>
      </c>
      <c r="AE140" s="19">
        <f t="shared" si="18"/>
        <v>100000</v>
      </c>
      <c r="AF140" s="19">
        <f t="shared" si="18"/>
        <v>100000</v>
      </c>
      <c r="AG140" s="19">
        <f t="shared" si="18"/>
        <v>100000</v>
      </c>
      <c r="AH140" s="19">
        <f t="shared" si="18"/>
        <v>100000</v>
      </c>
      <c r="AI140" s="19">
        <f t="shared" si="18"/>
        <v>100000</v>
      </c>
      <c r="AJ140" s="19"/>
      <c r="AK140" s="19"/>
      <c r="AL140" s="19"/>
      <c r="AM140" s="19">
        <f>(20000)*5</f>
        <v>100000</v>
      </c>
      <c r="AN140" s="19">
        <f>(20000)*5</f>
        <v>100000</v>
      </c>
    </row>
    <row r="141" spans="1:40" x14ac:dyDescent="0.2">
      <c r="A141" s="125"/>
      <c r="B141" s="122"/>
      <c r="C141" s="17" t="s">
        <v>58</v>
      </c>
      <c r="D141" s="24">
        <v>-20000</v>
      </c>
      <c r="E141" s="20">
        <v>-20000</v>
      </c>
      <c r="F141" s="20"/>
      <c r="G141" s="20">
        <v>-20000</v>
      </c>
      <c r="H141" s="20"/>
      <c r="I141" s="20">
        <v>-20000</v>
      </c>
      <c r="J141" s="20"/>
      <c r="K141" s="20">
        <v>-20000</v>
      </c>
      <c r="L141" s="20">
        <v>-20000</v>
      </c>
      <c r="M141" s="20">
        <v>-20000</v>
      </c>
      <c r="N141" s="20"/>
      <c r="O141" s="20"/>
      <c r="P141" s="20">
        <v>-20000</v>
      </c>
      <c r="Q141" s="20"/>
      <c r="R141" s="20"/>
      <c r="S141" s="20"/>
      <c r="T141" s="20">
        <v>-20000</v>
      </c>
      <c r="U141" s="20"/>
      <c r="V141" s="20"/>
      <c r="W141" s="20"/>
      <c r="X141" s="20">
        <v>-20000</v>
      </c>
      <c r="Y141" s="20">
        <v>-20000</v>
      </c>
      <c r="Z141" s="20"/>
      <c r="AA141" s="20"/>
      <c r="AB141" s="20">
        <v>-20000</v>
      </c>
      <c r="AC141" s="20"/>
      <c r="AD141" s="20"/>
      <c r="AE141" s="20"/>
      <c r="AF141" s="20">
        <v>-20000</v>
      </c>
      <c r="AG141" s="20"/>
      <c r="AH141" s="20"/>
      <c r="AI141" s="20"/>
      <c r="AJ141" s="20">
        <v>-20000</v>
      </c>
      <c r="AK141" s="20">
        <v>-20000</v>
      </c>
      <c r="AL141" s="20"/>
      <c r="AM141" s="20"/>
      <c r="AN141" s="12">
        <v>-20000</v>
      </c>
    </row>
    <row r="142" spans="1:40" x14ac:dyDescent="0.2">
      <c r="A142" s="125"/>
      <c r="B142" s="122"/>
      <c r="C142" s="17" t="s">
        <v>32</v>
      </c>
      <c r="D142" s="24"/>
      <c r="E142" s="20">
        <f>'Tablas optimista'!$C$34+'Tablas optimista'!$E$34+'Tablas optimista'!$F$34</f>
        <v>27642.992613636361</v>
      </c>
      <c r="F142" s="20">
        <f>'Tablas optimista'!$C$34+'Tablas optimista'!$E$34+'Tablas optimista'!$F$34</f>
        <v>27642.992613636361</v>
      </c>
      <c r="G142" s="20">
        <f>'Tablas optimista'!$C$34+'Tablas optimista'!$E$34+'Tablas optimista'!$F$34</f>
        <v>27642.992613636361</v>
      </c>
      <c r="H142" s="20">
        <f>'Tablas optimista'!$C$34+'Tablas optimista'!$E$34+'Tablas optimista'!$F$34</f>
        <v>27642.992613636361</v>
      </c>
      <c r="I142" s="20">
        <f>'Tablas optimista'!$C$34+'Tablas optimista'!$E$34+'Tablas optimista'!$F$34</f>
        <v>27642.992613636361</v>
      </c>
      <c r="J142" s="20">
        <f>'Tablas optimista'!$C$34+'Tablas optimista'!$E$34+'Tablas optimista'!$F$34</f>
        <v>27642.992613636361</v>
      </c>
      <c r="K142" s="20">
        <f>'Tablas optimista'!$C$34+'Tablas optimista'!$E$34+'Tablas optimista'!$F$34</f>
        <v>27642.992613636361</v>
      </c>
      <c r="L142" s="20">
        <f>'Tablas optimista'!$C$34+'Tablas optimista'!$E$34+'Tablas optimista'!$F$34</f>
        <v>27642.992613636361</v>
      </c>
      <c r="M142" s="20">
        <f>'Tablas optimista'!$C$34+'Tablas optimista'!$E$34+'Tablas optimista'!$F$34</f>
        <v>27642.992613636361</v>
      </c>
      <c r="N142" s="20">
        <f>'Tablas optimista'!$C$34+'Tablas optimista'!$E$34+'Tablas optimista'!$F$34</f>
        <v>27642.992613636361</v>
      </c>
      <c r="O142" s="20">
        <f>'Tablas optimista'!$C$34+'Tablas optimista'!$E$34+'Tablas optimista'!$F$34</f>
        <v>27642.992613636361</v>
      </c>
      <c r="P142" s="20">
        <f>'Tablas optimista'!$C$34+'Tablas optimista'!$E$34+'Tablas optimista'!$F$34</f>
        <v>27642.992613636361</v>
      </c>
      <c r="Q142" s="20">
        <f>'Tablas optimista'!$C$34+'Tablas optimista'!$E$34+'Tablas optimista'!$F$34</f>
        <v>27642.992613636361</v>
      </c>
      <c r="R142" s="20">
        <f>'Tablas optimista'!$C$34+'Tablas optimista'!$E$34+'Tablas optimista'!$F$34</f>
        <v>27642.992613636361</v>
      </c>
      <c r="S142" s="20">
        <f>'Tablas optimista'!$C$34+'Tablas optimista'!$E$34+'Tablas optimista'!$F$34</f>
        <v>27642.992613636361</v>
      </c>
      <c r="T142" s="20">
        <f>'Tablas optimista'!$C$34+'Tablas optimista'!$E$34+'Tablas optimista'!$F$34</f>
        <v>27642.992613636361</v>
      </c>
      <c r="U142" s="20">
        <f>'Tablas optimista'!$C$34+'Tablas optimista'!$E$34+'Tablas optimista'!$F$34</f>
        <v>27642.992613636361</v>
      </c>
      <c r="V142" s="20">
        <f>'Tablas optimista'!$C$34+'Tablas optimista'!$E$34+'Tablas optimista'!$F$34</f>
        <v>27642.992613636361</v>
      </c>
      <c r="W142" s="20">
        <f>'Tablas optimista'!$C$34+'Tablas optimista'!$E$34+'Tablas optimista'!$F$34</f>
        <v>27642.992613636361</v>
      </c>
      <c r="X142" s="20">
        <f>'Tablas optimista'!$C$34+'Tablas optimista'!$E$34+'Tablas optimista'!$F$34</f>
        <v>27642.992613636361</v>
      </c>
      <c r="Y142" s="20">
        <f>'Tablas optimista'!$C$34+'Tablas optimista'!$E$34+'Tablas optimista'!$F$34</f>
        <v>27642.992613636361</v>
      </c>
      <c r="Z142" s="20">
        <f>'Tablas optimista'!$C$34+'Tablas optimista'!$E$34+'Tablas optimista'!$F$34</f>
        <v>27642.992613636361</v>
      </c>
      <c r="AA142" s="20">
        <f>'Tablas optimista'!$C$34+'Tablas optimista'!$E$34+'Tablas optimista'!$F$34</f>
        <v>27642.992613636361</v>
      </c>
      <c r="AB142" s="20">
        <f>'Tablas optimista'!$C$34+'Tablas optimista'!$E$34+'Tablas optimista'!$F$34</f>
        <v>27642.992613636361</v>
      </c>
      <c r="AC142" s="20">
        <f>'Tablas optimista'!$C$34+'Tablas optimista'!$E$34+'Tablas optimista'!$F$34</f>
        <v>27642.992613636361</v>
      </c>
      <c r="AD142" s="20">
        <f>'Tablas optimista'!$C$34+'Tablas optimista'!$E$34+'Tablas optimista'!$F$34</f>
        <v>27642.992613636361</v>
      </c>
      <c r="AE142" s="20">
        <f>'Tablas optimista'!$C$34+'Tablas optimista'!$E$34+'Tablas optimista'!$F$34</f>
        <v>27642.992613636361</v>
      </c>
      <c r="AF142" s="20">
        <f>'Tablas optimista'!$C$34+'Tablas optimista'!$E$34+'Tablas optimista'!$F$34</f>
        <v>27642.992613636361</v>
      </c>
      <c r="AG142" s="20">
        <f>'Tablas optimista'!$C$34+'Tablas optimista'!$E$34+'Tablas optimista'!$F$34</f>
        <v>27642.992613636361</v>
      </c>
      <c r="AH142" s="20">
        <f>'Tablas optimista'!$C$34+'Tablas optimista'!$E$34+'Tablas optimista'!$F$34</f>
        <v>27642.992613636361</v>
      </c>
      <c r="AI142" s="20">
        <f>'Tablas optimista'!$C$34+'Tablas optimista'!$E$34+'Tablas optimista'!$F$34</f>
        <v>27642.992613636361</v>
      </c>
      <c r="AJ142" s="20">
        <f>'Tablas optimista'!$C$34+'Tablas optimista'!$E$34+'Tablas optimista'!$F$34</f>
        <v>27642.992613636361</v>
      </c>
      <c r="AK142" s="20">
        <f>'Tablas optimista'!$C$34+'Tablas optimista'!$E$34+'Tablas optimista'!$F$34</f>
        <v>27642.992613636361</v>
      </c>
      <c r="AL142" s="20">
        <f>'Tablas optimista'!$C$34+'Tablas optimista'!$E$34+'Tablas optimista'!$F$34</f>
        <v>27642.992613636361</v>
      </c>
      <c r="AM142" s="20">
        <f>'Tablas optimista'!$C$34+'Tablas optimista'!$E$34+'Tablas optimista'!$F$34</f>
        <v>27642.992613636361</v>
      </c>
      <c r="AN142" s="12">
        <f>'Tablas optimista'!$C$34+'Tablas optimista'!$E$34+'Tablas optimista'!$F$34</f>
        <v>27642.992613636361</v>
      </c>
    </row>
    <row r="143" spans="1:40" x14ac:dyDescent="0.2">
      <c r="A143" s="125"/>
      <c r="B143" s="122"/>
      <c r="C143" s="85" t="s">
        <v>33</v>
      </c>
      <c r="D143" s="24"/>
      <c r="E143" s="20" cm="1">
        <f t="array" ref="E143:L143">TRANSPOSE(Tabla1714[Costo 5 cadenas])</f>
        <v>-105000</v>
      </c>
      <c r="F143" s="20">
        <v>0</v>
      </c>
      <c r="G143" s="20">
        <v>-105000</v>
      </c>
      <c r="H143" s="20">
        <v>0</v>
      </c>
      <c r="I143" s="20">
        <v>-105000</v>
      </c>
      <c r="J143" s="20">
        <v>0</v>
      </c>
      <c r="K143" s="20">
        <v>-105000</v>
      </c>
      <c r="L143" s="20">
        <v>-50000</v>
      </c>
      <c r="M143" s="20"/>
      <c r="N143" s="20"/>
      <c r="O143" s="20"/>
      <c r="P143" s="20">
        <f>$K$36</f>
        <v>27642.992613636361</v>
      </c>
      <c r="Q143" s="20"/>
      <c r="R143" s="20"/>
      <c r="S143" s="20"/>
      <c r="T143" s="20">
        <f>$K$36</f>
        <v>27642.992613636361</v>
      </c>
      <c r="U143" s="20"/>
      <c r="V143" s="20"/>
      <c r="W143" s="20"/>
      <c r="X143" s="20">
        <v>-50000</v>
      </c>
      <c r="Y143" s="20"/>
      <c r="Z143" s="20"/>
      <c r="AA143" s="20"/>
      <c r="AB143" s="20">
        <f>$K$36</f>
        <v>27642.992613636361</v>
      </c>
      <c r="AC143" s="20"/>
      <c r="AD143" s="20"/>
      <c r="AE143" s="20"/>
      <c r="AF143" s="20">
        <f>$K$36</f>
        <v>27642.992613636361</v>
      </c>
      <c r="AG143" s="20"/>
      <c r="AH143" s="20"/>
      <c r="AI143" s="20"/>
      <c r="AJ143" s="20">
        <v>-50000</v>
      </c>
      <c r="AK143" s="20"/>
      <c r="AL143" s="20"/>
      <c r="AM143" s="20"/>
      <c r="AN143" s="12">
        <f>$K$36</f>
        <v>27642.992613636361</v>
      </c>
    </row>
    <row r="144" spans="1:40" ht="17" thickBot="1" x14ac:dyDescent="0.25">
      <c r="A144" s="125"/>
      <c r="B144" s="122"/>
      <c r="C144" s="17" t="s">
        <v>34</v>
      </c>
      <c r="D144" s="24">
        <v>-1168500</v>
      </c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14"/>
    </row>
    <row r="145" spans="1:40" ht="17" thickBot="1" x14ac:dyDescent="0.25">
      <c r="A145" s="125"/>
      <c r="B145" s="122"/>
      <c r="C145" s="18" t="s">
        <v>37</v>
      </c>
      <c r="D145" s="25">
        <f t="shared" ref="D145:AN145" si="19">SUM(D140:D144)</f>
        <v>-1188500</v>
      </c>
      <c r="E145" s="26">
        <f t="shared" si="19"/>
        <v>1502642.9926136364</v>
      </c>
      <c r="F145" s="26">
        <f t="shared" si="19"/>
        <v>727642.99261363631</v>
      </c>
      <c r="G145" s="26">
        <f t="shared" si="19"/>
        <v>902642.99261363631</v>
      </c>
      <c r="H145" s="26">
        <f t="shared" si="19"/>
        <v>1027642.9926136363</v>
      </c>
      <c r="I145" s="26">
        <f t="shared" si="19"/>
        <v>402642.99261363636</v>
      </c>
      <c r="J145" s="26">
        <f t="shared" si="19"/>
        <v>827642.99261363631</v>
      </c>
      <c r="K145" s="26">
        <f t="shared" si="19"/>
        <v>-97357.007386363635</v>
      </c>
      <c r="L145" s="26">
        <f t="shared" si="19"/>
        <v>-42357.007386363635</v>
      </c>
      <c r="M145" s="26">
        <f t="shared" si="19"/>
        <v>7642.9926136363611</v>
      </c>
      <c r="N145" s="26">
        <f t="shared" si="19"/>
        <v>27642.992613636361</v>
      </c>
      <c r="O145" s="26">
        <f t="shared" si="19"/>
        <v>127642.99261363636</v>
      </c>
      <c r="P145" s="26">
        <f t="shared" si="19"/>
        <v>135285.98522727273</v>
      </c>
      <c r="Q145" s="26">
        <f t="shared" si="19"/>
        <v>127642.99261363636</v>
      </c>
      <c r="R145" s="26">
        <f t="shared" si="19"/>
        <v>127642.99261363636</v>
      </c>
      <c r="S145" s="26">
        <f t="shared" si="19"/>
        <v>127642.99261363636</v>
      </c>
      <c r="T145" s="26">
        <f t="shared" si="19"/>
        <v>135285.98522727273</v>
      </c>
      <c r="U145" s="26">
        <f t="shared" si="19"/>
        <v>127642.99261363636</v>
      </c>
      <c r="V145" s="26">
        <f t="shared" si="19"/>
        <v>127642.99261363636</v>
      </c>
      <c r="W145" s="26">
        <f t="shared" si="19"/>
        <v>127642.99261363636</v>
      </c>
      <c r="X145" s="26">
        <f t="shared" si="19"/>
        <v>-42357.007386363635</v>
      </c>
      <c r="Y145" s="26">
        <f t="shared" si="19"/>
        <v>7642.9926136363611</v>
      </c>
      <c r="Z145" s="26">
        <f t="shared" si="19"/>
        <v>27642.992613636361</v>
      </c>
      <c r="AA145" s="26">
        <f t="shared" si="19"/>
        <v>127642.99261363636</v>
      </c>
      <c r="AB145" s="26">
        <f t="shared" si="19"/>
        <v>135285.98522727273</v>
      </c>
      <c r="AC145" s="26">
        <f t="shared" si="19"/>
        <v>127642.99261363636</v>
      </c>
      <c r="AD145" s="26">
        <f t="shared" si="19"/>
        <v>127642.99261363636</v>
      </c>
      <c r="AE145" s="26">
        <f t="shared" si="19"/>
        <v>127642.99261363636</v>
      </c>
      <c r="AF145" s="26">
        <f t="shared" si="19"/>
        <v>135285.98522727273</v>
      </c>
      <c r="AG145" s="26">
        <f t="shared" si="19"/>
        <v>127642.99261363636</v>
      </c>
      <c r="AH145" s="26">
        <f t="shared" si="19"/>
        <v>127642.99261363636</v>
      </c>
      <c r="AI145" s="26">
        <f t="shared" si="19"/>
        <v>127642.99261363636</v>
      </c>
      <c r="AJ145" s="26">
        <f t="shared" si="19"/>
        <v>-42357.007386363635</v>
      </c>
      <c r="AK145" s="26">
        <f t="shared" si="19"/>
        <v>7642.9926136363611</v>
      </c>
      <c r="AL145" s="26">
        <f t="shared" si="19"/>
        <v>27642.992613636361</v>
      </c>
      <c r="AM145" s="26">
        <f t="shared" si="19"/>
        <v>127642.99261363636</v>
      </c>
      <c r="AN145" s="15">
        <f t="shared" si="19"/>
        <v>135285.98522727273</v>
      </c>
    </row>
    <row r="146" spans="1:40" ht="17" thickBot="1" x14ac:dyDescent="0.25">
      <c r="A146" s="125"/>
      <c r="B146" s="122"/>
      <c r="C146" s="8" t="s">
        <v>38</v>
      </c>
      <c r="D146" s="44">
        <f>NPV($B$4,E145:AN145)+D145</f>
        <v>5781578.68473172</v>
      </c>
      <c r="E146" s="1"/>
      <c r="F146" s="79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40" ht="17" thickBot="1" x14ac:dyDescent="0.25">
      <c r="A147" s="125"/>
      <c r="B147" s="122"/>
      <c r="C147" s="8" t="s">
        <v>47</v>
      </c>
      <c r="D147" s="54">
        <f>IRR(D145:AN145)</f>
        <v>0.94474899461436679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40" ht="17" thickBot="1" x14ac:dyDescent="0.25">
      <c r="A148" s="125"/>
      <c r="B148" s="123"/>
      <c r="C148" s="8" t="s">
        <v>48</v>
      </c>
      <c r="D148" s="44" t="s">
        <v>50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40" x14ac:dyDescent="0.2">
      <c r="A149" s="125"/>
      <c r="D149" s="1">
        <f>D145</f>
        <v>-1188500</v>
      </c>
      <c r="E149" s="48">
        <f>D149+E145</f>
        <v>314142.99261363642</v>
      </c>
      <c r="F149" s="1">
        <f>E149+F145</f>
        <v>1041785.9852272727</v>
      </c>
      <c r="G149" s="1">
        <f>F149+G145</f>
        <v>1944428.977840909</v>
      </c>
    </row>
    <row r="150" spans="1:40" ht="17" thickBot="1" x14ac:dyDescent="0.25">
      <c r="A150" s="125"/>
    </row>
    <row r="151" spans="1:40" ht="17" thickBot="1" x14ac:dyDescent="0.25">
      <c r="A151" s="125"/>
      <c r="B151" s="121" t="s">
        <v>54</v>
      </c>
      <c r="C151" s="16"/>
      <c r="D151" s="27">
        <v>0</v>
      </c>
      <c r="E151" s="28">
        <v>1</v>
      </c>
      <c r="F151" s="28">
        <v>2</v>
      </c>
      <c r="G151" s="28">
        <v>3</v>
      </c>
    </row>
    <row r="152" spans="1:40" x14ac:dyDescent="0.2">
      <c r="A152" s="125"/>
      <c r="B152" s="122"/>
      <c r="C152" s="17" t="s">
        <v>31</v>
      </c>
      <c r="D152" s="35"/>
      <c r="E152" s="36">
        <f>SUM(E140:P140)</f>
        <v>5800000</v>
      </c>
      <c r="F152" s="36">
        <f>SUM(Q140:AB140)</f>
        <v>900000</v>
      </c>
      <c r="G152" s="36">
        <f>SUM(AC140:AN140)</f>
        <v>900000</v>
      </c>
    </row>
    <row r="153" spans="1:40" x14ac:dyDescent="0.2">
      <c r="A153" s="125"/>
      <c r="B153" s="122"/>
      <c r="C153" s="17" t="s">
        <v>58</v>
      </c>
      <c r="D153" s="37">
        <f>D141</f>
        <v>-20000</v>
      </c>
      <c r="E153" s="38">
        <f t="shared" ref="E153:E156" si="20">SUM(E141:P141)</f>
        <v>-140000</v>
      </c>
      <c r="F153" s="38">
        <f t="shared" ref="F153:F155" si="21">SUM(Q141:AB141)</f>
        <v>-80000</v>
      </c>
      <c r="G153" s="38">
        <f t="shared" ref="G153:G155" si="22">SUM(AC141:AN141)</f>
        <v>-80000</v>
      </c>
    </row>
    <row r="154" spans="1:40" x14ac:dyDescent="0.2">
      <c r="A154" s="125"/>
      <c r="B154" s="122"/>
      <c r="C154" s="17" t="s">
        <v>32</v>
      </c>
      <c r="D154" s="37"/>
      <c r="E154" s="38">
        <f t="shared" si="20"/>
        <v>331715.91136363632</v>
      </c>
      <c r="F154" s="38">
        <f t="shared" si="21"/>
        <v>331715.91136363632</v>
      </c>
      <c r="G154" s="38">
        <f t="shared" si="22"/>
        <v>331715.91136363632</v>
      </c>
    </row>
    <row r="155" spans="1:40" x14ac:dyDescent="0.2">
      <c r="A155" s="125"/>
      <c r="B155" s="122"/>
      <c r="C155" s="85" t="s">
        <v>33</v>
      </c>
      <c r="D155" s="37"/>
      <c r="E155" s="38">
        <f t="shared" si="20"/>
        <v>-442357.00738636364</v>
      </c>
      <c r="F155" s="38">
        <f t="shared" si="21"/>
        <v>5285.9852272727221</v>
      </c>
      <c r="G155" s="38">
        <f t="shared" si="22"/>
        <v>5285.9852272727221</v>
      </c>
    </row>
    <row r="156" spans="1:40" ht="17" thickBot="1" x14ac:dyDescent="0.25">
      <c r="A156" s="125"/>
      <c r="B156" s="122"/>
      <c r="C156" s="17" t="s">
        <v>34</v>
      </c>
      <c r="D156" s="37">
        <f>D144</f>
        <v>-1168500</v>
      </c>
      <c r="E156" s="38">
        <f t="shared" si="20"/>
        <v>0</v>
      </c>
      <c r="F156" s="38">
        <f>SUM(Q144:AB144)</f>
        <v>0</v>
      </c>
      <c r="G156" s="38">
        <f>SUM(AC144:AN144)</f>
        <v>0</v>
      </c>
    </row>
    <row r="157" spans="1:40" ht="17" thickBot="1" x14ac:dyDescent="0.25">
      <c r="A157" s="125"/>
      <c r="B157" s="122"/>
      <c r="C157" s="18" t="s">
        <v>37</v>
      </c>
      <c r="D157" s="25">
        <f>SUM(D152:D156)</f>
        <v>-1188500</v>
      </c>
      <c r="E157" s="26">
        <f>SUM(E152:E156)</f>
        <v>5549358.9039772721</v>
      </c>
      <c r="F157" s="26">
        <f>SUM(F152:F156)</f>
        <v>1157001.896590909</v>
      </c>
      <c r="G157" s="26">
        <f>SUM(G152:G156)</f>
        <v>1157001.896590909</v>
      </c>
    </row>
    <row r="158" spans="1:40" ht="17" thickBot="1" x14ac:dyDescent="0.25">
      <c r="A158" s="125"/>
      <c r="B158" s="122"/>
      <c r="C158" s="8" t="s">
        <v>38</v>
      </c>
      <c r="D158" s="45">
        <f>NPV($B$3,E157:G157)+D157</f>
        <v>5034423.7360588154</v>
      </c>
      <c r="E158" s="80" t="s">
        <v>60</v>
      </c>
      <c r="F158" s="81">
        <f>(Sensibilidad!D158-'Evaluación optimista'!$D$52)/'Evaluación optimista'!$D$52</f>
        <v>-3.1791115218629727E-2</v>
      </c>
    </row>
    <row r="159" spans="1:40" ht="17" thickBot="1" x14ac:dyDescent="0.25">
      <c r="A159" s="125"/>
      <c r="B159" s="122"/>
      <c r="C159" s="8" t="s">
        <v>47</v>
      </c>
      <c r="D159" s="54">
        <f>IRR(D157:G157)</f>
        <v>3.9079763001000032</v>
      </c>
      <c r="E159" s="82" t="s">
        <v>60</v>
      </c>
      <c r="F159" s="81">
        <f>(Sensibilidad!D159-'Evaluación optimista'!$D$53)/'Evaluación optimista'!$D$53</f>
        <v>-5.4494467992225723E-2</v>
      </c>
    </row>
    <row r="160" spans="1:40" ht="17" thickBot="1" x14ac:dyDescent="0.25">
      <c r="A160" s="125"/>
      <c r="B160" s="123"/>
      <c r="C160" s="8" t="s">
        <v>48</v>
      </c>
      <c r="D160" s="44" t="s">
        <v>44</v>
      </c>
    </row>
    <row r="161" spans="1:7" ht="17" thickBot="1" x14ac:dyDescent="0.25">
      <c r="A161" s="126"/>
      <c r="D161" s="1">
        <f>D157</f>
        <v>-1188500</v>
      </c>
      <c r="E161" s="48">
        <f>D161+E157</f>
        <v>4360858.9039772721</v>
      </c>
      <c r="F161" s="1">
        <f>E161+F157</f>
        <v>5517860.8005681811</v>
      </c>
      <c r="G161" s="1">
        <f>F161+G157</f>
        <v>6674862.6971590901</v>
      </c>
    </row>
  </sheetData>
  <mergeCells count="34">
    <mergeCell ref="A113:A161"/>
    <mergeCell ref="B113:B122"/>
    <mergeCell ref="B125:B134"/>
    <mergeCell ref="E138:P138"/>
    <mergeCell ref="Q138:AB138"/>
    <mergeCell ref="AC138:AN138"/>
    <mergeCell ref="B139:B148"/>
    <mergeCell ref="B151:B160"/>
    <mergeCell ref="AC86:AN86"/>
    <mergeCell ref="B87:B96"/>
    <mergeCell ref="B99:B108"/>
    <mergeCell ref="E112:P112"/>
    <mergeCell ref="Q112:AB112"/>
    <mergeCell ref="AC112:AN112"/>
    <mergeCell ref="A7:A55"/>
    <mergeCell ref="E60:P60"/>
    <mergeCell ref="Q60:AB60"/>
    <mergeCell ref="AC60:AN60"/>
    <mergeCell ref="A61:A109"/>
    <mergeCell ref="B61:B70"/>
    <mergeCell ref="B73:B82"/>
    <mergeCell ref="E86:P86"/>
    <mergeCell ref="Q86:AB86"/>
    <mergeCell ref="E32:P32"/>
    <mergeCell ref="Q32:AB32"/>
    <mergeCell ref="AC32:AN32"/>
    <mergeCell ref="B33:B42"/>
    <mergeCell ref="B45:B54"/>
    <mergeCell ref="B19:B28"/>
    <mergeCell ref="B2:AN2"/>
    <mergeCell ref="E6:P6"/>
    <mergeCell ref="Q6:AB6"/>
    <mergeCell ref="AC6:AN6"/>
    <mergeCell ref="B7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Tasa de descuento</vt:lpstr>
      <vt:lpstr>Tablas optimista</vt:lpstr>
      <vt:lpstr>Evaluación (anterior)</vt:lpstr>
      <vt:lpstr>Evaluación optimista</vt:lpstr>
      <vt:lpstr>Evaluación optimista beneficios</vt:lpstr>
      <vt:lpstr>Tablas pesimista</vt:lpstr>
      <vt:lpstr>Evaluación pesimista</vt:lpstr>
      <vt:lpstr>Sensibilidad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Flores Díaz</dc:creator>
  <cp:lastModifiedBy>Paola Flores Díaz</cp:lastModifiedBy>
  <dcterms:created xsi:type="dcterms:W3CDTF">2025-07-04T13:17:02Z</dcterms:created>
  <dcterms:modified xsi:type="dcterms:W3CDTF">2025-07-29T03:29:58Z</dcterms:modified>
</cp:coreProperties>
</file>