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936\Desktop\"/>
    </mc:Choice>
  </mc:AlternateContent>
  <xr:revisionPtr revIDLastSave="0" documentId="13_ncr:1_{2F154517-FB73-45B8-91AD-75D35D82FD4B}" xr6:coauthVersionLast="47" xr6:coauthVersionMax="47" xr10:uidLastSave="{00000000-0000-0000-0000-000000000000}"/>
  <bookViews>
    <workbookView xWindow="-103" yWindow="-103" windowWidth="22149" windowHeight="11949" tabRatio="585" activeTab="1" xr2:uid="{00000000-000D-0000-FFFF-FFFF00000000}"/>
  </bookViews>
  <sheets>
    <sheet name="Info RMV " sheetId="1" r:id="rId1"/>
    <sheet name="clientes" sheetId="2" r:id="rId2"/>
  </sheets>
  <definedNames>
    <definedName name="_xlnm._FilterDatabase" localSheetId="1" hidden="1">clientes!$A$1:$X$621</definedName>
    <definedName name="_xlnm._FilterDatabase" localSheetId="0" hidden="1">'Info RMV '!$A$1:$Z$973</definedName>
    <definedName name="_xlnm.Print_Area" localSheetId="1">clientes!$A$1:$Q$46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" i="2" l="1"/>
  <c r="U2" i="2" s="1"/>
  <c r="V2" i="2" s="1"/>
  <c r="U3" i="2"/>
  <c r="V3" i="2"/>
  <c r="T4" i="2"/>
  <c r="U4" i="2"/>
  <c r="V4" i="2"/>
  <c r="T5" i="2"/>
  <c r="U5" i="2"/>
  <c r="V5" i="2"/>
  <c r="T6" i="2"/>
  <c r="U6" i="2"/>
  <c r="V6" i="2" s="1"/>
  <c r="T7" i="2"/>
  <c r="U7" i="2"/>
  <c r="V7" i="2" s="1"/>
  <c r="T8" i="2"/>
  <c r="U8" i="2"/>
  <c r="V8" i="2" s="1"/>
  <c r="T9" i="2"/>
  <c r="U9" i="2"/>
  <c r="V9" i="2" s="1"/>
  <c r="T10" i="2"/>
  <c r="U10" i="2"/>
  <c r="V10" i="2"/>
  <c r="T11" i="2"/>
  <c r="U11" i="2" s="1"/>
  <c r="V11" i="2" s="1"/>
  <c r="T12" i="2"/>
  <c r="U12" i="2" s="1"/>
  <c r="V12" i="2" s="1"/>
  <c r="T13" i="2"/>
  <c r="U13" i="2"/>
  <c r="V13" i="2"/>
  <c r="T14" i="2"/>
  <c r="U14" i="2"/>
  <c r="V14" i="2"/>
  <c r="T15" i="2"/>
  <c r="U15" i="2"/>
  <c r="V15" i="2" s="1"/>
  <c r="T16" i="2"/>
  <c r="U16" i="2"/>
  <c r="V16" i="2" s="1"/>
  <c r="T17" i="2"/>
  <c r="U17" i="2"/>
  <c r="V17" i="2" s="1"/>
  <c r="T18" i="2"/>
  <c r="U18" i="2" s="1"/>
  <c r="V18" i="2" s="1"/>
  <c r="T19" i="2"/>
  <c r="U19" i="2" s="1"/>
  <c r="V19" i="2" s="1"/>
  <c r="T20" i="2"/>
  <c r="U20" i="2" s="1"/>
  <c r="V20" i="2" s="1"/>
  <c r="T21" i="2"/>
  <c r="U21" i="2"/>
  <c r="V21" i="2"/>
  <c r="T22" i="2"/>
  <c r="U22" i="2"/>
  <c r="V22" i="2"/>
  <c r="T23" i="2"/>
  <c r="U23" i="2"/>
  <c r="V23" i="2" s="1"/>
  <c r="T24" i="2"/>
  <c r="U24" i="2"/>
  <c r="V24" i="2" s="1"/>
  <c r="T25" i="2"/>
  <c r="U25" i="2"/>
  <c r="V25" i="2" s="1"/>
  <c r="T26" i="2"/>
  <c r="U26" i="2" s="1"/>
  <c r="V26" i="2" s="1"/>
  <c r="T27" i="2"/>
  <c r="U27" i="2" s="1"/>
  <c r="V27" i="2" s="1"/>
  <c r="T28" i="2"/>
  <c r="U28" i="2" s="1"/>
  <c r="V28" i="2" s="1"/>
  <c r="T29" i="2"/>
  <c r="U29" i="2"/>
  <c r="V29" i="2"/>
  <c r="T30" i="2"/>
  <c r="U30" i="2"/>
  <c r="V30" i="2"/>
  <c r="T31" i="2"/>
  <c r="U31" i="2"/>
  <c r="V31" i="2" s="1"/>
  <c r="T32" i="2"/>
  <c r="U32" i="2"/>
  <c r="V32" i="2" s="1"/>
  <c r="T33" i="2"/>
  <c r="U33" i="2"/>
  <c r="V33" i="2" s="1"/>
  <c r="T34" i="2"/>
  <c r="U34" i="2" s="1"/>
  <c r="V34" i="2" s="1"/>
  <c r="T35" i="2"/>
  <c r="U35" i="2" s="1"/>
  <c r="V35" i="2" s="1"/>
  <c r="T36" i="2"/>
  <c r="U36" i="2" s="1"/>
  <c r="V36" i="2" s="1"/>
  <c r="T37" i="2"/>
  <c r="U37" i="2"/>
  <c r="V37" i="2"/>
  <c r="T38" i="2"/>
  <c r="U38" i="2"/>
  <c r="V38" i="2"/>
  <c r="T39" i="2"/>
  <c r="U39" i="2"/>
  <c r="V39" i="2" s="1"/>
  <c r="T40" i="2"/>
  <c r="U40" i="2"/>
  <c r="V40" i="2" s="1"/>
  <c r="T41" i="2"/>
  <c r="U41" i="2"/>
  <c r="V41" i="2" s="1"/>
  <c r="T42" i="2"/>
  <c r="U42" i="2" s="1"/>
  <c r="V42" i="2" s="1"/>
  <c r="T43" i="2"/>
  <c r="U43" i="2" s="1"/>
  <c r="V43" i="2" s="1"/>
  <c r="T44" i="2"/>
  <c r="U44" i="2" s="1"/>
  <c r="V44" i="2" s="1"/>
  <c r="T45" i="2"/>
  <c r="U45" i="2"/>
  <c r="V45" i="2"/>
  <c r="T46" i="2"/>
  <c r="U46" i="2"/>
  <c r="V46" i="2"/>
  <c r="T47" i="2"/>
  <c r="U47" i="2"/>
  <c r="V47" i="2" s="1"/>
  <c r="T48" i="2"/>
  <c r="U48" i="2"/>
  <c r="V48" i="2" s="1"/>
  <c r="T49" i="2"/>
  <c r="U49" i="2"/>
  <c r="V49" i="2" s="1"/>
  <c r="T50" i="2"/>
  <c r="U50" i="2" s="1"/>
  <c r="V50" i="2" s="1"/>
  <c r="T51" i="2"/>
  <c r="U51" i="2" s="1"/>
  <c r="V51" i="2" s="1"/>
  <c r="T52" i="2"/>
  <c r="U52" i="2" s="1"/>
  <c r="V52" i="2" s="1"/>
  <c r="N53" i="2"/>
  <c r="T53" i="2"/>
  <c r="U53" i="2"/>
  <c r="V53" i="2" s="1"/>
  <c r="T54" i="2"/>
  <c r="U54" i="2"/>
  <c r="V54" i="2" s="1"/>
  <c r="T55" i="2"/>
  <c r="U55" i="2" s="1"/>
  <c r="V55" i="2" s="1"/>
  <c r="T56" i="2"/>
  <c r="U56" i="2" s="1"/>
  <c r="V56" i="2" s="1"/>
  <c r="T57" i="2"/>
  <c r="U57" i="2" s="1"/>
  <c r="V57" i="2" s="1"/>
  <c r="T58" i="2"/>
  <c r="U58" i="2"/>
  <c r="V58" i="2"/>
  <c r="N59" i="2"/>
  <c r="U59" i="2"/>
  <c r="V59" i="2"/>
  <c r="U60" i="2"/>
  <c r="V60" i="2"/>
  <c r="N61" i="2"/>
  <c r="T61" i="2"/>
  <c r="U61" i="2"/>
  <c r="V61" i="2" s="1"/>
  <c r="N62" i="2"/>
  <c r="T62" i="2"/>
  <c r="N63" i="2"/>
  <c r="T63" i="2"/>
  <c r="U63" i="2"/>
  <c r="V63" i="2" s="1"/>
  <c r="T64" i="2"/>
  <c r="U64" i="2"/>
  <c r="V64" i="2" s="1"/>
  <c r="T65" i="2"/>
  <c r="U65" i="2" s="1"/>
  <c r="V65" i="2" s="1"/>
  <c r="T66" i="2"/>
  <c r="U66" i="2" s="1"/>
  <c r="V66" i="2" s="1"/>
  <c r="U67" i="2"/>
  <c r="V67" i="2" s="1"/>
  <c r="T68" i="2"/>
  <c r="U68" i="2" s="1"/>
  <c r="V68" i="2" s="1"/>
  <c r="R69" i="2"/>
  <c r="U69" i="2"/>
  <c r="V69" i="2"/>
  <c r="R70" i="2"/>
  <c r="T70" i="2"/>
  <c r="U70" i="2"/>
  <c r="V70" i="2" s="1"/>
  <c r="R71" i="2"/>
  <c r="T71" i="2"/>
  <c r="U71" i="2" s="1"/>
  <c r="V71" i="2" s="1"/>
  <c r="R72" i="2"/>
  <c r="T72" i="2"/>
  <c r="U72" i="2"/>
  <c r="V72" i="2" s="1"/>
  <c r="R73" i="2"/>
  <c r="T73" i="2"/>
  <c r="U73" i="2" s="1"/>
  <c r="V73" i="2" s="1"/>
  <c r="R74" i="2"/>
  <c r="T74" i="2"/>
  <c r="U74" i="2"/>
  <c r="V74" i="2" s="1"/>
  <c r="R75" i="2"/>
  <c r="T75" i="2"/>
  <c r="U75" i="2" s="1"/>
  <c r="V75" i="2" s="1"/>
  <c r="T76" i="2"/>
  <c r="U76" i="2" s="1"/>
  <c r="V76" i="2" s="1"/>
  <c r="T77" i="2"/>
  <c r="U77" i="2"/>
  <c r="V77" i="2"/>
  <c r="T78" i="2"/>
  <c r="U78" i="2"/>
  <c r="V78" i="2"/>
  <c r="T79" i="2"/>
  <c r="U79" i="2"/>
  <c r="V79" i="2" s="1"/>
  <c r="T80" i="2"/>
  <c r="U80" i="2"/>
  <c r="V80" i="2" s="1"/>
  <c r="T81" i="2"/>
  <c r="U81" i="2"/>
  <c r="V81" i="2" s="1"/>
  <c r="T82" i="2"/>
  <c r="U82" i="2" s="1"/>
  <c r="V82" i="2" s="1"/>
  <c r="T83" i="2"/>
  <c r="U83" i="2" s="1"/>
  <c r="V83" i="2" s="1"/>
  <c r="T84" i="2"/>
  <c r="U84" i="2" s="1"/>
  <c r="V84" i="2" s="1"/>
  <c r="T85" i="2"/>
  <c r="U85" i="2"/>
  <c r="V85" i="2"/>
  <c r="T86" i="2"/>
  <c r="U86" i="2"/>
  <c r="V86" i="2"/>
  <c r="U87" i="2"/>
  <c r="V87" i="2"/>
  <c r="T88" i="2"/>
  <c r="U88" i="2"/>
  <c r="V88" i="2"/>
  <c r="T89" i="2"/>
  <c r="U89" i="2"/>
  <c r="V89" i="2"/>
  <c r="T90" i="2"/>
  <c r="U90" i="2"/>
  <c r="V90" i="2" s="1"/>
  <c r="T91" i="2"/>
  <c r="U91" i="2"/>
  <c r="T92" i="2"/>
  <c r="U92" i="2"/>
  <c r="V92" i="2" s="1"/>
  <c r="T93" i="2"/>
  <c r="U93" i="2"/>
  <c r="V93" i="2"/>
  <c r="T94" i="2"/>
  <c r="U94" i="2"/>
  <c r="V94" i="2"/>
  <c r="T95" i="2"/>
  <c r="U95" i="2"/>
  <c r="V95" i="2" s="1"/>
  <c r="T96" i="2"/>
  <c r="U96" i="2"/>
  <c r="V96" i="2" s="1"/>
  <c r="T97" i="2"/>
  <c r="U97" i="2"/>
  <c r="V97" i="2" s="1"/>
  <c r="T98" i="2"/>
  <c r="U98" i="2" s="1"/>
  <c r="V98" i="2" s="1"/>
  <c r="T99" i="2"/>
  <c r="U99" i="2" s="1"/>
  <c r="V99" i="2" s="1"/>
  <c r="T100" i="2"/>
  <c r="U100" i="2" s="1"/>
  <c r="V100" i="2" s="1"/>
  <c r="T101" i="2"/>
  <c r="U101" i="2"/>
  <c r="V101" i="2"/>
  <c r="T102" i="2"/>
  <c r="U102" i="2"/>
  <c r="V102" i="2"/>
  <c r="T103" i="2"/>
  <c r="U103" i="2"/>
  <c r="V103" i="2" s="1"/>
  <c r="U104" i="2"/>
  <c r="V104" i="2"/>
  <c r="T105" i="2"/>
  <c r="U105" i="2"/>
  <c r="V105" i="2"/>
  <c r="N106" i="2"/>
  <c r="U106" i="2" s="1"/>
  <c r="V106" i="2" s="1"/>
  <c r="T106" i="2"/>
  <c r="T107" i="2"/>
  <c r="U107" i="2" s="1"/>
  <c r="V107" i="2" s="1"/>
  <c r="T108" i="2"/>
  <c r="U108" i="2" s="1"/>
  <c r="V108" i="2" s="1"/>
  <c r="S109" i="2"/>
  <c r="T109" i="2"/>
  <c r="U109" i="2"/>
  <c r="V109" i="2" s="1"/>
  <c r="T110" i="2"/>
  <c r="U110" i="2"/>
  <c r="V110" i="2" s="1"/>
  <c r="T111" i="2"/>
  <c r="U111" i="2" s="1"/>
  <c r="V111" i="2" s="1"/>
  <c r="T112" i="2"/>
  <c r="U112" i="2" s="1"/>
  <c r="V112" i="2" s="1"/>
  <c r="T113" i="2"/>
  <c r="U113" i="2" s="1"/>
  <c r="V113" i="2" s="1"/>
  <c r="T114" i="2"/>
  <c r="U114" i="2"/>
  <c r="V114" i="2"/>
  <c r="T115" i="2"/>
  <c r="U115" i="2"/>
  <c r="V115" i="2"/>
  <c r="T116" i="2"/>
  <c r="U116" i="2"/>
  <c r="V116" i="2" s="1"/>
  <c r="T117" i="2"/>
  <c r="U117" i="2"/>
  <c r="V117" i="2" s="1"/>
  <c r="T118" i="2"/>
  <c r="U118" i="2"/>
  <c r="V118" i="2" s="1"/>
  <c r="T119" i="2"/>
  <c r="U119" i="2" s="1"/>
  <c r="V119" i="2" s="1"/>
  <c r="T120" i="2"/>
  <c r="U120" i="2" s="1"/>
  <c r="V120" i="2" s="1"/>
  <c r="T121" i="2"/>
  <c r="U121" i="2" s="1"/>
  <c r="V121" i="2" s="1"/>
  <c r="T122" i="2"/>
  <c r="U122" i="2"/>
  <c r="V122" i="2"/>
  <c r="T123" i="2"/>
  <c r="U123" i="2"/>
  <c r="V123" i="2"/>
  <c r="N124" i="2"/>
  <c r="U124" i="2" s="1"/>
  <c r="V124" i="2" s="1"/>
  <c r="T124" i="2"/>
  <c r="T125" i="2"/>
  <c r="U125" i="2" s="1"/>
  <c r="V125" i="2" s="1"/>
  <c r="T126" i="2"/>
  <c r="U126" i="2" s="1"/>
  <c r="V126" i="2" s="1"/>
  <c r="N127" i="2"/>
  <c r="T127" i="2"/>
  <c r="U127" i="2"/>
  <c r="V127" i="2" s="1"/>
  <c r="T128" i="2"/>
  <c r="U128" i="2"/>
  <c r="V128" i="2" s="1"/>
  <c r="T129" i="2"/>
  <c r="U129" i="2" s="1"/>
  <c r="V129" i="2" s="1"/>
  <c r="T130" i="2"/>
  <c r="U130" i="2" s="1"/>
  <c r="V130" i="2" s="1"/>
  <c r="T131" i="2"/>
  <c r="U131" i="2" s="1"/>
  <c r="V131" i="2" s="1"/>
  <c r="T132" i="2"/>
  <c r="U132" i="2"/>
  <c r="V132" i="2"/>
  <c r="T133" i="2"/>
  <c r="U133" i="2"/>
  <c r="V133" i="2"/>
  <c r="T134" i="2"/>
  <c r="U134" i="2"/>
  <c r="V134" i="2" s="1"/>
  <c r="T135" i="2"/>
  <c r="U135" i="2"/>
  <c r="V135" i="2" s="1"/>
  <c r="T136" i="2"/>
  <c r="U136" i="2"/>
  <c r="V136" i="2" s="1"/>
  <c r="T137" i="2"/>
  <c r="U137" i="2" s="1"/>
  <c r="V137" i="2" s="1"/>
  <c r="T138" i="2"/>
  <c r="U138" i="2" s="1"/>
  <c r="V138" i="2" s="1"/>
  <c r="U139" i="2"/>
  <c r="V139" i="2" s="1"/>
  <c r="T140" i="2"/>
  <c r="U140" i="2" s="1"/>
  <c r="V140" i="2" s="1"/>
  <c r="T141" i="2"/>
  <c r="U141" i="2" s="1"/>
  <c r="V141" i="2" s="1"/>
  <c r="T142" i="2"/>
  <c r="U142" i="2" s="1"/>
  <c r="V142" i="2" s="1"/>
  <c r="T143" i="2"/>
  <c r="U143" i="2"/>
  <c r="V143" i="2"/>
  <c r="T144" i="2"/>
  <c r="U144" i="2"/>
  <c r="V144" i="2"/>
  <c r="T145" i="2"/>
  <c r="U145" i="2"/>
  <c r="V145" i="2" s="1"/>
  <c r="T146" i="2"/>
  <c r="U146" i="2"/>
  <c r="V146" i="2" s="1"/>
  <c r="U147" i="2"/>
  <c r="V147" i="2"/>
  <c r="T148" i="2"/>
  <c r="U148" i="2"/>
  <c r="V148" i="2" s="1"/>
  <c r="T149" i="2"/>
  <c r="U149" i="2"/>
  <c r="V149" i="2" s="1"/>
  <c r="N150" i="2"/>
  <c r="T150" i="2"/>
  <c r="T151" i="2"/>
  <c r="U151" i="2"/>
  <c r="V151" i="2"/>
  <c r="T152" i="2"/>
  <c r="U152" i="2"/>
  <c r="V152" i="2"/>
  <c r="T153" i="2"/>
  <c r="U153" i="2"/>
  <c r="V153" i="2" s="1"/>
  <c r="T154" i="2"/>
  <c r="U154" i="2"/>
  <c r="V154" i="2" s="1"/>
  <c r="T155" i="2"/>
  <c r="U155" i="2"/>
  <c r="V155" i="2" s="1"/>
  <c r="T156" i="2"/>
  <c r="U156" i="2" s="1"/>
  <c r="V156" i="2" s="1"/>
  <c r="T157" i="2"/>
  <c r="U157" i="2" s="1"/>
  <c r="V157" i="2" s="1"/>
  <c r="T158" i="2"/>
  <c r="U158" i="2" s="1"/>
  <c r="V158" i="2" s="1"/>
  <c r="T159" i="2"/>
  <c r="U159" i="2"/>
  <c r="V159" i="2"/>
  <c r="T160" i="2"/>
  <c r="U160" i="2"/>
  <c r="V160" i="2"/>
  <c r="U161" i="2"/>
  <c r="V161" i="2"/>
  <c r="T162" i="2"/>
  <c r="U162" i="2"/>
  <c r="V162" i="2"/>
  <c r="T163" i="2"/>
  <c r="U163" i="2"/>
  <c r="V163" i="2"/>
  <c r="T164" i="2"/>
  <c r="U164" i="2"/>
  <c r="V164" i="2" s="1"/>
  <c r="T165" i="2"/>
  <c r="U165" i="2"/>
  <c r="V165" i="2" s="1"/>
  <c r="T166" i="2"/>
  <c r="U166" i="2"/>
  <c r="V166" i="2" s="1"/>
  <c r="T167" i="2"/>
  <c r="U167" i="2" s="1"/>
  <c r="V167" i="2" s="1"/>
  <c r="T168" i="2"/>
  <c r="U168" i="2" s="1"/>
  <c r="V168" i="2" s="1"/>
  <c r="T169" i="2"/>
  <c r="U169" i="2" s="1"/>
  <c r="V169" i="2" s="1"/>
  <c r="T170" i="2"/>
  <c r="U170" i="2"/>
  <c r="V170" i="2"/>
  <c r="T171" i="2"/>
  <c r="U171" i="2"/>
  <c r="V171" i="2"/>
  <c r="T172" i="2"/>
  <c r="U172" i="2"/>
  <c r="V172" i="2" s="1"/>
  <c r="T173" i="2"/>
  <c r="U173" i="2"/>
  <c r="V173" i="2" s="1"/>
  <c r="T174" i="2"/>
  <c r="U174" i="2"/>
  <c r="V174" i="2" s="1"/>
  <c r="T175" i="2"/>
  <c r="U175" i="2" s="1"/>
  <c r="V175" i="2" s="1"/>
  <c r="U176" i="2"/>
  <c r="V176" i="2" s="1"/>
  <c r="T177" i="2"/>
  <c r="U177" i="2"/>
  <c r="V177" i="2" s="1"/>
  <c r="T178" i="2"/>
  <c r="U178" i="2" s="1"/>
  <c r="V178" i="2" s="1"/>
  <c r="R179" i="2"/>
  <c r="T179" i="2"/>
  <c r="U179" i="2"/>
  <c r="V179" i="2"/>
  <c r="T180" i="2"/>
  <c r="U180" i="2"/>
  <c r="V180" i="2" s="1"/>
  <c r="T181" i="2"/>
  <c r="U181" i="2"/>
  <c r="V181" i="2" s="1"/>
  <c r="T182" i="2"/>
  <c r="U182" i="2"/>
  <c r="V182" i="2" s="1"/>
  <c r="T183" i="2"/>
  <c r="U183" i="2" s="1"/>
  <c r="V183" i="2" s="1"/>
  <c r="T184" i="2"/>
  <c r="U184" i="2" s="1"/>
  <c r="V184" i="2" s="1"/>
  <c r="N185" i="2"/>
  <c r="U185" i="2" s="1"/>
  <c r="V185" i="2" s="1"/>
  <c r="S185" i="2"/>
  <c r="T185" i="2"/>
  <c r="T186" i="2"/>
  <c r="U186" i="2" s="1"/>
  <c r="V186" i="2" s="1"/>
  <c r="T187" i="2"/>
  <c r="U187" i="2" s="1"/>
  <c r="V187" i="2" s="1"/>
  <c r="T188" i="2"/>
  <c r="U188" i="2"/>
  <c r="V188" i="2"/>
  <c r="T189" i="2"/>
  <c r="U189" i="2"/>
  <c r="V189" i="2"/>
  <c r="T190" i="2"/>
  <c r="U190" i="2"/>
  <c r="V190" i="2" s="1"/>
  <c r="S191" i="2"/>
  <c r="T191" i="2"/>
  <c r="U191" i="2" s="1"/>
  <c r="V191" i="2" s="1"/>
  <c r="T192" i="2"/>
  <c r="U192" i="2" s="1"/>
  <c r="V192" i="2" s="1"/>
  <c r="S193" i="2"/>
  <c r="T193" i="2"/>
  <c r="U193" i="2"/>
  <c r="V193" i="2" s="1"/>
  <c r="U194" i="2"/>
  <c r="V194" i="2"/>
  <c r="T195" i="2"/>
  <c r="U195" i="2"/>
  <c r="V195" i="2" s="1"/>
  <c r="T196" i="2"/>
  <c r="U196" i="2"/>
  <c r="V196" i="2" s="1"/>
  <c r="S197" i="2"/>
  <c r="T197" i="2"/>
  <c r="U197" i="2" s="1"/>
  <c r="V197" i="2" s="1"/>
  <c r="T198" i="2"/>
  <c r="U198" i="2"/>
  <c r="V198" i="2"/>
  <c r="T199" i="2"/>
  <c r="U199" i="2"/>
  <c r="V199" i="2"/>
  <c r="T200" i="2"/>
  <c r="U200" i="2"/>
  <c r="V200" i="2" s="1"/>
  <c r="T201" i="2"/>
  <c r="U201" i="2"/>
  <c r="V201" i="2" s="1"/>
  <c r="T202" i="2"/>
  <c r="U202" i="2"/>
  <c r="V202" i="2" s="1"/>
  <c r="T203" i="2"/>
  <c r="U203" i="2" s="1"/>
  <c r="V203" i="2" s="1"/>
  <c r="T204" i="2"/>
  <c r="U204" i="2" s="1"/>
  <c r="V204" i="2" s="1"/>
  <c r="T205" i="2"/>
  <c r="U205" i="2" s="1"/>
  <c r="V205" i="2" s="1"/>
  <c r="T206" i="2"/>
  <c r="U206" i="2"/>
  <c r="V206" i="2"/>
  <c r="T207" i="2"/>
  <c r="U207" i="2"/>
  <c r="V207" i="2"/>
  <c r="T208" i="2"/>
  <c r="U208" i="2"/>
  <c r="V208" i="2" s="1"/>
  <c r="T209" i="2"/>
  <c r="U209" i="2"/>
  <c r="V209" i="2" s="1"/>
  <c r="T210" i="2"/>
  <c r="U210" i="2"/>
  <c r="V210" i="2" s="1"/>
  <c r="T211" i="2"/>
  <c r="U211" i="2" s="1"/>
  <c r="V211" i="2" s="1"/>
  <c r="T212" i="2"/>
  <c r="U212" i="2" s="1"/>
  <c r="V212" i="2" s="1"/>
  <c r="T213" i="2"/>
  <c r="U213" i="2" s="1"/>
  <c r="V213" i="2" s="1"/>
  <c r="T214" i="2"/>
  <c r="U214" i="2"/>
  <c r="V214" i="2"/>
  <c r="S215" i="2"/>
  <c r="T215" i="2"/>
  <c r="U215" i="2"/>
  <c r="V215" i="2" s="1"/>
  <c r="T216" i="2"/>
  <c r="U216" i="2" s="1"/>
  <c r="V216" i="2" s="1"/>
  <c r="T217" i="2"/>
  <c r="U217" i="2" s="1"/>
  <c r="V217" i="2" s="1"/>
  <c r="T218" i="2"/>
  <c r="U218" i="2" s="1"/>
  <c r="V218" i="2" s="1"/>
  <c r="T219" i="2"/>
  <c r="U219" i="2"/>
  <c r="V219" i="2"/>
  <c r="T220" i="2"/>
  <c r="U220" i="2"/>
  <c r="V220" i="2"/>
  <c r="T221" i="2"/>
  <c r="U221" i="2"/>
  <c r="V221" i="2" s="1"/>
  <c r="T222" i="2"/>
  <c r="U222" i="2"/>
  <c r="V222" i="2" s="1"/>
  <c r="T223" i="2"/>
  <c r="U223" i="2"/>
  <c r="V223" i="2" s="1"/>
  <c r="T224" i="2"/>
  <c r="U224" i="2" s="1"/>
  <c r="V224" i="2" s="1"/>
  <c r="T225" i="2"/>
  <c r="U225" i="2" s="1"/>
  <c r="V225" i="2" s="1"/>
  <c r="T226" i="2"/>
  <c r="U226" i="2" s="1"/>
  <c r="V226" i="2" s="1"/>
  <c r="T227" i="2"/>
  <c r="U227" i="2"/>
  <c r="V227" i="2"/>
  <c r="T228" i="2"/>
  <c r="U228" i="2"/>
  <c r="V228" i="2"/>
  <c r="T229" i="2"/>
  <c r="U229" i="2"/>
  <c r="V229" i="2" s="1"/>
  <c r="T230" i="2"/>
  <c r="U230" i="2"/>
  <c r="V230" i="2" s="1"/>
  <c r="T231" i="2"/>
  <c r="U231" i="2"/>
  <c r="V231" i="2" s="1"/>
  <c r="T232" i="2"/>
  <c r="U232" i="2" s="1"/>
  <c r="V232" i="2" s="1"/>
  <c r="N233" i="2"/>
  <c r="U233" i="2" s="1"/>
  <c r="T233" i="2"/>
  <c r="V233" i="2"/>
  <c r="T234" i="2"/>
  <c r="U234" i="2"/>
  <c r="V234" i="2" s="1"/>
  <c r="T235" i="2"/>
  <c r="U235" i="2"/>
  <c r="V235" i="2" s="1"/>
  <c r="N236" i="2"/>
  <c r="T236" i="2"/>
  <c r="T237" i="2"/>
  <c r="U237" i="2"/>
  <c r="V237" i="2"/>
  <c r="T238" i="2"/>
  <c r="U238" i="2"/>
  <c r="V238" i="2"/>
  <c r="U239" i="2"/>
  <c r="V239" i="2"/>
  <c r="T240" i="2"/>
  <c r="U240" i="2"/>
  <c r="V240" i="2"/>
  <c r="T241" i="2"/>
  <c r="U241" i="2"/>
  <c r="V241" i="2"/>
  <c r="T242" i="2"/>
  <c r="U242" i="2"/>
  <c r="V242" i="2" s="1"/>
  <c r="T243" i="2"/>
  <c r="U243" i="2"/>
  <c r="V243" i="2" s="1"/>
  <c r="T244" i="2"/>
  <c r="U244" i="2"/>
  <c r="V244" i="2" s="1"/>
  <c r="T245" i="2"/>
  <c r="U245" i="2" s="1"/>
  <c r="V245" i="2" s="1"/>
  <c r="T246" i="2"/>
  <c r="U246" i="2" s="1"/>
  <c r="V246" i="2" s="1"/>
  <c r="T247" i="2"/>
  <c r="U247" i="2" s="1"/>
  <c r="V247" i="2" s="1"/>
  <c r="T248" i="2"/>
  <c r="U248" i="2"/>
  <c r="V248" i="2"/>
  <c r="T249" i="2"/>
  <c r="U249" i="2"/>
  <c r="V249" i="2"/>
  <c r="T250" i="2"/>
  <c r="U250" i="2"/>
  <c r="V250" i="2" s="1"/>
  <c r="T251" i="2"/>
  <c r="U251" i="2"/>
  <c r="V251" i="2" s="1"/>
  <c r="T252" i="2"/>
  <c r="U252" i="2"/>
  <c r="V252" i="2" s="1"/>
  <c r="T253" i="2"/>
  <c r="U253" i="2" s="1"/>
  <c r="V253" i="2" s="1"/>
  <c r="T254" i="2"/>
  <c r="U254" i="2" s="1"/>
  <c r="V254" i="2" s="1"/>
  <c r="U255" i="2"/>
  <c r="V255" i="2" s="1"/>
  <c r="T256" i="2"/>
  <c r="U256" i="2" s="1"/>
  <c r="V256" i="2" s="1"/>
  <c r="T257" i="2"/>
  <c r="U257" i="2" s="1"/>
  <c r="V257" i="2" s="1"/>
  <c r="U258" i="2"/>
  <c r="V258" i="2" s="1"/>
  <c r="U259" i="2"/>
  <c r="V259" i="2" s="1"/>
  <c r="T260" i="2"/>
  <c r="U260" i="2"/>
  <c r="V260" i="2" s="1"/>
  <c r="T261" i="2"/>
  <c r="U261" i="2"/>
  <c r="V261" i="2" s="1"/>
  <c r="N262" i="2"/>
  <c r="U262" i="2" s="1"/>
  <c r="T262" i="2"/>
  <c r="V262" i="2"/>
  <c r="N263" i="2"/>
  <c r="T263" i="2"/>
  <c r="U263" i="2"/>
  <c r="V263" i="2" s="1"/>
  <c r="N264" i="2"/>
  <c r="U264" i="2" s="1"/>
  <c r="T264" i="2"/>
  <c r="V264" i="2"/>
  <c r="T265" i="2"/>
  <c r="U265" i="2"/>
  <c r="V265" i="2"/>
  <c r="T266" i="2"/>
  <c r="U266" i="2"/>
  <c r="V266" i="2" s="1"/>
  <c r="T267" i="2"/>
  <c r="U267" i="2"/>
  <c r="V267" i="2" s="1"/>
  <c r="U268" i="2"/>
  <c r="V268" i="2"/>
  <c r="T269" i="2"/>
  <c r="U269" i="2"/>
  <c r="V269" i="2" s="1"/>
  <c r="T270" i="2"/>
  <c r="U270" i="2"/>
  <c r="V270" i="2" s="1"/>
  <c r="T271" i="2"/>
  <c r="U271" i="2"/>
  <c r="V271" i="2" s="1"/>
  <c r="T272" i="2"/>
  <c r="U272" i="2" s="1"/>
  <c r="V272" i="2" s="1"/>
  <c r="T273" i="2"/>
  <c r="U273" i="2" s="1"/>
  <c r="V273" i="2"/>
  <c r="T274" i="2"/>
  <c r="U274" i="2" s="1"/>
  <c r="V274" i="2"/>
  <c r="T275" i="2"/>
  <c r="U275" i="2" s="1"/>
  <c r="V275" i="2" s="1"/>
  <c r="U276" i="2"/>
  <c r="V276" i="2"/>
  <c r="T277" i="2"/>
  <c r="U277" i="2" s="1"/>
  <c r="V277" i="2"/>
  <c r="T278" i="2"/>
  <c r="U278" i="2" s="1"/>
  <c r="V278" i="2"/>
  <c r="U279" i="2"/>
  <c r="V279" i="2"/>
  <c r="N280" i="2"/>
  <c r="T280" i="2"/>
  <c r="U280" i="2"/>
  <c r="V280" i="2" s="1"/>
  <c r="N281" i="2"/>
  <c r="T281" i="2"/>
  <c r="T282" i="2"/>
  <c r="U282" i="2" s="1"/>
  <c r="V282" i="2" s="1"/>
  <c r="T283" i="2"/>
  <c r="U283" i="2" s="1"/>
  <c r="V283" i="2" s="1"/>
  <c r="T284" i="2"/>
  <c r="U284" i="2"/>
  <c r="V284" i="2"/>
  <c r="T285" i="2"/>
  <c r="U285" i="2"/>
  <c r="V285" i="2" s="1"/>
  <c r="T286" i="2"/>
  <c r="U286" i="2"/>
  <c r="V286" i="2" s="1"/>
  <c r="T287" i="2"/>
  <c r="U287" i="2"/>
  <c r="V287" i="2" s="1"/>
  <c r="T288" i="2"/>
  <c r="U288" i="2" s="1"/>
  <c r="V288" i="2" s="1"/>
  <c r="T289" i="2"/>
  <c r="U289" i="2" s="1"/>
  <c r="V289" i="2"/>
  <c r="U290" i="2"/>
  <c r="V290" i="2" s="1"/>
  <c r="U291" i="2"/>
  <c r="V291" i="2" s="1"/>
  <c r="U292" i="2"/>
  <c r="V292" i="2"/>
  <c r="N293" i="2"/>
  <c r="T293" i="2"/>
  <c r="U293" i="2"/>
  <c r="V293" i="2" s="1"/>
  <c r="U294" i="2"/>
  <c r="V294" i="2" s="1"/>
  <c r="N295" i="2"/>
  <c r="U295" i="2" s="1"/>
  <c r="V295" i="2" s="1"/>
  <c r="T295" i="2"/>
  <c r="T296" i="2"/>
  <c r="U296" i="2" s="1"/>
  <c r="V296" i="2"/>
  <c r="T297" i="2"/>
  <c r="U297" i="2" s="1"/>
  <c r="V297" i="2"/>
  <c r="T298" i="2"/>
  <c r="U298" i="2"/>
  <c r="V298" i="2" s="1"/>
  <c r="T299" i="2"/>
  <c r="U299" i="2"/>
  <c r="V299" i="2" s="1"/>
  <c r="U300" i="2"/>
  <c r="V300" i="2"/>
  <c r="T301" i="2"/>
  <c r="U301" i="2"/>
  <c r="V301" i="2"/>
  <c r="T302" i="2"/>
  <c r="U302" i="2"/>
  <c r="V302" i="2" s="1"/>
  <c r="T303" i="2"/>
  <c r="U303" i="2"/>
  <c r="V303" i="2" s="1"/>
  <c r="T304" i="2"/>
  <c r="U304" i="2"/>
  <c r="V304" i="2" s="1"/>
  <c r="T305" i="2"/>
  <c r="U305" i="2" s="1"/>
  <c r="V305" i="2" s="1"/>
  <c r="T306" i="2"/>
  <c r="U306" i="2" s="1"/>
  <c r="V306" i="2" s="1"/>
  <c r="T307" i="2"/>
  <c r="U307" i="2" s="1"/>
  <c r="V307" i="2" s="1"/>
  <c r="T308" i="2"/>
  <c r="U308" i="2" s="1"/>
  <c r="V308" i="2"/>
  <c r="T309" i="2"/>
  <c r="U309" i="2"/>
  <c r="V309" i="2"/>
  <c r="T310" i="2"/>
  <c r="U310" i="2"/>
  <c r="V310" i="2" s="1"/>
  <c r="T311" i="2"/>
  <c r="U311" i="2"/>
  <c r="V311" i="2" s="1"/>
  <c r="T312" i="2"/>
  <c r="U312" i="2"/>
  <c r="V312" i="2" s="1"/>
  <c r="T313" i="2"/>
  <c r="U313" i="2" s="1"/>
  <c r="V313" i="2" s="1"/>
  <c r="T314" i="2"/>
  <c r="U314" i="2" s="1"/>
  <c r="V314" i="2"/>
  <c r="T315" i="2"/>
  <c r="U315" i="2"/>
  <c r="V315" i="2"/>
  <c r="N316" i="2"/>
  <c r="U316" i="2" s="1"/>
  <c r="V316" i="2" s="1"/>
  <c r="T316" i="2"/>
  <c r="T317" i="2"/>
  <c r="U317" i="2"/>
  <c r="V317" i="2"/>
  <c r="U318" i="2"/>
  <c r="V318" i="2"/>
  <c r="T319" i="2"/>
  <c r="U319" i="2" s="1"/>
  <c r="V319" i="2" s="1"/>
  <c r="T320" i="2"/>
  <c r="U320" i="2" s="1"/>
  <c r="V320" i="2" s="1"/>
  <c r="T321" i="2"/>
  <c r="U321" i="2"/>
  <c r="V321" i="2"/>
  <c r="T322" i="2"/>
  <c r="U322" i="2" s="1"/>
  <c r="V322" i="2" s="1"/>
  <c r="T323" i="2"/>
  <c r="U323" i="2" s="1"/>
  <c r="V323" i="2" s="1"/>
  <c r="T324" i="2"/>
  <c r="U324" i="2"/>
  <c r="V324" i="2"/>
  <c r="T325" i="2"/>
  <c r="U325" i="2"/>
  <c r="V325" i="2"/>
  <c r="T326" i="2"/>
  <c r="U326" i="2"/>
  <c r="V326" i="2"/>
  <c r="U327" i="2"/>
  <c r="V327" i="2"/>
  <c r="T328" i="2"/>
  <c r="U328" i="2"/>
  <c r="V328" i="2"/>
  <c r="U329" i="2"/>
  <c r="V329" i="2"/>
  <c r="T330" i="2"/>
  <c r="U330" i="2"/>
  <c r="V330" i="2"/>
  <c r="T331" i="2"/>
  <c r="U331" i="2"/>
  <c r="V331" i="2"/>
  <c r="T332" i="2"/>
  <c r="U332" i="2"/>
  <c r="V332" i="2"/>
  <c r="T333" i="2"/>
  <c r="U333" i="2"/>
  <c r="V333" i="2" s="1"/>
  <c r="U334" i="2"/>
  <c r="V334" i="2" s="1"/>
  <c r="N335" i="2"/>
  <c r="T335" i="2"/>
  <c r="U335" i="2"/>
  <c r="V335" i="2"/>
  <c r="T336" i="2"/>
  <c r="U336" i="2" s="1"/>
  <c r="V336" i="2"/>
  <c r="N337" i="2"/>
  <c r="U337" i="2" s="1"/>
  <c r="V337" i="2" s="1"/>
  <c r="T337" i="2"/>
  <c r="T338" i="2"/>
  <c r="U338" i="2"/>
  <c r="V338" i="2" s="1"/>
  <c r="T339" i="2"/>
  <c r="U339" i="2"/>
  <c r="V339" i="2"/>
  <c r="T340" i="2"/>
  <c r="U340" i="2"/>
  <c r="V340" i="2" s="1"/>
  <c r="T341" i="2"/>
  <c r="U341" i="2" s="1"/>
  <c r="V341" i="2"/>
  <c r="T342" i="2"/>
  <c r="U342" i="2" s="1"/>
  <c r="V342" i="2" s="1"/>
  <c r="T343" i="2"/>
  <c r="U343" i="2"/>
  <c r="V343" i="2" s="1"/>
  <c r="T344" i="2"/>
  <c r="U344" i="2"/>
  <c r="V344" i="2"/>
  <c r="T345" i="2"/>
  <c r="U345" i="2"/>
  <c r="V345" i="2" s="1"/>
  <c r="T346" i="2"/>
  <c r="U346" i="2" s="1"/>
  <c r="V346" i="2" s="1"/>
  <c r="T347" i="2"/>
  <c r="U347" i="2"/>
  <c r="V347" i="2"/>
  <c r="T348" i="2"/>
  <c r="U348" i="2"/>
  <c r="V348" i="2" s="1"/>
  <c r="T349" i="2"/>
  <c r="U349" i="2" s="1"/>
  <c r="V349" i="2" s="1"/>
  <c r="T350" i="2"/>
  <c r="U350" i="2"/>
  <c r="V350" i="2"/>
  <c r="N351" i="2"/>
  <c r="U351" i="2" s="1"/>
  <c r="V351" i="2" s="1"/>
  <c r="T351" i="2"/>
  <c r="T352" i="2"/>
  <c r="U352" i="2"/>
  <c r="V352" i="2"/>
  <c r="T353" i="2"/>
  <c r="U353" i="2" s="1"/>
  <c r="V353" i="2" s="1"/>
  <c r="T354" i="2"/>
  <c r="U354" i="2"/>
  <c r="V354" i="2" s="1"/>
  <c r="T355" i="2"/>
  <c r="U355" i="2"/>
  <c r="V355" i="2"/>
  <c r="T356" i="2"/>
  <c r="U356" i="2"/>
  <c r="V356" i="2" s="1"/>
  <c r="T357" i="2"/>
  <c r="U357" i="2" s="1"/>
  <c r="V357" i="2" s="1"/>
  <c r="N358" i="2"/>
  <c r="T358" i="2"/>
  <c r="U358" i="2"/>
  <c r="V358" i="2"/>
  <c r="T359" i="2"/>
  <c r="U359" i="2"/>
  <c r="V359" i="2" s="1"/>
  <c r="U360" i="2"/>
  <c r="V360" i="2"/>
  <c r="T361" i="2"/>
  <c r="U361" i="2"/>
  <c r="V361" i="2"/>
  <c r="T362" i="2"/>
  <c r="U362" i="2"/>
  <c r="V362" i="2" s="1"/>
  <c r="T363" i="2"/>
  <c r="U363" i="2"/>
  <c r="V363" i="2"/>
  <c r="T364" i="2"/>
  <c r="U364" i="2"/>
  <c r="V364" i="2" s="1"/>
  <c r="T365" i="2"/>
  <c r="U365" i="2" s="1"/>
  <c r="V365" i="2" s="1"/>
  <c r="T366" i="2"/>
  <c r="U366" i="2"/>
  <c r="V366" i="2"/>
  <c r="T367" i="2"/>
  <c r="U367" i="2" s="1"/>
  <c r="V367" i="2" s="1"/>
  <c r="T368" i="2"/>
  <c r="U368" i="2"/>
  <c r="V368" i="2"/>
  <c r="N369" i="2"/>
  <c r="T369" i="2"/>
  <c r="U369" i="2"/>
  <c r="V369" i="2" s="1"/>
  <c r="T370" i="2"/>
  <c r="U370" i="2" s="1"/>
  <c r="V370" i="2" s="1"/>
  <c r="T371" i="2"/>
  <c r="U371" i="2"/>
  <c r="V371" i="2"/>
  <c r="U372" i="2"/>
  <c r="V372" i="2" s="1"/>
  <c r="U373" i="2"/>
  <c r="V373" i="2" s="1"/>
  <c r="T374" i="2"/>
  <c r="U374" i="2"/>
  <c r="V374" i="2" s="1"/>
  <c r="T375" i="2"/>
  <c r="U375" i="2"/>
  <c r="V375" i="2" s="1"/>
  <c r="T376" i="2"/>
  <c r="U376" i="2" s="1"/>
  <c r="V376" i="2" s="1"/>
  <c r="T377" i="2"/>
  <c r="U377" i="2"/>
  <c r="V377" i="2"/>
  <c r="T378" i="2"/>
  <c r="U378" i="2" s="1"/>
  <c r="V378" i="2" s="1"/>
  <c r="T379" i="2"/>
  <c r="U379" i="2"/>
  <c r="V379" i="2"/>
  <c r="T380" i="2"/>
  <c r="U380" i="2"/>
  <c r="V380" i="2"/>
  <c r="T381" i="2"/>
  <c r="U381" i="2"/>
  <c r="V381" i="2" s="1"/>
  <c r="U382" i="2"/>
  <c r="V382" i="2"/>
  <c r="T383" i="2"/>
  <c r="U383" i="2"/>
  <c r="V383" i="2"/>
  <c r="T384" i="2"/>
  <c r="U384" i="2"/>
  <c r="V384" i="2" s="1"/>
  <c r="T385" i="2"/>
  <c r="U385" i="2"/>
  <c r="V385" i="2"/>
  <c r="T386" i="2"/>
  <c r="U386" i="2"/>
  <c r="V386" i="2" s="1"/>
  <c r="T387" i="2"/>
  <c r="U387" i="2" s="1"/>
  <c r="V387" i="2" s="1"/>
  <c r="T388" i="2"/>
  <c r="U388" i="2"/>
  <c r="V388" i="2"/>
  <c r="T389" i="2"/>
  <c r="U389" i="2" s="1"/>
  <c r="V389" i="2" s="1"/>
  <c r="T390" i="2"/>
  <c r="U390" i="2"/>
  <c r="V390" i="2"/>
  <c r="U391" i="2"/>
  <c r="V391" i="2"/>
  <c r="U392" i="2"/>
  <c r="V392" i="2" s="1"/>
  <c r="T393" i="2"/>
  <c r="U393" i="2" s="1"/>
  <c r="V393" i="2" s="1"/>
  <c r="T394" i="2"/>
  <c r="U394" i="2"/>
  <c r="V394" i="2"/>
  <c r="T395" i="2"/>
  <c r="U395" i="2" s="1"/>
  <c r="V395" i="2" s="1"/>
  <c r="U396" i="2"/>
  <c r="V396" i="2"/>
  <c r="T397" i="2"/>
  <c r="U397" i="2"/>
  <c r="V397" i="2"/>
  <c r="T398" i="2"/>
  <c r="U398" i="2" s="1"/>
  <c r="V398" i="2" s="1"/>
  <c r="T399" i="2"/>
  <c r="U399" i="2"/>
  <c r="V399" i="2"/>
  <c r="T400" i="2"/>
  <c r="U400" i="2"/>
  <c r="V400" i="2"/>
  <c r="T401" i="2"/>
  <c r="U401" i="2"/>
  <c r="V401" i="2" s="1"/>
  <c r="T402" i="2"/>
  <c r="U402" i="2"/>
  <c r="V402" i="2"/>
  <c r="T403" i="2"/>
  <c r="U403" i="2"/>
  <c r="V403" i="2" s="1"/>
  <c r="T404" i="2"/>
  <c r="U404" i="2" s="1"/>
  <c r="V404" i="2" s="1"/>
  <c r="T405" i="2"/>
  <c r="U405" i="2"/>
  <c r="V405" i="2"/>
  <c r="T406" i="2"/>
  <c r="U406" i="2" s="1"/>
  <c r="V406" i="2" s="1"/>
  <c r="T407" i="2"/>
  <c r="U407" i="2"/>
  <c r="V407" i="2"/>
  <c r="T408" i="2"/>
  <c r="U408" i="2"/>
  <c r="V408" i="2"/>
  <c r="T409" i="2"/>
  <c r="U409" i="2"/>
  <c r="V409" i="2" s="1"/>
  <c r="T410" i="2"/>
  <c r="U410" i="2"/>
  <c r="V410" i="2"/>
  <c r="T411" i="2"/>
  <c r="U411" i="2"/>
  <c r="V411" i="2" s="1"/>
  <c r="T412" i="2"/>
  <c r="U412" i="2" s="1"/>
  <c r="V412" i="2" s="1"/>
  <c r="U413" i="2"/>
  <c r="V413" i="2"/>
  <c r="N414" i="2"/>
  <c r="U414" i="2" s="1"/>
  <c r="V414" i="2" s="1"/>
  <c r="T414" i="2"/>
  <c r="T415" i="2"/>
  <c r="U415" i="2"/>
  <c r="V415" i="2"/>
  <c r="T416" i="2"/>
  <c r="U416" i="2"/>
  <c r="V416" i="2"/>
  <c r="T417" i="2"/>
  <c r="U417" i="2"/>
  <c r="V417" i="2" s="1"/>
  <c r="T418" i="2"/>
  <c r="U418" i="2"/>
  <c r="V418" i="2"/>
  <c r="T419" i="2"/>
  <c r="U419" i="2"/>
  <c r="V419" i="2" s="1"/>
  <c r="T420" i="2"/>
  <c r="U420" i="2" s="1"/>
  <c r="V420" i="2" s="1"/>
  <c r="T421" i="2"/>
  <c r="U421" i="2"/>
  <c r="V421" i="2"/>
  <c r="T422" i="2"/>
  <c r="U422" i="2" s="1"/>
  <c r="V422" i="2" s="1"/>
  <c r="U423" i="2"/>
  <c r="V423" i="2"/>
  <c r="T424" i="2"/>
  <c r="U424" i="2"/>
  <c r="V424" i="2"/>
  <c r="T425" i="2"/>
  <c r="U425" i="2" s="1"/>
  <c r="V425" i="2" s="1"/>
  <c r="T426" i="2"/>
  <c r="U426" i="2"/>
  <c r="V426" i="2"/>
  <c r="T427" i="2"/>
  <c r="U427" i="2"/>
  <c r="V427" i="2"/>
  <c r="T428" i="2"/>
  <c r="U428" i="2"/>
  <c r="V428" i="2" s="1"/>
  <c r="T429" i="2"/>
  <c r="U429" i="2"/>
  <c r="V429" i="2"/>
  <c r="T430" i="2"/>
  <c r="U430" i="2"/>
  <c r="V430" i="2" s="1"/>
  <c r="T431" i="2"/>
  <c r="U431" i="2" s="1"/>
  <c r="V431" i="2" s="1"/>
  <c r="T432" i="2"/>
  <c r="U432" i="2"/>
  <c r="V432" i="2"/>
  <c r="T433" i="2"/>
  <c r="U433" i="2" s="1"/>
  <c r="V433" i="2" s="1"/>
  <c r="T434" i="2"/>
  <c r="U434" i="2"/>
  <c r="V434" i="2"/>
  <c r="T435" i="2"/>
  <c r="U435" i="2"/>
  <c r="V435" i="2"/>
  <c r="N436" i="2"/>
  <c r="T436" i="2"/>
  <c r="U436" i="2" s="1"/>
  <c r="V436" i="2" s="1"/>
  <c r="T437" i="2"/>
  <c r="U437" i="2"/>
  <c r="V437" i="2"/>
  <c r="T438" i="2"/>
  <c r="U438" i="2" s="1"/>
  <c r="V438" i="2" s="1"/>
  <c r="T439" i="2"/>
  <c r="U439" i="2"/>
  <c r="V439" i="2"/>
  <c r="T440" i="2"/>
  <c r="U440" i="2"/>
  <c r="V440" i="2"/>
  <c r="N441" i="2"/>
  <c r="T441" i="2"/>
  <c r="U441" i="2" s="1"/>
  <c r="V441" i="2" s="1"/>
  <c r="T442" i="2"/>
  <c r="U442" i="2"/>
  <c r="V442" i="2"/>
  <c r="N443" i="2"/>
  <c r="U443" i="2" s="1"/>
  <c r="V443" i="2" s="1"/>
  <c r="T443" i="2"/>
  <c r="T444" i="2"/>
  <c r="U444" i="2"/>
  <c r="V444" i="2"/>
  <c r="T445" i="2"/>
  <c r="U445" i="2"/>
  <c r="V445" i="2" s="1"/>
  <c r="T446" i="2"/>
  <c r="U446" i="2" s="1"/>
  <c r="V446" i="2" s="1"/>
  <c r="T447" i="2"/>
  <c r="U447" i="2"/>
  <c r="V447" i="2"/>
  <c r="T448" i="2"/>
  <c r="U448" i="2" s="1"/>
  <c r="V448" i="2" s="1"/>
  <c r="T449" i="2"/>
  <c r="U449" i="2"/>
  <c r="V449" i="2"/>
  <c r="T450" i="2"/>
  <c r="U450" i="2"/>
  <c r="V450" i="2"/>
  <c r="U451" i="2"/>
  <c r="V451" i="2"/>
  <c r="T452" i="2"/>
  <c r="U452" i="2"/>
  <c r="V452" i="2"/>
  <c r="T453" i="2"/>
  <c r="U453" i="2"/>
  <c r="V453" i="2"/>
  <c r="U454" i="2"/>
  <c r="V454" i="2"/>
  <c r="T455" i="2"/>
  <c r="U455" i="2"/>
  <c r="V455" i="2"/>
  <c r="T456" i="2"/>
  <c r="U456" i="2"/>
  <c r="V456" i="2"/>
  <c r="T457" i="2"/>
  <c r="U457" i="2"/>
  <c r="V457" i="2" s="1"/>
  <c r="T458" i="2"/>
  <c r="U458" i="2"/>
  <c r="V458" i="2"/>
  <c r="T459" i="2"/>
  <c r="U459" i="2"/>
  <c r="V459" i="2" s="1"/>
  <c r="T460" i="2"/>
  <c r="U460" i="2" s="1"/>
  <c r="V460" i="2" s="1"/>
  <c r="T461" i="2"/>
  <c r="U461" i="2"/>
  <c r="V461" i="2"/>
  <c r="T462" i="2"/>
  <c r="U462" i="2" s="1"/>
  <c r="V462" i="2" s="1"/>
  <c r="U463" i="2"/>
  <c r="V463" i="2"/>
  <c r="N464" i="2"/>
  <c r="T464" i="2"/>
  <c r="U464" i="2"/>
  <c r="V464" i="2"/>
  <c r="T465" i="2"/>
  <c r="U465" i="2"/>
  <c r="V465" i="2" s="1"/>
  <c r="T466" i="2"/>
  <c r="U466" i="2"/>
  <c r="V466" i="2"/>
  <c r="T467" i="2"/>
  <c r="U467" i="2"/>
  <c r="V467" i="2" s="1"/>
  <c r="T468" i="2"/>
  <c r="U468" i="2" s="1"/>
  <c r="V468" i="2" s="1"/>
  <c r="T469" i="2"/>
  <c r="U469" i="2"/>
  <c r="V469" i="2"/>
  <c r="U470" i="2"/>
  <c r="V470" i="2" s="1"/>
  <c r="T471" i="2"/>
  <c r="U471" i="2" s="1"/>
  <c r="V471" i="2" s="1"/>
  <c r="T472" i="2"/>
  <c r="U472" i="2"/>
  <c r="V472" i="2"/>
  <c r="T473" i="2"/>
  <c r="U473" i="2" s="1"/>
  <c r="V473" i="2" s="1"/>
  <c r="T474" i="2"/>
  <c r="U474" i="2"/>
  <c r="V474" i="2"/>
  <c r="N475" i="2"/>
  <c r="T475" i="2"/>
  <c r="U475" i="2"/>
  <c r="V475" i="2" s="1"/>
  <c r="T476" i="2"/>
  <c r="U476" i="2" s="1"/>
  <c r="V476" i="2" s="1"/>
  <c r="T477" i="2"/>
  <c r="U477" i="2"/>
  <c r="V477" i="2"/>
  <c r="T478" i="2"/>
  <c r="U478" i="2" s="1"/>
  <c r="V478" i="2" s="1"/>
  <c r="U479" i="2"/>
  <c r="V479" i="2" s="1"/>
  <c r="T480" i="2"/>
  <c r="U480" i="2"/>
  <c r="V480" i="2"/>
  <c r="T481" i="2"/>
  <c r="U481" i="2" s="1"/>
  <c r="V481" i="2" s="1"/>
  <c r="T482" i="2"/>
  <c r="U482" i="2" s="1"/>
  <c r="V482" i="2" s="1"/>
  <c r="T483" i="2"/>
  <c r="U483" i="2"/>
  <c r="V483" i="2"/>
  <c r="U484" i="2"/>
  <c r="V484" i="2"/>
  <c r="U485" i="2"/>
  <c r="V485" i="2" s="1"/>
  <c r="T486" i="2"/>
  <c r="U486" i="2"/>
  <c r="V486" i="2"/>
  <c r="T487" i="2"/>
  <c r="U487" i="2" s="1"/>
  <c r="V487" i="2" s="1"/>
  <c r="T488" i="2"/>
  <c r="U488" i="2" s="1"/>
  <c r="V488" i="2" s="1"/>
  <c r="T489" i="2"/>
  <c r="U489" i="2"/>
  <c r="V489" i="2"/>
  <c r="T490" i="2"/>
  <c r="U490" i="2"/>
  <c r="V490" i="2"/>
  <c r="T491" i="2"/>
  <c r="U491" i="2"/>
  <c r="V491" i="2"/>
  <c r="N492" i="2"/>
  <c r="U492" i="2" s="1"/>
  <c r="V492" i="2" s="1"/>
  <c r="T492" i="2"/>
  <c r="T493" i="2"/>
  <c r="U493" i="2" s="1"/>
  <c r="V493" i="2" s="1"/>
  <c r="T494" i="2"/>
  <c r="U494" i="2"/>
  <c r="V494" i="2"/>
  <c r="T495" i="2"/>
  <c r="U495" i="2"/>
  <c r="V495" i="2"/>
  <c r="N496" i="2"/>
  <c r="T496" i="2"/>
  <c r="U496" i="2"/>
  <c r="V496" i="2"/>
  <c r="N497" i="2"/>
  <c r="U497" i="2" s="1"/>
  <c r="V497" i="2" s="1"/>
  <c r="T497" i="2"/>
  <c r="T498" i="2"/>
  <c r="U498" i="2"/>
  <c r="V498" i="2"/>
  <c r="T499" i="2"/>
  <c r="U499" i="2"/>
  <c r="V499" i="2" s="1"/>
  <c r="T500" i="2"/>
  <c r="U500" i="2"/>
  <c r="V500" i="2" s="1"/>
  <c r="T501" i="2"/>
  <c r="U501" i="2"/>
  <c r="V501" i="2"/>
  <c r="U502" i="2"/>
  <c r="V502" i="2" s="1"/>
  <c r="T503" i="2"/>
  <c r="U503" i="2"/>
  <c r="V503" i="2" s="1"/>
  <c r="T504" i="2"/>
  <c r="U504" i="2"/>
  <c r="V504" i="2"/>
  <c r="T505" i="2"/>
  <c r="U505" i="2" s="1"/>
  <c r="V505" i="2" s="1"/>
  <c r="T506" i="2"/>
  <c r="U506" i="2" s="1"/>
  <c r="V506" i="2" s="1"/>
  <c r="T507" i="2"/>
  <c r="U507" i="2"/>
  <c r="V507" i="2"/>
  <c r="T508" i="2"/>
  <c r="U508" i="2"/>
  <c r="V508" i="2"/>
  <c r="N509" i="2"/>
  <c r="T509" i="2"/>
  <c r="U509" i="2"/>
  <c r="V509" i="2"/>
  <c r="T510" i="2"/>
  <c r="U510" i="2" s="1"/>
  <c r="V510" i="2" s="1"/>
  <c r="T511" i="2"/>
  <c r="U511" i="2" s="1"/>
  <c r="V511" i="2" s="1"/>
  <c r="T512" i="2"/>
  <c r="U512" i="2"/>
  <c r="V512" i="2"/>
  <c r="T513" i="2"/>
  <c r="U513" i="2"/>
  <c r="V513" i="2"/>
  <c r="T514" i="2"/>
  <c r="U514" i="2"/>
  <c r="V514" i="2"/>
  <c r="T515" i="2"/>
  <c r="U515" i="2"/>
  <c r="V515" i="2" s="1"/>
  <c r="T516" i="2"/>
  <c r="U516" i="2"/>
  <c r="V516" i="2" s="1"/>
  <c r="T517" i="2"/>
  <c r="U517" i="2"/>
  <c r="V517" i="2"/>
  <c r="N518" i="2"/>
  <c r="U518" i="2" s="1"/>
  <c r="V518" i="2" s="1"/>
  <c r="T518" i="2"/>
  <c r="N519" i="2"/>
  <c r="T519" i="2"/>
  <c r="U519" i="2"/>
  <c r="V519" i="2"/>
  <c r="N520" i="2"/>
  <c r="U520" i="2" s="1"/>
  <c r="V520" i="2" s="1"/>
  <c r="T520" i="2"/>
  <c r="T521" i="2"/>
  <c r="U521" i="2"/>
  <c r="V521" i="2"/>
  <c r="T522" i="2"/>
  <c r="U522" i="2"/>
  <c r="V522" i="2" s="1"/>
  <c r="T523" i="2"/>
  <c r="U523" i="2"/>
  <c r="V523" i="2" s="1"/>
  <c r="T524" i="2"/>
  <c r="U524" i="2"/>
  <c r="V524" i="2"/>
  <c r="T525" i="2"/>
  <c r="U525" i="2" s="1"/>
  <c r="V525" i="2" s="1"/>
  <c r="N526" i="2"/>
  <c r="T526" i="2"/>
  <c r="U526" i="2"/>
  <c r="V526" i="2"/>
  <c r="N527" i="2"/>
  <c r="U527" i="2" s="1"/>
  <c r="V527" i="2" s="1"/>
  <c r="T527" i="2"/>
  <c r="U528" i="2"/>
  <c r="V528" i="2" s="1"/>
  <c r="N529" i="2"/>
  <c r="T529" i="2"/>
  <c r="U529" i="2"/>
  <c r="V529" i="2"/>
  <c r="T530" i="2"/>
  <c r="U530" i="2"/>
  <c r="V530" i="2"/>
  <c r="T531" i="2"/>
  <c r="U531" i="2"/>
  <c r="V531" i="2"/>
  <c r="U532" i="2"/>
  <c r="V532" i="2"/>
  <c r="T533" i="2"/>
  <c r="U533" i="2"/>
  <c r="V533" i="2"/>
  <c r="T534" i="2"/>
  <c r="U534" i="2"/>
  <c r="V534" i="2"/>
  <c r="T535" i="2"/>
  <c r="U535" i="2"/>
  <c r="V535" i="2" s="1"/>
  <c r="U536" i="2"/>
  <c r="V536" i="2"/>
  <c r="T537" i="2"/>
  <c r="U537" i="2"/>
  <c r="V537" i="2"/>
  <c r="N538" i="2"/>
  <c r="U538" i="2" s="1"/>
  <c r="V538" i="2" s="1"/>
  <c r="T538" i="2"/>
  <c r="T539" i="2"/>
  <c r="U539" i="2" s="1"/>
  <c r="V539" i="2" s="1"/>
  <c r="T540" i="2"/>
  <c r="U540" i="2"/>
  <c r="V540" i="2"/>
  <c r="T541" i="2"/>
  <c r="U541" i="2"/>
  <c r="V541" i="2"/>
  <c r="T542" i="2"/>
  <c r="U542" i="2"/>
  <c r="V542" i="2"/>
  <c r="T543" i="2"/>
  <c r="U543" i="2"/>
  <c r="V543" i="2" s="1"/>
  <c r="T544" i="2"/>
  <c r="U544" i="2"/>
  <c r="V544" i="2" s="1"/>
  <c r="T545" i="2"/>
  <c r="U545" i="2"/>
  <c r="V545" i="2"/>
  <c r="T546" i="2"/>
  <c r="U546" i="2" s="1"/>
  <c r="V546" i="2" s="1"/>
  <c r="T547" i="2"/>
  <c r="U547" i="2" s="1"/>
  <c r="V547" i="2" s="1"/>
  <c r="T548" i="2"/>
  <c r="U548" i="2"/>
  <c r="V548" i="2"/>
  <c r="T549" i="2"/>
  <c r="U549" i="2"/>
  <c r="V549" i="2"/>
  <c r="T550" i="2"/>
  <c r="U550" i="2"/>
  <c r="V550" i="2"/>
  <c r="T551" i="2"/>
  <c r="U551" i="2"/>
  <c r="V551" i="2" s="1"/>
  <c r="T552" i="2"/>
  <c r="U552" i="2"/>
  <c r="V552" i="2" s="1"/>
  <c r="T553" i="2"/>
  <c r="U553" i="2"/>
  <c r="V553" i="2"/>
  <c r="T554" i="2"/>
  <c r="U554" i="2" s="1"/>
  <c r="V554" i="2" s="1"/>
  <c r="U555" i="2"/>
  <c r="V555" i="2" s="1"/>
  <c r="T556" i="2"/>
  <c r="U556" i="2"/>
  <c r="V556" i="2"/>
  <c r="T557" i="2"/>
  <c r="U557" i="2" s="1"/>
  <c r="V557" i="2" s="1"/>
  <c r="T558" i="2"/>
  <c r="U558" i="2" s="1"/>
  <c r="V558" i="2" s="1"/>
  <c r="T559" i="2"/>
  <c r="U559" i="2"/>
  <c r="V559" i="2"/>
  <c r="U560" i="2"/>
  <c r="V560" i="2"/>
  <c r="T561" i="2"/>
  <c r="U561" i="2" s="1"/>
  <c r="V561" i="2" s="1"/>
  <c r="T562" i="2"/>
  <c r="U562" i="2"/>
  <c r="V562" i="2"/>
  <c r="T563" i="2"/>
  <c r="U563" i="2"/>
  <c r="V563" i="2"/>
  <c r="T564" i="2"/>
  <c r="U564" i="2"/>
  <c r="V564" i="2"/>
  <c r="U565" i="2"/>
  <c r="V565" i="2"/>
  <c r="T566" i="2"/>
  <c r="U566" i="2"/>
  <c r="V566" i="2"/>
  <c r="T567" i="2"/>
  <c r="U567" i="2"/>
  <c r="V567" i="2"/>
  <c r="T568" i="2"/>
  <c r="U568" i="2"/>
  <c r="V568" i="2" s="1"/>
  <c r="T569" i="2"/>
  <c r="U569" i="2"/>
  <c r="V569" i="2"/>
  <c r="T570" i="2"/>
  <c r="U570" i="2"/>
  <c r="V570" i="2"/>
  <c r="N571" i="2"/>
  <c r="U571" i="2" s="1"/>
  <c r="V571" i="2" s="1"/>
  <c r="T571" i="2"/>
  <c r="T572" i="2"/>
  <c r="U572" i="2"/>
  <c r="V572" i="2"/>
  <c r="T573" i="2"/>
  <c r="U573" i="2"/>
  <c r="V573" i="2" s="1"/>
  <c r="T574" i="2"/>
  <c r="U574" i="2"/>
  <c r="V574" i="2"/>
  <c r="T575" i="2"/>
  <c r="U575" i="2"/>
  <c r="V575" i="2"/>
  <c r="T576" i="2"/>
  <c r="U576" i="2" s="1"/>
  <c r="V576" i="2" s="1"/>
  <c r="U577" i="2"/>
  <c r="V577" i="2"/>
  <c r="N578" i="2"/>
  <c r="T578" i="2"/>
  <c r="U578" i="2"/>
  <c r="V578" i="2"/>
  <c r="T579" i="2"/>
  <c r="U579" i="2"/>
  <c r="V579" i="2"/>
  <c r="T580" i="2"/>
  <c r="U580" i="2"/>
  <c r="V580" i="2"/>
  <c r="N581" i="2"/>
  <c r="U581" i="2" s="1"/>
  <c r="V581" i="2" s="1"/>
  <c r="T581" i="2"/>
  <c r="T582" i="2"/>
  <c r="U582" i="2"/>
  <c r="V582" i="2"/>
  <c r="T583" i="2"/>
  <c r="U583" i="2"/>
  <c r="V583" i="2"/>
  <c r="T584" i="2"/>
  <c r="U584" i="2"/>
  <c r="V584" i="2"/>
  <c r="T585" i="2"/>
  <c r="U585" i="2"/>
  <c r="V585" i="2"/>
  <c r="T586" i="2"/>
  <c r="U586" i="2"/>
  <c r="V586" i="2" s="1"/>
  <c r="T587" i="2"/>
  <c r="U587" i="2"/>
  <c r="V587" i="2"/>
  <c r="T588" i="2"/>
  <c r="U588" i="2"/>
  <c r="V588" i="2"/>
  <c r="U589" i="2"/>
  <c r="V589" i="2" s="1"/>
  <c r="T590" i="2"/>
  <c r="U590" i="2"/>
  <c r="V590" i="2"/>
  <c r="T591" i="2"/>
  <c r="U591" i="2"/>
  <c r="V591" i="2"/>
  <c r="U592" i="2"/>
  <c r="V592" i="2" s="1"/>
  <c r="U593" i="2"/>
  <c r="V593" i="2" s="1"/>
  <c r="T594" i="2"/>
  <c r="U594" i="2"/>
  <c r="V594" i="2"/>
  <c r="N595" i="2"/>
  <c r="U595" i="2" s="1"/>
  <c r="V595" i="2" s="1"/>
  <c r="T595" i="2"/>
  <c r="T596" i="2"/>
  <c r="U596" i="2"/>
  <c r="V596" i="2"/>
  <c r="T597" i="2"/>
  <c r="U597" i="2"/>
  <c r="V597" i="2"/>
  <c r="T598" i="2"/>
  <c r="U598" i="2"/>
  <c r="V598" i="2"/>
  <c r="T599" i="2"/>
  <c r="U599" i="2"/>
  <c r="V599" i="2"/>
  <c r="T600" i="2"/>
  <c r="U600" i="2"/>
  <c r="V600" i="2" s="1"/>
  <c r="U601" i="2"/>
  <c r="V601" i="2"/>
  <c r="T602" i="2"/>
  <c r="U602" i="2"/>
  <c r="V602" i="2"/>
  <c r="U603" i="2"/>
  <c r="V603" i="2"/>
  <c r="U604" i="2"/>
  <c r="V604" i="2"/>
  <c r="T605" i="2"/>
  <c r="U605" i="2"/>
  <c r="V605" i="2"/>
  <c r="T606" i="2"/>
  <c r="U606" i="2"/>
  <c r="V606" i="2"/>
  <c r="T607" i="2"/>
  <c r="U607" i="2"/>
  <c r="V607" i="2"/>
  <c r="T608" i="2"/>
  <c r="U608" i="2"/>
  <c r="V608" i="2"/>
  <c r="T609" i="2"/>
  <c r="U609" i="2"/>
  <c r="V609" i="2" s="1"/>
  <c r="T610" i="2"/>
  <c r="U610" i="2"/>
  <c r="V610" i="2"/>
  <c r="U611" i="2"/>
  <c r="V611" i="2"/>
  <c r="U612" i="2"/>
  <c r="V612" i="2"/>
  <c r="U613" i="2"/>
  <c r="V613" i="2"/>
  <c r="U614" i="2"/>
  <c r="V614" i="2"/>
  <c r="U615" i="2"/>
  <c r="V615" i="2"/>
  <c r="U616" i="2"/>
  <c r="V616" i="2"/>
  <c r="U617" i="2"/>
  <c r="V617" i="2"/>
  <c r="U618" i="2"/>
  <c r="V618" i="2"/>
  <c r="U619" i="2"/>
  <c r="V619" i="2"/>
  <c r="B477" i="1"/>
  <c r="C477" i="1"/>
  <c r="E477" i="1"/>
  <c r="F477" i="1"/>
  <c r="G477" i="1"/>
  <c r="H477" i="1"/>
  <c r="I477" i="1"/>
  <c r="J477" i="1"/>
  <c r="K477" i="1"/>
  <c r="L477" i="1"/>
  <c r="M477" i="1"/>
  <c r="N477" i="1"/>
  <c r="O477" i="1"/>
  <c r="Q477" i="1"/>
  <c r="R477" i="1"/>
  <c r="V477" i="1"/>
  <c r="U281" i="2" l="1"/>
  <c r="V281" i="2" s="1"/>
  <c r="U62" i="2"/>
  <c r="T620" i="2"/>
  <c r="U236" i="2"/>
  <c r="V236" i="2" s="1"/>
  <c r="V91" i="2"/>
  <c r="W92" i="2"/>
  <c r="N623" i="2"/>
  <c r="N629" i="2" s="1"/>
  <c r="U150" i="2"/>
  <c r="V150" i="2" s="1"/>
  <c r="O959" i="1"/>
  <c r="O962" i="1"/>
  <c r="C895" i="1"/>
  <c r="F895" i="1"/>
  <c r="H895" i="1"/>
  <c r="J895" i="1"/>
  <c r="L895" i="1"/>
  <c r="I895" i="1"/>
  <c r="I896" i="1" s="1"/>
  <c r="I897" i="1" s="1"/>
  <c r="B897" i="1"/>
  <c r="C897" i="1"/>
  <c r="D897" i="1"/>
  <c r="F897" i="1"/>
  <c r="G897" i="1"/>
  <c r="H897" i="1"/>
  <c r="L897" i="1"/>
  <c r="C899" i="1"/>
  <c r="F899" i="1"/>
  <c r="H899" i="1"/>
  <c r="I899" i="1"/>
  <c r="L899" i="1"/>
  <c r="B899" i="1"/>
  <c r="B900" i="1" s="1"/>
  <c r="B901" i="1" s="1"/>
  <c r="G899" i="1"/>
  <c r="G900" i="1" s="1"/>
  <c r="G901" i="1" s="1"/>
  <c r="C901" i="1"/>
  <c r="F901" i="1"/>
  <c r="H901" i="1"/>
  <c r="I901" i="1"/>
  <c r="L901" i="1"/>
  <c r="M901" i="1"/>
  <c r="N901" i="1"/>
  <c r="E897" i="1"/>
  <c r="E898" i="1" s="1"/>
  <c r="E899" i="1" s="1"/>
  <c r="E900" i="1" s="1"/>
  <c r="E901" i="1" s="1"/>
  <c r="E902" i="1" s="1"/>
  <c r="E903" i="1" s="1"/>
  <c r="B903" i="1"/>
  <c r="C903" i="1"/>
  <c r="F903" i="1"/>
  <c r="G903" i="1"/>
  <c r="H903" i="1"/>
  <c r="J897" i="1"/>
  <c r="J898" i="1" s="1"/>
  <c r="J899" i="1" s="1"/>
  <c r="J900" i="1" s="1"/>
  <c r="J901" i="1" s="1"/>
  <c r="J902" i="1" s="1"/>
  <c r="J903" i="1" s="1"/>
  <c r="L903" i="1"/>
  <c r="M903" i="1"/>
  <c r="N903" i="1"/>
  <c r="D899" i="1"/>
  <c r="D900" i="1" s="1"/>
  <c r="D901" i="1" s="1"/>
  <c r="D902" i="1" s="1"/>
  <c r="D903" i="1" s="1"/>
  <c r="D904" i="1" s="1"/>
  <c r="D905" i="1" s="1"/>
  <c r="I903" i="1"/>
  <c r="I904" i="1" s="1"/>
  <c r="I905" i="1" s="1"/>
  <c r="B905" i="1"/>
  <c r="C905" i="1"/>
  <c r="F905" i="1"/>
  <c r="G905" i="1"/>
  <c r="H905" i="1"/>
  <c r="L905" i="1"/>
  <c r="M905" i="1"/>
  <c r="N905" i="1"/>
  <c r="E905" i="1"/>
  <c r="E906" i="1" s="1"/>
  <c r="J905" i="1"/>
  <c r="J906" i="1" s="1"/>
  <c r="I907" i="1"/>
  <c r="C909" i="1"/>
  <c r="E909" i="1"/>
  <c r="F909" i="1"/>
  <c r="H909" i="1"/>
  <c r="J909" i="1"/>
  <c r="L909" i="1"/>
  <c r="M909" i="1"/>
  <c r="N909" i="1"/>
  <c r="B907" i="1"/>
  <c r="B908" i="1" s="1"/>
  <c r="B909" i="1" s="1"/>
  <c r="B910" i="1" s="1"/>
  <c r="B911" i="1" s="1"/>
  <c r="D907" i="1"/>
  <c r="D908" i="1" s="1"/>
  <c r="D909" i="1" s="1"/>
  <c r="D910" i="1" s="1"/>
  <c r="D911" i="1" s="1"/>
  <c r="G907" i="1"/>
  <c r="G908" i="1" s="1"/>
  <c r="G909" i="1" s="1"/>
  <c r="G910" i="1" s="1"/>
  <c r="G911" i="1" s="1"/>
  <c r="I909" i="1"/>
  <c r="I910" i="1" s="1"/>
  <c r="I911" i="1" s="1"/>
  <c r="C911" i="1"/>
  <c r="E911" i="1"/>
  <c r="F911" i="1"/>
  <c r="H911" i="1"/>
  <c r="J911" i="1"/>
  <c r="L911" i="1"/>
  <c r="M911" i="1"/>
  <c r="N911" i="1"/>
  <c r="B913" i="1"/>
  <c r="C913" i="1"/>
  <c r="D913" i="1"/>
  <c r="E913" i="1"/>
  <c r="F913" i="1"/>
  <c r="G913" i="1"/>
  <c r="H913" i="1"/>
  <c r="I913" i="1"/>
  <c r="L913" i="1"/>
  <c r="M913" i="1"/>
  <c r="N913" i="1"/>
  <c r="K895" i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C915" i="1"/>
  <c r="F915" i="1"/>
  <c r="H915" i="1"/>
  <c r="I915" i="1"/>
  <c r="L915" i="1"/>
  <c r="M915" i="1"/>
  <c r="N915" i="1"/>
  <c r="D915" i="1"/>
  <c r="D916" i="1" s="1"/>
  <c r="D917" i="1" s="1"/>
  <c r="G915" i="1"/>
  <c r="G916" i="1" s="1"/>
  <c r="G917" i="1" s="1"/>
  <c r="C917" i="1"/>
  <c r="F917" i="1"/>
  <c r="H917" i="1"/>
  <c r="I917" i="1"/>
  <c r="L917" i="1"/>
  <c r="M917" i="1"/>
  <c r="N917" i="1"/>
  <c r="E915" i="1"/>
  <c r="E916" i="1" s="1"/>
  <c r="E917" i="1" s="1"/>
  <c r="E918" i="1" s="1"/>
  <c r="E919" i="1" s="1"/>
  <c r="C919" i="1"/>
  <c r="F919" i="1"/>
  <c r="H919" i="1"/>
  <c r="J913" i="1"/>
  <c r="J914" i="1" s="1"/>
  <c r="J915" i="1" s="1"/>
  <c r="J916" i="1" s="1"/>
  <c r="J917" i="1" s="1"/>
  <c r="J918" i="1" s="1"/>
  <c r="J919" i="1" s="1"/>
  <c r="L919" i="1"/>
  <c r="M919" i="1"/>
  <c r="N919" i="1"/>
  <c r="I919" i="1"/>
  <c r="I920" i="1" s="1"/>
  <c r="I921" i="1" s="1"/>
  <c r="C921" i="1"/>
  <c r="E921" i="1"/>
  <c r="F921" i="1"/>
  <c r="H921" i="1"/>
  <c r="J921" i="1"/>
  <c r="L921" i="1"/>
  <c r="M921" i="1"/>
  <c r="N921" i="1"/>
  <c r="B915" i="1"/>
  <c r="B916" i="1" s="1"/>
  <c r="B917" i="1" s="1"/>
  <c r="B918" i="1" s="1"/>
  <c r="B919" i="1" s="1"/>
  <c r="B920" i="1" s="1"/>
  <c r="B921" i="1" s="1"/>
  <c r="B922" i="1" s="1"/>
  <c r="B923" i="1" s="1"/>
  <c r="D919" i="1"/>
  <c r="D920" i="1" s="1"/>
  <c r="D921" i="1" s="1"/>
  <c r="D922" i="1" s="1"/>
  <c r="D923" i="1" s="1"/>
  <c r="G919" i="1"/>
  <c r="G920" i="1" s="1"/>
  <c r="G921" i="1" s="1"/>
  <c r="G922" i="1" s="1"/>
  <c r="G923" i="1" s="1"/>
  <c r="C923" i="1"/>
  <c r="F923" i="1"/>
  <c r="H923" i="1"/>
  <c r="I923" i="1"/>
  <c r="L923" i="1"/>
  <c r="M923" i="1"/>
  <c r="N923" i="1"/>
  <c r="E923" i="1"/>
  <c r="E924" i="1" s="1"/>
  <c r="J923" i="1"/>
  <c r="J924" i="1" s="1"/>
  <c r="I925" i="1"/>
  <c r="I926" i="1" s="1"/>
  <c r="K917" i="1"/>
  <c r="K918" i="1" s="1"/>
  <c r="K919" i="1" s="1"/>
  <c r="K920" i="1" s="1"/>
  <c r="K921" i="1" s="1"/>
  <c r="K922" i="1" s="1"/>
  <c r="K923" i="1" s="1"/>
  <c r="K924" i="1" s="1"/>
  <c r="K925" i="1" s="1"/>
  <c r="K926" i="1" s="1"/>
  <c r="C926" i="1"/>
  <c r="F926" i="1"/>
  <c r="H926" i="1"/>
  <c r="L926" i="1"/>
  <c r="M926" i="1"/>
  <c r="N926" i="1"/>
  <c r="E926" i="1"/>
  <c r="E927" i="1" s="1"/>
  <c r="E928" i="1" s="1"/>
  <c r="C928" i="1"/>
  <c r="F928" i="1"/>
  <c r="H928" i="1"/>
  <c r="I928" i="1"/>
  <c r="K928" i="1"/>
  <c r="L928" i="1"/>
  <c r="M928" i="1"/>
  <c r="N928" i="1"/>
  <c r="D925" i="1"/>
  <c r="D926" i="1" s="1"/>
  <c r="D927" i="1" s="1"/>
  <c r="D928" i="1" s="1"/>
  <c r="D929" i="1" s="1"/>
  <c r="D930" i="1" s="1"/>
  <c r="D931" i="1" s="1"/>
  <c r="C930" i="1"/>
  <c r="C931" i="1" s="1"/>
  <c r="H930" i="1"/>
  <c r="H931" i="1" s="1"/>
  <c r="I930" i="1"/>
  <c r="I931" i="1" s="1"/>
  <c r="L930" i="1"/>
  <c r="L931" i="1" s="1"/>
  <c r="M930" i="1"/>
  <c r="M931" i="1" s="1"/>
  <c r="N930" i="1"/>
  <c r="N931" i="1" s="1"/>
  <c r="F930" i="1"/>
  <c r="F931" i="1" s="1"/>
  <c r="E930" i="1"/>
  <c r="E931" i="1" s="1"/>
  <c r="E932" i="1" s="1"/>
  <c r="E933" i="1" s="1"/>
  <c r="J926" i="1"/>
  <c r="J927" i="1" s="1"/>
  <c r="J928" i="1" s="1"/>
  <c r="J929" i="1" s="1"/>
  <c r="J930" i="1" s="1"/>
  <c r="J931" i="1" s="1"/>
  <c r="J932" i="1" s="1"/>
  <c r="J933" i="1" s="1"/>
  <c r="C933" i="1"/>
  <c r="F933" i="1"/>
  <c r="H933" i="1"/>
  <c r="I933" i="1"/>
  <c r="L933" i="1"/>
  <c r="M933" i="1"/>
  <c r="N933" i="1"/>
  <c r="C936" i="1"/>
  <c r="E936" i="1"/>
  <c r="F936" i="1"/>
  <c r="H936" i="1"/>
  <c r="J936" i="1"/>
  <c r="L936" i="1"/>
  <c r="M936" i="1"/>
  <c r="N936" i="1"/>
  <c r="I936" i="1"/>
  <c r="I937" i="1" s="1"/>
  <c r="I938" i="1" s="1"/>
  <c r="C938" i="1"/>
  <c r="E938" i="1"/>
  <c r="F938" i="1"/>
  <c r="H938" i="1"/>
  <c r="J938" i="1"/>
  <c r="L938" i="1"/>
  <c r="M938" i="1"/>
  <c r="N938" i="1"/>
  <c r="B925" i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D933" i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K930" i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C940" i="1"/>
  <c r="C941" i="1" s="1"/>
  <c r="E940" i="1"/>
  <c r="E941" i="1" s="1"/>
  <c r="E942" i="1" s="1"/>
  <c r="E943" i="1" s="1"/>
  <c r="F940" i="1"/>
  <c r="F941" i="1" s="1"/>
  <c r="H940" i="1"/>
  <c r="H941" i="1" s="1"/>
  <c r="I940" i="1"/>
  <c r="I941" i="1" s="1"/>
  <c r="L940" i="1"/>
  <c r="L941" i="1" s="1"/>
  <c r="M940" i="1"/>
  <c r="M941" i="1" s="1"/>
  <c r="N940" i="1"/>
  <c r="N941" i="1" s="1"/>
  <c r="G925" i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B943" i="1"/>
  <c r="C943" i="1"/>
  <c r="F943" i="1"/>
  <c r="H943" i="1"/>
  <c r="I943" i="1"/>
  <c r="K943" i="1"/>
  <c r="L943" i="1"/>
  <c r="M943" i="1"/>
  <c r="N943" i="1"/>
  <c r="E945" i="1"/>
  <c r="E946" i="1" s="1"/>
  <c r="E947" i="1" s="1"/>
  <c r="E948" i="1" s="1"/>
  <c r="E949" i="1" s="1"/>
  <c r="E950" i="1" s="1"/>
  <c r="E951" i="1" s="1"/>
  <c r="C946" i="1"/>
  <c r="D946" i="1"/>
  <c r="D947" i="1" s="1"/>
  <c r="D948" i="1" s="1"/>
  <c r="D949" i="1" s="1"/>
  <c r="D950" i="1" s="1"/>
  <c r="D951" i="1" s="1"/>
  <c r="F946" i="1"/>
  <c r="H946" i="1"/>
  <c r="I946" i="1"/>
  <c r="K946" i="1"/>
  <c r="C948" i="1"/>
  <c r="C949" i="1" s="1"/>
  <c r="F948" i="1"/>
  <c r="F949" i="1" s="1"/>
  <c r="H948" i="1"/>
  <c r="H949" i="1" s="1"/>
  <c r="I948" i="1"/>
  <c r="I949" i="1" s="1"/>
  <c r="K948" i="1"/>
  <c r="K949" i="1" s="1"/>
  <c r="B945" i="1"/>
  <c r="B946" i="1" s="1"/>
  <c r="B947" i="1" s="1"/>
  <c r="B948" i="1" s="1"/>
  <c r="B949" i="1" s="1"/>
  <c r="B950" i="1" s="1"/>
  <c r="B951" i="1" s="1"/>
  <c r="J940" i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C951" i="1"/>
  <c r="F951" i="1"/>
  <c r="H951" i="1"/>
  <c r="I951" i="1"/>
  <c r="G946" i="1"/>
  <c r="G947" i="1" s="1"/>
  <c r="G948" i="1" s="1"/>
  <c r="G949" i="1" s="1"/>
  <c r="G950" i="1" s="1"/>
  <c r="G951" i="1" s="1"/>
  <c r="G952" i="1" s="1"/>
  <c r="G953" i="1" s="1"/>
  <c r="B953" i="1"/>
  <c r="C953" i="1"/>
  <c r="D953" i="1"/>
  <c r="F953" i="1"/>
  <c r="H953" i="1"/>
  <c r="I953" i="1"/>
  <c r="E953" i="1"/>
  <c r="E954" i="1" s="1"/>
  <c r="J953" i="1"/>
  <c r="J954" i="1" s="1"/>
  <c r="C956" i="1"/>
  <c r="E956" i="1"/>
  <c r="F956" i="1"/>
  <c r="H956" i="1"/>
  <c r="J956" i="1"/>
  <c r="I956" i="1"/>
  <c r="I957" i="1" s="1"/>
  <c r="I958" i="1" s="1"/>
  <c r="C958" i="1"/>
  <c r="E958" i="1"/>
  <c r="F958" i="1"/>
  <c r="H958" i="1"/>
  <c r="J958" i="1"/>
  <c r="C960" i="1"/>
  <c r="E960" i="1"/>
  <c r="F960" i="1"/>
  <c r="H960" i="1"/>
  <c r="I960" i="1"/>
  <c r="J960" i="1"/>
  <c r="K951" i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B955" i="1"/>
  <c r="B956" i="1" s="1"/>
  <c r="B957" i="1" s="1"/>
  <c r="B958" i="1" s="1"/>
  <c r="B959" i="1" s="1"/>
  <c r="B960" i="1" s="1"/>
  <c r="B961" i="1" s="1"/>
  <c r="G955" i="1"/>
  <c r="G956" i="1" s="1"/>
  <c r="G957" i="1" s="1"/>
  <c r="G958" i="1" s="1"/>
  <c r="G959" i="1" s="1"/>
  <c r="G960" i="1" s="1"/>
  <c r="G961" i="1" s="1"/>
  <c r="C963" i="1"/>
  <c r="C964" i="1" s="1"/>
  <c r="C965" i="1" s="1"/>
  <c r="F963" i="1"/>
  <c r="F964" i="1" s="1"/>
  <c r="F965" i="1" s="1"/>
  <c r="H963" i="1"/>
  <c r="H964" i="1" s="1"/>
  <c r="H965" i="1" s="1"/>
  <c r="K963" i="1"/>
  <c r="K964" i="1" s="1"/>
  <c r="K965" i="1" s="1"/>
  <c r="J966" i="1"/>
  <c r="I967" i="1"/>
  <c r="I968" i="1" s="1"/>
  <c r="C968" i="1"/>
  <c r="E968" i="1"/>
  <c r="F968" i="1"/>
  <c r="H968" i="1"/>
  <c r="J968" i="1"/>
  <c r="C970" i="1"/>
  <c r="E970" i="1"/>
  <c r="F970" i="1"/>
  <c r="H970" i="1"/>
  <c r="J970" i="1"/>
  <c r="B967" i="1"/>
  <c r="B968" i="1" s="1"/>
  <c r="B969" i="1" s="1"/>
  <c r="B970" i="1" s="1"/>
  <c r="B971" i="1" s="1"/>
  <c r="B972" i="1" s="1"/>
  <c r="D955" i="1"/>
  <c r="D956" i="1" s="1"/>
  <c r="D957" i="1" s="1"/>
  <c r="D958" i="1" s="1"/>
  <c r="D959" i="1" s="1"/>
  <c r="D960" i="1" s="1"/>
  <c r="D961" i="1" s="1"/>
  <c r="G967" i="1"/>
  <c r="G968" i="1" s="1"/>
  <c r="G969" i="1" s="1"/>
  <c r="G970" i="1" s="1"/>
  <c r="G971" i="1" s="1"/>
  <c r="G972" i="1" s="1"/>
  <c r="I970" i="1"/>
  <c r="I971" i="1" s="1"/>
  <c r="I972" i="1" s="1"/>
  <c r="C972" i="1"/>
  <c r="F972" i="1"/>
  <c r="H972" i="1"/>
  <c r="K967" i="1"/>
  <c r="K968" i="1" s="1"/>
  <c r="K969" i="1" s="1"/>
  <c r="K970" i="1" s="1"/>
  <c r="K971" i="1" s="1"/>
  <c r="K972" i="1" s="1"/>
  <c r="E972" i="1"/>
  <c r="E973" i="1" s="1"/>
  <c r="J972" i="1"/>
  <c r="J973" i="1" s="1"/>
  <c r="O966" i="1"/>
  <c r="V440" i="1"/>
  <c r="O444" i="1"/>
  <c r="O418" i="1"/>
  <c r="L336" i="1"/>
  <c r="O622" i="1"/>
  <c r="O668" i="1"/>
  <c r="O671" i="1"/>
  <c r="V695" i="1"/>
  <c r="O723" i="1"/>
  <c r="O699" i="1"/>
  <c r="O736" i="1"/>
  <c r="O564" i="1"/>
  <c r="O541" i="1"/>
  <c r="P541" i="1"/>
  <c r="Q541" i="1"/>
  <c r="R541" i="1"/>
  <c r="O454" i="1"/>
  <c r="O451" i="1" s="1"/>
  <c r="O486" i="1"/>
  <c r="O491" i="1"/>
  <c r="B498" i="1"/>
  <c r="C498" i="1"/>
  <c r="E498" i="1"/>
  <c r="F498" i="1"/>
  <c r="G498" i="1"/>
  <c r="H498" i="1"/>
  <c r="I498" i="1"/>
  <c r="J498" i="1"/>
  <c r="K498" i="1"/>
  <c r="L498" i="1"/>
  <c r="M498" i="1"/>
  <c r="N498" i="1"/>
  <c r="Q498" i="1"/>
  <c r="R498" i="1"/>
  <c r="W498" i="1"/>
  <c r="O749" i="1"/>
  <c r="O377" i="1"/>
  <c r="B402" i="1"/>
  <c r="C402" i="1"/>
  <c r="E402" i="1"/>
  <c r="F402" i="1"/>
  <c r="G402" i="1"/>
  <c r="H402" i="1"/>
  <c r="I402" i="1"/>
  <c r="J402" i="1"/>
  <c r="K402" i="1"/>
  <c r="L402" i="1"/>
  <c r="M402" i="1"/>
  <c r="N402" i="1"/>
  <c r="P402" i="1"/>
  <c r="Q402" i="1"/>
  <c r="R402" i="1"/>
  <c r="S402" i="1"/>
  <c r="V402" i="1"/>
  <c r="B270" i="1"/>
  <c r="C270" i="1"/>
  <c r="E270" i="1"/>
  <c r="F270" i="1"/>
  <c r="G270" i="1"/>
  <c r="H270" i="1"/>
  <c r="I270" i="1"/>
  <c r="J270" i="1"/>
  <c r="K270" i="1"/>
  <c r="L270" i="1"/>
  <c r="M270" i="1"/>
  <c r="N270" i="1"/>
  <c r="P270" i="1"/>
  <c r="Q270" i="1"/>
  <c r="R270" i="1"/>
  <c r="V270" i="1"/>
  <c r="O270" i="1" s="1"/>
  <c r="O206" i="1"/>
  <c r="O655" i="1"/>
  <c r="O792" i="1"/>
  <c r="T797" i="1"/>
  <c r="O799" i="1"/>
  <c r="O815" i="1"/>
  <c r="O814" i="1" s="1"/>
  <c r="O818" i="1"/>
  <c r="O823" i="1"/>
  <c r="O780" i="1"/>
  <c r="V62" i="2" l="1"/>
  <c r="U620" i="2"/>
  <c r="B962" i="1"/>
  <c r="B963" i="1" s="1"/>
  <c r="B964" i="1" s="1"/>
  <c r="B965" i="1" s="1"/>
  <c r="O258" i="1"/>
  <c r="O226" i="1"/>
  <c r="B772" i="1"/>
  <c r="C772" i="1"/>
  <c r="E772" i="1"/>
  <c r="F772" i="1"/>
  <c r="G772" i="1"/>
  <c r="B774" i="1"/>
  <c r="C774" i="1"/>
  <c r="E774" i="1"/>
  <c r="F774" i="1"/>
  <c r="G774" i="1"/>
  <c r="B776" i="1"/>
  <c r="C776" i="1"/>
  <c r="E776" i="1"/>
  <c r="F776" i="1"/>
  <c r="G776" i="1"/>
  <c r="E782" i="1"/>
  <c r="E783" i="1" s="1"/>
  <c r="F782" i="1"/>
  <c r="F783" i="1" s="1"/>
  <c r="G782" i="1"/>
  <c r="G783" i="1" s="1"/>
  <c r="B782" i="1"/>
  <c r="B783" i="1" s="1"/>
  <c r="B785" i="1"/>
  <c r="E785" i="1"/>
  <c r="F785" i="1"/>
  <c r="G785" i="1"/>
  <c r="B787" i="1"/>
  <c r="D787" i="1"/>
  <c r="E787" i="1"/>
  <c r="F787" i="1"/>
  <c r="G787" i="1"/>
  <c r="B789" i="1"/>
  <c r="C789" i="1"/>
  <c r="E789" i="1"/>
  <c r="F789" i="1"/>
  <c r="G789" i="1"/>
  <c r="B793" i="1"/>
  <c r="C793" i="1"/>
  <c r="D793" i="1"/>
  <c r="E793" i="1"/>
  <c r="F793" i="1"/>
  <c r="G793" i="1"/>
  <c r="B797" i="1"/>
  <c r="C797" i="1"/>
  <c r="D797" i="1"/>
  <c r="E797" i="1"/>
  <c r="F797" i="1"/>
  <c r="G797" i="1"/>
  <c r="B800" i="1"/>
  <c r="C800" i="1"/>
  <c r="E800" i="1"/>
  <c r="F800" i="1"/>
  <c r="G800" i="1"/>
  <c r="B804" i="1"/>
  <c r="C804" i="1"/>
  <c r="E804" i="1"/>
  <c r="F804" i="1"/>
  <c r="G804" i="1"/>
  <c r="B806" i="1"/>
  <c r="C806" i="1"/>
  <c r="D806" i="1"/>
  <c r="E806" i="1"/>
  <c r="F806" i="1"/>
  <c r="G806" i="1"/>
  <c r="B809" i="1"/>
  <c r="C809" i="1"/>
  <c r="E809" i="1"/>
  <c r="F809" i="1"/>
  <c r="G809" i="1"/>
  <c r="B811" i="1"/>
  <c r="C811" i="1"/>
  <c r="D811" i="1"/>
  <c r="E811" i="1"/>
  <c r="F811" i="1"/>
  <c r="G811" i="1"/>
  <c r="B813" i="1"/>
  <c r="B815" i="1" s="1"/>
  <c r="C813" i="1"/>
  <c r="C815" i="1" s="1"/>
  <c r="D813" i="1"/>
  <c r="D815" i="1" s="1"/>
  <c r="E813" i="1"/>
  <c r="E815" i="1" s="1"/>
  <c r="F813" i="1"/>
  <c r="F815" i="1" s="1"/>
  <c r="G813" i="1"/>
  <c r="G815" i="1" s="1"/>
  <c r="B816" i="1"/>
  <c r="C816" i="1"/>
  <c r="D816" i="1"/>
  <c r="E816" i="1"/>
  <c r="F816" i="1"/>
  <c r="G816" i="1"/>
  <c r="B819" i="1"/>
  <c r="B820" i="1" s="1"/>
  <c r="C819" i="1"/>
  <c r="C820" i="1" s="1"/>
  <c r="D819" i="1"/>
  <c r="D820" i="1" s="1"/>
  <c r="E819" i="1"/>
  <c r="E820" i="1" s="1"/>
  <c r="F819" i="1"/>
  <c r="F820" i="1" s="1"/>
  <c r="G819" i="1"/>
  <c r="G820" i="1" s="1"/>
  <c r="B822" i="1"/>
  <c r="G822" i="1"/>
  <c r="B824" i="1"/>
  <c r="B825" i="1" s="1"/>
  <c r="C824" i="1"/>
  <c r="C825" i="1" s="1"/>
  <c r="D824" i="1"/>
  <c r="D825" i="1" s="1"/>
  <c r="E824" i="1"/>
  <c r="E825" i="1" s="1"/>
  <c r="F824" i="1"/>
  <c r="F825" i="1" s="1"/>
  <c r="G824" i="1"/>
  <c r="G825" i="1" s="1"/>
  <c r="B827" i="1"/>
  <c r="C827" i="1"/>
  <c r="E827" i="1"/>
  <c r="F827" i="1"/>
  <c r="G827" i="1"/>
  <c r="B829" i="1"/>
  <c r="C829" i="1"/>
  <c r="E829" i="1"/>
  <c r="F829" i="1"/>
  <c r="G829" i="1"/>
  <c r="B832" i="1"/>
  <c r="C832" i="1"/>
  <c r="E832" i="1"/>
  <c r="F832" i="1"/>
  <c r="G832" i="1"/>
  <c r="B834" i="1"/>
  <c r="C834" i="1"/>
  <c r="E834" i="1"/>
  <c r="F834" i="1"/>
  <c r="G834" i="1"/>
  <c r="B838" i="1"/>
  <c r="G838" i="1"/>
  <c r="B840" i="1"/>
  <c r="C840" i="1"/>
  <c r="E840" i="1"/>
  <c r="F840" i="1"/>
  <c r="G840" i="1"/>
  <c r="B844" i="1"/>
  <c r="B845" i="1" s="1"/>
  <c r="C844" i="1"/>
  <c r="C845" i="1" s="1"/>
  <c r="D844" i="1"/>
  <c r="D845" i="1" s="1"/>
  <c r="E844" i="1"/>
  <c r="E845" i="1" s="1"/>
  <c r="F844" i="1"/>
  <c r="F845" i="1" s="1"/>
  <c r="G844" i="1"/>
  <c r="G845" i="1" s="1"/>
  <c r="B847" i="1"/>
  <c r="B848" i="1" s="1"/>
  <c r="C847" i="1"/>
  <c r="C848" i="1" s="1"/>
  <c r="D847" i="1"/>
  <c r="D848" i="1" s="1"/>
  <c r="E847" i="1"/>
  <c r="E848" i="1" s="1"/>
  <c r="F847" i="1"/>
  <c r="F848" i="1" s="1"/>
  <c r="G847" i="1"/>
  <c r="G848" i="1" s="1"/>
  <c r="B850" i="1"/>
  <c r="C850" i="1"/>
  <c r="D850" i="1"/>
  <c r="E850" i="1"/>
  <c r="F850" i="1"/>
  <c r="G850" i="1"/>
  <c r="B852" i="1"/>
  <c r="C852" i="1"/>
  <c r="E852" i="1"/>
  <c r="F852" i="1"/>
  <c r="G852" i="1"/>
  <c r="B854" i="1"/>
  <c r="C854" i="1"/>
  <c r="E854" i="1"/>
  <c r="F854" i="1"/>
  <c r="G854" i="1"/>
  <c r="B862" i="1"/>
  <c r="C862" i="1"/>
  <c r="E862" i="1"/>
  <c r="F862" i="1"/>
  <c r="G862" i="1"/>
  <c r="B864" i="1"/>
  <c r="C864" i="1"/>
  <c r="E864" i="1"/>
  <c r="F864" i="1"/>
  <c r="G864" i="1"/>
  <c r="B866" i="1"/>
  <c r="C866" i="1"/>
  <c r="E866" i="1"/>
  <c r="F866" i="1"/>
  <c r="G866" i="1"/>
  <c r="B868" i="1"/>
  <c r="C868" i="1"/>
  <c r="F868" i="1"/>
  <c r="G868" i="1"/>
  <c r="B870" i="1"/>
  <c r="C870" i="1"/>
  <c r="F870" i="1"/>
  <c r="G870" i="1"/>
  <c r="B872" i="1"/>
  <c r="C872" i="1"/>
  <c r="D872" i="1"/>
  <c r="E872" i="1"/>
  <c r="B874" i="1"/>
  <c r="C874" i="1"/>
  <c r="G874" i="1"/>
  <c r="B876" i="1"/>
  <c r="C876" i="1"/>
  <c r="G876" i="1"/>
  <c r="B878" i="1"/>
  <c r="C878" i="1"/>
  <c r="E878" i="1"/>
  <c r="G878" i="1"/>
  <c r="O868" i="1"/>
  <c r="O857" i="1"/>
  <c r="O834" i="1"/>
  <c r="O768" i="1"/>
  <c r="O764" i="1"/>
  <c r="O762" i="1" s="1"/>
  <c r="O715" i="1"/>
  <c r="O684" i="1"/>
  <c r="O682" i="1" s="1"/>
  <c r="O647" i="1"/>
  <c r="O616" i="1"/>
  <c r="O613" i="1"/>
  <c r="O646" i="1"/>
  <c r="V714" i="1"/>
  <c r="O714" i="1" s="1"/>
  <c r="O753" i="1"/>
  <c r="O876" i="1"/>
  <c r="O872" i="1"/>
  <c r="O862" i="1"/>
  <c r="O856" i="1"/>
  <c r="O850" i="1"/>
  <c r="O848" i="1"/>
  <c r="O844" i="1"/>
  <c r="O813" i="1"/>
  <c r="O809" i="1"/>
  <c r="O787" i="1"/>
  <c r="O785" i="1"/>
  <c r="O744" i="1"/>
  <c r="O742" i="1" s="1"/>
  <c r="O610" i="1"/>
  <c r="O608" i="1" s="1"/>
  <c r="O607" i="1"/>
  <c r="O605" i="1" s="1"/>
  <c r="O309" i="1"/>
  <c r="O289" i="1"/>
  <c r="O280" i="1"/>
  <c r="O274" i="1"/>
  <c r="O273" i="1" s="1"/>
  <c r="O267" i="1"/>
  <c r="V620" i="2" l="1"/>
  <c r="U621" i="2"/>
  <c r="U624" i="2"/>
  <c r="O855" i="1"/>
  <c r="O107" i="1"/>
  <c r="O94" i="1"/>
  <c r="V218" i="1"/>
  <c r="V222" i="1"/>
  <c r="V227" i="1"/>
  <c r="V236" i="1"/>
  <c r="V240" i="1"/>
  <c r="V244" i="1"/>
  <c r="V247" i="1"/>
  <c r="V249" i="1"/>
  <c r="V262" i="1"/>
  <c r="V264" i="1"/>
  <c r="O264" i="1" s="1"/>
  <c r="V300" i="1"/>
  <c r="V304" i="1"/>
  <c r="V307" i="1"/>
  <c r="V312" i="1"/>
  <c r="V314" i="1"/>
  <c r="V318" i="1"/>
  <c r="V321" i="1"/>
  <c r="V327" i="1"/>
  <c r="V331" i="1"/>
  <c r="V342" i="1"/>
  <c r="V346" i="1"/>
  <c r="V350" i="1"/>
  <c r="V352" i="1"/>
  <c r="V358" i="1"/>
  <c r="V364" i="1"/>
  <c r="V367" i="1"/>
  <c r="O367" i="1" s="1"/>
  <c r="V373" i="1"/>
  <c r="O395" i="1"/>
  <c r="V398" i="1"/>
  <c r="V400" i="1"/>
  <c r="V406" i="1"/>
  <c r="V432" i="1"/>
  <c r="V434" i="1"/>
  <c r="V437" i="1"/>
  <c r="V456" i="1"/>
  <c r="O456" i="1" s="1"/>
  <c r="V459" i="1"/>
  <c r="O463" i="1"/>
  <c r="V483" i="1"/>
  <c r="O483" i="1" s="1"/>
  <c r="V485" i="1"/>
  <c r="V489" i="1"/>
  <c r="V495" i="1"/>
  <c r="V505" i="1"/>
  <c r="V513" i="1"/>
  <c r="V516" i="1"/>
  <c r="V518" i="1"/>
  <c r="V520" i="1"/>
  <c r="V522" i="1"/>
  <c r="V533" i="1"/>
  <c r="V550" i="1"/>
  <c r="V557" i="1"/>
  <c r="V559" i="1"/>
  <c r="O559" i="1" s="1"/>
  <c r="V565" i="1"/>
  <c r="V572" i="1"/>
  <c r="V578" i="1"/>
  <c r="O578" i="1" s="1"/>
  <c r="O580" i="1"/>
  <c r="V583" i="1"/>
  <c r="O583" i="1" s="1"/>
  <c r="V588" i="1"/>
  <c r="O588" i="1" s="1"/>
  <c r="V591" i="1"/>
  <c r="O593" i="1"/>
  <c r="V599" i="1"/>
  <c r="O599" i="1" s="1"/>
  <c r="O603" i="1"/>
  <c r="O602" i="1" s="1"/>
  <c r="V606" i="1"/>
  <c r="V609" i="1"/>
  <c r="V612" i="1"/>
  <c r="O612" i="1" s="1"/>
  <c r="V615" i="1"/>
  <c r="O615" i="1" s="1"/>
  <c r="V618" i="1"/>
  <c r="O618" i="1" s="1"/>
  <c r="V621" i="1"/>
  <c r="V627" i="1"/>
  <c r="V629" i="1"/>
  <c r="V633" i="1"/>
  <c r="V635" i="1"/>
  <c r="V650" i="1"/>
  <c r="V652" i="1"/>
  <c r="V654" i="1"/>
  <c r="O654" i="1" s="1"/>
  <c r="V656" i="1"/>
  <c r="V659" i="1"/>
  <c r="V663" i="1"/>
  <c r="V665" i="1"/>
  <c r="V669" i="1"/>
  <c r="V672" i="1"/>
  <c r="V678" i="1"/>
  <c r="V681" i="1"/>
  <c r="V691" i="1"/>
  <c r="V693" i="1"/>
  <c r="V697" i="1"/>
  <c r="V707" i="1"/>
  <c r="V711" i="1"/>
  <c r="V717" i="1"/>
  <c r="V720" i="1"/>
  <c r="V722" i="1"/>
  <c r="V724" i="1"/>
  <c r="O725" i="1"/>
  <c r="V728" i="1"/>
  <c r="V730" i="1"/>
  <c r="V734" i="1"/>
  <c r="V755" i="1"/>
  <c r="V757" i="1"/>
  <c r="O757" i="1" s="1"/>
  <c r="V759" i="1"/>
  <c r="O759" i="1" s="1"/>
  <c r="O761" i="1"/>
  <c r="O30" i="1"/>
  <c r="I838" i="1"/>
  <c r="O508" i="1" l="1"/>
  <c r="O512" i="1"/>
  <c r="P705" i="1"/>
  <c r="P714" i="1"/>
  <c r="P715" i="1" s="1"/>
  <c r="P724" i="1"/>
  <c r="P728" i="1"/>
  <c r="P761" i="1"/>
  <c r="P763" i="1"/>
  <c r="T672" i="1"/>
  <c r="T802" i="1"/>
  <c r="T827" i="1"/>
  <c r="T656" i="1"/>
  <c r="Q809" i="1" l="1"/>
  <c r="R809" i="1"/>
  <c r="Q813" i="1"/>
  <c r="Q815" i="1" s="1"/>
  <c r="R813" i="1"/>
  <c r="R815" i="1" s="1"/>
  <c r="Q816" i="1"/>
  <c r="R816" i="1"/>
  <c r="Q819" i="1"/>
  <c r="Q820" i="1" s="1"/>
  <c r="R819" i="1"/>
  <c r="R820" i="1" s="1"/>
  <c r="Q822" i="1"/>
  <c r="R822" i="1"/>
  <c r="Q824" i="1"/>
  <c r="Q825" i="1" s="1"/>
  <c r="R824" i="1"/>
  <c r="R825" i="1" s="1"/>
  <c r="Q827" i="1"/>
  <c r="R827" i="1"/>
  <c r="Q829" i="1"/>
  <c r="R829" i="1"/>
  <c r="Q832" i="1"/>
  <c r="R832" i="1"/>
  <c r="Q834" i="1"/>
  <c r="R834" i="1"/>
  <c r="Q838" i="1"/>
  <c r="R838" i="1"/>
  <c r="Q840" i="1"/>
  <c r="R840" i="1"/>
  <c r="Q844" i="1"/>
  <c r="Q845" i="1" s="1"/>
  <c r="R844" i="1"/>
  <c r="R845" i="1" s="1"/>
  <c r="Q847" i="1"/>
  <c r="Q848" i="1" s="1"/>
  <c r="R847" i="1"/>
  <c r="R848" i="1" s="1"/>
  <c r="Q850" i="1"/>
  <c r="R850" i="1"/>
  <c r="Q852" i="1"/>
  <c r="R852" i="1"/>
  <c r="Q854" i="1"/>
  <c r="R854" i="1"/>
  <c r="Q856" i="1"/>
  <c r="Q857" i="1" s="1"/>
  <c r="R856" i="1"/>
  <c r="R857" i="1" s="1"/>
  <c r="Q862" i="1"/>
  <c r="R862" i="1"/>
  <c r="Q864" i="1"/>
  <c r="R864" i="1"/>
  <c r="Q866" i="1"/>
  <c r="R866" i="1"/>
  <c r="Q868" i="1"/>
  <c r="R868" i="1"/>
  <c r="Q870" i="1"/>
  <c r="R870" i="1"/>
  <c r="Q872" i="1"/>
  <c r="R872" i="1"/>
  <c r="Q874" i="1"/>
  <c r="R874" i="1"/>
  <c r="Q876" i="1"/>
  <c r="R876" i="1"/>
  <c r="Q878" i="1"/>
  <c r="R878" i="1"/>
  <c r="Q880" i="1"/>
  <c r="R880" i="1"/>
  <c r="Q882" i="1"/>
  <c r="R882" i="1"/>
  <c r="B505" i="1"/>
  <c r="C505" i="1"/>
  <c r="E505" i="1"/>
  <c r="F505" i="1"/>
  <c r="G505" i="1"/>
  <c r="H505" i="1"/>
  <c r="J505" i="1"/>
  <c r="K505" i="1"/>
  <c r="L505" i="1"/>
  <c r="M505" i="1"/>
  <c r="N505" i="1"/>
  <c r="B509" i="1"/>
  <c r="B510" i="1" s="1"/>
  <c r="C509" i="1"/>
  <c r="C510" i="1" s="1"/>
  <c r="E509" i="1"/>
  <c r="E510" i="1" s="1"/>
  <c r="F509" i="1"/>
  <c r="F510" i="1" s="1"/>
  <c r="G509" i="1"/>
  <c r="G510" i="1" s="1"/>
  <c r="H509" i="1"/>
  <c r="H510" i="1" s="1"/>
  <c r="J509" i="1"/>
  <c r="J510" i="1" s="1"/>
  <c r="K509" i="1"/>
  <c r="K510" i="1" s="1"/>
  <c r="L509" i="1"/>
  <c r="L510" i="1" s="1"/>
  <c r="M509" i="1"/>
  <c r="M510" i="1" s="1"/>
  <c r="N509" i="1"/>
  <c r="N510" i="1" s="1"/>
  <c r="B513" i="1"/>
  <c r="B514" i="1" s="1"/>
  <c r="C513" i="1"/>
  <c r="C514" i="1" s="1"/>
  <c r="E513" i="1"/>
  <c r="E514" i="1" s="1"/>
  <c r="F513" i="1"/>
  <c r="F514" i="1" s="1"/>
  <c r="G513" i="1"/>
  <c r="G514" i="1" s="1"/>
  <c r="H513" i="1"/>
  <c r="H514" i="1" s="1"/>
  <c r="J513" i="1"/>
  <c r="J514" i="1" s="1"/>
  <c r="K513" i="1"/>
  <c r="K514" i="1" s="1"/>
  <c r="L513" i="1"/>
  <c r="L514" i="1" s="1"/>
  <c r="M513" i="1"/>
  <c r="M514" i="1" s="1"/>
  <c r="N513" i="1"/>
  <c r="N514" i="1" s="1"/>
  <c r="B516" i="1"/>
  <c r="C516" i="1"/>
  <c r="E516" i="1"/>
  <c r="F516" i="1"/>
  <c r="G516" i="1"/>
  <c r="H516" i="1"/>
  <c r="J516" i="1"/>
  <c r="K516" i="1"/>
  <c r="L516" i="1"/>
  <c r="M516" i="1"/>
  <c r="N516" i="1"/>
  <c r="B518" i="1"/>
  <c r="C518" i="1"/>
  <c r="E518" i="1"/>
  <c r="F518" i="1"/>
  <c r="G518" i="1"/>
  <c r="H518" i="1"/>
  <c r="J518" i="1"/>
  <c r="K518" i="1"/>
  <c r="L518" i="1"/>
  <c r="M518" i="1"/>
  <c r="N518" i="1"/>
  <c r="B520" i="1"/>
  <c r="C520" i="1"/>
  <c r="E520" i="1"/>
  <c r="F520" i="1"/>
  <c r="G520" i="1"/>
  <c r="H520" i="1"/>
  <c r="I520" i="1"/>
  <c r="J520" i="1"/>
  <c r="K520" i="1"/>
  <c r="L520" i="1"/>
  <c r="M520" i="1"/>
  <c r="N520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B526" i="1"/>
  <c r="C526" i="1"/>
  <c r="E526" i="1"/>
  <c r="F526" i="1"/>
  <c r="G526" i="1"/>
  <c r="H526" i="1"/>
  <c r="I526" i="1"/>
  <c r="J526" i="1"/>
  <c r="K526" i="1"/>
  <c r="L526" i="1"/>
  <c r="M526" i="1"/>
  <c r="N526" i="1"/>
  <c r="B533" i="1"/>
  <c r="C533" i="1"/>
  <c r="E533" i="1"/>
  <c r="F533" i="1"/>
  <c r="G533" i="1"/>
  <c r="H533" i="1"/>
  <c r="J533" i="1"/>
  <c r="K533" i="1"/>
  <c r="L533" i="1"/>
  <c r="M533" i="1"/>
  <c r="N533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B543" i="1"/>
  <c r="C543" i="1"/>
  <c r="E543" i="1"/>
  <c r="F543" i="1"/>
  <c r="G543" i="1"/>
  <c r="H543" i="1"/>
  <c r="I543" i="1"/>
  <c r="J543" i="1"/>
  <c r="K543" i="1"/>
  <c r="L543" i="1"/>
  <c r="M543" i="1"/>
  <c r="N543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B547" i="1"/>
  <c r="C547" i="1"/>
  <c r="E547" i="1"/>
  <c r="F547" i="1"/>
  <c r="G547" i="1"/>
  <c r="H547" i="1"/>
  <c r="I547" i="1"/>
  <c r="J547" i="1"/>
  <c r="K547" i="1"/>
  <c r="L547" i="1"/>
  <c r="M547" i="1"/>
  <c r="N547" i="1"/>
  <c r="B550" i="1"/>
  <c r="C550" i="1"/>
  <c r="E550" i="1"/>
  <c r="F550" i="1"/>
  <c r="G550" i="1"/>
  <c r="H550" i="1"/>
  <c r="I550" i="1"/>
  <c r="J550" i="1"/>
  <c r="K550" i="1"/>
  <c r="L550" i="1"/>
  <c r="M550" i="1"/>
  <c r="N550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B557" i="1"/>
  <c r="C557" i="1"/>
  <c r="E557" i="1"/>
  <c r="F557" i="1"/>
  <c r="G557" i="1"/>
  <c r="H557" i="1"/>
  <c r="I557" i="1"/>
  <c r="J557" i="1"/>
  <c r="K557" i="1"/>
  <c r="L557" i="1"/>
  <c r="M557" i="1"/>
  <c r="N557" i="1"/>
  <c r="B559" i="1"/>
  <c r="C559" i="1"/>
  <c r="E559" i="1"/>
  <c r="F559" i="1"/>
  <c r="G559" i="1"/>
  <c r="H559" i="1"/>
  <c r="I559" i="1"/>
  <c r="J559" i="1"/>
  <c r="K559" i="1"/>
  <c r="L559" i="1"/>
  <c r="M559" i="1"/>
  <c r="N559" i="1"/>
  <c r="B562" i="1"/>
  <c r="C562" i="1"/>
  <c r="D562" i="1"/>
  <c r="E562" i="1"/>
  <c r="F562" i="1"/>
  <c r="G562" i="1"/>
  <c r="H562" i="1"/>
  <c r="J562" i="1"/>
  <c r="K562" i="1"/>
  <c r="L562" i="1"/>
  <c r="M562" i="1"/>
  <c r="N562" i="1"/>
  <c r="B565" i="1"/>
  <c r="B566" i="1" s="1"/>
  <c r="C565" i="1"/>
  <c r="C566" i="1" s="1"/>
  <c r="E565" i="1"/>
  <c r="E566" i="1" s="1"/>
  <c r="F565" i="1"/>
  <c r="F566" i="1" s="1"/>
  <c r="G565" i="1"/>
  <c r="G566" i="1" s="1"/>
  <c r="H565" i="1"/>
  <c r="H566" i="1" s="1"/>
  <c r="I565" i="1"/>
  <c r="I566" i="1" s="1"/>
  <c r="J565" i="1"/>
  <c r="J566" i="1" s="1"/>
  <c r="K565" i="1"/>
  <c r="K566" i="1" s="1"/>
  <c r="L565" i="1"/>
  <c r="L566" i="1" s="1"/>
  <c r="M565" i="1"/>
  <c r="M566" i="1" s="1"/>
  <c r="N565" i="1"/>
  <c r="N566" i="1" s="1"/>
  <c r="B568" i="1"/>
  <c r="C568" i="1"/>
  <c r="E568" i="1"/>
  <c r="F568" i="1"/>
  <c r="G568" i="1"/>
  <c r="H568" i="1"/>
  <c r="I568" i="1"/>
  <c r="J568" i="1"/>
  <c r="K568" i="1"/>
  <c r="L568" i="1"/>
  <c r="M568" i="1"/>
  <c r="N568" i="1"/>
  <c r="B572" i="1"/>
  <c r="C572" i="1"/>
  <c r="E572" i="1"/>
  <c r="F572" i="1"/>
  <c r="G572" i="1"/>
  <c r="H572" i="1"/>
  <c r="I572" i="1"/>
  <c r="J572" i="1"/>
  <c r="K572" i="1"/>
  <c r="L572" i="1"/>
  <c r="M572" i="1"/>
  <c r="N572" i="1"/>
  <c r="B578" i="1"/>
  <c r="C578" i="1"/>
  <c r="E578" i="1"/>
  <c r="F578" i="1"/>
  <c r="G578" i="1"/>
  <c r="H578" i="1"/>
  <c r="J578" i="1"/>
  <c r="K578" i="1"/>
  <c r="L578" i="1"/>
  <c r="M578" i="1"/>
  <c r="N578" i="1"/>
  <c r="B580" i="1"/>
  <c r="C580" i="1"/>
  <c r="E580" i="1"/>
  <c r="F580" i="1"/>
  <c r="G580" i="1"/>
  <c r="H580" i="1"/>
  <c r="J580" i="1"/>
  <c r="K580" i="1"/>
  <c r="L580" i="1"/>
  <c r="M580" i="1"/>
  <c r="N580" i="1"/>
  <c r="B583" i="1"/>
  <c r="C583" i="1"/>
  <c r="E583" i="1"/>
  <c r="F583" i="1"/>
  <c r="G583" i="1"/>
  <c r="H583" i="1"/>
  <c r="J583" i="1"/>
  <c r="K583" i="1"/>
  <c r="L583" i="1"/>
  <c r="M583" i="1"/>
  <c r="N583" i="1"/>
  <c r="B586" i="1"/>
  <c r="C586" i="1"/>
  <c r="E586" i="1"/>
  <c r="F586" i="1"/>
  <c r="G586" i="1"/>
  <c r="H586" i="1"/>
  <c r="I586" i="1"/>
  <c r="J586" i="1"/>
  <c r="K586" i="1"/>
  <c r="L586" i="1"/>
  <c r="M586" i="1"/>
  <c r="N586" i="1"/>
  <c r="B588" i="1"/>
  <c r="C588" i="1"/>
  <c r="E588" i="1"/>
  <c r="F588" i="1"/>
  <c r="G588" i="1"/>
  <c r="H588" i="1"/>
  <c r="I588" i="1"/>
  <c r="J588" i="1"/>
  <c r="K588" i="1"/>
  <c r="L588" i="1"/>
  <c r="M588" i="1"/>
  <c r="N588" i="1"/>
  <c r="B591" i="1"/>
  <c r="C591" i="1"/>
  <c r="E591" i="1"/>
  <c r="F591" i="1"/>
  <c r="G591" i="1"/>
  <c r="H591" i="1"/>
  <c r="J591" i="1"/>
  <c r="K591" i="1"/>
  <c r="L591" i="1"/>
  <c r="M591" i="1"/>
  <c r="N591" i="1"/>
  <c r="B593" i="1"/>
  <c r="C593" i="1"/>
  <c r="D593" i="1"/>
  <c r="E593" i="1"/>
  <c r="F593" i="1"/>
  <c r="G593" i="1"/>
  <c r="H593" i="1"/>
  <c r="J593" i="1"/>
  <c r="K593" i="1"/>
  <c r="L593" i="1"/>
  <c r="M593" i="1"/>
  <c r="N593" i="1"/>
  <c r="B599" i="1"/>
  <c r="C599" i="1"/>
  <c r="E599" i="1"/>
  <c r="F599" i="1"/>
  <c r="G599" i="1"/>
  <c r="H599" i="1"/>
  <c r="I599" i="1"/>
  <c r="J599" i="1"/>
  <c r="K599" i="1"/>
  <c r="L599" i="1"/>
  <c r="M599" i="1"/>
  <c r="N599" i="1"/>
  <c r="B601" i="1"/>
  <c r="C601" i="1"/>
  <c r="D601" i="1"/>
  <c r="E601" i="1"/>
  <c r="F601" i="1"/>
  <c r="G601" i="1"/>
  <c r="H601" i="1"/>
  <c r="J601" i="1"/>
  <c r="K601" i="1"/>
  <c r="L601" i="1"/>
  <c r="M601" i="1"/>
  <c r="N601" i="1"/>
  <c r="B603" i="1"/>
  <c r="B604" i="1" s="1"/>
  <c r="C603" i="1"/>
  <c r="C604" i="1" s="1"/>
  <c r="D603" i="1"/>
  <c r="D604" i="1" s="1"/>
  <c r="E603" i="1"/>
  <c r="E604" i="1" s="1"/>
  <c r="F603" i="1"/>
  <c r="F604" i="1" s="1"/>
  <c r="G603" i="1"/>
  <c r="G604" i="1" s="1"/>
  <c r="H603" i="1"/>
  <c r="H604" i="1" s="1"/>
  <c r="I603" i="1"/>
  <c r="I604" i="1" s="1"/>
  <c r="J603" i="1"/>
  <c r="J604" i="1" s="1"/>
  <c r="K603" i="1"/>
  <c r="K604" i="1" s="1"/>
  <c r="L603" i="1"/>
  <c r="L604" i="1" s="1"/>
  <c r="M603" i="1"/>
  <c r="M604" i="1" s="1"/>
  <c r="N603" i="1"/>
  <c r="N604" i="1" s="1"/>
  <c r="B606" i="1"/>
  <c r="B607" i="1" s="1"/>
  <c r="C606" i="1"/>
  <c r="C607" i="1" s="1"/>
  <c r="E606" i="1"/>
  <c r="E607" i="1" s="1"/>
  <c r="F606" i="1"/>
  <c r="F607" i="1" s="1"/>
  <c r="G606" i="1"/>
  <c r="G607" i="1" s="1"/>
  <c r="H606" i="1"/>
  <c r="H607" i="1" s="1"/>
  <c r="I606" i="1"/>
  <c r="I607" i="1" s="1"/>
  <c r="J606" i="1"/>
  <c r="J607" i="1" s="1"/>
  <c r="K606" i="1"/>
  <c r="K607" i="1" s="1"/>
  <c r="L606" i="1"/>
  <c r="L607" i="1" s="1"/>
  <c r="M606" i="1"/>
  <c r="M607" i="1" s="1"/>
  <c r="N606" i="1"/>
  <c r="N607" i="1" s="1"/>
  <c r="B609" i="1"/>
  <c r="B610" i="1" s="1"/>
  <c r="C609" i="1"/>
  <c r="C610" i="1" s="1"/>
  <c r="D609" i="1"/>
  <c r="D610" i="1" s="1"/>
  <c r="E609" i="1"/>
  <c r="E610" i="1" s="1"/>
  <c r="F609" i="1"/>
  <c r="F610" i="1" s="1"/>
  <c r="G609" i="1"/>
  <c r="G610" i="1" s="1"/>
  <c r="H609" i="1"/>
  <c r="H610" i="1" s="1"/>
  <c r="I609" i="1"/>
  <c r="I610" i="1" s="1"/>
  <c r="J609" i="1"/>
  <c r="J610" i="1" s="1"/>
  <c r="K609" i="1"/>
  <c r="K610" i="1" s="1"/>
  <c r="L609" i="1"/>
  <c r="L610" i="1" s="1"/>
  <c r="M609" i="1"/>
  <c r="M610" i="1" s="1"/>
  <c r="N609" i="1"/>
  <c r="N610" i="1" s="1"/>
  <c r="B612" i="1"/>
  <c r="B613" i="1" s="1"/>
  <c r="C612" i="1"/>
  <c r="C613" i="1" s="1"/>
  <c r="D612" i="1"/>
  <c r="D613" i="1" s="1"/>
  <c r="E612" i="1"/>
  <c r="E613" i="1" s="1"/>
  <c r="F612" i="1"/>
  <c r="F613" i="1" s="1"/>
  <c r="G612" i="1"/>
  <c r="G613" i="1" s="1"/>
  <c r="H612" i="1"/>
  <c r="H613" i="1" s="1"/>
  <c r="J612" i="1"/>
  <c r="J613" i="1" s="1"/>
  <c r="K612" i="1"/>
  <c r="K613" i="1" s="1"/>
  <c r="L612" i="1"/>
  <c r="L613" i="1" s="1"/>
  <c r="M612" i="1"/>
  <c r="M613" i="1" s="1"/>
  <c r="N612" i="1"/>
  <c r="N613" i="1" s="1"/>
  <c r="B615" i="1"/>
  <c r="B616" i="1" s="1"/>
  <c r="C615" i="1"/>
  <c r="C616" i="1" s="1"/>
  <c r="E615" i="1"/>
  <c r="E616" i="1" s="1"/>
  <c r="F615" i="1"/>
  <c r="F616" i="1" s="1"/>
  <c r="G615" i="1"/>
  <c r="G616" i="1" s="1"/>
  <c r="H615" i="1"/>
  <c r="H616" i="1" s="1"/>
  <c r="J615" i="1"/>
  <c r="J616" i="1" s="1"/>
  <c r="K615" i="1"/>
  <c r="K616" i="1" s="1"/>
  <c r="L615" i="1"/>
  <c r="L616" i="1" s="1"/>
  <c r="M615" i="1"/>
  <c r="M616" i="1" s="1"/>
  <c r="N615" i="1"/>
  <c r="N616" i="1" s="1"/>
  <c r="B618" i="1"/>
  <c r="C618" i="1"/>
  <c r="E618" i="1"/>
  <c r="F618" i="1"/>
  <c r="G618" i="1"/>
  <c r="H618" i="1"/>
  <c r="I618" i="1"/>
  <c r="J618" i="1"/>
  <c r="K618" i="1"/>
  <c r="L618" i="1"/>
  <c r="M618" i="1"/>
  <c r="N618" i="1"/>
  <c r="B621" i="1"/>
  <c r="C621" i="1"/>
  <c r="E621" i="1"/>
  <c r="F621" i="1"/>
  <c r="G621" i="1"/>
  <c r="H621" i="1"/>
  <c r="J621" i="1"/>
  <c r="K621" i="1"/>
  <c r="L621" i="1"/>
  <c r="M621" i="1"/>
  <c r="N621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B625" i="1"/>
  <c r="C625" i="1"/>
  <c r="E625" i="1"/>
  <c r="F625" i="1"/>
  <c r="G625" i="1"/>
  <c r="H625" i="1"/>
  <c r="J625" i="1"/>
  <c r="K625" i="1"/>
  <c r="L625" i="1"/>
  <c r="M625" i="1"/>
  <c r="N625" i="1"/>
  <c r="B627" i="1"/>
  <c r="C627" i="1"/>
  <c r="E627" i="1"/>
  <c r="F627" i="1"/>
  <c r="G627" i="1"/>
  <c r="H627" i="1"/>
  <c r="I627" i="1"/>
  <c r="J627" i="1"/>
  <c r="K627" i="1"/>
  <c r="L627" i="1"/>
  <c r="M627" i="1"/>
  <c r="N627" i="1"/>
  <c r="B629" i="1"/>
  <c r="C629" i="1"/>
  <c r="E629" i="1"/>
  <c r="F629" i="1"/>
  <c r="G629" i="1"/>
  <c r="H629" i="1"/>
  <c r="I629" i="1"/>
  <c r="J629" i="1"/>
  <c r="K629" i="1"/>
  <c r="L629" i="1"/>
  <c r="M629" i="1"/>
  <c r="N629" i="1"/>
  <c r="B631" i="1"/>
  <c r="C631" i="1"/>
  <c r="E631" i="1"/>
  <c r="F631" i="1"/>
  <c r="G631" i="1"/>
  <c r="H631" i="1"/>
  <c r="J631" i="1"/>
  <c r="K631" i="1"/>
  <c r="L631" i="1"/>
  <c r="M631" i="1"/>
  <c r="N631" i="1"/>
  <c r="B633" i="1"/>
  <c r="C633" i="1"/>
  <c r="E633" i="1"/>
  <c r="F633" i="1"/>
  <c r="G633" i="1"/>
  <c r="H633" i="1"/>
  <c r="I633" i="1"/>
  <c r="J633" i="1"/>
  <c r="K633" i="1"/>
  <c r="L633" i="1"/>
  <c r="M633" i="1"/>
  <c r="N633" i="1"/>
  <c r="B635" i="1"/>
  <c r="C635" i="1"/>
  <c r="E635" i="1"/>
  <c r="F635" i="1"/>
  <c r="G635" i="1"/>
  <c r="H635" i="1"/>
  <c r="I635" i="1"/>
  <c r="J635" i="1"/>
  <c r="K635" i="1"/>
  <c r="L635" i="1"/>
  <c r="M635" i="1"/>
  <c r="N635" i="1"/>
  <c r="B641" i="1"/>
  <c r="C641" i="1"/>
  <c r="E641" i="1"/>
  <c r="F641" i="1"/>
  <c r="G641" i="1"/>
  <c r="H641" i="1"/>
  <c r="I641" i="1"/>
  <c r="J641" i="1"/>
  <c r="K641" i="1"/>
  <c r="L641" i="1"/>
  <c r="M641" i="1"/>
  <c r="N641" i="1"/>
  <c r="B646" i="1"/>
  <c r="B647" i="1" s="1"/>
  <c r="C646" i="1"/>
  <c r="C647" i="1" s="1"/>
  <c r="D646" i="1"/>
  <c r="D647" i="1" s="1"/>
  <c r="E646" i="1"/>
  <c r="E647" i="1" s="1"/>
  <c r="F646" i="1"/>
  <c r="F647" i="1" s="1"/>
  <c r="G646" i="1"/>
  <c r="G647" i="1" s="1"/>
  <c r="H646" i="1"/>
  <c r="H647" i="1" s="1"/>
  <c r="I646" i="1"/>
  <c r="I647" i="1" s="1"/>
  <c r="J646" i="1"/>
  <c r="J647" i="1" s="1"/>
  <c r="K646" i="1"/>
  <c r="K647" i="1" s="1"/>
  <c r="L646" i="1"/>
  <c r="L647" i="1" s="1"/>
  <c r="M646" i="1"/>
  <c r="M647" i="1" s="1"/>
  <c r="N646" i="1"/>
  <c r="N647" i="1" s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B652" i="1"/>
  <c r="C652" i="1"/>
  <c r="E652" i="1"/>
  <c r="F652" i="1"/>
  <c r="G652" i="1"/>
  <c r="H652" i="1"/>
  <c r="I652" i="1"/>
  <c r="J652" i="1"/>
  <c r="K652" i="1"/>
  <c r="L652" i="1"/>
  <c r="M652" i="1"/>
  <c r="N652" i="1"/>
  <c r="B654" i="1"/>
  <c r="C654" i="1"/>
  <c r="E654" i="1"/>
  <c r="F654" i="1"/>
  <c r="G654" i="1"/>
  <c r="H654" i="1"/>
  <c r="I654" i="1"/>
  <c r="J654" i="1"/>
  <c r="K654" i="1"/>
  <c r="L654" i="1"/>
  <c r="M654" i="1"/>
  <c r="N654" i="1"/>
  <c r="B656" i="1"/>
  <c r="B657" i="1" s="1"/>
  <c r="C656" i="1"/>
  <c r="C657" i="1" s="1"/>
  <c r="E656" i="1"/>
  <c r="E657" i="1" s="1"/>
  <c r="F656" i="1"/>
  <c r="F657" i="1" s="1"/>
  <c r="G656" i="1"/>
  <c r="G657" i="1" s="1"/>
  <c r="H656" i="1"/>
  <c r="H657" i="1" s="1"/>
  <c r="J656" i="1"/>
  <c r="J657" i="1" s="1"/>
  <c r="K656" i="1"/>
  <c r="K657" i="1" s="1"/>
  <c r="L656" i="1"/>
  <c r="L657" i="1" s="1"/>
  <c r="M656" i="1"/>
  <c r="M657" i="1" s="1"/>
  <c r="N656" i="1"/>
  <c r="N657" i="1" s="1"/>
  <c r="B659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B663" i="1"/>
  <c r="C663" i="1"/>
  <c r="E663" i="1"/>
  <c r="F663" i="1"/>
  <c r="G663" i="1"/>
  <c r="H663" i="1"/>
  <c r="I663" i="1"/>
  <c r="J663" i="1"/>
  <c r="K663" i="1"/>
  <c r="L663" i="1"/>
  <c r="M663" i="1"/>
  <c r="N663" i="1"/>
  <c r="B665" i="1"/>
  <c r="C665" i="1"/>
  <c r="E665" i="1"/>
  <c r="F665" i="1"/>
  <c r="G665" i="1"/>
  <c r="H665" i="1"/>
  <c r="J665" i="1"/>
  <c r="K665" i="1"/>
  <c r="L665" i="1"/>
  <c r="M665" i="1"/>
  <c r="N665" i="1"/>
  <c r="B667" i="1"/>
  <c r="C667" i="1"/>
  <c r="E667" i="1"/>
  <c r="F667" i="1"/>
  <c r="G667" i="1"/>
  <c r="H667" i="1"/>
  <c r="I667" i="1"/>
  <c r="J667" i="1"/>
  <c r="K667" i="1"/>
  <c r="L667" i="1"/>
  <c r="M667" i="1"/>
  <c r="N667" i="1"/>
  <c r="B669" i="1"/>
  <c r="B670" i="1" s="1"/>
  <c r="C669" i="1"/>
  <c r="C670" i="1" s="1"/>
  <c r="E669" i="1"/>
  <c r="E670" i="1" s="1"/>
  <c r="F669" i="1"/>
  <c r="F670" i="1" s="1"/>
  <c r="G669" i="1"/>
  <c r="G670" i="1" s="1"/>
  <c r="H669" i="1"/>
  <c r="H670" i="1" s="1"/>
  <c r="J669" i="1"/>
  <c r="J670" i="1" s="1"/>
  <c r="K669" i="1"/>
  <c r="K670" i="1" s="1"/>
  <c r="L669" i="1"/>
  <c r="L670" i="1" s="1"/>
  <c r="M669" i="1"/>
  <c r="M670" i="1" s="1"/>
  <c r="N669" i="1"/>
  <c r="N670" i="1" s="1"/>
  <c r="B672" i="1"/>
  <c r="B673" i="1" s="1"/>
  <c r="C672" i="1"/>
  <c r="C673" i="1" s="1"/>
  <c r="E672" i="1"/>
  <c r="E673" i="1" s="1"/>
  <c r="F672" i="1"/>
  <c r="F673" i="1" s="1"/>
  <c r="G672" i="1"/>
  <c r="G673" i="1" s="1"/>
  <c r="H672" i="1"/>
  <c r="H673" i="1" s="1"/>
  <c r="I672" i="1"/>
  <c r="I673" i="1" s="1"/>
  <c r="J672" i="1"/>
  <c r="J673" i="1" s="1"/>
  <c r="K672" i="1"/>
  <c r="K673" i="1" s="1"/>
  <c r="L672" i="1"/>
  <c r="L673" i="1" s="1"/>
  <c r="M672" i="1"/>
  <c r="M673" i="1" s="1"/>
  <c r="N672" i="1"/>
  <c r="N673" i="1" s="1"/>
  <c r="B676" i="1"/>
  <c r="C676" i="1"/>
  <c r="E676" i="1"/>
  <c r="F676" i="1"/>
  <c r="G676" i="1"/>
  <c r="H676" i="1"/>
  <c r="I676" i="1"/>
  <c r="J676" i="1"/>
  <c r="K676" i="1"/>
  <c r="L676" i="1"/>
  <c r="M676" i="1"/>
  <c r="N676" i="1"/>
  <c r="B678" i="1"/>
  <c r="C678" i="1"/>
  <c r="E678" i="1"/>
  <c r="F678" i="1"/>
  <c r="G678" i="1"/>
  <c r="H678" i="1"/>
  <c r="J678" i="1"/>
  <c r="K678" i="1"/>
  <c r="L678" i="1"/>
  <c r="M678" i="1"/>
  <c r="N678" i="1"/>
  <c r="B681" i="1"/>
  <c r="C681" i="1"/>
  <c r="E681" i="1"/>
  <c r="F681" i="1"/>
  <c r="G681" i="1"/>
  <c r="H681" i="1"/>
  <c r="I681" i="1"/>
  <c r="J681" i="1"/>
  <c r="K681" i="1"/>
  <c r="L681" i="1"/>
  <c r="M681" i="1"/>
  <c r="N681" i="1"/>
  <c r="B683" i="1"/>
  <c r="B684" i="1" s="1"/>
  <c r="C683" i="1"/>
  <c r="C684" i="1" s="1"/>
  <c r="D683" i="1"/>
  <c r="D684" i="1" s="1"/>
  <c r="E683" i="1"/>
  <c r="E684" i="1" s="1"/>
  <c r="F683" i="1"/>
  <c r="F684" i="1" s="1"/>
  <c r="G683" i="1"/>
  <c r="G684" i="1" s="1"/>
  <c r="H683" i="1"/>
  <c r="H684" i="1" s="1"/>
  <c r="J683" i="1"/>
  <c r="J684" i="1" s="1"/>
  <c r="K683" i="1"/>
  <c r="K684" i="1" s="1"/>
  <c r="L683" i="1"/>
  <c r="L684" i="1" s="1"/>
  <c r="M683" i="1"/>
  <c r="M684" i="1" s="1"/>
  <c r="N683" i="1"/>
  <c r="N684" i="1" s="1"/>
  <c r="B691" i="1"/>
  <c r="C691" i="1"/>
  <c r="E691" i="1"/>
  <c r="F691" i="1"/>
  <c r="G691" i="1"/>
  <c r="H691" i="1"/>
  <c r="I691" i="1"/>
  <c r="J691" i="1"/>
  <c r="K691" i="1"/>
  <c r="L691" i="1"/>
  <c r="M691" i="1"/>
  <c r="N691" i="1"/>
  <c r="B693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B695" i="1"/>
  <c r="C695" i="1"/>
  <c r="E695" i="1"/>
  <c r="F695" i="1"/>
  <c r="G695" i="1"/>
  <c r="H695" i="1"/>
  <c r="I695" i="1"/>
  <c r="J695" i="1"/>
  <c r="K695" i="1"/>
  <c r="L695" i="1"/>
  <c r="M695" i="1"/>
  <c r="N695" i="1"/>
  <c r="B697" i="1"/>
  <c r="B698" i="1" s="1"/>
  <c r="C697" i="1"/>
  <c r="C698" i="1" s="1"/>
  <c r="E697" i="1"/>
  <c r="E698" i="1" s="1"/>
  <c r="F697" i="1"/>
  <c r="F698" i="1" s="1"/>
  <c r="G697" i="1"/>
  <c r="G698" i="1" s="1"/>
  <c r="H697" i="1"/>
  <c r="H698" i="1" s="1"/>
  <c r="I697" i="1"/>
  <c r="I698" i="1" s="1"/>
  <c r="J697" i="1"/>
  <c r="J698" i="1" s="1"/>
  <c r="K697" i="1"/>
  <c r="K698" i="1" s="1"/>
  <c r="L697" i="1"/>
  <c r="L698" i="1" s="1"/>
  <c r="M697" i="1"/>
  <c r="M698" i="1" s="1"/>
  <c r="N697" i="1"/>
  <c r="N698" i="1" s="1"/>
  <c r="B703" i="1"/>
  <c r="C703" i="1"/>
  <c r="E703" i="1"/>
  <c r="F703" i="1"/>
  <c r="G703" i="1"/>
  <c r="H703" i="1"/>
  <c r="I703" i="1"/>
  <c r="J703" i="1"/>
  <c r="K703" i="1"/>
  <c r="L703" i="1"/>
  <c r="M703" i="1"/>
  <c r="N703" i="1"/>
  <c r="B705" i="1"/>
  <c r="C705" i="1"/>
  <c r="E705" i="1"/>
  <c r="F705" i="1"/>
  <c r="G705" i="1"/>
  <c r="H705" i="1"/>
  <c r="I705" i="1"/>
  <c r="J705" i="1"/>
  <c r="K705" i="1"/>
  <c r="L705" i="1"/>
  <c r="M705" i="1"/>
  <c r="N705" i="1"/>
  <c r="B707" i="1"/>
  <c r="C707" i="1"/>
  <c r="D707" i="1"/>
  <c r="E707" i="1"/>
  <c r="F707" i="1"/>
  <c r="G707" i="1"/>
  <c r="H707" i="1"/>
  <c r="J707" i="1"/>
  <c r="K707" i="1"/>
  <c r="L707" i="1"/>
  <c r="M707" i="1"/>
  <c r="N707" i="1"/>
  <c r="B711" i="1"/>
  <c r="C711" i="1"/>
  <c r="E711" i="1"/>
  <c r="F711" i="1"/>
  <c r="G711" i="1"/>
  <c r="H711" i="1"/>
  <c r="I711" i="1"/>
  <c r="J711" i="1"/>
  <c r="K711" i="1"/>
  <c r="L711" i="1"/>
  <c r="M711" i="1"/>
  <c r="N711" i="1"/>
  <c r="B714" i="1"/>
  <c r="B715" i="1" s="1"/>
  <c r="C714" i="1"/>
  <c r="C715" i="1" s="1"/>
  <c r="E714" i="1"/>
  <c r="E715" i="1" s="1"/>
  <c r="F714" i="1"/>
  <c r="F715" i="1" s="1"/>
  <c r="G714" i="1"/>
  <c r="G715" i="1" s="1"/>
  <c r="H714" i="1"/>
  <c r="H715" i="1" s="1"/>
  <c r="I714" i="1"/>
  <c r="I715" i="1" s="1"/>
  <c r="J714" i="1"/>
  <c r="J715" i="1" s="1"/>
  <c r="K714" i="1"/>
  <c r="K715" i="1" s="1"/>
  <c r="L714" i="1"/>
  <c r="L715" i="1" s="1"/>
  <c r="M714" i="1"/>
  <c r="M715" i="1" s="1"/>
  <c r="N714" i="1"/>
  <c r="N715" i="1" s="1"/>
  <c r="B717" i="1"/>
  <c r="C717" i="1"/>
  <c r="E717" i="1"/>
  <c r="F717" i="1"/>
  <c r="G717" i="1"/>
  <c r="H717" i="1"/>
  <c r="I717" i="1"/>
  <c r="J717" i="1"/>
  <c r="K717" i="1"/>
  <c r="L717" i="1"/>
  <c r="M717" i="1"/>
  <c r="N717" i="1"/>
  <c r="B720" i="1"/>
  <c r="C720" i="1"/>
  <c r="E720" i="1"/>
  <c r="F720" i="1"/>
  <c r="G720" i="1"/>
  <c r="H720" i="1"/>
  <c r="I720" i="1"/>
  <c r="J720" i="1"/>
  <c r="K720" i="1"/>
  <c r="L720" i="1"/>
  <c r="M720" i="1"/>
  <c r="N720" i="1"/>
  <c r="B722" i="1"/>
  <c r="C722" i="1"/>
  <c r="D722" i="1"/>
  <c r="E722" i="1"/>
  <c r="F722" i="1"/>
  <c r="G722" i="1"/>
  <c r="H722" i="1"/>
  <c r="I722" i="1"/>
  <c r="J722" i="1"/>
  <c r="K722" i="1"/>
  <c r="L722" i="1"/>
  <c r="M722" i="1"/>
  <c r="N722" i="1"/>
  <c r="B724" i="1"/>
  <c r="C724" i="1"/>
  <c r="D724" i="1"/>
  <c r="E724" i="1"/>
  <c r="F724" i="1"/>
  <c r="G724" i="1"/>
  <c r="H724" i="1"/>
  <c r="I724" i="1"/>
  <c r="J724" i="1"/>
  <c r="K724" i="1"/>
  <c r="L724" i="1"/>
  <c r="M724" i="1"/>
  <c r="N724" i="1"/>
  <c r="B726" i="1"/>
  <c r="C726" i="1"/>
  <c r="E726" i="1"/>
  <c r="F726" i="1"/>
  <c r="G726" i="1"/>
  <c r="H726" i="1"/>
  <c r="J726" i="1"/>
  <c r="K726" i="1"/>
  <c r="L726" i="1"/>
  <c r="M726" i="1"/>
  <c r="N726" i="1"/>
  <c r="B728" i="1"/>
  <c r="C728" i="1"/>
  <c r="E728" i="1"/>
  <c r="F728" i="1"/>
  <c r="G728" i="1"/>
  <c r="H728" i="1"/>
  <c r="I728" i="1"/>
  <c r="J728" i="1"/>
  <c r="K728" i="1"/>
  <c r="L728" i="1"/>
  <c r="M728" i="1"/>
  <c r="N728" i="1"/>
  <c r="B730" i="1"/>
  <c r="C730" i="1"/>
  <c r="E730" i="1"/>
  <c r="F730" i="1"/>
  <c r="G730" i="1"/>
  <c r="H730" i="1"/>
  <c r="I730" i="1"/>
  <c r="J730" i="1"/>
  <c r="K730" i="1"/>
  <c r="L730" i="1"/>
  <c r="M730" i="1"/>
  <c r="N730" i="1"/>
  <c r="B734" i="1"/>
  <c r="C734" i="1"/>
  <c r="E734" i="1"/>
  <c r="F734" i="1"/>
  <c r="G734" i="1"/>
  <c r="H734" i="1"/>
  <c r="I734" i="1"/>
  <c r="J734" i="1"/>
  <c r="K734" i="1"/>
  <c r="L734" i="1"/>
  <c r="M734" i="1"/>
  <c r="N734" i="1"/>
  <c r="B753" i="1"/>
  <c r="C753" i="1"/>
  <c r="D753" i="1"/>
  <c r="E753" i="1"/>
  <c r="F753" i="1"/>
  <c r="G753" i="1"/>
  <c r="H753" i="1"/>
  <c r="I753" i="1"/>
  <c r="J753" i="1"/>
  <c r="K753" i="1"/>
  <c r="L753" i="1"/>
  <c r="M753" i="1"/>
  <c r="N753" i="1"/>
  <c r="B755" i="1"/>
  <c r="C755" i="1"/>
  <c r="D755" i="1"/>
  <c r="E755" i="1"/>
  <c r="F755" i="1"/>
  <c r="G755" i="1"/>
  <c r="H755" i="1"/>
  <c r="I755" i="1"/>
  <c r="J755" i="1"/>
  <c r="K755" i="1"/>
  <c r="L755" i="1"/>
  <c r="M755" i="1"/>
  <c r="N755" i="1"/>
  <c r="B757" i="1"/>
  <c r="C757" i="1"/>
  <c r="E757" i="1"/>
  <c r="F757" i="1"/>
  <c r="G757" i="1"/>
  <c r="H757" i="1"/>
  <c r="I757" i="1"/>
  <c r="J757" i="1"/>
  <c r="K757" i="1"/>
  <c r="L757" i="1"/>
  <c r="M757" i="1"/>
  <c r="N757" i="1"/>
  <c r="B759" i="1"/>
  <c r="C759" i="1"/>
  <c r="E759" i="1"/>
  <c r="F759" i="1"/>
  <c r="G759" i="1"/>
  <c r="H759" i="1"/>
  <c r="J759" i="1"/>
  <c r="K759" i="1"/>
  <c r="L759" i="1"/>
  <c r="M759" i="1"/>
  <c r="N759" i="1"/>
  <c r="B761" i="1"/>
  <c r="C761" i="1"/>
  <c r="E761" i="1"/>
  <c r="F761" i="1"/>
  <c r="G761" i="1"/>
  <c r="H761" i="1"/>
  <c r="J761" i="1"/>
  <c r="K761" i="1"/>
  <c r="L761" i="1"/>
  <c r="M761" i="1"/>
  <c r="N761" i="1"/>
  <c r="B763" i="1"/>
  <c r="C763" i="1"/>
  <c r="E763" i="1"/>
  <c r="F763" i="1"/>
  <c r="G763" i="1"/>
  <c r="H763" i="1"/>
  <c r="J763" i="1"/>
  <c r="K763" i="1"/>
  <c r="L763" i="1"/>
  <c r="M763" i="1"/>
  <c r="N763" i="1"/>
  <c r="P505" i="1"/>
  <c r="Q505" i="1"/>
  <c r="R505" i="1"/>
  <c r="P509" i="1"/>
  <c r="P510" i="1" s="1"/>
  <c r="Q509" i="1"/>
  <c r="Q510" i="1" s="1"/>
  <c r="R509" i="1"/>
  <c r="R510" i="1" s="1"/>
  <c r="P513" i="1"/>
  <c r="P514" i="1" s="1"/>
  <c r="Q513" i="1"/>
  <c r="Q514" i="1" s="1"/>
  <c r="R513" i="1"/>
  <c r="R514" i="1" s="1"/>
  <c r="P516" i="1"/>
  <c r="Q516" i="1"/>
  <c r="R516" i="1"/>
  <c r="P518" i="1"/>
  <c r="Q518" i="1"/>
  <c r="R518" i="1"/>
  <c r="P520" i="1"/>
  <c r="Q520" i="1"/>
  <c r="R520" i="1"/>
  <c r="P522" i="1"/>
  <c r="Q522" i="1"/>
  <c r="R522" i="1"/>
  <c r="P524" i="1"/>
  <c r="Q524" i="1"/>
  <c r="R524" i="1"/>
  <c r="P526" i="1"/>
  <c r="Q526" i="1"/>
  <c r="R526" i="1"/>
  <c r="P533" i="1"/>
  <c r="Q533" i="1"/>
  <c r="R533" i="1"/>
  <c r="P535" i="1"/>
  <c r="Q535" i="1"/>
  <c r="R535" i="1"/>
  <c r="P539" i="1"/>
  <c r="Q539" i="1"/>
  <c r="R539" i="1"/>
  <c r="P543" i="1"/>
  <c r="Q543" i="1"/>
  <c r="R543" i="1"/>
  <c r="P545" i="1"/>
  <c r="Q545" i="1"/>
  <c r="R545" i="1"/>
  <c r="Q547" i="1"/>
  <c r="R547" i="1"/>
  <c r="P550" i="1"/>
  <c r="Q550" i="1"/>
  <c r="R550" i="1"/>
  <c r="P555" i="1"/>
  <c r="Q555" i="1"/>
  <c r="R555" i="1"/>
  <c r="P557" i="1"/>
  <c r="Q557" i="1"/>
  <c r="R557" i="1"/>
  <c r="P559" i="1"/>
  <c r="Q559" i="1"/>
  <c r="R559" i="1"/>
  <c r="P562" i="1"/>
  <c r="Q562" i="1"/>
  <c r="R562" i="1"/>
  <c r="P565" i="1"/>
  <c r="P566" i="1" s="1"/>
  <c r="Q565" i="1"/>
  <c r="Q566" i="1" s="1"/>
  <c r="R565" i="1"/>
  <c r="R566" i="1" s="1"/>
  <c r="P568" i="1"/>
  <c r="Q568" i="1"/>
  <c r="R568" i="1"/>
  <c r="P572" i="1"/>
  <c r="Q572" i="1"/>
  <c r="R572" i="1"/>
  <c r="P578" i="1"/>
  <c r="Q578" i="1"/>
  <c r="R578" i="1"/>
  <c r="P580" i="1"/>
  <c r="Q580" i="1"/>
  <c r="R580" i="1"/>
  <c r="P583" i="1"/>
  <c r="Q583" i="1"/>
  <c r="R583" i="1"/>
  <c r="P586" i="1"/>
  <c r="Q586" i="1"/>
  <c r="R586" i="1"/>
  <c r="P588" i="1"/>
  <c r="Q588" i="1"/>
  <c r="R588" i="1"/>
  <c r="P591" i="1"/>
  <c r="Q591" i="1"/>
  <c r="R591" i="1"/>
  <c r="Q593" i="1"/>
  <c r="R593" i="1"/>
  <c r="P599" i="1"/>
  <c r="Q599" i="1"/>
  <c r="R599" i="1"/>
  <c r="P601" i="1"/>
  <c r="Q601" i="1"/>
  <c r="R601" i="1"/>
  <c r="P603" i="1"/>
  <c r="P604" i="1" s="1"/>
  <c r="Q603" i="1"/>
  <c r="Q604" i="1" s="1"/>
  <c r="R603" i="1"/>
  <c r="R604" i="1" s="1"/>
  <c r="P606" i="1"/>
  <c r="P607" i="1" s="1"/>
  <c r="Q606" i="1"/>
  <c r="Q607" i="1" s="1"/>
  <c r="R606" i="1"/>
  <c r="R607" i="1" s="1"/>
  <c r="P609" i="1"/>
  <c r="P610" i="1" s="1"/>
  <c r="Q609" i="1"/>
  <c r="Q610" i="1" s="1"/>
  <c r="R609" i="1"/>
  <c r="R610" i="1" s="1"/>
  <c r="P612" i="1"/>
  <c r="P613" i="1" s="1"/>
  <c r="Q612" i="1"/>
  <c r="Q613" i="1" s="1"/>
  <c r="R612" i="1"/>
  <c r="R613" i="1" s="1"/>
  <c r="P615" i="1"/>
  <c r="P616" i="1" s="1"/>
  <c r="Q615" i="1"/>
  <c r="Q616" i="1" s="1"/>
  <c r="R615" i="1"/>
  <c r="R616" i="1" s="1"/>
  <c r="P618" i="1"/>
  <c r="Q618" i="1"/>
  <c r="R618" i="1"/>
  <c r="P621" i="1"/>
  <c r="Q621" i="1"/>
  <c r="R621" i="1"/>
  <c r="P623" i="1"/>
  <c r="Q623" i="1"/>
  <c r="R623" i="1"/>
  <c r="P625" i="1"/>
  <c r="Q625" i="1"/>
  <c r="R625" i="1"/>
  <c r="P627" i="1"/>
  <c r="Q627" i="1"/>
  <c r="R627" i="1"/>
  <c r="P629" i="1"/>
  <c r="Q629" i="1"/>
  <c r="R629" i="1"/>
  <c r="P631" i="1"/>
  <c r="Q631" i="1"/>
  <c r="R631" i="1"/>
  <c r="Q633" i="1"/>
  <c r="R633" i="1"/>
  <c r="P635" i="1"/>
  <c r="Q635" i="1"/>
  <c r="R635" i="1"/>
  <c r="P641" i="1"/>
  <c r="Q641" i="1"/>
  <c r="R641" i="1"/>
  <c r="P646" i="1"/>
  <c r="P647" i="1" s="1"/>
  <c r="Q646" i="1"/>
  <c r="Q647" i="1" s="1"/>
  <c r="R646" i="1"/>
  <c r="R647" i="1" s="1"/>
  <c r="P650" i="1"/>
  <c r="Q650" i="1"/>
  <c r="R650" i="1"/>
  <c r="P652" i="1"/>
  <c r="Q652" i="1"/>
  <c r="R652" i="1"/>
  <c r="P654" i="1"/>
  <c r="Q654" i="1"/>
  <c r="R654" i="1"/>
  <c r="P656" i="1"/>
  <c r="P657" i="1" s="1"/>
  <c r="Q656" i="1"/>
  <c r="Q657" i="1" s="1"/>
  <c r="R656" i="1"/>
  <c r="R657" i="1" s="1"/>
  <c r="P659" i="1"/>
  <c r="Q659" i="1"/>
  <c r="R659" i="1"/>
  <c r="P663" i="1"/>
  <c r="Q663" i="1"/>
  <c r="R663" i="1"/>
  <c r="P665" i="1"/>
  <c r="Q665" i="1"/>
  <c r="R665" i="1"/>
  <c r="P667" i="1"/>
  <c r="Q667" i="1"/>
  <c r="R667" i="1"/>
  <c r="P669" i="1"/>
  <c r="P670" i="1" s="1"/>
  <c r="Q669" i="1"/>
  <c r="Q670" i="1" s="1"/>
  <c r="R669" i="1"/>
  <c r="R670" i="1" s="1"/>
  <c r="P672" i="1"/>
  <c r="P673" i="1" s="1"/>
  <c r="Q672" i="1"/>
  <c r="Q673" i="1" s="1"/>
  <c r="R672" i="1"/>
  <c r="R673" i="1" s="1"/>
  <c r="P676" i="1"/>
  <c r="Q676" i="1"/>
  <c r="R676" i="1"/>
  <c r="P678" i="1"/>
  <c r="Q678" i="1"/>
  <c r="R678" i="1"/>
  <c r="P681" i="1"/>
  <c r="Q681" i="1"/>
  <c r="R681" i="1"/>
  <c r="P683" i="1"/>
  <c r="P684" i="1" s="1"/>
  <c r="Q683" i="1"/>
  <c r="Q684" i="1" s="1"/>
  <c r="R683" i="1"/>
  <c r="R684" i="1" s="1"/>
  <c r="P691" i="1"/>
  <c r="Q691" i="1"/>
  <c r="R691" i="1"/>
  <c r="P693" i="1"/>
  <c r="Q693" i="1"/>
  <c r="R693" i="1"/>
  <c r="P695" i="1"/>
  <c r="Q695" i="1"/>
  <c r="R695" i="1"/>
  <c r="P697" i="1"/>
  <c r="P698" i="1" s="1"/>
  <c r="Q697" i="1"/>
  <c r="Q698" i="1" s="1"/>
  <c r="R697" i="1"/>
  <c r="R698" i="1" s="1"/>
  <c r="P703" i="1"/>
  <c r="Q703" i="1"/>
  <c r="R703" i="1"/>
  <c r="Q705" i="1"/>
  <c r="R705" i="1"/>
  <c r="P707" i="1"/>
  <c r="Q707" i="1"/>
  <c r="R707" i="1"/>
  <c r="P711" i="1"/>
  <c r="Q711" i="1"/>
  <c r="R711" i="1"/>
  <c r="Q714" i="1"/>
  <c r="Q715" i="1" s="1"/>
  <c r="R714" i="1"/>
  <c r="R715" i="1" s="1"/>
  <c r="P717" i="1"/>
  <c r="Q717" i="1"/>
  <c r="R717" i="1"/>
  <c r="Q720" i="1"/>
  <c r="R720" i="1"/>
  <c r="P722" i="1"/>
  <c r="Q722" i="1"/>
  <c r="R722" i="1"/>
  <c r="Q724" i="1"/>
  <c r="R724" i="1"/>
  <c r="P726" i="1"/>
  <c r="Q726" i="1"/>
  <c r="R726" i="1"/>
  <c r="Q728" i="1"/>
  <c r="R728" i="1"/>
  <c r="P730" i="1"/>
  <c r="Q730" i="1"/>
  <c r="R730" i="1"/>
  <c r="P734" i="1"/>
  <c r="Q734" i="1"/>
  <c r="R734" i="1"/>
  <c r="P753" i="1"/>
  <c r="Q753" i="1"/>
  <c r="R753" i="1"/>
  <c r="Q755" i="1"/>
  <c r="R755" i="1"/>
  <c r="P757" i="1"/>
  <c r="Q757" i="1"/>
  <c r="R757" i="1"/>
  <c r="P759" i="1"/>
  <c r="Q759" i="1"/>
  <c r="R759" i="1"/>
  <c r="Q761" i="1"/>
  <c r="R761" i="1"/>
  <c r="Q763" i="1"/>
  <c r="R763" i="1"/>
  <c r="W509" i="1"/>
  <c r="W513" i="1"/>
  <c r="W606" i="1"/>
  <c r="W609" i="1"/>
  <c r="W227" i="1"/>
  <c r="P218" i="1"/>
  <c r="Q218" i="1"/>
  <c r="R218" i="1"/>
  <c r="S218" i="1"/>
  <c r="P222" i="1"/>
  <c r="Q222" i="1"/>
  <c r="R222" i="1"/>
  <c r="S222" i="1"/>
  <c r="Q227" i="1"/>
  <c r="R227" i="1"/>
  <c r="P232" i="1"/>
  <c r="Q232" i="1"/>
  <c r="R232" i="1"/>
  <c r="S232" i="1"/>
  <c r="P234" i="1"/>
  <c r="Q234" i="1"/>
  <c r="R234" i="1"/>
  <c r="S234" i="1"/>
  <c r="P236" i="1"/>
  <c r="Q236" i="1"/>
  <c r="R236" i="1"/>
  <c r="Q240" i="1"/>
  <c r="R240" i="1"/>
  <c r="S240" i="1"/>
  <c r="Q244" i="1"/>
  <c r="R244" i="1"/>
  <c r="P247" i="1"/>
  <c r="Q247" i="1"/>
  <c r="R247" i="1"/>
  <c r="P249" i="1"/>
  <c r="Q249" i="1"/>
  <c r="R249" i="1"/>
  <c r="P262" i="1"/>
  <c r="Q262" i="1"/>
  <c r="R262" i="1"/>
  <c r="P264" i="1"/>
  <c r="Q264" i="1"/>
  <c r="R264" i="1"/>
  <c r="P278" i="1"/>
  <c r="Q278" i="1"/>
  <c r="R278" i="1"/>
  <c r="P289" i="1"/>
  <c r="Q289" i="1"/>
  <c r="R289" i="1"/>
  <c r="P300" i="1"/>
  <c r="Q300" i="1"/>
  <c r="R300" i="1"/>
  <c r="Q302" i="1"/>
  <c r="R302" i="1"/>
  <c r="P304" i="1"/>
  <c r="Q304" i="1"/>
  <c r="R304" i="1"/>
  <c r="S304" i="1"/>
  <c r="P307" i="1"/>
  <c r="Q307" i="1"/>
  <c r="R307" i="1"/>
  <c r="S307" i="1"/>
  <c r="P312" i="1"/>
  <c r="Q312" i="1"/>
  <c r="R312" i="1"/>
  <c r="P314" i="1"/>
  <c r="Q314" i="1"/>
  <c r="R314" i="1"/>
  <c r="S314" i="1"/>
  <c r="P318" i="1"/>
  <c r="Q318" i="1"/>
  <c r="R318" i="1"/>
  <c r="P321" i="1"/>
  <c r="Q321" i="1"/>
  <c r="R321" i="1"/>
  <c r="P327" i="1"/>
  <c r="Q327" i="1"/>
  <c r="R327" i="1"/>
  <c r="S327" i="1"/>
  <c r="P331" i="1"/>
  <c r="Q331" i="1"/>
  <c r="R331" i="1"/>
  <c r="P336" i="1"/>
  <c r="Q336" i="1"/>
  <c r="R336" i="1"/>
  <c r="P338" i="1"/>
  <c r="Q338" i="1"/>
  <c r="R338" i="1"/>
  <c r="P340" i="1"/>
  <c r="Q340" i="1"/>
  <c r="R340" i="1"/>
  <c r="P342" i="1"/>
  <c r="Q342" i="1"/>
  <c r="R342" i="1"/>
  <c r="P344" i="1"/>
  <c r="Q344" i="1"/>
  <c r="R344" i="1"/>
  <c r="P346" i="1"/>
  <c r="Q346" i="1"/>
  <c r="R346" i="1"/>
  <c r="P348" i="1"/>
  <c r="Q348" i="1"/>
  <c r="R348" i="1"/>
  <c r="P350" i="1"/>
  <c r="Q350" i="1"/>
  <c r="R350" i="1"/>
  <c r="P352" i="1"/>
  <c r="Q352" i="1"/>
  <c r="R352" i="1"/>
  <c r="P354" i="1"/>
  <c r="Q354" i="1"/>
  <c r="R354" i="1"/>
  <c r="P358" i="1"/>
  <c r="Q358" i="1"/>
  <c r="R358" i="1"/>
  <c r="P364" i="1"/>
  <c r="Q364" i="1"/>
  <c r="R364" i="1"/>
  <c r="P367" i="1"/>
  <c r="Q367" i="1"/>
  <c r="R367" i="1"/>
  <c r="P373" i="1"/>
  <c r="Q373" i="1"/>
  <c r="R373" i="1"/>
  <c r="S373" i="1"/>
  <c r="P382" i="1"/>
  <c r="Q382" i="1"/>
  <c r="R382" i="1"/>
  <c r="P385" i="1"/>
  <c r="Q385" i="1"/>
  <c r="R385" i="1"/>
  <c r="P395" i="1"/>
  <c r="Q395" i="1"/>
  <c r="R395" i="1"/>
  <c r="P398" i="1"/>
  <c r="Q398" i="1"/>
  <c r="R398" i="1"/>
  <c r="S398" i="1"/>
  <c r="T398" i="1"/>
  <c r="P400" i="1"/>
  <c r="Q400" i="1"/>
  <c r="R400" i="1"/>
  <c r="S400" i="1"/>
  <c r="P404" i="1"/>
  <c r="Q404" i="1"/>
  <c r="R404" i="1"/>
  <c r="S404" i="1"/>
  <c r="P406" i="1"/>
  <c r="Q406" i="1"/>
  <c r="R406" i="1"/>
  <c r="S406" i="1"/>
  <c r="P421" i="1"/>
  <c r="Q421" i="1"/>
  <c r="R421" i="1"/>
  <c r="S421" i="1"/>
  <c r="P424" i="1"/>
  <c r="Q424" i="1"/>
  <c r="R424" i="1"/>
  <c r="S424" i="1"/>
  <c r="P427" i="1"/>
  <c r="Q427" i="1"/>
  <c r="R427" i="1"/>
  <c r="S427" i="1"/>
  <c r="P430" i="1"/>
  <c r="Q430" i="1"/>
  <c r="R430" i="1"/>
  <c r="S430" i="1"/>
  <c r="P432" i="1"/>
  <c r="Q432" i="1"/>
  <c r="R432" i="1"/>
  <c r="S432" i="1"/>
  <c r="P434" i="1"/>
  <c r="Q434" i="1"/>
  <c r="R434" i="1"/>
  <c r="S434" i="1"/>
  <c r="P437" i="1"/>
  <c r="Q437" i="1"/>
  <c r="R437" i="1"/>
  <c r="P440" i="1"/>
  <c r="Q440" i="1"/>
  <c r="R440" i="1"/>
  <c r="P443" i="1"/>
  <c r="Q443" i="1"/>
  <c r="R443" i="1"/>
  <c r="B218" i="1"/>
  <c r="C218" i="1"/>
  <c r="E218" i="1"/>
  <c r="F218" i="1"/>
  <c r="G218" i="1"/>
  <c r="H218" i="1"/>
  <c r="I218" i="1"/>
  <c r="J218" i="1"/>
  <c r="K218" i="1"/>
  <c r="L218" i="1"/>
  <c r="M218" i="1"/>
  <c r="N218" i="1"/>
  <c r="B222" i="1"/>
  <c r="C222" i="1"/>
  <c r="E222" i="1"/>
  <c r="F222" i="1"/>
  <c r="G222" i="1"/>
  <c r="H222" i="1"/>
  <c r="I222" i="1"/>
  <c r="J222" i="1"/>
  <c r="K222" i="1"/>
  <c r="L222" i="1"/>
  <c r="M222" i="1"/>
  <c r="N222" i="1"/>
  <c r="B227" i="1"/>
  <c r="C227" i="1"/>
  <c r="E227" i="1"/>
  <c r="F227" i="1"/>
  <c r="G227" i="1"/>
  <c r="H227" i="1"/>
  <c r="I227" i="1"/>
  <c r="J227" i="1"/>
  <c r="K227" i="1"/>
  <c r="L227" i="1"/>
  <c r="M227" i="1"/>
  <c r="N227" i="1"/>
  <c r="B232" i="1"/>
  <c r="C232" i="1"/>
  <c r="E232" i="1"/>
  <c r="F232" i="1"/>
  <c r="G232" i="1"/>
  <c r="H232" i="1"/>
  <c r="J232" i="1"/>
  <c r="K232" i="1"/>
  <c r="L232" i="1"/>
  <c r="M232" i="1"/>
  <c r="N232" i="1"/>
  <c r="B234" i="1"/>
  <c r="C234" i="1"/>
  <c r="F234" i="1"/>
  <c r="G234" i="1"/>
  <c r="H234" i="1"/>
  <c r="I234" i="1"/>
  <c r="J234" i="1"/>
  <c r="K234" i="1"/>
  <c r="L234" i="1"/>
  <c r="M234" i="1"/>
  <c r="N234" i="1"/>
  <c r="B236" i="1"/>
  <c r="C236" i="1"/>
  <c r="E236" i="1"/>
  <c r="F236" i="1"/>
  <c r="G236" i="1"/>
  <c r="H236" i="1"/>
  <c r="J236" i="1"/>
  <c r="K236" i="1"/>
  <c r="L236" i="1"/>
  <c r="M236" i="1"/>
  <c r="N236" i="1"/>
  <c r="B240" i="1"/>
  <c r="C240" i="1"/>
  <c r="E240" i="1"/>
  <c r="F240" i="1"/>
  <c r="G240" i="1"/>
  <c r="H240" i="1"/>
  <c r="J240" i="1"/>
  <c r="K240" i="1"/>
  <c r="L240" i="1"/>
  <c r="M240" i="1"/>
  <c r="N240" i="1"/>
  <c r="B244" i="1"/>
  <c r="C244" i="1"/>
  <c r="E244" i="1"/>
  <c r="F244" i="1"/>
  <c r="G244" i="1"/>
  <c r="H244" i="1"/>
  <c r="J244" i="1"/>
  <c r="K244" i="1"/>
  <c r="L244" i="1"/>
  <c r="M244" i="1"/>
  <c r="N244" i="1"/>
  <c r="B247" i="1"/>
  <c r="C247" i="1"/>
  <c r="E247" i="1"/>
  <c r="F247" i="1"/>
  <c r="G247" i="1"/>
  <c r="H247" i="1"/>
  <c r="J247" i="1"/>
  <c r="K247" i="1"/>
  <c r="L247" i="1"/>
  <c r="M247" i="1"/>
  <c r="N247" i="1"/>
  <c r="B249" i="1"/>
  <c r="C249" i="1"/>
  <c r="E249" i="1"/>
  <c r="F249" i="1"/>
  <c r="G249" i="1"/>
  <c r="H249" i="1"/>
  <c r="J249" i="1"/>
  <c r="K249" i="1"/>
  <c r="L249" i="1"/>
  <c r="M249" i="1"/>
  <c r="N249" i="1"/>
  <c r="B262" i="1"/>
  <c r="C262" i="1"/>
  <c r="E262" i="1"/>
  <c r="F262" i="1"/>
  <c r="G262" i="1"/>
  <c r="H262" i="1"/>
  <c r="I262" i="1"/>
  <c r="J262" i="1"/>
  <c r="K262" i="1"/>
  <c r="L262" i="1"/>
  <c r="M262" i="1"/>
  <c r="N262" i="1"/>
  <c r="B264" i="1"/>
  <c r="C264" i="1"/>
  <c r="E264" i="1"/>
  <c r="F264" i="1"/>
  <c r="G264" i="1"/>
  <c r="H264" i="1"/>
  <c r="I264" i="1"/>
  <c r="J264" i="1"/>
  <c r="K264" i="1"/>
  <c r="L264" i="1"/>
  <c r="M264" i="1"/>
  <c r="N264" i="1"/>
  <c r="B278" i="1"/>
  <c r="C278" i="1"/>
  <c r="E278" i="1"/>
  <c r="F278" i="1"/>
  <c r="G278" i="1"/>
  <c r="H278" i="1"/>
  <c r="I278" i="1"/>
  <c r="J278" i="1"/>
  <c r="K278" i="1"/>
  <c r="L278" i="1"/>
  <c r="M278" i="1"/>
  <c r="N278" i="1"/>
  <c r="B289" i="1"/>
  <c r="C289" i="1"/>
  <c r="E289" i="1"/>
  <c r="F289" i="1"/>
  <c r="G289" i="1"/>
  <c r="H289" i="1"/>
  <c r="I289" i="1"/>
  <c r="J289" i="1"/>
  <c r="K289" i="1"/>
  <c r="L289" i="1"/>
  <c r="M289" i="1"/>
  <c r="N289" i="1"/>
  <c r="B300" i="1"/>
  <c r="C300" i="1"/>
  <c r="E300" i="1"/>
  <c r="F300" i="1"/>
  <c r="G300" i="1"/>
  <c r="H300" i="1"/>
  <c r="I300" i="1"/>
  <c r="J300" i="1"/>
  <c r="K300" i="1"/>
  <c r="L300" i="1"/>
  <c r="M300" i="1"/>
  <c r="N300" i="1"/>
  <c r="B302" i="1"/>
  <c r="C302" i="1"/>
  <c r="E302" i="1"/>
  <c r="F302" i="1"/>
  <c r="G302" i="1"/>
  <c r="H302" i="1"/>
  <c r="I302" i="1"/>
  <c r="J302" i="1"/>
  <c r="K302" i="1"/>
  <c r="L302" i="1"/>
  <c r="M302" i="1"/>
  <c r="N302" i="1"/>
  <c r="B304" i="1"/>
  <c r="C304" i="1"/>
  <c r="E304" i="1"/>
  <c r="F304" i="1"/>
  <c r="G304" i="1"/>
  <c r="H304" i="1"/>
  <c r="I304" i="1"/>
  <c r="J304" i="1"/>
  <c r="K304" i="1"/>
  <c r="L304" i="1"/>
  <c r="M304" i="1"/>
  <c r="N304" i="1"/>
  <c r="B307" i="1"/>
  <c r="C307" i="1"/>
  <c r="E307" i="1"/>
  <c r="F307" i="1"/>
  <c r="G307" i="1"/>
  <c r="H307" i="1"/>
  <c r="I307" i="1"/>
  <c r="J307" i="1"/>
  <c r="K307" i="1"/>
  <c r="L307" i="1"/>
  <c r="M307" i="1"/>
  <c r="N307" i="1"/>
  <c r="B312" i="1"/>
  <c r="C312" i="1"/>
  <c r="E312" i="1"/>
  <c r="F312" i="1"/>
  <c r="G312" i="1"/>
  <c r="H312" i="1"/>
  <c r="J312" i="1"/>
  <c r="K312" i="1"/>
  <c r="L312" i="1"/>
  <c r="M312" i="1"/>
  <c r="N312" i="1"/>
  <c r="B314" i="1"/>
  <c r="C314" i="1"/>
  <c r="E314" i="1"/>
  <c r="F314" i="1"/>
  <c r="G314" i="1"/>
  <c r="H314" i="1"/>
  <c r="I314" i="1"/>
  <c r="J314" i="1"/>
  <c r="K314" i="1"/>
  <c r="L314" i="1"/>
  <c r="M314" i="1"/>
  <c r="N314" i="1"/>
  <c r="B318" i="1"/>
  <c r="C318" i="1"/>
  <c r="E318" i="1"/>
  <c r="F318" i="1"/>
  <c r="G318" i="1"/>
  <c r="H318" i="1"/>
  <c r="I318" i="1"/>
  <c r="J318" i="1"/>
  <c r="K318" i="1"/>
  <c r="L318" i="1"/>
  <c r="M318" i="1"/>
  <c r="N318" i="1"/>
  <c r="B321" i="1"/>
  <c r="C321" i="1"/>
  <c r="E321" i="1"/>
  <c r="F321" i="1"/>
  <c r="G321" i="1"/>
  <c r="H321" i="1"/>
  <c r="I321" i="1"/>
  <c r="J321" i="1"/>
  <c r="K321" i="1"/>
  <c r="L321" i="1"/>
  <c r="M321" i="1"/>
  <c r="N321" i="1"/>
  <c r="B327" i="1"/>
  <c r="C327" i="1"/>
  <c r="E327" i="1"/>
  <c r="F327" i="1"/>
  <c r="G327" i="1"/>
  <c r="H327" i="1"/>
  <c r="I327" i="1"/>
  <c r="J327" i="1"/>
  <c r="K327" i="1"/>
  <c r="L327" i="1"/>
  <c r="M327" i="1"/>
  <c r="N327" i="1"/>
  <c r="B331" i="1"/>
  <c r="C331" i="1"/>
  <c r="E331" i="1"/>
  <c r="F331" i="1"/>
  <c r="G331" i="1"/>
  <c r="H331" i="1"/>
  <c r="J331" i="1"/>
  <c r="K331" i="1"/>
  <c r="L331" i="1"/>
  <c r="M331" i="1"/>
  <c r="N331" i="1"/>
  <c r="B336" i="1"/>
  <c r="C336" i="1"/>
  <c r="E336" i="1"/>
  <c r="F336" i="1"/>
  <c r="G336" i="1"/>
  <c r="H336" i="1"/>
  <c r="J336" i="1"/>
  <c r="K336" i="1"/>
  <c r="M336" i="1"/>
  <c r="N336" i="1"/>
  <c r="B338" i="1"/>
  <c r="C338" i="1"/>
  <c r="E338" i="1"/>
  <c r="F338" i="1"/>
  <c r="G338" i="1"/>
  <c r="H338" i="1"/>
  <c r="I338" i="1"/>
  <c r="J338" i="1"/>
  <c r="K338" i="1"/>
  <c r="L338" i="1"/>
  <c r="M338" i="1"/>
  <c r="N338" i="1"/>
  <c r="B340" i="1"/>
  <c r="C340" i="1"/>
  <c r="E340" i="1"/>
  <c r="F340" i="1"/>
  <c r="G340" i="1"/>
  <c r="H340" i="1"/>
  <c r="I340" i="1"/>
  <c r="J340" i="1"/>
  <c r="K340" i="1"/>
  <c r="L340" i="1"/>
  <c r="M340" i="1"/>
  <c r="N340" i="1"/>
  <c r="B342" i="1"/>
  <c r="C342" i="1"/>
  <c r="E342" i="1"/>
  <c r="F342" i="1"/>
  <c r="G342" i="1"/>
  <c r="H342" i="1"/>
  <c r="J342" i="1"/>
  <c r="K342" i="1"/>
  <c r="L342" i="1"/>
  <c r="M342" i="1"/>
  <c r="N342" i="1"/>
  <c r="B344" i="1"/>
  <c r="C344" i="1"/>
  <c r="E344" i="1"/>
  <c r="F344" i="1"/>
  <c r="G344" i="1"/>
  <c r="H344" i="1"/>
  <c r="I344" i="1"/>
  <c r="J344" i="1"/>
  <c r="K344" i="1"/>
  <c r="L344" i="1"/>
  <c r="M344" i="1"/>
  <c r="N344" i="1"/>
  <c r="B346" i="1"/>
  <c r="C346" i="1"/>
  <c r="E346" i="1"/>
  <c r="F346" i="1"/>
  <c r="G346" i="1"/>
  <c r="H346" i="1"/>
  <c r="I346" i="1"/>
  <c r="J346" i="1"/>
  <c r="K346" i="1"/>
  <c r="L346" i="1"/>
  <c r="M346" i="1"/>
  <c r="N346" i="1"/>
  <c r="B348" i="1"/>
  <c r="C348" i="1"/>
  <c r="E348" i="1"/>
  <c r="F348" i="1"/>
  <c r="G348" i="1"/>
  <c r="H348" i="1"/>
  <c r="I348" i="1"/>
  <c r="J348" i="1"/>
  <c r="K348" i="1"/>
  <c r="L348" i="1"/>
  <c r="M348" i="1"/>
  <c r="N348" i="1"/>
  <c r="B350" i="1"/>
  <c r="C350" i="1"/>
  <c r="E350" i="1"/>
  <c r="F350" i="1"/>
  <c r="G350" i="1"/>
  <c r="H350" i="1"/>
  <c r="J350" i="1"/>
  <c r="K350" i="1"/>
  <c r="L350" i="1"/>
  <c r="M350" i="1"/>
  <c r="N350" i="1"/>
  <c r="B352" i="1"/>
  <c r="C352" i="1"/>
  <c r="E352" i="1"/>
  <c r="F352" i="1"/>
  <c r="G352" i="1"/>
  <c r="H352" i="1"/>
  <c r="I352" i="1"/>
  <c r="J352" i="1"/>
  <c r="K352" i="1"/>
  <c r="L352" i="1"/>
  <c r="M352" i="1"/>
  <c r="N352" i="1"/>
  <c r="B354" i="1"/>
  <c r="C354" i="1"/>
  <c r="E354" i="1"/>
  <c r="F354" i="1"/>
  <c r="G354" i="1"/>
  <c r="H354" i="1"/>
  <c r="I354" i="1"/>
  <c r="J354" i="1"/>
  <c r="K354" i="1"/>
  <c r="L354" i="1"/>
  <c r="M354" i="1"/>
  <c r="N354" i="1"/>
  <c r="B358" i="1"/>
  <c r="C358" i="1"/>
  <c r="E358" i="1"/>
  <c r="F358" i="1"/>
  <c r="G358" i="1"/>
  <c r="H358" i="1"/>
  <c r="J358" i="1"/>
  <c r="K358" i="1"/>
  <c r="L358" i="1"/>
  <c r="M358" i="1"/>
  <c r="N358" i="1"/>
  <c r="B364" i="1"/>
  <c r="C364" i="1"/>
  <c r="E364" i="1"/>
  <c r="F364" i="1"/>
  <c r="G364" i="1"/>
  <c r="H364" i="1"/>
  <c r="J364" i="1"/>
  <c r="K364" i="1"/>
  <c r="L364" i="1"/>
  <c r="M364" i="1"/>
  <c r="N364" i="1"/>
  <c r="B367" i="1"/>
  <c r="C367" i="1"/>
  <c r="E367" i="1"/>
  <c r="F367" i="1"/>
  <c r="G367" i="1"/>
  <c r="H367" i="1"/>
  <c r="J367" i="1"/>
  <c r="K367" i="1"/>
  <c r="L367" i="1"/>
  <c r="M367" i="1"/>
  <c r="N367" i="1"/>
  <c r="B373" i="1"/>
  <c r="C373" i="1"/>
  <c r="E373" i="1"/>
  <c r="F373" i="1"/>
  <c r="G373" i="1"/>
  <c r="H373" i="1"/>
  <c r="J373" i="1"/>
  <c r="K373" i="1"/>
  <c r="L373" i="1"/>
  <c r="M373" i="1"/>
  <c r="N373" i="1"/>
  <c r="B382" i="1"/>
  <c r="C382" i="1"/>
  <c r="D382" i="1"/>
  <c r="E382" i="1"/>
  <c r="F382" i="1"/>
  <c r="G382" i="1"/>
  <c r="H382" i="1"/>
  <c r="J382" i="1"/>
  <c r="K382" i="1"/>
  <c r="L382" i="1"/>
  <c r="M382" i="1"/>
  <c r="N382" i="1"/>
  <c r="B385" i="1"/>
  <c r="C385" i="1"/>
  <c r="E385" i="1"/>
  <c r="F385" i="1"/>
  <c r="G385" i="1"/>
  <c r="H385" i="1"/>
  <c r="J385" i="1"/>
  <c r="K385" i="1"/>
  <c r="L385" i="1"/>
  <c r="M385" i="1"/>
  <c r="N385" i="1"/>
  <c r="B395" i="1"/>
  <c r="C395" i="1"/>
  <c r="E395" i="1"/>
  <c r="F395" i="1"/>
  <c r="G395" i="1"/>
  <c r="H395" i="1"/>
  <c r="J395" i="1"/>
  <c r="K395" i="1"/>
  <c r="L395" i="1"/>
  <c r="M395" i="1"/>
  <c r="N395" i="1"/>
  <c r="B398" i="1"/>
  <c r="C398" i="1"/>
  <c r="E398" i="1"/>
  <c r="F398" i="1"/>
  <c r="G398" i="1"/>
  <c r="H398" i="1"/>
  <c r="J398" i="1"/>
  <c r="K398" i="1"/>
  <c r="L398" i="1"/>
  <c r="M398" i="1"/>
  <c r="N398" i="1"/>
  <c r="B400" i="1"/>
  <c r="C400" i="1"/>
  <c r="E400" i="1"/>
  <c r="F400" i="1"/>
  <c r="G400" i="1"/>
  <c r="H400" i="1"/>
  <c r="J400" i="1"/>
  <c r="K400" i="1"/>
  <c r="L400" i="1"/>
  <c r="M400" i="1"/>
  <c r="N400" i="1"/>
  <c r="B404" i="1"/>
  <c r="C404" i="1"/>
  <c r="E404" i="1"/>
  <c r="F404" i="1"/>
  <c r="G404" i="1"/>
  <c r="H404" i="1"/>
  <c r="I404" i="1"/>
  <c r="J404" i="1"/>
  <c r="K404" i="1"/>
  <c r="L404" i="1"/>
  <c r="M404" i="1"/>
  <c r="N404" i="1"/>
  <c r="B406" i="1"/>
  <c r="C406" i="1"/>
  <c r="E406" i="1"/>
  <c r="F406" i="1"/>
  <c r="G406" i="1"/>
  <c r="H406" i="1"/>
  <c r="J406" i="1"/>
  <c r="K406" i="1"/>
  <c r="L406" i="1"/>
  <c r="M406" i="1"/>
  <c r="N406" i="1"/>
  <c r="B421" i="1"/>
  <c r="C421" i="1"/>
  <c r="E421" i="1"/>
  <c r="F421" i="1"/>
  <c r="G421" i="1"/>
  <c r="H421" i="1"/>
  <c r="J421" i="1"/>
  <c r="K421" i="1"/>
  <c r="L421" i="1"/>
  <c r="M421" i="1"/>
  <c r="N421" i="1"/>
  <c r="B424" i="1"/>
  <c r="C424" i="1"/>
  <c r="E424" i="1"/>
  <c r="F424" i="1"/>
  <c r="G424" i="1"/>
  <c r="H424" i="1"/>
  <c r="I424" i="1"/>
  <c r="J424" i="1"/>
  <c r="K424" i="1"/>
  <c r="L424" i="1"/>
  <c r="M424" i="1"/>
  <c r="N424" i="1"/>
  <c r="B427" i="1"/>
  <c r="C427" i="1"/>
  <c r="E427" i="1"/>
  <c r="F427" i="1"/>
  <c r="G427" i="1"/>
  <c r="H427" i="1"/>
  <c r="I427" i="1"/>
  <c r="J427" i="1"/>
  <c r="K427" i="1"/>
  <c r="L427" i="1"/>
  <c r="M427" i="1"/>
  <c r="N427" i="1"/>
  <c r="B430" i="1"/>
  <c r="C430" i="1"/>
  <c r="E430" i="1"/>
  <c r="F430" i="1"/>
  <c r="G430" i="1"/>
  <c r="H430" i="1"/>
  <c r="I430" i="1"/>
  <c r="J430" i="1"/>
  <c r="K430" i="1"/>
  <c r="L430" i="1"/>
  <c r="M430" i="1"/>
  <c r="N430" i="1"/>
  <c r="B432" i="1"/>
  <c r="C432" i="1"/>
  <c r="E432" i="1"/>
  <c r="F432" i="1"/>
  <c r="G432" i="1"/>
  <c r="H432" i="1"/>
  <c r="I432" i="1"/>
  <c r="J432" i="1"/>
  <c r="K432" i="1"/>
  <c r="L432" i="1"/>
  <c r="M432" i="1"/>
  <c r="N432" i="1"/>
  <c r="B434" i="1"/>
  <c r="C434" i="1"/>
  <c r="E434" i="1"/>
  <c r="F434" i="1"/>
  <c r="G434" i="1"/>
  <c r="H434" i="1"/>
  <c r="I434" i="1"/>
  <c r="J434" i="1"/>
  <c r="K434" i="1"/>
  <c r="L434" i="1"/>
  <c r="M434" i="1"/>
  <c r="N434" i="1"/>
  <c r="B437" i="1"/>
  <c r="C437" i="1"/>
  <c r="E437" i="1"/>
  <c r="F437" i="1"/>
  <c r="G437" i="1"/>
  <c r="H437" i="1"/>
  <c r="J437" i="1"/>
  <c r="K437" i="1"/>
  <c r="L437" i="1"/>
  <c r="M437" i="1"/>
  <c r="N437" i="1"/>
  <c r="B440" i="1"/>
  <c r="C440" i="1"/>
  <c r="E440" i="1"/>
  <c r="F440" i="1"/>
  <c r="G440" i="1"/>
  <c r="H440" i="1"/>
  <c r="J440" i="1"/>
  <c r="K440" i="1"/>
  <c r="L440" i="1"/>
  <c r="M440" i="1"/>
  <c r="N440" i="1"/>
  <c r="B443" i="1"/>
  <c r="C443" i="1"/>
  <c r="E443" i="1"/>
  <c r="F443" i="1"/>
  <c r="G443" i="1"/>
  <c r="H443" i="1"/>
  <c r="I443" i="1"/>
  <c r="J443" i="1"/>
  <c r="K443" i="1"/>
  <c r="L443" i="1"/>
  <c r="M443" i="1"/>
  <c r="N443" i="1"/>
  <c r="B456" i="1"/>
  <c r="C456" i="1"/>
  <c r="E456" i="1"/>
  <c r="F456" i="1"/>
  <c r="G456" i="1"/>
  <c r="H456" i="1"/>
  <c r="I456" i="1"/>
  <c r="J456" i="1"/>
  <c r="K456" i="1"/>
  <c r="L456" i="1"/>
  <c r="M456" i="1"/>
  <c r="N456" i="1"/>
  <c r="P456" i="1"/>
  <c r="Q456" i="1"/>
  <c r="R456" i="1"/>
  <c r="B459" i="1"/>
  <c r="C459" i="1"/>
  <c r="E459" i="1"/>
  <c r="F459" i="1"/>
  <c r="G459" i="1"/>
  <c r="H459" i="1"/>
  <c r="I459" i="1"/>
  <c r="J459" i="1"/>
  <c r="K459" i="1"/>
  <c r="L459" i="1"/>
  <c r="M459" i="1"/>
  <c r="N459" i="1"/>
  <c r="P459" i="1"/>
  <c r="Q459" i="1"/>
  <c r="R459" i="1"/>
  <c r="B463" i="1"/>
  <c r="C463" i="1"/>
  <c r="E463" i="1"/>
  <c r="F463" i="1"/>
  <c r="G463" i="1"/>
  <c r="H463" i="1"/>
  <c r="I463" i="1"/>
  <c r="J463" i="1"/>
  <c r="K463" i="1"/>
  <c r="L463" i="1"/>
  <c r="M463" i="1"/>
  <c r="N463" i="1"/>
  <c r="P463" i="1"/>
  <c r="Q463" i="1"/>
  <c r="R463" i="1"/>
  <c r="B468" i="1"/>
  <c r="C468" i="1"/>
  <c r="E468" i="1"/>
  <c r="F468" i="1"/>
  <c r="G468" i="1"/>
  <c r="H468" i="1"/>
  <c r="I468" i="1"/>
  <c r="J468" i="1"/>
  <c r="K468" i="1"/>
  <c r="L468" i="1"/>
  <c r="M468" i="1"/>
  <c r="N468" i="1"/>
  <c r="P468" i="1"/>
  <c r="Q468" i="1"/>
  <c r="R468" i="1"/>
  <c r="B479" i="1"/>
  <c r="C479" i="1"/>
  <c r="E479" i="1"/>
  <c r="F479" i="1"/>
  <c r="G479" i="1"/>
  <c r="H479" i="1"/>
  <c r="J479" i="1"/>
  <c r="K479" i="1"/>
  <c r="L479" i="1"/>
  <c r="M479" i="1"/>
  <c r="N479" i="1"/>
  <c r="P479" i="1"/>
  <c r="Q479" i="1"/>
  <c r="R479" i="1"/>
  <c r="B483" i="1"/>
  <c r="C483" i="1"/>
  <c r="E483" i="1"/>
  <c r="F483" i="1"/>
  <c r="G483" i="1"/>
  <c r="H483" i="1"/>
  <c r="I483" i="1"/>
  <c r="J483" i="1"/>
  <c r="K483" i="1"/>
  <c r="L483" i="1"/>
  <c r="M483" i="1"/>
  <c r="N483" i="1"/>
  <c r="P483" i="1"/>
  <c r="Q483" i="1"/>
  <c r="R483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P485" i="1"/>
  <c r="Q485" i="1"/>
  <c r="R485" i="1"/>
  <c r="B487" i="1"/>
  <c r="C487" i="1"/>
  <c r="E487" i="1"/>
  <c r="F487" i="1"/>
  <c r="G487" i="1"/>
  <c r="H487" i="1"/>
  <c r="J487" i="1"/>
  <c r="K487" i="1"/>
  <c r="L487" i="1"/>
  <c r="M487" i="1"/>
  <c r="N487" i="1"/>
  <c r="P487" i="1"/>
  <c r="Q487" i="1"/>
  <c r="R487" i="1"/>
  <c r="B489" i="1"/>
  <c r="C489" i="1"/>
  <c r="E489" i="1"/>
  <c r="F489" i="1"/>
  <c r="G489" i="1"/>
  <c r="H489" i="1"/>
  <c r="I489" i="1"/>
  <c r="J489" i="1"/>
  <c r="K489" i="1"/>
  <c r="L489" i="1"/>
  <c r="M489" i="1"/>
  <c r="N489" i="1"/>
  <c r="P489" i="1"/>
  <c r="Q489" i="1"/>
  <c r="R489" i="1"/>
  <c r="B495" i="1"/>
  <c r="C495" i="1"/>
  <c r="E495" i="1"/>
  <c r="F495" i="1"/>
  <c r="G495" i="1"/>
  <c r="H495" i="1"/>
  <c r="I495" i="1"/>
  <c r="J495" i="1"/>
  <c r="K495" i="1"/>
  <c r="L495" i="1"/>
  <c r="M495" i="1"/>
  <c r="N495" i="1"/>
  <c r="P495" i="1"/>
  <c r="Q495" i="1"/>
  <c r="R495" i="1"/>
  <c r="B499" i="1"/>
  <c r="C499" i="1"/>
  <c r="E499" i="1"/>
  <c r="F499" i="1"/>
  <c r="G499" i="1"/>
  <c r="H499" i="1"/>
  <c r="I499" i="1"/>
  <c r="J499" i="1"/>
  <c r="K499" i="1"/>
  <c r="L499" i="1"/>
  <c r="M499" i="1"/>
  <c r="N499" i="1"/>
  <c r="Q499" i="1"/>
  <c r="R4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G954" authorId="0" shapeId="0" xr:uid="{F4D355DE-5572-4C8A-84F7-80C58334178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 emitio una factura nueva y una nota de credito por error de IGV
Factura Anterior FT F001-153
Nota de Credito NC FC01-3
Factura Nueva F001-157
</t>
        </r>
      </text>
    </comment>
    <comment ref="G966" authorId="0" shapeId="0" xr:uid="{FE0AEF15-DB77-4E5B-8DB7-870644A2022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 emitio una factura nueva y una nota de credito por error de IGV
Factura Anterior FT F001-155
Nota de Credito NC FC01-4
Factura Nueva F001-158</t>
        </r>
      </text>
    </comment>
    <comment ref="H966" authorId="0" shapeId="0" xr:uid="{39ED7DF8-221C-4C20-92E7-213DE8E19B4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 emitio una factura nueva y una nota de credito por error de IGV
Factura Anterior FT F001-155
Nota de Credito NC FC01-4
Factura Nueva F001-158</t>
        </r>
      </text>
    </comment>
    <comment ref="G973" authorId="0" shapeId="0" xr:uid="{DDFC5A65-1C64-43F2-B0A7-605FE134E3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 emitio una factura nueva y una nota de credito por error de IGV
Factura Anterior FT F001-156
Nota de Credito NC FC01-5
Factura Nueva F001-159</t>
        </r>
      </text>
    </comment>
    <comment ref="H973" authorId="0" shapeId="0" xr:uid="{D8657432-9DA2-4C10-8CFF-3E66E55A9C6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 emitio una factura nueva y una nota de credito por error de IGV
Factura Anterior FT F001-156
Nota de Credito NC FC01-5
Factura Nueva F001-159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G565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 emitio una factura nueva y una nota de credito por error de IGV
Factura Anterior FT F001-153
Nota de Credito NC FC01-3
Factura Nueva F001-157
</t>
        </r>
      </text>
    </comment>
    <comment ref="G571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 emitio una factura nueva y una nota de credito por error de IGV
Factura Anterior FT F001-155
Nota de Credito NC FC01-4
Factura Nueva F001-158</t>
        </r>
      </text>
    </comment>
    <comment ref="G575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Se emitio una factura nueva y una nota de credito por error de IGV
Factura Anterior FT F001-156
Nota de Credito NC FC01-5
Factura Nueva F001-159</t>
        </r>
      </text>
    </comment>
  </commentList>
</comments>
</file>

<file path=xl/sharedStrings.xml><?xml version="1.0" encoding="utf-8"?>
<sst xmlns="http://schemas.openxmlformats.org/spreadsheetml/2006/main" count="18323" uniqueCount="1811">
  <si>
    <t>BV</t>
  </si>
  <si>
    <t>Yamira Santillana</t>
  </si>
  <si>
    <t>-</t>
  </si>
  <si>
    <t>BV EB01-1</t>
  </si>
  <si>
    <t>Lima</t>
  </si>
  <si>
    <t>San Felipe</t>
  </si>
  <si>
    <t>Lima-San Felipe</t>
  </si>
  <si>
    <t>Oficina</t>
  </si>
  <si>
    <t>BCP</t>
  </si>
  <si>
    <t>Restaurante</t>
  </si>
  <si>
    <t>U</t>
  </si>
  <si>
    <t>Rodrigo</t>
  </si>
  <si>
    <t>FT</t>
  </si>
  <si>
    <t>Jhonathan Brain Tech</t>
  </si>
  <si>
    <t>FT E001-1</t>
  </si>
  <si>
    <t>Santa Anita</t>
  </si>
  <si>
    <t>Lima-Santa Anita</t>
  </si>
  <si>
    <t>Juan Carlos</t>
  </si>
  <si>
    <t>BV EB01-2(NOTA DE CREDITO)</t>
  </si>
  <si>
    <t>La Molina</t>
  </si>
  <si>
    <t>Lima-La Molina</t>
  </si>
  <si>
    <t>Efectivo</t>
  </si>
  <si>
    <t>Sergio</t>
  </si>
  <si>
    <t>No va</t>
  </si>
  <si>
    <t>Rimac</t>
  </si>
  <si>
    <t xml:space="preserve">Entrega Caqueta </t>
  </si>
  <si>
    <t>Carlos Jimenez</t>
  </si>
  <si>
    <t>BV EB01-3</t>
  </si>
  <si>
    <t>Huacho</t>
  </si>
  <si>
    <t>Shalom</t>
  </si>
  <si>
    <t>Otros</t>
  </si>
  <si>
    <t>M</t>
  </si>
  <si>
    <t>Diana</t>
  </si>
  <si>
    <t>BV EB01-5(NOTA DE CREDITO)</t>
  </si>
  <si>
    <t>Abramonte Contreras Paola Stephany</t>
  </si>
  <si>
    <t>BV EB01-4</t>
  </si>
  <si>
    <t>Tarapoto</t>
  </si>
  <si>
    <t>Redes sociales</t>
  </si>
  <si>
    <t>BBVA</t>
  </si>
  <si>
    <t>Cardenas Mendez Ruth Yenny</t>
  </si>
  <si>
    <t>BV EB01-6</t>
  </si>
  <si>
    <t>Chosica</t>
  </si>
  <si>
    <t>Saquiray Vela Wili Aybor</t>
  </si>
  <si>
    <t>FT E001-2</t>
  </si>
  <si>
    <t>Iquitos</t>
  </si>
  <si>
    <t>Karsil</t>
  </si>
  <si>
    <t>Camacho Astoquilca Alvaro Pablo</t>
  </si>
  <si>
    <t>FT E001-3</t>
  </si>
  <si>
    <t>Puno</t>
  </si>
  <si>
    <t>Puntaca Posada Elizabeth Gladys</t>
  </si>
  <si>
    <t>BV EB01-7</t>
  </si>
  <si>
    <t>Sullana</t>
  </si>
  <si>
    <t>Tienda</t>
  </si>
  <si>
    <t>Juarez Chaiña David Ramon</t>
  </si>
  <si>
    <t>FT E001-4</t>
  </si>
  <si>
    <t>Tacna</t>
  </si>
  <si>
    <t>Interbank</t>
  </si>
  <si>
    <t>Karen Rosales Pizzeria</t>
  </si>
  <si>
    <t>Olivos</t>
  </si>
  <si>
    <t>Olivos Av Marañon 688</t>
  </si>
  <si>
    <t>RH</t>
  </si>
  <si>
    <t>Anthony</t>
  </si>
  <si>
    <t>RH E001-1</t>
  </si>
  <si>
    <t>San Martin de Porres</t>
  </si>
  <si>
    <t>Boris Orlando Alejo</t>
  </si>
  <si>
    <t>Ica</t>
  </si>
  <si>
    <t>Puscan Rojas Nehemias</t>
  </si>
  <si>
    <t>Chachapoyas</t>
  </si>
  <si>
    <t>Mamani Supo Juan Orestes</t>
  </si>
  <si>
    <t>Borjas Hernandez July Sofia</t>
  </si>
  <si>
    <t>FT E001-5</t>
  </si>
  <si>
    <t>Pisco</t>
  </si>
  <si>
    <t>Chinguel Lachapelle Wilson</t>
  </si>
  <si>
    <t>RH E001-53</t>
  </si>
  <si>
    <t>Talara</t>
  </si>
  <si>
    <t xml:space="preserve">Rosales Villavicencio Gregorio </t>
  </si>
  <si>
    <t>FT E001-9</t>
  </si>
  <si>
    <t>Huanuco</t>
  </si>
  <si>
    <t>Yomar Faviola Maldonado Tapia</t>
  </si>
  <si>
    <t>Pucallpa</t>
  </si>
  <si>
    <t>TPP COURIER</t>
  </si>
  <si>
    <t>Rosy Thalia Perez Ponce</t>
  </si>
  <si>
    <t>Chimbote</t>
  </si>
  <si>
    <t>Actividades empresariales</t>
  </si>
  <si>
    <t>Mamani Quilla Edy Wilson</t>
  </si>
  <si>
    <t>BV EB01-9</t>
  </si>
  <si>
    <t>Huancane</t>
  </si>
  <si>
    <t>Expreso Grael S.a.c.</t>
  </si>
  <si>
    <t>Butista Rojas Yhorlina Luz</t>
  </si>
  <si>
    <t>Ayacucho</t>
  </si>
  <si>
    <t>La victoria</t>
  </si>
  <si>
    <t>TRANSSOL</t>
  </si>
  <si>
    <t>Parinacochas</t>
  </si>
  <si>
    <t>Kapitza</t>
  </si>
  <si>
    <t>Puente piedra</t>
  </si>
  <si>
    <t>Ensenada</t>
  </si>
  <si>
    <t>Yessica Palomino</t>
  </si>
  <si>
    <t>FT E001-11</t>
  </si>
  <si>
    <t xml:space="preserve">Surquillo </t>
  </si>
  <si>
    <t>Surquillo (Aviacion)</t>
  </si>
  <si>
    <t xml:space="preserve">Efectivo </t>
  </si>
  <si>
    <t>Tecnoliga y gestion informatica</t>
  </si>
  <si>
    <t>Felix Amado</t>
  </si>
  <si>
    <t>FT E001-12</t>
  </si>
  <si>
    <t>Municipalidad Santa Anita</t>
  </si>
  <si>
    <t>Ubillus del Castillo Ricardo Agustin</t>
  </si>
  <si>
    <t>BV EB01-12</t>
  </si>
  <si>
    <t>Barranco</t>
  </si>
  <si>
    <t>Barranco paradero Balta</t>
  </si>
  <si>
    <t>Juan Carlos Lavilla Gamarra</t>
  </si>
  <si>
    <t>Yola Garcia Sigueñas</t>
  </si>
  <si>
    <t>HUARAL</t>
  </si>
  <si>
    <t>Yasmileth</t>
  </si>
  <si>
    <t>FT E001-13</t>
  </si>
  <si>
    <t>Centro de lima</t>
  </si>
  <si>
    <t>Centro de Lima galeria Computer</t>
  </si>
  <si>
    <t xml:space="preserve">Carlos Trujillo Lonry Hunt </t>
  </si>
  <si>
    <t>Soledad Arrospide Ugarte</t>
  </si>
  <si>
    <t>Soyuz</t>
  </si>
  <si>
    <t>Juver</t>
  </si>
  <si>
    <t>ventanilla</t>
  </si>
  <si>
    <t xml:space="preserve">Ventanilla-Galeria santa Rosa </t>
  </si>
  <si>
    <t xml:space="preserve">Clases militares </t>
  </si>
  <si>
    <t>Nadia Tello Nuñez</t>
  </si>
  <si>
    <t>Ovalo Infanta Lima</t>
  </si>
  <si>
    <t>FT E001-21</t>
  </si>
  <si>
    <t>Franz Gutierrez</t>
  </si>
  <si>
    <t>San miguel</t>
  </si>
  <si>
    <t>San miguel con la marina</t>
  </si>
  <si>
    <t>Consultorio medico</t>
  </si>
  <si>
    <t>BV EB01-25</t>
  </si>
  <si>
    <t>Jesus Antoni Zea Huaman</t>
  </si>
  <si>
    <t>RH E001-2</t>
  </si>
  <si>
    <t>Chancas</t>
  </si>
  <si>
    <t>Bodega</t>
  </si>
  <si>
    <t>FT E001-33</t>
  </si>
  <si>
    <t>Reategui Vargas Alexis</t>
  </si>
  <si>
    <t>FT E001-34</t>
  </si>
  <si>
    <t>Contador</t>
  </si>
  <si>
    <t>Alex del Aguila Angulo</t>
  </si>
  <si>
    <t>Olva Courier</t>
  </si>
  <si>
    <t>Alfonso Ugarte</t>
  </si>
  <si>
    <t>Diana Juarez Olaya</t>
  </si>
  <si>
    <t>Ricardo</t>
  </si>
  <si>
    <t>Ate</t>
  </si>
  <si>
    <t>Ate Purucho cerro</t>
  </si>
  <si>
    <t>Emerson Morales Espinoza</t>
  </si>
  <si>
    <t>Marvisur</t>
  </si>
  <si>
    <t>Lesli Amaro Santiago</t>
  </si>
  <si>
    <t>Jirón puno 3174 SMP Altura la cuadra 31 de la avenida Perú</t>
  </si>
  <si>
    <t>Pagos efectivos</t>
  </si>
  <si>
    <t xml:space="preserve">Melissa Luna Victoria </t>
  </si>
  <si>
    <t>RH E001-56</t>
  </si>
  <si>
    <t>Jiron restauracion 582 dpto 104 breña</t>
  </si>
  <si>
    <t>Segundo Vasquez Diaz</t>
  </si>
  <si>
    <t>Gamarra</t>
  </si>
  <si>
    <t>Jesús Toledo Parco</t>
  </si>
  <si>
    <t>Villa Rica-Pasco</t>
  </si>
  <si>
    <t>Molina unión-28 de julio con jirón abtao</t>
  </si>
  <si>
    <t>Mayra Stephany Giron Villodas</t>
  </si>
  <si>
    <t>BV EB01-30</t>
  </si>
  <si>
    <t>Lurin</t>
  </si>
  <si>
    <t>Mercado Villa las Palmas-Lurin</t>
  </si>
  <si>
    <t>Ada Alvarez</t>
  </si>
  <si>
    <t xml:space="preserve">Villa El Salvador </t>
  </si>
  <si>
    <t>Lubricantes</t>
  </si>
  <si>
    <t>Eusebio Pari Yufra</t>
  </si>
  <si>
    <t>Vivianda</t>
  </si>
  <si>
    <t>RH E001-57</t>
  </si>
  <si>
    <t>Surco</t>
  </si>
  <si>
    <t>Calle Tuman 169 Surco altura de la 16 de primavera</t>
  </si>
  <si>
    <t>Maria Gloria Cardenas Gutierrez</t>
  </si>
  <si>
    <t>RH E001-58</t>
  </si>
  <si>
    <t>Flores-Olivos</t>
  </si>
  <si>
    <t>Contadora</t>
  </si>
  <si>
    <t>Lizet Briceño</t>
  </si>
  <si>
    <t>Puente Piedra-Zapallal</t>
  </si>
  <si>
    <t>Wilmer Almonte Silva</t>
  </si>
  <si>
    <t>Tarapoto Courier</t>
  </si>
  <si>
    <t>Jean Carlos Ramirez</t>
  </si>
  <si>
    <t>Santa Anita Mall Aventura</t>
  </si>
  <si>
    <t>Jessica Yannet Vasquez Cordova</t>
  </si>
  <si>
    <t>RH E001-3</t>
  </si>
  <si>
    <t>Carabayllo</t>
  </si>
  <si>
    <t>Carabayllo Establo</t>
  </si>
  <si>
    <t>William Enrique Vera Valdivia</t>
  </si>
  <si>
    <t>FT E001-39</t>
  </si>
  <si>
    <t>Comas-Santaluzmila-Universitaria</t>
  </si>
  <si>
    <t>Sr. Guillermo</t>
  </si>
  <si>
    <t>Av. Sebastian Lorente 503 Victoria</t>
  </si>
  <si>
    <t>Francis Cardozo</t>
  </si>
  <si>
    <t>RH E001-59</t>
  </si>
  <si>
    <t>Jr. Andahuaylas 669</t>
  </si>
  <si>
    <t>Guerrero Bellido Jeandira</t>
  </si>
  <si>
    <t>Victoria-Mexico</t>
  </si>
  <si>
    <t>Fernando Tello Gutierrez</t>
  </si>
  <si>
    <t>Jr. Jangas 667 Breña</t>
  </si>
  <si>
    <t>Ezio Ramiro Jean Paja Rodriguez</t>
  </si>
  <si>
    <t>FT E001-40</t>
  </si>
  <si>
    <t>Arequipa</t>
  </si>
  <si>
    <t>Cesar Sanchez Yalico</t>
  </si>
  <si>
    <t>Nuestra señora de las Mercedes</t>
  </si>
  <si>
    <t>Av 28 de julio #1581 la victoria</t>
  </si>
  <si>
    <t>Jose Avila</t>
  </si>
  <si>
    <t>Av. Tacna Jr. Conde</t>
  </si>
  <si>
    <t>Fuente de Soda</t>
  </si>
  <si>
    <t>Huancachoque Chijcheapaza Edgar Juan</t>
  </si>
  <si>
    <t>Gabriela Joselinn Chavez Soca</t>
  </si>
  <si>
    <t>David Tafur</t>
  </si>
  <si>
    <t>Chorrillos</t>
  </si>
  <si>
    <t>Yovana Paja Yucra</t>
  </si>
  <si>
    <t>Urubamba</t>
  </si>
  <si>
    <t>Pisco Texeira Andy Gerson</t>
  </si>
  <si>
    <t>Alfonso Efrain Chambi Cuadiay</t>
  </si>
  <si>
    <t>Jhon Chavez</t>
  </si>
  <si>
    <t>Rimac Av. Amancaes 499</t>
  </si>
  <si>
    <t>Polleria</t>
  </si>
  <si>
    <t>Alejandro Santos Rodriguez</t>
  </si>
  <si>
    <t>FT E001-43</t>
  </si>
  <si>
    <t>Izipay</t>
  </si>
  <si>
    <t xml:space="preserve">Reinaldo </t>
  </si>
  <si>
    <t>Carro</t>
  </si>
  <si>
    <t>Teodocia Yerba Zela</t>
  </si>
  <si>
    <t>Gamarra-Guizado</t>
  </si>
  <si>
    <t>Jose Antonio Pancorbo</t>
  </si>
  <si>
    <t>Percy Willian Vilchez Chiroque</t>
  </si>
  <si>
    <t>Agencia Naranjal</t>
  </si>
  <si>
    <t>Graterol Bocaney Jose Manuel</t>
  </si>
  <si>
    <t>RH E001-4</t>
  </si>
  <si>
    <t>Chiclayo</t>
  </si>
  <si>
    <t>Rita Gabirela Diaz Felipa</t>
  </si>
  <si>
    <t>RH E001-5</t>
  </si>
  <si>
    <t>Estefany Vanessa Sotomayor Aliaga</t>
  </si>
  <si>
    <t>RH E001-6</t>
  </si>
  <si>
    <t>Farmacia</t>
  </si>
  <si>
    <t>Magdalena</t>
  </si>
  <si>
    <t>FT E001-44</t>
  </si>
  <si>
    <t>Av. Brasil con la marina</t>
  </si>
  <si>
    <t>Pasteleria</t>
  </si>
  <si>
    <t>Joel Huaman Condori</t>
  </si>
  <si>
    <t>RH E001-7</t>
  </si>
  <si>
    <t>Huancavelica</t>
  </si>
  <si>
    <t>Altez Rodriguez Jose Felix</t>
  </si>
  <si>
    <t>FT E001-45</t>
  </si>
  <si>
    <t>Comas</t>
  </si>
  <si>
    <t>Luis Aurelio Moral Hervas</t>
  </si>
  <si>
    <t>RH E001-8</t>
  </si>
  <si>
    <t xml:space="preserve">Leon </t>
  </si>
  <si>
    <t>RH E001-9</t>
  </si>
  <si>
    <t>Chao</t>
  </si>
  <si>
    <t>Emite Peru</t>
  </si>
  <si>
    <t>RH E001-10</t>
  </si>
  <si>
    <t>Ventanilla</t>
  </si>
  <si>
    <t>Emite Peru Facturacion</t>
  </si>
  <si>
    <t>Elmer Pinto Choquemamani</t>
  </si>
  <si>
    <t>Hugo Paredes Campojo</t>
  </si>
  <si>
    <t>Ucayali</t>
  </si>
  <si>
    <t>Transmar</t>
  </si>
  <si>
    <t>Eduardo Ramos de Rosas</t>
  </si>
  <si>
    <t>Comas, cevicheria tupac</t>
  </si>
  <si>
    <t xml:space="preserve">Shirley Rosales </t>
  </si>
  <si>
    <t>Chimbote express</t>
  </si>
  <si>
    <t>Lazo Zeballos Javier Ramiro</t>
  </si>
  <si>
    <t>BV EB01-34</t>
  </si>
  <si>
    <t>INGA IMPORT EIRL</t>
  </si>
  <si>
    <t>FT E001-48</t>
  </si>
  <si>
    <t>Huancayo</t>
  </si>
  <si>
    <t>Generacion 12</t>
  </si>
  <si>
    <t>Aplicativo Web</t>
  </si>
  <si>
    <t>Jose Luis Flores Robles</t>
  </si>
  <si>
    <t>Señora y señor</t>
  </si>
  <si>
    <t>Colegio</t>
  </si>
  <si>
    <t>Jessica Arteaga</t>
  </si>
  <si>
    <t>FT E001-49</t>
  </si>
  <si>
    <t>Trapiche Comas</t>
  </si>
  <si>
    <t>Rudy Idber Sacramento Casio</t>
  </si>
  <si>
    <t>Expreso Aquiles</t>
  </si>
  <si>
    <t>Victoria</t>
  </si>
  <si>
    <t>Nancy Salazar Avila</t>
  </si>
  <si>
    <t>Transportes Flores</t>
  </si>
  <si>
    <t>Av. 28 de julio Victoria</t>
  </si>
  <si>
    <t>Eloy</t>
  </si>
  <si>
    <t>Chavinillo</t>
  </si>
  <si>
    <t>Fenix</t>
  </si>
  <si>
    <t>Sandra Melissa Cahua Basurto</t>
  </si>
  <si>
    <t>Turismo Cañete</t>
  </si>
  <si>
    <t>Perez Rodriguez Henri William</t>
  </si>
  <si>
    <t>FT E001-50</t>
  </si>
  <si>
    <t>RH E001-60</t>
  </si>
  <si>
    <t>Gamarra Galeria</t>
  </si>
  <si>
    <t>Junior Alberto Andia Torres</t>
  </si>
  <si>
    <t>Grupo la Molina</t>
  </si>
  <si>
    <t>Ekaterine Zegarra</t>
  </si>
  <si>
    <t>Lonya Grande</t>
  </si>
  <si>
    <t>Kordania s.a.c.</t>
  </si>
  <si>
    <t>Izaguirre universitaria</t>
  </si>
  <si>
    <t>FT E001-51</t>
  </si>
  <si>
    <t>Carlos Alberto Quispe Carrasco</t>
  </si>
  <si>
    <t>RH E001-61</t>
  </si>
  <si>
    <t>Maryuri Tathyana Cruz</t>
  </si>
  <si>
    <t>Huarmey</t>
  </si>
  <si>
    <t>Gabriela</t>
  </si>
  <si>
    <t>Agustino</t>
  </si>
  <si>
    <t>Casa</t>
  </si>
  <si>
    <t>Daniel Bracamonte</t>
  </si>
  <si>
    <t xml:space="preserve">8.5 </t>
  </si>
  <si>
    <t>Jennifer Lopez</t>
  </si>
  <si>
    <t>Juan Ruben</t>
  </si>
  <si>
    <t>FT E001-52</t>
  </si>
  <si>
    <t>Av Trapiche</t>
  </si>
  <si>
    <t>Botica</t>
  </si>
  <si>
    <t>Jhonatan Q.</t>
  </si>
  <si>
    <t xml:space="preserve">santa anita  </t>
  </si>
  <si>
    <t>win internet</t>
  </si>
  <si>
    <t>Josue Gernimo Flores</t>
  </si>
  <si>
    <t>sergio</t>
  </si>
  <si>
    <t>Josimar Josue Hilario Miranda</t>
  </si>
  <si>
    <t>BV EB01-37</t>
  </si>
  <si>
    <t>Mily Tf</t>
  </si>
  <si>
    <t>Ancon</t>
  </si>
  <si>
    <t>Inversiones AD 10 S.A.C.</t>
  </si>
  <si>
    <t>FT E001-54</t>
  </si>
  <si>
    <t>Av. Grau la Victoria Centro Comercial</t>
  </si>
  <si>
    <t>Cristian Quintero</t>
  </si>
  <si>
    <t>BV EB01-38</t>
  </si>
  <si>
    <t>FT E001-55</t>
  </si>
  <si>
    <t>Agua Luwa</t>
  </si>
  <si>
    <t>Crackselles S.A.C.</t>
  </si>
  <si>
    <t>FT E001-56</t>
  </si>
  <si>
    <t>San Borja</t>
  </si>
  <si>
    <t>Grimaldo Ricaldi Espinoza</t>
  </si>
  <si>
    <t>FT E001-57</t>
  </si>
  <si>
    <t>Municiaplidad</t>
  </si>
  <si>
    <t>Jose Luis Quinto Cotarate</t>
  </si>
  <si>
    <t>RH E011-54</t>
  </si>
  <si>
    <t>Tarma</t>
  </si>
  <si>
    <t>Covaldi</t>
  </si>
  <si>
    <t>Union Saludable por Naturaleza</t>
  </si>
  <si>
    <t>Carolina</t>
  </si>
  <si>
    <t>Surco Jr Vista Alegre Mz A13</t>
  </si>
  <si>
    <t>ATW SUPPORT AND SERVICES S.A.C.</t>
  </si>
  <si>
    <t>FT E001-58</t>
  </si>
  <si>
    <t>Jose Antonio Gomez Mendoza</t>
  </si>
  <si>
    <t>RH E001-62</t>
  </si>
  <si>
    <t>Transmotar s.a.c.</t>
  </si>
  <si>
    <t>Torres Lopez Gerarda Patricia</t>
  </si>
  <si>
    <t>Multipagos</t>
  </si>
  <si>
    <t>Jhonny Guillermo Zumaeta Tamani</t>
  </si>
  <si>
    <t>Rosmy Nery Fiestas Carbonell</t>
  </si>
  <si>
    <t>FT E001-61</t>
  </si>
  <si>
    <t>Armando Wilbert Soto Cruz</t>
  </si>
  <si>
    <t>MCORTEZBPO</t>
  </si>
  <si>
    <t>Municipalidad de los Olivos</t>
  </si>
  <si>
    <t>Joel Efren Flores Velasquez</t>
  </si>
  <si>
    <t>FT E001-60</t>
  </si>
  <si>
    <t>Trujillo</t>
  </si>
  <si>
    <t>Expreso Dorado</t>
  </si>
  <si>
    <t>Plaza Norte</t>
  </si>
  <si>
    <t>Eduardo Aronés Aronés</t>
  </si>
  <si>
    <t>BV EB01-41</t>
  </si>
  <si>
    <t>Apaza Arela Angel</t>
  </si>
  <si>
    <t>FT E001-62</t>
  </si>
  <si>
    <t>FT E001-63</t>
  </si>
  <si>
    <t>Laura</t>
  </si>
  <si>
    <t>San Juan De Lurigancho</t>
  </si>
  <si>
    <t>Santiago</t>
  </si>
  <si>
    <t>Cafeteria</t>
  </si>
  <si>
    <t>D° Linaje E.I.R.L.</t>
  </si>
  <si>
    <t>FT E001-64</t>
  </si>
  <si>
    <t>Denis Benites</t>
  </si>
  <si>
    <t>FT E001-66</t>
  </si>
  <si>
    <t>RH E011-55</t>
  </si>
  <si>
    <t>Oficina Olivos</t>
  </si>
  <si>
    <t>Oscar Solorzano</t>
  </si>
  <si>
    <t>Municipalidad de Carabayllo</t>
  </si>
  <si>
    <t>FT E001-67</t>
  </si>
  <si>
    <t>Municipalidad Los Olivos</t>
  </si>
  <si>
    <t xml:space="preserve">Ramiro Silvio Vasquez Abad </t>
  </si>
  <si>
    <t>Jesus Hernan</t>
  </si>
  <si>
    <t>FT F001-9</t>
  </si>
  <si>
    <t>Callao</t>
  </si>
  <si>
    <t>Callao Vellavista</t>
  </si>
  <si>
    <t>Asesor Corporacion Ones</t>
  </si>
  <si>
    <t>Villa Maria del Triunfo</t>
  </si>
  <si>
    <t xml:space="preserve">Beatriz </t>
  </si>
  <si>
    <t>Comas Universitaria con San Carlos</t>
  </si>
  <si>
    <t>Fiorella</t>
  </si>
  <si>
    <t>Barberia</t>
  </si>
  <si>
    <t>xd</t>
  </si>
  <si>
    <t>Universitaria-Con Tomas Valle</t>
  </si>
  <si>
    <t>Jorge Novoa</t>
  </si>
  <si>
    <t>Surquillo</t>
  </si>
  <si>
    <t>Diego Lisber Mamani Castro</t>
  </si>
  <si>
    <t>Marco Enrique Acosta Calderon</t>
  </si>
  <si>
    <t>FT F001-8</t>
  </si>
  <si>
    <t>Huevos andinos eirl</t>
  </si>
  <si>
    <t>Juan David</t>
  </si>
  <si>
    <t>BV B001-2</t>
  </si>
  <si>
    <t>Salinas Ramirez Elsa</t>
  </si>
  <si>
    <t>FT F001-7</t>
  </si>
  <si>
    <t>San Luis</t>
  </si>
  <si>
    <t>Colombiano</t>
  </si>
  <si>
    <t>Dominicos</t>
  </si>
  <si>
    <t>Cesar Choqueapaza Quispe</t>
  </si>
  <si>
    <t>Jose Alberto Gonzales Huillca</t>
  </si>
  <si>
    <t>Puerto Maldonado</t>
  </si>
  <si>
    <t>Victor Taype Taypoma</t>
  </si>
  <si>
    <t>J.r. Cargo</t>
  </si>
  <si>
    <t>Luna Pizarro</t>
  </si>
  <si>
    <t>Corporacion Taype</t>
  </si>
  <si>
    <t>Luis Bernal</t>
  </si>
  <si>
    <t>FT F001-12</t>
  </si>
  <si>
    <t>La molina</t>
  </si>
  <si>
    <t>Jesus Navarro</t>
  </si>
  <si>
    <t xml:space="preserve">Jiron Juan Crespo Castillo </t>
  </si>
  <si>
    <t>Ana Prada</t>
  </si>
  <si>
    <t>Callao Av morales Duarte</t>
  </si>
  <si>
    <t>Gomez Echevarria Cayo Renato</t>
  </si>
  <si>
    <t>FT F001-10</t>
  </si>
  <si>
    <t>Silva Cuya Helida Ana</t>
  </si>
  <si>
    <t>Centro de Lima</t>
  </si>
  <si>
    <t>Av. Brasil</t>
  </si>
  <si>
    <t>Cherry Tuanama Garcia</t>
  </si>
  <si>
    <t>San Martin</t>
  </si>
  <si>
    <t>Yos</t>
  </si>
  <si>
    <t>Lucero Mora</t>
  </si>
  <si>
    <t>Molina</t>
  </si>
  <si>
    <t>Monica Zegarra</t>
  </si>
  <si>
    <t>Surco Panamericana</t>
  </si>
  <si>
    <t>Soluciones ing. S.a.c.</t>
  </si>
  <si>
    <t>Pocho Joel Estela Ambicho</t>
  </si>
  <si>
    <t>FT F001-11</t>
  </si>
  <si>
    <t>Gerardo Rios Zuluaga</t>
  </si>
  <si>
    <t>Ocdulia</t>
  </si>
  <si>
    <t>Mercado central</t>
  </si>
  <si>
    <t>Mayra Anggela Inocente Loayza</t>
  </si>
  <si>
    <t>Ilo</t>
  </si>
  <si>
    <t>FT F001-13</t>
  </si>
  <si>
    <t>RH E001-64</t>
  </si>
  <si>
    <t>Inversiones Tremy</t>
  </si>
  <si>
    <t>Yeraldin eloa mendoza</t>
  </si>
  <si>
    <t>Liss Diaz</t>
  </si>
  <si>
    <t>FT F001-14</t>
  </si>
  <si>
    <t>Naranjal</t>
  </si>
  <si>
    <t>Dennis Arnold Paredes Lozano</t>
  </si>
  <si>
    <t>Edgar Moreno Pando</t>
  </si>
  <si>
    <t>FT F001-15</t>
  </si>
  <si>
    <t>Botica Tu Farma</t>
  </si>
  <si>
    <t>Vicitación Gamarra</t>
  </si>
  <si>
    <t>BV B001-5</t>
  </si>
  <si>
    <t>Zapallal</t>
  </si>
  <si>
    <t>Farmaket</t>
  </si>
  <si>
    <t>Rivas Zapata Luis Fabian</t>
  </si>
  <si>
    <t xml:space="preserve">Mirriam </t>
  </si>
  <si>
    <t>RH E001-72</t>
  </si>
  <si>
    <t>Gladys Nieto Perez</t>
  </si>
  <si>
    <t>Pilar Castillo Ynfante</t>
  </si>
  <si>
    <t>Violeta Ventura Pisfil</t>
  </si>
  <si>
    <t>FT F001-16</t>
  </si>
  <si>
    <t>Qenko Chincha S.A.C.</t>
  </si>
  <si>
    <t>FT F001-23</t>
  </si>
  <si>
    <t>Santa Clara</t>
  </si>
  <si>
    <t>Inga Baldeon Esraelina</t>
  </si>
  <si>
    <t>La merced</t>
  </si>
  <si>
    <t>Sallo Amau Yessica</t>
  </si>
  <si>
    <t>Miguel Angel Quezada Alayo</t>
  </si>
  <si>
    <t>RH E001-71</t>
  </si>
  <si>
    <t>Jose Luis Meza Samaniego</t>
  </si>
  <si>
    <t>RH E001-11</t>
  </si>
  <si>
    <t>Yasmin Sadith Casachagua Peralta</t>
  </si>
  <si>
    <t>Yhonatan Usacani Del Solar Mamani</t>
  </si>
  <si>
    <t>Uruchi Chipana Pedro Antonio</t>
  </si>
  <si>
    <t>FT F001-17</t>
  </si>
  <si>
    <t>Campos Carmen Genaro Leonel</t>
  </si>
  <si>
    <t>Huamanga</t>
  </si>
  <si>
    <t>Yuri Andres Tucta Ore</t>
  </si>
  <si>
    <t>Jorge Antonio Benavente Curasi</t>
  </si>
  <si>
    <t>Galois Chauca Quispe</t>
  </si>
  <si>
    <t>Pueblo Libre</t>
  </si>
  <si>
    <t>Joel Ayre Perez</t>
  </si>
  <si>
    <t>FT F001-18</t>
  </si>
  <si>
    <t>Chanchamayo</t>
  </si>
  <si>
    <t>Lobato</t>
  </si>
  <si>
    <t>Enrique Franco Linares Chacón</t>
  </si>
  <si>
    <t>FT F001-19</t>
  </si>
  <si>
    <t>Las Flores</t>
  </si>
  <si>
    <t>Jonas Rios Ccalle</t>
  </si>
  <si>
    <t>FT F001-20</t>
  </si>
  <si>
    <t>Liliana Ramirez Alanya</t>
  </si>
  <si>
    <t>RH E001-70</t>
  </si>
  <si>
    <t>Barrios Altos</t>
  </si>
  <si>
    <t xml:space="preserve">Interbank </t>
  </si>
  <si>
    <t>Eddy</t>
  </si>
  <si>
    <t>MINAYA PARIONA MARIA DEL ROSARIO</t>
  </si>
  <si>
    <t>Independecia</t>
  </si>
  <si>
    <t>Jiron Cusco Centro de Lima</t>
  </si>
  <si>
    <t>R &amp; N BOTICA ODONTHOMARKET E.I.R.L.</t>
  </si>
  <si>
    <t>Hospital Cayetano Herredia</t>
  </si>
  <si>
    <t>FAST GAS PERU S.A.C.</t>
  </si>
  <si>
    <t>FT F001-21</t>
  </si>
  <si>
    <t>FT F001-22</t>
  </si>
  <si>
    <t>Yohana</t>
  </si>
  <si>
    <t>Renson Michel Sayre Mochcco</t>
  </si>
  <si>
    <t>FT F001-24</t>
  </si>
  <si>
    <t>Javier Prado</t>
  </si>
  <si>
    <t>Andia Ramos de Jayo Joselyn Estefany</t>
  </si>
  <si>
    <t xml:space="preserve">Juan Francisco </t>
  </si>
  <si>
    <t>Lambayeque</t>
  </si>
  <si>
    <t>Parques Unidos S.A.C.</t>
  </si>
  <si>
    <t>FT F001-25</t>
  </si>
  <si>
    <t>Estación Naranjal</t>
  </si>
  <si>
    <t xml:space="preserve">Santiago Medina </t>
  </si>
  <si>
    <t>E.T.L. HINOSTROZA EIRL</t>
  </si>
  <si>
    <t>Cynthia Carrasco Borda</t>
  </si>
  <si>
    <t>Piura</t>
  </si>
  <si>
    <t>Jannet</t>
  </si>
  <si>
    <t>Roger Efrain Adrianzen Ramirez</t>
  </si>
  <si>
    <t>FT F001-26</t>
  </si>
  <si>
    <t>Flores</t>
  </si>
  <si>
    <t>Lucio Ccorimanya Quispe</t>
  </si>
  <si>
    <t>RH E001-69</t>
  </si>
  <si>
    <t>Sara Apaza Medina Perez</t>
  </si>
  <si>
    <t>Rubi Santos</t>
  </si>
  <si>
    <t>FT F001-27</t>
  </si>
  <si>
    <t>Mercado unicachi de pro</t>
  </si>
  <si>
    <t>FT F001-28</t>
  </si>
  <si>
    <t>Julio Salinas</t>
  </si>
  <si>
    <t>FT F001-29</t>
  </si>
  <si>
    <t>Lince el punto arequipeño</t>
  </si>
  <si>
    <t>André Montoya</t>
  </si>
  <si>
    <t>Alonso Rafael</t>
  </si>
  <si>
    <t>RH E001-68</t>
  </si>
  <si>
    <t>Mercado productores de santa anita</t>
  </si>
  <si>
    <t>Edgar Angel Sallo Achulla</t>
  </si>
  <si>
    <t>Mirian Fiorrella Ruiz Flores</t>
  </si>
  <si>
    <t>Mari Fernandez Flores</t>
  </si>
  <si>
    <t>Leon de Huanuco</t>
  </si>
  <si>
    <t>Jose</t>
  </si>
  <si>
    <t>Huaycan</t>
  </si>
  <si>
    <t>Liz Bolo</t>
  </si>
  <si>
    <t>Av. La Marina</t>
  </si>
  <si>
    <t>Salón de Belleza</t>
  </si>
  <si>
    <t>Jose Brayn Omar Medina Castillo</t>
  </si>
  <si>
    <t>FT F001-30</t>
  </si>
  <si>
    <t>Edwin Cruz Trelles</t>
  </si>
  <si>
    <t>FT F001-32</t>
  </si>
  <si>
    <t xml:space="preserve">Arequipa </t>
  </si>
  <si>
    <t>San Isidro</t>
  </si>
  <si>
    <t>Av. Brazil</t>
  </si>
  <si>
    <t>Mauricio</t>
  </si>
  <si>
    <t>FT F001-33</t>
  </si>
  <si>
    <t>Andrea Catherine Alvarado Farias</t>
  </si>
  <si>
    <t>Tumbes</t>
  </si>
  <si>
    <t>Geraldine Esmeralda Olivares Siancas</t>
  </si>
  <si>
    <t>Carlos Cuba</t>
  </si>
  <si>
    <t>FT F001-34</t>
  </si>
  <si>
    <t>Estacion Metropolitano Central</t>
  </si>
  <si>
    <t>Geosatelital Peru EIRL</t>
  </si>
  <si>
    <t>FT F001-35</t>
  </si>
  <si>
    <t>Edith Salvador</t>
  </si>
  <si>
    <t>FT F001-36</t>
  </si>
  <si>
    <t>FT F001-37</t>
  </si>
  <si>
    <t>Fernando Jesús Cruz Touzet</t>
  </si>
  <si>
    <t>FT F001-38</t>
  </si>
  <si>
    <t>Kelly</t>
  </si>
  <si>
    <t>Agencia Financiera Confianza de Pachacutec de Ventanilla</t>
  </si>
  <si>
    <t>Michel Zamora</t>
  </si>
  <si>
    <t>RH E001-67</t>
  </si>
  <si>
    <t>Moises</t>
  </si>
  <si>
    <t>El Agustino</t>
  </si>
  <si>
    <t>Ricardo Marcel Barrionuevo Bustamante</t>
  </si>
  <si>
    <t>FT F001-39</t>
  </si>
  <si>
    <t>Cruz del Sur</t>
  </si>
  <si>
    <t>FT F001-40</t>
  </si>
  <si>
    <t>FT F001-41</t>
  </si>
  <si>
    <t>Evelyn</t>
  </si>
  <si>
    <t>RH E001-65</t>
  </si>
  <si>
    <t>Ezequiel</t>
  </si>
  <si>
    <t>San isidro calle chinchon 931</t>
  </si>
  <si>
    <t>Elizabeth</t>
  </si>
  <si>
    <t>Gamarra Galeria Guizado av gamarra</t>
  </si>
  <si>
    <t>Angie Viviana Enriquez Estrada</t>
  </si>
  <si>
    <t>RH E001-66</t>
  </si>
  <si>
    <t xml:space="preserve">Diana </t>
  </si>
  <si>
    <t>Julio Anibal Moncada</t>
  </si>
  <si>
    <t>Pacasmayo</t>
  </si>
  <si>
    <t>FT F001-42</t>
  </si>
  <si>
    <t>Juan Clemente Vega Quispe</t>
  </si>
  <si>
    <t>FT F001-43</t>
  </si>
  <si>
    <t>Julio Cesar Mori Gonzales</t>
  </si>
  <si>
    <t>Valeria</t>
  </si>
  <si>
    <t>FT F001-45</t>
  </si>
  <si>
    <t>Claudia</t>
  </si>
  <si>
    <t>Santiago de Surco</t>
  </si>
  <si>
    <t xml:space="preserve">ABP TECNOLOGIA CONSULT S.A.C. </t>
  </si>
  <si>
    <t>FT F001-44</t>
  </si>
  <si>
    <t>Lucyana Carabayllo</t>
  </si>
  <si>
    <t>Paolo</t>
  </si>
  <si>
    <t>FT F001-46</t>
  </si>
  <si>
    <t>FT E001-47</t>
  </si>
  <si>
    <t>FT F001-48</t>
  </si>
  <si>
    <t>LIZZY'S &amp; XOANA'S FASHION EIRL</t>
  </si>
  <si>
    <t>FT F001-49</t>
  </si>
  <si>
    <t>Gloria Zapata</t>
  </si>
  <si>
    <t>FT F001-50</t>
  </si>
  <si>
    <t>Jose Apaza</t>
  </si>
  <si>
    <t>FT F001-51</t>
  </si>
  <si>
    <t>Eylins Villanueva</t>
  </si>
  <si>
    <t>Gamarra Galeria Santa Lucia</t>
  </si>
  <si>
    <t>Juan Cordova</t>
  </si>
  <si>
    <t>Cevicheria</t>
  </si>
  <si>
    <t>Katherine Hidalgo</t>
  </si>
  <si>
    <t>Huaraz</t>
  </si>
  <si>
    <t>Cavassa</t>
  </si>
  <si>
    <t>Kaly Gonzales</t>
  </si>
  <si>
    <t>Jhon Samael</t>
  </si>
  <si>
    <t>Expreso Virgen de Chapi</t>
  </si>
  <si>
    <t>Coco</t>
  </si>
  <si>
    <t>Jesus Maria</t>
  </si>
  <si>
    <t>Keyner</t>
  </si>
  <si>
    <t>Av. Argentina</t>
  </si>
  <si>
    <t>Arturo</t>
  </si>
  <si>
    <t>FT F001-52</t>
  </si>
  <si>
    <t>Reyes</t>
  </si>
  <si>
    <t>Estadio Nacional</t>
  </si>
  <si>
    <t>Rusbel</t>
  </si>
  <si>
    <t>FT F001-54</t>
  </si>
  <si>
    <t>Lily Centurión</t>
  </si>
  <si>
    <t>FT F001-64</t>
  </si>
  <si>
    <t>Roxana</t>
  </si>
  <si>
    <t>Valdeon Mango James Jhon</t>
  </si>
  <si>
    <t>FT F001-53</t>
  </si>
  <si>
    <t>Jackelyn</t>
  </si>
  <si>
    <t>Soe Calexi</t>
  </si>
  <si>
    <t>Puente Piedra-Carabayllo</t>
  </si>
  <si>
    <t>Yair Alexander</t>
  </si>
  <si>
    <t>Anthony Alegria</t>
  </si>
  <si>
    <t>Harvin Alexis Cisneros Sánchez</t>
  </si>
  <si>
    <t>FT F001-56</t>
  </si>
  <si>
    <t>Sherly Ramos Valle</t>
  </si>
  <si>
    <t>Turismo Paucartambo</t>
  </si>
  <si>
    <t xml:space="preserve">Nexar Pusma Huaman </t>
  </si>
  <si>
    <t>FT F001-58</t>
  </si>
  <si>
    <t>Sechura Piura</t>
  </si>
  <si>
    <t>Transporte Cavasa</t>
  </si>
  <si>
    <t>Panaderia Snaider</t>
  </si>
  <si>
    <t>Coma Retablo</t>
  </si>
  <si>
    <t>Digital Soluciones Informaticas EIRL</t>
  </si>
  <si>
    <t>FT F001-59</t>
  </si>
  <si>
    <t>Carlos Oblitas Santos</t>
  </si>
  <si>
    <t>Victor Orlando Leon Castro</t>
  </si>
  <si>
    <t>Chulucanas</t>
  </si>
  <si>
    <t>Hans Gary Pifa Ferrer</t>
  </si>
  <si>
    <t>Pesantes Peña Saraluz</t>
  </si>
  <si>
    <t>FT F001-61</t>
  </si>
  <si>
    <t>Femenina</t>
  </si>
  <si>
    <t>Kely Maribel Ito Mendoza</t>
  </si>
  <si>
    <t>RH E001-81</t>
  </si>
  <si>
    <t>Mestanza Nauca Willian Irael</t>
  </si>
  <si>
    <t>Carlos Franco Cabanillas Roque</t>
  </si>
  <si>
    <t>Teodocio</t>
  </si>
  <si>
    <t xml:space="preserve">San Miguel </t>
  </si>
  <si>
    <t>Transporte Interprovincial Sandoval &amp; C EIRL</t>
  </si>
  <si>
    <t>FT F001-62</t>
  </si>
  <si>
    <t>La Victoria 28 de julio</t>
  </si>
  <si>
    <t>Janely Xiomy Flores Shuan</t>
  </si>
  <si>
    <t>FT F001-63</t>
  </si>
  <si>
    <t>Huaraz-Ancash</t>
  </si>
  <si>
    <t>interbank</t>
  </si>
  <si>
    <t>Tania</t>
  </si>
  <si>
    <t>Comas-En paradero Puno</t>
  </si>
  <si>
    <t>Valverde Velasquez Jussara Hermelina</t>
  </si>
  <si>
    <t>Soluciones Medico Quirurgico del Peru S.A.C.</t>
  </si>
  <si>
    <t>FT F001-65</t>
  </si>
  <si>
    <t>Barranco Ignacio Mariategui 157</t>
  </si>
  <si>
    <t>FT F001-66</t>
  </si>
  <si>
    <t xml:space="preserve">Rony Edgar Condor Bendezu </t>
  </si>
  <si>
    <t>Aida Ayme Rodriguez Cortez</t>
  </si>
  <si>
    <t>FT F001-67</t>
  </si>
  <si>
    <t>Importaciones Arianita S.R.L.</t>
  </si>
  <si>
    <t>FT F001-68</t>
  </si>
  <si>
    <t>Cajamarca</t>
  </si>
  <si>
    <t>Transportes Raicer</t>
  </si>
  <si>
    <t>Melanio Palomino Diaz</t>
  </si>
  <si>
    <t xml:space="preserve">San Martin </t>
  </si>
  <si>
    <t>Transportes Correa</t>
  </si>
  <si>
    <t>Carlos Raymundo Tamayo Conde</t>
  </si>
  <si>
    <t>FT F001-70</t>
  </si>
  <si>
    <t>Paramonga</t>
  </si>
  <si>
    <t>CONTROL PARKING S.A.C.</t>
  </si>
  <si>
    <t>FT F001-71</t>
  </si>
  <si>
    <t>Eduar Tarrillo Estela</t>
  </si>
  <si>
    <t>FT F001-73-74-75</t>
  </si>
  <si>
    <t>Cajabamba</t>
  </si>
  <si>
    <t>Samanez Amador Jesus Eduardo</t>
  </si>
  <si>
    <t>FT F001-72</t>
  </si>
  <si>
    <t>Comas escalera Carabayllo</t>
  </si>
  <si>
    <t xml:space="preserve">Misael </t>
  </si>
  <si>
    <t>Ventanilla Mercado Villa Pachacutec</t>
  </si>
  <si>
    <t>Alex Augusto Tinedo Navarro</t>
  </si>
  <si>
    <t>Elva Pilar Zorrillo Luque</t>
  </si>
  <si>
    <t>FT F001-79</t>
  </si>
  <si>
    <t>Comas retablo</t>
  </si>
  <si>
    <t>Frank Anthony Fuentes Huallpa</t>
  </si>
  <si>
    <t xml:space="preserve">Javier Edwin Calcina Ccahua </t>
  </si>
  <si>
    <t>Johan Paul Roque Alvarado</t>
  </si>
  <si>
    <t>Emtrafesa</t>
  </si>
  <si>
    <t>Auto Partes Junin S.A.C.</t>
  </si>
  <si>
    <t>FT F001-76</t>
  </si>
  <si>
    <t>Av. Canada 324</t>
  </si>
  <si>
    <t>Patty</t>
  </si>
  <si>
    <t>Raul Moncada</t>
  </si>
  <si>
    <t>Miraflores</t>
  </si>
  <si>
    <t>Lual Freed</t>
  </si>
  <si>
    <t>Callao Minka</t>
  </si>
  <si>
    <t>Isabel Zegarra Cordova</t>
  </si>
  <si>
    <t>FT F001-77</t>
  </si>
  <si>
    <t>Puente piedra Mz L Lote 32 Asc. Chillon</t>
  </si>
  <si>
    <t>Coltonice Corporacion SAC</t>
  </si>
  <si>
    <t>FT F001-78</t>
  </si>
  <si>
    <t>Daysi</t>
  </si>
  <si>
    <t>Puente Camote Izaguirre</t>
  </si>
  <si>
    <t>Higinio Alejandro Cochachin León</t>
  </si>
  <si>
    <t>Carlos Honores Vega</t>
  </si>
  <si>
    <t>FT F001-80</t>
  </si>
  <si>
    <t>Josselyn</t>
  </si>
  <si>
    <t>Valeria Zavaleta</t>
  </si>
  <si>
    <t>Maria Isabel Machuca</t>
  </si>
  <si>
    <t>Collique av Revolusion</t>
  </si>
  <si>
    <t>La casa del Wifi</t>
  </si>
  <si>
    <t>FT F001-81</t>
  </si>
  <si>
    <t>Av. Argentina 460</t>
  </si>
  <si>
    <t>Junior Jose Camacho More</t>
  </si>
  <si>
    <t>Sullana Express</t>
  </si>
  <si>
    <t>Paul Castro Sosa</t>
  </si>
  <si>
    <t>Jose Eusebio Pintado Calle</t>
  </si>
  <si>
    <t>Nixon Ruiz Salas</t>
  </si>
  <si>
    <t>Wilber Rogelio Diaz Morales</t>
  </si>
  <si>
    <t>Joel Liñan Flores</t>
  </si>
  <si>
    <t>Pomabamba</t>
  </si>
  <si>
    <t>Express Sifuentes</t>
  </si>
  <si>
    <t>Izaguirre con Palmeras</t>
  </si>
  <si>
    <t>Negocio Novedades Mi Jesus</t>
  </si>
  <si>
    <t>Sandra Monica Auca</t>
  </si>
  <si>
    <t>Silva Vela Cesar Manuel</t>
  </si>
  <si>
    <t>FT F001-82</t>
  </si>
  <si>
    <t>Maria Luisa Jara Allente</t>
  </si>
  <si>
    <t>FT F001-83</t>
  </si>
  <si>
    <t>Abancay</t>
  </si>
  <si>
    <t>Joel Miguel Kikuna Gonzales</t>
  </si>
  <si>
    <t>FT F001-85</t>
  </si>
  <si>
    <t>Valera Romero Jose Luis</t>
  </si>
  <si>
    <t>Emil Jhordan Espinoza Condor</t>
  </si>
  <si>
    <t>FT F001-86</t>
  </si>
  <si>
    <t>Aldo Rios</t>
  </si>
  <si>
    <t>FT F001-87</t>
  </si>
  <si>
    <t>Gregorio</t>
  </si>
  <si>
    <t>Av. Chuquitanta con Av. Naranajal Mz A Lote 20</t>
  </si>
  <si>
    <t>Callao Barra Cevicheria S.A.C.</t>
  </si>
  <si>
    <t>Av. Alfredo Benavides 4534</t>
  </si>
  <si>
    <t>Yomira Nicolt Cabrejos Vilchez</t>
  </si>
  <si>
    <t>FT F001-89</t>
  </si>
  <si>
    <t>Hugo Ito Mamani</t>
  </si>
  <si>
    <t>Marcos Antonio Llana Gonzales</t>
  </si>
  <si>
    <t xml:space="preserve"> San Juan de Lurigancho</t>
  </si>
  <si>
    <t>Canto Grande San Juan de Lurigancho</t>
  </si>
  <si>
    <t>FT F001-90</t>
  </si>
  <si>
    <t>Celinda Gomez Galindo</t>
  </si>
  <si>
    <t>Moquegua</t>
  </si>
  <si>
    <t>Frank  DVA INGENIEROS S.A.C.</t>
  </si>
  <si>
    <t>FT F001-91</t>
  </si>
  <si>
    <t>San Martin de Porres jiron la libertad 3770</t>
  </si>
  <si>
    <t>Edson Javier Chicona Arroyo</t>
  </si>
  <si>
    <t>Jessenia Quispe Vergara</t>
  </si>
  <si>
    <t>Chincha</t>
  </si>
  <si>
    <t>Liliana Nuñez Perez</t>
  </si>
  <si>
    <t>Luis Alberto Machaca Caceres</t>
  </si>
  <si>
    <t>RH E001-82</t>
  </si>
  <si>
    <t xml:space="preserve">Carlos Mendoza </t>
  </si>
  <si>
    <t>Carabayll la Flor</t>
  </si>
  <si>
    <t>Rocio Ingrid Guerrero Ochoa</t>
  </si>
  <si>
    <t>FT F001-97</t>
  </si>
  <si>
    <t>Tingo Maria</t>
  </si>
  <si>
    <t>Alex Omar Sánchez Castillo</t>
  </si>
  <si>
    <t>Jhon Lener Quiñones Linares</t>
  </si>
  <si>
    <t>Nilthon José Occ Rodríguez</t>
  </si>
  <si>
    <t>Civa</t>
  </si>
  <si>
    <t>Yersen Noel Espinoza Chavez</t>
  </si>
  <si>
    <t>FT F001-93</t>
  </si>
  <si>
    <t>Turismo Real</t>
  </si>
  <si>
    <t>Sidgar</t>
  </si>
  <si>
    <t>San Juan de Miraflores</t>
  </si>
  <si>
    <t>Yovana</t>
  </si>
  <si>
    <t>Puente Piedra Local Portales</t>
  </si>
  <si>
    <t>Fidel Munguia Salazar (Kamax Group Peru S.A.C.)</t>
  </si>
  <si>
    <t>FT F001-92</t>
  </si>
  <si>
    <t>Fidel Sisinio Garcia Quispe</t>
  </si>
  <si>
    <t>Via Sur Express</t>
  </si>
  <si>
    <t>Alimentos, mantenimiento y construccion</t>
  </si>
  <si>
    <t>FT F001-94</t>
  </si>
  <si>
    <t>Palomino Saravia Jose Miguel</t>
  </si>
  <si>
    <t>G Chávez</t>
  </si>
  <si>
    <t>Leiva Casafranca Pedro</t>
  </si>
  <si>
    <t>FT F001-95</t>
  </si>
  <si>
    <t>Espadin Manotupa Christian Israel</t>
  </si>
  <si>
    <t>FT F001-96</t>
  </si>
  <si>
    <t>San Martin de Porres jiron San Martin 3499</t>
  </si>
  <si>
    <t>Jamileth Nicole Espinoza Galan</t>
  </si>
  <si>
    <t>Victor</t>
  </si>
  <si>
    <t>Aeropuerto Jorge Chavez</t>
  </si>
  <si>
    <t>Romel Adrian Porras Socola</t>
  </si>
  <si>
    <t>DS</t>
  </si>
  <si>
    <t>Lurigancho</t>
  </si>
  <si>
    <t>Elvis Wily Gomez Zavaleta</t>
  </si>
  <si>
    <t>La Libertad</t>
  </si>
  <si>
    <t>Jesús Antonio Rivera Velasquez</t>
  </si>
  <si>
    <t>Cerro de Pasco</t>
  </si>
  <si>
    <t>Carhumayo</t>
  </si>
  <si>
    <t>Luis Gustavo Vargas Huayta</t>
  </si>
  <si>
    <t>Eduardo Pascual</t>
  </si>
  <si>
    <t>Los olivos parque San Ana</t>
  </si>
  <si>
    <t>Carlos Alberto Dionicio Acosta</t>
  </si>
  <si>
    <t>Choque Choquenaira Leonor Claudia</t>
  </si>
  <si>
    <t>Espinar</t>
  </si>
  <si>
    <t>Grael</t>
  </si>
  <si>
    <t>Jhosmer Quispe Oquendo</t>
  </si>
  <si>
    <t>FT F001-99</t>
  </si>
  <si>
    <t>Madre de Dios</t>
  </si>
  <si>
    <t>Carlos Rojas Carrillo</t>
  </si>
  <si>
    <t>FT F001-98</t>
  </si>
  <si>
    <t>Marleny</t>
  </si>
  <si>
    <t>Grifo Norteño Puente Piedra</t>
  </si>
  <si>
    <t>Stefani</t>
  </si>
  <si>
    <t xml:space="preserve">Jose Galvez Santa Beatriz </t>
  </si>
  <si>
    <t>Roger López Vila</t>
  </si>
  <si>
    <t xml:space="preserve">Mercado Santa Anita Andahuaylas </t>
  </si>
  <si>
    <t>Robert Hidalgo</t>
  </si>
  <si>
    <t>Magdalena del Mar</t>
  </si>
  <si>
    <t>Cesar Sichez Barrenechea</t>
  </si>
  <si>
    <t>FT F001-100</t>
  </si>
  <si>
    <t>Medina Cordova Violeta</t>
  </si>
  <si>
    <t xml:space="preserve">Betsy </t>
  </si>
  <si>
    <t xml:space="preserve"> Restaurante </t>
  </si>
  <si>
    <t>Euder Jhonson Fernández Delgado</t>
  </si>
  <si>
    <t>Velaunde</t>
  </si>
  <si>
    <t>Pilar Noemi Ardiles Carpio</t>
  </si>
  <si>
    <t>Ancash</t>
  </si>
  <si>
    <t xml:space="preserve">Yungay </t>
  </si>
  <si>
    <t>Lizbeth Masiel Rojas Felipa</t>
  </si>
  <si>
    <t>User Zone E.I.R.L.</t>
  </si>
  <si>
    <t>FT F001-101</t>
  </si>
  <si>
    <t>Miguel Montero Arrunategui</t>
  </si>
  <si>
    <t>Tambogrande</t>
  </si>
  <si>
    <t>Karol Patricia Saavedra Cruz</t>
  </si>
  <si>
    <t>Zorrillos</t>
  </si>
  <si>
    <t>Abundio Santiago Ignacio Ramos</t>
  </si>
  <si>
    <t>Wilfredo Abarca Ramírez</t>
  </si>
  <si>
    <t>San Miguel Parque Media luna</t>
  </si>
  <si>
    <t>Jussiley Ramirez Mendoza</t>
  </si>
  <si>
    <t>Comas Puno</t>
  </si>
  <si>
    <t>Edwin Salazar Mendoza</t>
  </si>
  <si>
    <t>Jhon Abraham Sonco Mamani</t>
  </si>
  <si>
    <t>Suarez Nima Mirsa Janai</t>
  </si>
  <si>
    <t>FT F001-102</t>
  </si>
  <si>
    <t>Universitaria</t>
  </si>
  <si>
    <t>Beatriz Díaz Cano</t>
  </si>
  <si>
    <t>FT F001-103</t>
  </si>
  <si>
    <t>Rosa Elizabeth Hidalgo Guerrero</t>
  </si>
  <si>
    <t>GM Internacional</t>
  </si>
  <si>
    <t>Maria Lopez</t>
  </si>
  <si>
    <t>Keren Palomino</t>
  </si>
  <si>
    <t>Comas P</t>
  </si>
  <si>
    <t>Merly Veliz Rujel</t>
  </si>
  <si>
    <t>Ferreteía Valeria</t>
  </si>
  <si>
    <t>Alonso Villanueva</t>
  </si>
  <si>
    <t>William Dionicio Cabrejos Sullom</t>
  </si>
  <si>
    <t>BV B001-11</t>
  </si>
  <si>
    <t>Winy Stefany Arrieta Aliaga</t>
  </si>
  <si>
    <t>El Ruso</t>
  </si>
  <si>
    <t>Noemi Milagros Apaza Mamani</t>
  </si>
  <si>
    <t>FT F001-104</t>
  </si>
  <si>
    <t>Antezana</t>
  </si>
  <si>
    <t>Miriam Marzano</t>
  </si>
  <si>
    <t>Marov Joyeria</t>
  </si>
  <si>
    <t>FT F001-105</t>
  </si>
  <si>
    <t>Jr. Cruz del Sur 140-156 Surco Edificio Time</t>
  </si>
  <si>
    <t>Steve Manuel</t>
  </si>
  <si>
    <t>FT F001-106-107</t>
  </si>
  <si>
    <t>Jhon Gustavo Salgado Aguirre</t>
  </si>
  <si>
    <t xml:space="preserve"> Farmacia </t>
  </si>
  <si>
    <t>Abdias Joel Palomino Ruiz</t>
  </si>
  <si>
    <t>Salvador Edilberto Rodríguez Almanza</t>
  </si>
  <si>
    <t>José Antonio Lacuta Farfan</t>
  </si>
  <si>
    <t>Machupicchu Cargo</t>
  </si>
  <si>
    <t>Valderrama Guillen Rosa Herminia</t>
  </si>
  <si>
    <t>FT F001-108</t>
  </si>
  <si>
    <t>Av. Javir Prado</t>
  </si>
  <si>
    <t xml:space="preserve">Jesús Lanos Martinez </t>
  </si>
  <si>
    <t>FT F001-109</t>
  </si>
  <si>
    <t xml:space="preserve">Lince </t>
  </si>
  <si>
    <t>Luz Anelida Soto Aguilar</t>
  </si>
  <si>
    <t>Chota</t>
  </si>
  <si>
    <t>Mao Lenin Rios Belizario</t>
  </si>
  <si>
    <t>Miguel Antonio Rivera Gutierrez</t>
  </si>
  <si>
    <t>FT F001-110</t>
  </si>
  <si>
    <t>Diego Antonio Tuanama Perez</t>
  </si>
  <si>
    <t>FT F001-111</t>
  </si>
  <si>
    <t>Jhon Alex Vilca Quispe</t>
  </si>
  <si>
    <t>FT F001-112</t>
  </si>
  <si>
    <t>Jean Paul</t>
  </si>
  <si>
    <t>Comas Santa Rosa</t>
  </si>
  <si>
    <t>Ivan Alcides</t>
  </si>
  <si>
    <t>Pachacutec</t>
  </si>
  <si>
    <t>Cristian Alejandro</t>
  </si>
  <si>
    <t>Av. Alfonso Ugarte</t>
  </si>
  <si>
    <t>María Jeyssi Saldaña Mendoza</t>
  </si>
  <si>
    <t>FT F001-113</t>
  </si>
  <si>
    <t>Peralta Paredes</t>
  </si>
  <si>
    <t>Jorge Ramos</t>
  </si>
  <si>
    <t>FT F001-114</t>
  </si>
  <si>
    <t>Av, Pachacutec Villa Salvador</t>
  </si>
  <si>
    <t>Paola Salazar</t>
  </si>
  <si>
    <t>FT F001-124</t>
  </si>
  <si>
    <t>Diego Aliaga</t>
  </si>
  <si>
    <t>Los Olivos Tomas Valle</t>
  </si>
  <si>
    <t>Marvi Paucarcaja</t>
  </si>
  <si>
    <t>Zady Ascue Puma</t>
  </si>
  <si>
    <t>Madre de dios</t>
  </si>
  <si>
    <t>Miguel Rios</t>
  </si>
  <si>
    <t>FT F001-115</t>
  </si>
  <si>
    <t>FT F001-116</t>
  </si>
  <si>
    <t>Ticllacuri De La Cruz Dina</t>
  </si>
  <si>
    <t>FT F001-117</t>
  </si>
  <si>
    <t>FT F001-118</t>
  </si>
  <si>
    <t>Leo Risco de Wizard med EIRL</t>
  </si>
  <si>
    <t>Collique av Revolusion quinta zona</t>
  </si>
  <si>
    <t>Jean</t>
  </si>
  <si>
    <t>Israel Tintaya Quispe</t>
  </si>
  <si>
    <t>Villa Salvador</t>
  </si>
  <si>
    <t>Corporación Textiles Classica Sport S.A.C.</t>
  </si>
  <si>
    <t>FT F001-119</t>
  </si>
  <si>
    <t>Jr Ayacucho Abancay</t>
  </si>
  <si>
    <t>Harold Mark Quispe Anyoza</t>
  </si>
  <si>
    <t>FT F001-122</t>
  </si>
  <si>
    <t>Alex Valdivia De La Cruz</t>
  </si>
  <si>
    <t>Quinte Obregon Jardy Peeter</t>
  </si>
  <si>
    <t>FT F001-120</t>
  </si>
  <si>
    <t>Rodrigo Cruz Acuña</t>
  </si>
  <si>
    <t>FT F001-121</t>
  </si>
  <si>
    <t>Transporte Sebeal</t>
  </si>
  <si>
    <t>Luis Alberto Murrieta</t>
  </si>
  <si>
    <t>FT F001-123</t>
  </si>
  <si>
    <t>Juan Luis Almares Llamoza</t>
  </si>
  <si>
    <t>Oropeza</t>
  </si>
  <si>
    <t>Jennifer Micaela Ruiz Portocarrero</t>
  </si>
  <si>
    <t>FT F001-125</t>
  </si>
  <si>
    <t>Internacional GM</t>
  </si>
  <si>
    <t>Ruth Fiorella Yovera Pizarro</t>
  </si>
  <si>
    <t>ITZZA</t>
  </si>
  <si>
    <t>Alex Lyndon Espinoza Chañe</t>
  </si>
  <si>
    <t>Melissa Shirlie Perez Torres</t>
  </si>
  <si>
    <t>SYS &amp; NET DEL PERU S.R.L.</t>
  </si>
  <si>
    <t>FT F001-128</t>
  </si>
  <si>
    <t>Lince</t>
  </si>
  <si>
    <t>José Antonio Carbajal Hernández</t>
  </si>
  <si>
    <t>Luis Alberto Vásquez Fernandez</t>
  </si>
  <si>
    <t>Rioja</t>
  </si>
  <si>
    <t>Melida Del Carmen Condori Tito</t>
  </si>
  <si>
    <t>FT F001-129</t>
  </si>
  <si>
    <t>Pachacamac</t>
  </si>
  <si>
    <t>Daniel Fernandp Yarleque Siancas</t>
  </si>
  <si>
    <t>Pedro Campos Pusma</t>
  </si>
  <si>
    <t>Yeimar Andres Castelblanco Murillo</t>
  </si>
  <si>
    <t>Cuzco</t>
  </si>
  <si>
    <t>Andrés Eugenio Giles Zamora</t>
  </si>
  <si>
    <t>Jaén</t>
  </si>
  <si>
    <t>Christian Sánchez Rosales</t>
  </si>
  <si>
    <t>FT F001-130</t>
  </si>
  <si>
    <t>Entrafesa</t>
  </si>
  <si>
    <t>Repuestos Vitate</t>
  </si>
  <si>
    <t>FT F001-131</t>
  </si>
  <si>
    <t>Juan Carlos Ascoy Zuloeta</t>
  </si>
  <si>
    <t>FT F001-132</t>
  </si>
  <si>
    <t xml:space="preserve">BCP </t>
  </si>
  <si>
    <t>Flores Cadillo Anival Fernando</t>
  </si>
  <si>
    <t>FT F001-133</t>
  </si>
  <si>
    <t>Izaguirre</t>
  </si>
  <si>
    <t>Keyko Anabel Estrada Fabian</t>
  </si>
  <si>
    <t>Enzo Alvarado Aznaran</t>
  </si>
  <si>
    <t>Kr</t>
  </si>
  <si>
    <t>Omar Deyvi Idrogo Sempertegui</t>
  </si>
  <si>
    <t>BV B001-13</t>
  </si>
  <si>
    <t>Julio Cesar Barbaran Sulca</t>
  </si>
  <si>
    <t>Mirrian</t>
  </si>
  <si>
    <t xml:space="preserve">Villa Salvador </t>
  </si>
  <si>
    <t>Villa Salvador Atocongo</t>
  </si>
  <si>
    <t>Ademir Prado Rodriguez</t>
  </si>
  <si>
    <t>Camaná</t>
  </si>
  <si>
    <t>Yecsily Fiorela Murga Pirca</t>
  </si>
  <si>
    <t>Casma</t>
  </si>
  <si>
    <t>Expreso chimbote cargo</t>
  </si>
  <si>
    <t>Elva Trujillo Ramirez</t>
  </si>
  <si>
    <t>Movil Bus</t>
  </si>
  <si>
    <t xml:space="preserve">Nan </t>
  </si>
  <si>
    <t>Diana Zamora</t>
  </si>
  <si>
    <t>Edwin Quispesivana Apaza</t>
  </si>
  <si>
    <t>FT F001-134</t>
  </si>
  <si>
    <t xml:space="preserve">Kevin Omar Sandoval </t>
  </si>
  <si>
    <t>Mall de Santa Anita</t>
  </si>
  <si>
    <t>Miguel Rivera</t>
  </si>
  <si>
    <t xml:space="preserve">Ate </t>
  </si>
  <si>
    <t>Junior Rafael Mora Leon</t>
  </si>
  <si>
    <t>Mcc Fitness EIRL</t>
  </si>
  <si>
    <t>FT F001-135</t>
  </si>
  <si>
    <t>Gastro Peru S.A.C.</t>
  </si>
  <si>
    <t>FT F001-136</t>
  </si>
  <si>
    <t>Industria de Tratamientos de Agua Peru S.A.C.</t>
  </si>
  <si>
    <t>FT F001-137</t>
  </si>
  <si>
    <t>LEON SIERRA JUAN GABRIEL</t>
  </si>
  <si>
    <t>Grecia Karina Diaz Cornejo</t>
  </si>
  <si>
    <t>Ancho Martinez de Gonzalo Victoria Rosario</t>
  </si>
  <si>
    <t>FT F001-139</t>
  </si>
  <si>
    <t>Codigo</t>
  </si>
  <si>
    <t>Nombre y Apellidos</t>
  </si>
  <si>
    <t>RUC</t>
  </si>
  <si>
    <t>DNI</t>
  </si>
  <si>
    <t>Celular</t>
  </si>
  <si>
    <t>Comprobante</t>
  </si>
  <si>
    <t>Destino</t>
  </si>
  <si>
    <t xml:space="preserve">Distrito </t>
  </si>
  <si>
    <t>Agencia</t>
  </si>
  <si>
    <t>Direccion</t>
  </si>
  <si>
    <t>Forma</t>
  </si>
  <si>
    <t>Fecha de Compra</t>
  </si>
  <si>
    <t>Equipos</t>
  </si>
  <si>
    <t>Pago</t>
  </si>
  <si>
    <t>Monto</t>
  </si>
  <si>
    <t>Rubro</t>
  </si>
  <si>
    <t>Co</t>
  </si>
  <si>
    <t>Asesor</t>
  </si>
  <si>
    <t>Costos de envios</t>
  </si>
  <si>
    <t>Apurimac</t>
  </si>
  <si>
    <t>Junin</t>
  </si>
  <si>
    <t>Amazonas</t>
  </si>
  <si>
    <t xml:space="preserve">1 </t>
  </si>
  <si>
    <t xml:space="preserve">3 </t>
  </si>
  <si>
    <t xml:space="preserve">5 </t>
  </si>
  <si>
    <t xml:space="preserve">2 </t>
  </si>
  <si>
    <t xml:space="preserve">4 </t>
  </si>
  <si>
    <t xml:space="preserve">9 </t>
  </si>
  <si>
    <t xml:space="preserve">6 </t>
  </si>
  <si>
    <t>20</t>
  </si>
  <si>
    <t xml:space="preserve">7 </t>
  </si>
  <si>
    <t>10</t>
  </si>
  <si>
    <t>18</t>
  </si>
  <si>
    <t>11</t>
  </si>
  <si>
    <t>rollos termicos de 80mm</t>
  </si>
  <si>
    <t>rollo de etiqueta de 50*25mm</t>
  </si>
  <si>
    <t>aplicativo</t>
  </si>
  <si>
    <t xml:space="preserve"> aplicativo</t>
  </si>
  <si>
    <t>rollos de etiquetas de 50*40mm</t>
  </si>
  <si>
    <t>rollo de etiquetas de 30*40mm</t>
  </si>
  <si>
    <t>rollo de etiquetas de 30*20mm</t>
  </si>
  <si>
    <t>monederos</t>
  </si>
  <si>
    <t>contometros de 80*40mm</t>
  </si>
  <si>
    <t>rollos termicos de 80*40mm</t>
  </si>
  <si>
    <t>Gaveta de dinero 5 billeteros</t>
  </si>
  <si>
    <t>Monederos</t>
  </si>
  <si>
    <t>rollos termicos 58*40mm</t>
  </si>
  <si>
    <t>rollos termicos 57*40mm</t>
  </si>
  <si>
    <t>rollo de etiqueta de 50*76mm</t>
  </si>
  <si>
    <t xml:space="preserve">rollos termicos de 80mm </t>
  </si>
  <si>
    <t>rollos de papel térmico</t>
  </si>
  <si>
    <t xml:space="preserve">monederos </t>
  </si>
  <si>
    <t>lectora de codigos de barra inalábrica</t>
  </si>
  <si>
    <t>Marca</t>
  </si>
  <si>
    <t>Venta comercio</t>
  </si>
  <si>
    <t>Restobar</t>
  </si>
  <si>
    <t>Mecanica</t>
  </si>
  <si>
    <t>Multiservicios</t>
  </si>
  <si>
    <t xml:space="preserve">Ferreteria </t>
  </si>
  <si>
    <t xml:space="preserve">Restaurante </t>
  </si>
  <si>
    <t>GOOJPRT</t>
  </si>
  <si>
    <t>contometro de 80*80mm</t>
  </si>
  <si>
    <t xml:space="preserve">rollo de etiquetas de 76*76mm </t>
  </si>
  <si>
    <t>Gaveta de dinero 3 billeteros</t>
  </si>
  <si>
    <t>Gaveta de dinero 4 billeteros</t>
  </si>
  <si>
    <t>Loreto</t>
  </si>
  <si>
    <t>Nazca</t>
  </si>
  <si>
    <t>San martin</t>
  </si>
  <si>
    <t>Pasco</t>
  </si>
  <si>
    <t>Modelo</t>
  </si>
  <si>
    <t>Xprinter</t>
  </si>
  <si>
    <t xml:space="preserve">260M </t>
  </si>
  <si>
    <t xml:space="preserve">320B </t>
  </si>
  <si>
    <t xml:space="preserve">323B </t>
  </si>
  <si>
    <t xml:space="preserve">V320N </t>
  </si>
  <si>
    <t xml:space="preserve">LASAET </t>
  </si>
  <si>
    <t xml:space="preserve">LS58G </t>
  </si>
  <si>
    <t>PT-210</t>
  </si>
  <si>
    <t>XP-P501A</t>
  </si>
  <si>
    <t>XP-P801A</t>
  </si>
  <si>
    <t xml:space="preserve">LS8003 </t>
  </si>
  <si>
    <t xml:space="preserve">LS8007 </t>
  </si>
  <si>
    <t xml:space="preserve">MTP-3 </t>
  </si>
  <si>
    <t>318B</t>
  </si>
  <si>
    <t>RP 100WG</t>
  </si>
  <si>
    <t>Soutech</t>
  </si>
  <si>
    <t>Zebra</t>
  </si>
  <si>
    <t>BV EB01-5</t>
  </si>
  <si>
    <t>FT F001-140</t>
  </si>
  <si>
    <t>LASAET</t>
  </si>
  <si>
    <t>LS8003</t>
  </si>
  <si>
    <t>Cantidad</t>
  </si>
  <si>
    <t>80*80mm</t>
  </si>
  <si>
    <t>80*40mm</t>
  </si>
  <si>
    <t>58*40mm</t>
  </si>
  <si>
    <t>cd350</t>
  </si>
  <si>
    <t>nstar</t>
  </si>
  <si>
    <t>CBX</t>
  </si>
  <si>
    <t>30*40 mm</t>
  </si>
  <si>
    <t>57*40mm</t>
  </si>
  <si>
    <t>50*76mm</t>
  </si>
  <si>
    <t>76*76mm</t>
  </si>
  <si>
    <t>50*40mm</t>
  </si>
  <si>
    <t>4 DV</t>
  </si>
  <si>
    <t>260M</t>
  </si>
  <si>
    <t>50*25mm</t>
  </si>
  <si>
    <t>30*20mm</t>
  </si>
  <si>
    <t>APP</t>
  </si>
  <si>
    <t>Categoria</t>
  </si>
  <si>
    <t>Rollo de papel termico</t>
  </si>
  <si>
    <t>contometros</t>
  </si>
  <si>
    <t>Gallo</t>
  </si>
  <si>
    <t>Generico</t>
  </si>
  <si>
    <t xml:space="preserve">rollos de etiquetas </t>
  </si>
  <si>
    <t>Rollo de papel adhesivo</t>
  </si>
  <si>
    <t>rollos termicos</t>
  </si>
  <si>
    <t>Lector de Códigos de Barras</t>
  </si>
  <si>
    <t xml:space="preserve">lectores de Códigos de Barras Inalámbrico con parante usb </t>
  </si>
  <si>
    <t>lectores de Códigos de Barras Inalámbrico 1D y 2D</t>
  </si>
  <si>
    <t xml:space="preserve">Gaveta de dinero </t>
  </si>
  <si>
    <t>CS300</t>
  </si>
  <si>
    <t xml:space="preserve">Impresoras termicas Portatiles </t>
  </si>
  <si>
    <t>Impresoras termicas Portatiles</t>
  </si>
  <si>
    <t>Impresora termica de 80mm portátil bluetooth</t>
  </si>
  <si>
    <t>Impresora termica de 58mm portátil bluetooth</t>
  </si>
  <si>
    <t>Aplicancion de la empresa</t>
  </si>
  <si>
    <t>Impresora termica 80mm Escritorio Usb-Bluetooth</t>
  </si>
  <si>
    <t xml:space="preserve">Impresoras termicas de Escritorio </t>
  </si>
  <si>
    <t>Impresora termica 58mm Escritorio Usb-Bluetooth</t>
  </si>
  <si>
    <t>Generico chi</t>
  </si>
  <si>
    <t>Gladys Irene Aricoche Suarez</t>
  </si>
  <si>
    <t>Edgar Castillo</t>
  </si>
  <si>
    <t>Mickell Jonathan Romero Ocola</t>
  </si>
  <si>
    <t xml:space="preserve">Silvia </t>
  </si>
  <si>
    <t>Samuel Maximo Espinoza M.</t>
  </si>
  <si>
    <t>Flavio Salazar Carrasco</t>
  </si>
  <si>
    <t>Luis Vela Diaz</t>
  </si>
  <si>
    <t>Ruth Encarnacion Espinoza</t>
  </si>
  <si>
    <t>Amilcar Lopez Salazar</t>
  </si>
  <si>
    <t>Oscar Lopez Allcca</t>
  </si>
  <si>
    <t>Alex Callejon</t>
  </si>
  <si>
    <t>Diana Karen Gutierrez</t>
  </si>
  <si>
    <t>Ivan Zamora Luque</t>
  </si>
  <si>
    <t>Catalina Chumacero Elias</t>
  </si>
  <si>
    <t>Lucy Marilia Charca Benito</t>
  </si>
  <si>
    <t>Solgas</t>
  </si>
  <si>
    <t>Salvador René</t>
  </si>
  <si>
    <t>Yahir Migul Abarca Perez</t>
  </si>
  <si>
    <t>Pedro Pablo Yesquen Silupu</t>
  </si>
  <si>
    <t>Clara Milagros Acosta Pezo</t>
  </si>
  <si>
    <t>Manuel William Huerto Fabian</t>
  </si>
  <si>
    <t>Cynthia Fabiola Pazo Llenque</t>
  </si>
  <si>
    <t>Alejandro Cerda</t>
  </si>
  <si>
    <t xml:space="preserve">Paul </t>
  </si>
  <si>
    <t>Rocio Margarita</t>
  </si>
  <si>
    <t>Cielo Quispe Espino</t>
  </si>
  <si>
    <t>Dala Infa Ccallo</t>
  </si>
  <si>
    <t>Sandra Geovana Zapata Aranza</t>
  </si>
  <si>
    <t>Frank Kevin Machacuay Yacolca</t>
  </si>
  <si>
    <t>Gabriel Nacay Hermoza</t>
  </si>
  <si>
    <t>Erica Gricelda Meca Rios</t>
  </si>
  <si>
    <t>Juan Neil Velasque Bendezú</t>
  </si>
  <si>
    <t>Estacion del Tren Grau</t>
  </si>
  <si>
    <t>FT F001-142</t>
  </si>
  <si>
    <t>FT F001-143</t>
  </si>
  <si>
    <t>FT F001-145</t>
  </si>
  <si>
    <t>FT F001-144</t>
  </si>
  <si>
    <t>FT F001-146</t>
  </si>
  <si>
    <t>Yurimaguas</t>
  </si>
  <si>
    <t>FT F001-147</t>
  </si>
  <si>
    <t>Transporte Carga Selva Central</t>
  </si>
  <si>
    <t>FT F001-148</t>
  </si>
  <si>
    <t>Aeropueto Jorge Chavez</t>
  </si>
  <si>
    <t>FT F001-150</t>
  </si>
  <si>
    <t>Cusco</t>
  </si>
  <si>
    <t>FT F001-149</t>
  </si>
  <si>
    <t>Aguas Verdes</t>
  </si>
  <si>
    <t>Transver</t>
  </si>
  <si>
    <t>Sechura</t>
  </si>
  <si>
    <t>FT F001-151</t>
  </si>
  <si>
    <t>FT F001-152</t>
  </si>
  <si>
    <t>Comas Santa Luzmila</t>
  </si>
  <si>
    <t>La Victoria Turismo Diaz</t>
  </si>
  <si>
    <t>Estacion Villa Maria del Triunfo</t>
  </si>
  <si>
    <t>Carrion Express SAC</t>
  </si>
  <si>
    <t>FT F001-157</t>
  </si>
  <si>
    <t>San luis</t>
  </si>
  <si>
    <t>Estacion sur</t>
  </si>
  <si>
    <t>Unicachi unicachi</t>
  </si>
  <si>
    <t>FT F001-158</t>
  </si>
  <si>
    <t>Estacion Naranjal Metropolitano</t>
  </si>
  <si>
    <t>FT F001-159</t>
  </si>
  <si>
    <t xml:space="preserve">Brizas del Sur </t>
  </si>
  <si>
    <t>Pro</t>
  </si>
  <si>
    <t>lima</t>
  </si>
  <si>
    <t>Pichanaki</t>
  </si>
  <si>
    <t>…………………………………………..</t>
  </si>
  <si>
    <t xml:space="preserve">1 Impresora termica 58mm GOOJPRT </t>
  </si>
  <si>
    <t>Frank Guerra</t>
  </si>
  <si>
    <t>BCP-Rodrigo</t>
  </si>
  <si>
    <t>1 Impresora de Escritorio V320N</t>
  </si>
  <si>
    <t>Puente Piedra</t>
  </si>
  <si>
    <t>1 Impresora portatil xprinter y 3 paquetes de 10 rollos 58mm</t>
  </si>
  <si>
    <t>Jauja Junin</t>
  </si>
  <si>
    <t xml:space="preserve">2 paquetes de 10 Rollos de 80*40mm </t>
  </si>
  <si>
    <t>1 Impresora termica 58mm XPRINTER y 10 rollos termicos</t>
  </si>
  <si>
    <t>Enrique Cueva Vargas</t>
  </si>
  <si>
    <t>1 Impresora Xprinter 80mm portatil y 10 rollos termicos</t>
  </si>
  <si>
    <t>Bryan Mitchel Chuchon Cisneros</t>
  </si>
  <si>
    <t>1 Impresora termica 58mm GOOJPRT y 10 rollos termicos</t>
  </si>
  <si>
    <t>Grecia Hg</t>
  </si>
  <si>
    <t>BCP 200 - Efecctivo 150</t>
  </si>
  <si>
    <t>La Vcitoria</t>
  </si>
  <si>
    <t>Yuvitza Jahnsen</t>
  </si>
  <si>
    <t>1 caja de contometro 80*40mm 80 rollos</t>
  </si>
  <si>
    <t>Mirriam Vargas Guerrero</t>
  </si>
  <si>
    <t>1 Impresora termica 58mm GOOJPRT</t>
  </si>
  <si>
    <t>Alexander</t>
  </si>
  <si>
    <t>1 1 impresora de etiquetas LS8007 y 1 rollo etiqueta 50*25mm</t>
  </si>
  <si>
    <t>Palomino</t>
  </si>
  <si>
    <t>Magda Indira Quispe Mogrovejo</t>
  </si>
  <si>
    <t>1 Impresora termica de escritorio dual 318B</t>
  </si>
  <si>
    <t>Gonzalo Chuctaya Huamani</t>
  </si>
  <si>
    <t>1 Impresora portatil dual XPRINTER, 2 etiquetas de 30*20mm y 1 lectora de codigos de barra inalambrico</t>
  </si>
  <si>
    <t>FT F001-173</t>
  </si>
  <si>
    <t>Bvictoria SAC</t>
  </si>
  <si>
    <t xml:space="preserve">Mario Julio Madallanes </t>
  </si>
  <si>
    <t>Lima Agustino</t>
  </si>
  <si>
    <t>FT F001-172</t>
  </si>
  <si>
    <t>Transportes Nacionales S.A.</t>
  </si>
  <si>
    <t>Ruth Lorena Paredes Admiro</t>
  </si>
  <si>
    <t>1 Impresora termica 80mm portatil Xprinter y 10 rollos termicos 80*40mm</t>
  </si>
  <si>
    <t>FT F001-170</t>
  </si>
  <si>
    <t>Sánchez Rosales Midaly Yojani</t>
  </si>
  <si>
    <t xml:space="preserve">3 Impresora termica de 80mm </t>
  </si>
  <si>
    <t>Juliaca</t>
  </si>
  <si>
    <t>FT F001-169</t>
  </si>
  <si>
    <t>1 Impresora termica GOOJPRT MTP-3 y 10 rollos termicos 80*40mm</t>
  </si>
  <si>
    <t>Sam Juan de Miraflores</t>
  </si>
  <si>
    <t>FT F001-168</t>
  </si>
  <si>
    <t>Cordova Nicudemus Wilso Rafael</t>
  </si>
  <si>
    <t>1 Impresora Termica 320B</t>
  </si>
  <si>
    <t>Agencia Jireh Luna Pizarro</t>
  </si>
  <si>
    <t>Jose Ortiz</t>
  </si>
  <si>
    <t>1 Caja de Contometros 80*40mm</t>
  </si>
  <si>
    <t>FT F001-171</t>
  </si>
  <si>
    <t>Alexandra Regalado Villarreyes</t>
  </si>
  <si>
    <t>1 Impresora termica 318B y 1 rollo etiqueta 30*20mm</t>
  </si>
  <si>
    <t>Chorrillos Av. Alameda Sur Mz P6 Lt38</t>
  </si>
  <si>
    <t>FT F001-166</t>
  </si>
  <si>
    <t>Grupo de Metales SAC</t>
  </si>
  <si>
    <t>2 rollos de etiquetas de 76*50mm</t>
  </si>
  <si>
    <t>FT F001-167</t>
  </si>
  <si>
    <t>1 Impresora Termica 80mm XPRINTER portátil y 10 rollos termicos</t>
  </si>
  <si>
    <t>Expreso Jara</t>
  </si>
  <si>
    <t>Cirilo Perfecto Simón Torres</t>
  </si>
  <si>
    <t>1 Impresora termica 80MM 318B Xprinter y 5 rollos termicos 30*20mm</t>
  </si>
  <si>
    <t>Jatsa</t>
  </si>
  <si>
    <t>Ayaviri</t>
  </si>
  <si>
    <t>Jhon Flores Monroy</t>
  </si>
  <si>
    <t>1 Impresora termica 80mm XPRINTER A260M y 1 rollos termicos 80*80mm</t>
  </si>
  <si>
    <t>Marco</t>
  </si>
  <si>
    <t>FT F001-164</t>
  </si>
  <si>
    <t>Travicar EIRL</t>
  </si>
  <si>
    <t>7 rollos de 30*20mm y 2 rollos de 30*40mm</t>
  </si>
  <si>
    <t>Aguaytia</t>
  </si>
  <si>
    <t>FT F001-165</t>
  </si>
  <si>
    <t>Roque Davila Ilder Ghober</t>
  </si>
  <si>
    <t>Galeria San Miguel</t>
  </si>
  <si>
    <t>Portillo</t>
  </si>
  <si>
    <t>Sistemas</t>
  </si>
  <si>
    <t>5 Impresora termica 80mm 318B</t>
  </si>
  <si>
    <t>FT F001-163</t>
  </si>
  <si>
    <t>Jovita Rosa Zavaleta Gutiérrez</t>
  </si>
  <si>
    <t>1 Impresora Termica 318B, 1 lectora inalámbrica, 1 caja de contometros 80*80mm y 7 rollos de etiquetas 50*25mm</t>
  </si>
  <si>
    <t>Olivos Naranjal</t>
  </si>
  <si>
    <t>FT F001-161</t>
  </si>
  <si>
    <t>H &amp; Y Decors S.A.C.</t>
  </si>
  <si>
    <t>2 Impresora termica 80mm GOOJPRT y 10 rollos termicos</t>
  </si>
  <si>
    <t>FT F001-160</t>
  </si>
  <si>
    <t>10 rollos termicos de 80*40mm</t>
  </si>
  <si>
    <t>1 Impresora XPRINTER portátil 80mm Y 2O rollos termicos 80*40mm</t>
  </si>
  <si>
    <t>1 Impresora Termica A260M 80MM y 1 caja de 20 rollos contometros 80mm</t>
  </si>
  <si>
    <t>1 Impresora termica V320N Y 5 rollos termicos 80*40mm</t>
  </si>
  <si>
    <t>11 Impresoras Termicas 58mm GOOJPRT</t>
  </si>
  <si>
    <t xml:space="preserve">1 Impresora termica 318B, 7 etiquetas 30*20mm, 3 etiquetas 30*40mm y 1 lectora inalambrica </t>
  </si>
  <si>
    <t>Brizas del Sur Cargo</t>
  </si>
  <si>
    <t>1 Impresora termica 318B y 7 rollos termicas 50*25mm</t>
  </si>
  <si>
    <t>1 caja de contometros 80*80mm</t>
  </si>
  <si>
    <t>1 Impresora Termica 80mm Escritorio 318B y 1 rollo de etiqueta 30*20mm</t>
  </si>
  <si>
    <t>Izipay - Interbank</t>
  </si>
  <si>
    <t>1 Impresora GOOJPRT portátil 80mm Y 2O rollos termicos 80*40mm</t>
  </si>
  <si>
    <t>1 Impresora Dual 318B Escritorio, 1 1/2 de contometros 80m y 2 rollos 30*20mm</t>
  </si>
  <si>
    <t>1 caja de contometros de 80*80mm de 20 unidades</t>
  </si>
  <si>
    <t>1 Impresora termica de 80mm Y 10 rollos termicos de 80mm</t>
  </si>
  <si>
    <t>1 Impresora termica 318B, 10 rollos termicos 80*40mm, 1 lectora inalambrica y 1 rollo de etiqueta 30*40mm</t>
  </si>
  <si>
    <t>1 Impresora termica portátil 80mm XPRINTER y 10 rollos termicos</t>
  </si>
  <si>
    <t>1 Impresora termica 318B XPRINTER, 1 rollo de etiqueta 50*25mm, 1 rollo de etiqueta 30*40mm y 10 rollos de papel termico</t>
  </si>
  <si>
    <t>Unicachi</t>
  </si>
  <si>
    <t>Estacion del Tren San Borja Sur</t>
  </si>
  <si>
    <t>1 Impresora termica 58mm GOOJPRT, 10 rollos termicos y aplicativo de Sunat</t>
  </si>
  <si>
    <t>2 Impresora termica 58mm GOOJPRT y 20 rollos termicos</t>
  </si>
  <si>
    <t>1 Impresora Portatil 80mm GOOJPRT y 10 rollos termicos</t>
  </si>
  <si>
    <t>Pichanaki Junin</t>
  </si>
  <si>
    <t>1 Impresora Portatil 80mm GOOJPRT y 20 rollos termicos</t>
  </si>
  <si>
    <t>2 Impresora Termica A260M Xprinter y 30 rollos termicos 80*80mm</t>
  </si>
  <si>
    <t>3 Impresora termica 58mm GOOJPRT y 10 rollos termicos</t>
  </si>
  <si>
    <t>1 Impresora termica LS8003 y 10 rollos termicos</t>
  </si>
  <si>
    <t>1 Impresora Termica 80mm 318B y 1 rollo de etiqueta 50*40mm</t>
  </si>
  <si>
    <t>1 Impresora termica 80mm Xprinter V320N y 20 rollos termicos de 80mm</t>
  </si>
  <si>
    <t>BCP110 - Efectivo 250</t>
  </si>
  <si>
    <t xml:space="preserve">1 Impresora termica 80mm XPRINTER A260M y 3 cajas de contometros de 80*80mm </t>
  </si>
  <si>
    <t>2 Impresora Termica escritorio V320N y 2 rollos termicos 80*80mm</t>
  </si>
  <si>
    <t>FT F001-141</t>
  </si>
  <si>
    <t>10 rollos termicos de 57*40mm</t>
  </si>
  <si>
    <t>1 Impresora termica escritorio 318B, 1 gaveta de dinero 5 billeteros y 8 monederos, 1 caja de contometro 80*80mm, 1 lectora inalambrico, 1 rollo etiqueta 50*25mm y 2 rollos de etiqueta 30*40mm</t>
  </si>
  <si>
    <t>FT F001-138</t>
  </si>
  <si>
    <t>1 caja de 100 rollos 58*40mm</t>
  </si>
  <si>
    <t>Efectivo400 - BCP80</t>
  </si>
  <si>
    <t>1 Impresora termica de escritorio 318B XPRINTER y 1 rollo de etiqueta de 50*76mm</t>
  </si>
  <si>
    <t>1 Impresora termica de escritorio 318B XPRINTER y 1 rollo de 50*40mm</t>
  </si>
  <si>
    <t>1 Impresora termica 80mm Xprinter portatil dual, 6 rollos de tickets 80*40mm y 1 rollos etiqueta 30*20mm</t>
  </si>
  <si>
    <t>1 Impresora termica 80mm Xprinter escritorio 320B y 10 rollos termicos 80*40mm</t>
  </si>
  <si>
    <t>1 Impresora termica 80mm Xprinter portatil dual y 1 rollos etiqueta 50*25mm</t>
  </si>
  <si>
    <t>1 Impresora termica 58mm GOOJPRT y 110 rollos termicos</t>
  </si>
  <si>
    <t>1 Impresora termica 58mm GOOJPRT y 60 rollos termicos</t>
  </si>
  <si>
    <t>1 Impresora escritorio Xprinter A260M  y 10 rollos de 80*80mm</t>
  </si>
  <si>
    <t>Camaná Arequipa</t>
  </si>
  <si>
    <t>Ayacucho Huamanga</t>
  </si>
  <si>
    <t>1 Impresora portatil Xprinter dual P323B, 10 rollos de 80*40mm y 6 etiquetas de 50*40mm</t>
  </si>
  <si>
    <t>Huaycán</t>
  </si>
  <si>
    <t xml:space="preserve">1 Impresora termica Xprinter V320N y 1 caja de 20 rollos </t>
  </si>
  <si>
    <t>BCP 350 - BBVA 290 - BCP 160</t>
  </si>
  <si>
    <t>1 Impresora termica portatil XPRINTER P323B, 1 Impresora termica portatil XPRINTER 80mm, 10 rollos termicos 80*40mm y 1 rollo de etiqueta 76*76mm</t>
  </si>
  <si>
    <t>1 Impresora termica 318B XPRINTER, 1 paquete de 10 rollos de 80*40mm, 1 rollo de etiqueta de 50*40mm y 1 rollo de etiqueta de 50*25mm</t>
  </si>
  <si>
    <t>BCP 200 - Interbank 149</t>
  </si>
  <si>
    <t>1 Impresora termica 80mm GOOJPRT y 10 rollos termicos</t>
  </si>
  <si>
    <t>1 caja de contometro 80*80mm 20 rollos</t>
  </si>
  <si>
    <t>1 Impresora termica 318B XPRINTER, 10 rollos 80*40mm y 2 rollos 50*25mm</t>
  </si>
  <si>
    <t>1 Impresora termica 58mm GOOJPRT y 20 rollos termicos</t>
  </si>
  <si>
    <t>1 Impresora termica P323B XPRINTER portátil, 1 lectora de codigos de barra inalámbrico, 1 rollo de etiqueta 50*25mm y 10 rollos de 80*40mm</t>
  </si>
  <si>
    <t>2 gaveta de 4 billeteros y 8 monederos y 2 lectores inálambrio</t>
  </si>
  <si>
    <t>1 Impresora termica 318B XPRINTER, 1 Gaveta de dinero 5 billeteros y 8 monederos, 1 lectora de codigos de barra inalámbrico, 3 rollos de etiquetas 30*20mm y 5 rollos de 80*80mm</t>
  </si>
  <si>
    <t>1 Impresora termica 80mm XPRINTER V320N, 10 rollos termicos 80*80MM y 1 gaveta de dinero de 4 billeteros y 8 monederos</t>
  </si>
  <si>
    <t>1 Impresora termica 80mm XPRINTER y 10 rollos termicos</t>
  </si>
  <si>
    <t xml:space="preserve">1 Impresora termica 80mm XPRINTER V320N </t>
  </si>
  <si>
    <t>1 Impresora termica 80mm XPRINTER A260M y 1 caja de  rollo de 80*80mm</t>
  </si>
  <si>
    <t>1 Lectora 1D y 2D</t>
  </si>
  <si>
    <t>1 Impresora termica 80mm XPRINTER A260M y 1 rollo de regalo</t>
  </si>
  <si>
    <t>2 Impresora termica portatil XPRINTER 80mm y 1 impresora portatil dual XPRINTER 80mm</t>
  </si>
  <si>
    <t>6 Impresora termica 58mm XPRINTER</t>
  </si>
  <si>
    <t>1 Impresora 318b XPRINTER, 1 Impresora 320N XPRINTER, 1 caja de contometro 80*80mm, 1 lectora 1d y 2d, 7 etiquetas de 30*20mm</t>
  </si>
  <si>
    <t>1 Impresora termica P323B portatil XPRINTER</t>
  </si>
  <si>
    <t xml:space="preserve"> </t>
  </si>
  <si>
    <t>1 Impresora 318B XPRINTER, 3 rollos 50*76mm etiqueta y 1 rollo etiqueta 50*25mm plastificada</t>
  </si>
  <si>
    <t>1 Impresora termica 80mm 318B XPRINTER, 5 rollos termicos 80*40mm y 2 rollos etiqueta de 30*40</t>
  </si>
  <si>
    <t>1 Impresora termica 80mm XPRINTER A260M,  1 rollo termico y 1 gaveta de 3 billeteros y 4 monederos (se cambio de gaveta por otra mas grande</t>
  </si>
  <si>
    <t>1 Impresora termica 80mm XPRINTER A260M  y 1 rollo termico</t>
  </si>
  <si>
    <t>2 etiquetas 50*25mm, 2 cajas de contometros 80*80mm, 2 lectoras inalambrica y 2 impresora 318B XPRINTER</t>
  </si>
  <si>
    <t>1 Impresora termica 80mm XPRINTER 320B y 1 rollo de regalo</t>
  </si>
  <si>
    <t>Interbak</t>
  </si>
  <si>
    <t>1 caja de contometros de 80*40mm y 1 impresora termica LASAET LS8003</t>
  </si>
  <si>
    <t>Chota-Cajamarca</t>
  </si>
  <si>
    <t>1 Impresora Térmica 80mm portátil XPRINTER P323B y 3 rollos termicos 30*20mm</t>
  </si>
  <si>
    <t>3 rollos termicos 80*40mm</t>
  </si>
  <si>
    <t>1 Impresora termica de 80mm XPRINTER Escritorio 320N</t>
  </si>
  <si>
    <t>1 Impresora Dual Escritorio 318B, 5 etiqueta 50*25mm, 10 rollos termicos de 80*80mm y 1 lectora inalambrica rp pos</t>
  </si>
  <si>
    <t xml:space="preserve">1 Impresora termica 80mm XPRINTER 318B y 1 rollo 50*25mm Plastificada </t>
  </si>
  <si>
    <t>1 Impresora termica 80mm XPRINTER Portátil y 10 rollos termicos 80*40mm</t>
  </si>
  <si>
    <t>Tottus del Ovalo Canta Callao</t>
  </si>
  <si>
    <t>1 Impresora portatil dual Xpritner 323B, 1 rollo de 76*76mm y 1 rollo de 76*50mm</t>
  </si>
  <si>
    <t xml:space="preserve">1 Impresora termica 80mm XPRINTER 318B, 1 lectora inalambrica, 1 gaveta de 3 billeteros y 4 monederos, 1 caja de contometros 80*80mm y 2 rollos etiquetas 50*25mm </t>
  </si>
  <si>
    <t>BCP200-BCP240</t>
  </si>
  <si>
    <t>1 Impresora termica de 80mm XPRINTER portatil, 1 lectora alambrico rp y 10 rollos termicos 80*40mm</t>
  </si>
  <si>
    <t>4 Impresora termica de 80mm GOOJPRT, 2 cajas de contometros 80*40 y 20 rollos de 80*40mm</t>
  </si>
  <si>
    <t>1 lectora inalambrica 1D y 2D</t>
  </si>
  <si>
    <t>1 Impresora termica 58mm GOOJPRT, 10 rollos termicos 58*40mm, 1 Impresora termica XPRINTER 80mm dual, 10 rollos termicos 80*40mm, 1 lectora inalambrica rp pos 1D, 1 lectora alambrica rp pos 1D, 2 rollos etiquetas 50*25mm</t>
  </si>
  <si>
    <t>La merced-Chanchamayo</t>
  </si>
  <si>
    <t>1 Impresora termica 80mm XPRINTER portátil dual y 1 rollo de 50*40mm</t>
  </si>
  <si>
    <t>1 Impresora termica 80mm Escritorio Xprinter A260M</t>
  </si>
  <si>
    <t>1 Impresora termica 80mm XPRINTER portátil dual y 10 rollos de 80*40mm</t>
  </si>
  <si>
    <t>1 Impresora termica 80mm XPRINTER portátil y 15 rollos de etiquetas 30*20mm</t>
  </si>
  <si>
    <t>Aguaytia-Padre Abad-Ucayali</t>
  </si>
  <si>
    <t>1 Impresora termica 80mm XPRINTER Escritorio V320N y 3 rollos de 80*80mm</t>
  </si>
  <si>
    <t>1 Impresora termica 80mm XPRINTER portátil y 20 rollos termicos</t>
  </si>
  <si>
    <t>BCP 340-Efectivo 100</t>
  </si>
  <si>
    <t>1 Impresora termica Xprinter Escritorio V320N Y 1 rollo de tickets</t>
  </si>
  <si>
    <t>1 caja contometro 80*80mm, 1 rollo 30*20mm y 1 rollo de 50*25mm</t>
  </si>
  <si>
    <t>1 Impresora termica 80mm GOOJPRT y 10 rollos termicos 80*40mm</t>
  </si>
  <si>
    <t>1 Impresora termica 80mm portatil dual Lasaet, 10 rollos termicos 80*40mm y 1 rollo de 50*40mm</t>
  </si>
  <si>
    <t>Zorritos Tumbes</t>
  </si>
  <si>
    <t>Tambogrande Piura</t>
  </si>
  <si>
    <t>1 Impresora termica 80mm portatil dual Lasaet y 10 rollos termicos 80*40mm</t>
  </si>
  <si>
    <t>Chincha Alta</t>
  </si>
  <si>
    <t>1 Impresora termica Xprinter Escritorio V320N Y 20 rollos térmicos 80*80mm Gallo</t>
  </si>
  <si>
    <t>Yungay Ancash</t>
  </si>
  <si>
    <t>2 Gaveta de Dinero 4 Billeteros y 8 Monederos, 2 Impresoras Térmicas 58mm Portátil GOOJPRT y 20 rollos térmicos 58mm</t>
  </si>
  <si>
    <t>1 Impresora termica 80mm portátil GOOJPRT, 10 rollos termicos y aplicativo</t>
  </si>
  <si>
    <t>1 Impresora termica 80mm LS8003 y 1 rollo de etiqueta 30*20mm</t>
  </si>
  <si>
    <t>1 Impresora termica 80mm 318B escritorio y 1 rollo de etiqueta 50*25mm</t>
  </si>
  <si>
    <t>1 Impresora termica 80mm XPRINTER 318B</t>
  </si>
  <si>
    <t>2 lectoras inalámbrico código qr y barra</t>
  </si>
  <si>
    <t>1 Impresora Térmica Escritorio V320N</t>
  </si>
  <si>
    <t>1 Impresora termica dual Xprinter 318B, 2 rollos de papel térmico, 1 rollo de 50*25mm y de 50*76mm.</t>
  </si>
  <si>
    <t>Madre de Dios- Manu- Huepetuhe</t>
  </si>
  <si>
    <t>Delivery incluido en el pago</t>
  </si>
  <si>
    <t>2 Impresoras termicas 80mm XPRINTER portátil y 20 rollos térmicos</t>
  </si>
  <si>
    <t>1 Impresora portátil 80mm Xprinter y 10 rollos termicos 80*40mm</t>
  </si>
  <si>
    <t>1 Impresora dual Lasaet 80mm, 1 paquete de 10 rollos termicos, 1 rollo adhesivo 30*20mm y 10 rollos de 57*40mm</t>
  </si>
  <si>
    <t xml:space="preserve">1 Impresora termica 58mm XPRINTER </t>
  </si>
  <si>
    <t>Cañete</t>
  </si>
  <si>
    <t>1 Impresora dual Xprinter 318B, 1 Lectora inálambrica, 1 gaveta de 4 billetero y 8 monederos y 1 rollos de 30*20mm</t>
  </si>
  <si>
    <t>1 Impresora dual Xprinter 318B, 1 Lectora inálambrica, 10 rollos 80*80mm y 2 rollos de 30*40mm</t>
  </si>
  <si>
    <t xml:space="preserve">1 Impresora termica 80mm GOOJPRT portátil y 10 rollos termicos de 80*40mm </t>
  </si>
  <si>
    <t xml:space="preserve">1 Impresora termica 80mm XPRINTER portátil y 10 rollos termicos de 80*40mm </t>
  </si>
  <si>
    <t>5 Etiquetas de 30*20mm</t>
  </si>
  <si>
    <t xml:space="preserve">1 Impresora termica 58mm GOOJPRT y 10 rollos termicos de 58*40mm </t>
  </si>
  <si>
    <t>Huánuco</t>
  </si>
  <si>
    <t>BCP 510 - Interbank 300</t>
  </si>
  <si>
    <t>1 Impresora Termica Xprinter A260M, 1 lectora inalambrica, 1 gaveta de dinero 4 billeteros y 8 monederos y 1 paquete de 10 rollos termicos 80*40mm</t>
  </si>
  <si>
    <t>1 Impresora Termica Xprinter 318B, 8 rollos 30*40m y 2 rollos 50*25mm</t>
  </si>
  <si>
    <t>Interbank 300-Efectivo 280</t>
  </si>
  <si>
    <t>1 Impresora portatil dual Xprinter y 6 rollos de 50*25mm</t>
  </si>
  <si>
    <t>1 Impresora 80mm Xprinter V320N</t>
  </si>
  <si>
    <t>1 Impresora 80mm Xprinter 318B, 1 etiqueta 30*40mm, 1 etiqueta 76*76mm y 1 etiqueta 50*40mm</t>
  </si>
  <si>
    <t>3 Impresora 80mm Xprinter 260M y 3 rollos de regalo 80*80mm</t>
  </si>
  <si>
    <t>2 Impresora termica de 80mm Y 30 rollos termicos de 80mm</t>
  </si>
  <si>
    <t xml:space="preserve">1 Impresora 80mm Xprinter V320N </t>
  </si>
  <si>
    <t>Chachapoyas-Amazonas</t>
  </si>
  <si>
    <t xml:space="preserve">1 Impresora termica 58mm GOOJPRT y 20 rollos termicos de 58*40mm </t>
  </si>
  <si>
    <t>Contometros de 80*40mm de 100 unidades</t>
  </si>
  <si>
    <t>1 Impresora 80mm Xprinter 318B y 1 rollo de regalo 30*20mm</t>
  </si>
  <si>
    <t>1 Impresora 80mm Xprinter 260M y 20 rollos termicos 80*40mm</t>
  </si>
  <si>
    <t>4 Impresora 80mm Xprinter 318B, 4 lectoras 2d inalambrico y 6 rollos termicos 50*25mm</t>
  </si>
  <si>
    <t>1 Impresora 80mm Xprinter 318B, 1 lectora alambrico y 2 rollos de etiquetas 30*40mm</t>
  </si>
  <si>
    <t>1 Impresora 80mm Xprinter 318B y 2 rollos de etiquetas 50*40mm</t>
  </si>
  <si>
    <t>1 Impresora 80mm Xprinter 320B y 20 rollos termicos 80*80mm</t>
  </si>
  <si>
    <t>1 Impresora 80mm Xprinter Dual 318B, 4 rollos 50*25mm y 4 rollos 50*40mm</t>
  </si>
  <si>
    <t>1 Impresora 80mm Xprinter 320B, 10 rollos termicos 80*80mm y un rollo 50*5mm</t>
  </si>
  <si>
    <t>2 Impresora 80mm Xprinter 320B, 1 caja de 20 rollo 80*80mm y 1 gaveta de dinero 4 billeteros y 8 monederos</t>
  </si>
  <si>
    <t>1 Impresora 80mm Xprinter 320B, 1 paquete de 10 rollo 80*40mm y 1 gaveta de dinero 4 billeteros y 8 monederos</t>
  </si>
  <si>
    <t>1 Impresora 80mm Xprinter 318B, 10 rollos termicos 80*80mm y un rollo 50*5mm</t>
  </si>
  <si>
    <t>1 Impresora portátil 80mm Xprinter, 10 rollos termicos 80*40mm y aplicativo Sunat</t>
  </si>
  <si>
    <t>1 Impresora portátil 80mm Xprinter y 80 rollos termicos 80*40mm</t>
  </si>
  <si>
    <t xml:space="preserve">1 Impresora termica 58mm XPRINTER y 10 rollos termicos de 58*40mm </t>
  </si>
  <si>
    <t>Cusco-Principal</t>
  </si>
  <si>
    <t>1 impresora termica 80mm A260M y 1 caja rollo 80*80mm</t>
  </si>
  <si>
    <t>1 Impresora termica de 80mm Portátil GOOJPRT ticket y 10 rollos termicos</t>
  </si>
  <si>
    <t>1 caja de contometros de 80*40mm y 10 rollos de 80*80mm gallo</t>
  </si>
  <si>
    <t>1 impresora termica 80mm 318B, 10 rollo de 80*80mm y 1 rollo de etiqueta 50*40mm</t>
  </si>
  <si>
    <t xml:space="preserve">1 impresora termica 80mm 320B </t>
  </si>
  <si>
    <t xml:space="preserve">6 impresora termica 80mm A260M </t>
  </si>
  <si>
    <t xml:space="preserve">2 Impresora termica 58mm XPRINTER y 10 rollos termicos de 58*40mm </t>
  </si>
  <si>
    <t>BAKERY SUPPLIES DEL NORTE SOCIEDAD ANONIMA CERRADA</t>
  </si>
  <si>
    <t>Casma-Quillo</t>
  </si>
  <si>
    <t>1 Impresora escritorio Portátil GOOJPRT 58mm y 100 rollos termicos</t>
  </si>
  <si>
    <t>Efectivo 620</t>
  </si>
  <si>
    <t>1 impresora termica 80mm A260M, 1 Lectora alambrica, 1 gaveta POS-D y 1 caja de 20 contometro 80*80mm</t>
  </si>
  <si>
    <t>2 caja de 20 contometro 80*80mm</t>
  </si>
  <si>
    <t>1 impresora termica 80mm 318B y 1 caja de 20 contometro 80*80mm</t>
  </si>
  <si>
    <t>1 Impresora termica 58mm GOOJPRT, 10 rollos termicos de 58*40mm Y aplicativo Sunat</t>
  </si>
  <si>
    <t>1 Impresora termica 80mm GOOJPRT y 10 rollos termicos de 80*40mm</t>
  </si>
  <si>
    <t>1 impresora termica 80mm 320N y 1 caja de 20 contometro 80*80mm</t>
  </si>
  <si>
    <t>1 Impresora termica 58mm GOOJPRT y 10 rollos termicos de 58*40mm</t>
  </si>
  <si>
    <t>1 impresora termica 80mm 320N y 1/2 caja de contometro 80*80mm</t>
  </si>
  <si>
    <t>1 Impresora termica 58mm GOOJPRT y 20 rollos termicos de 58*40mm</t>
  </si>
  <si>
    <t>1 impresora termica 80mm 320N, 2 impresora termica 80mm A260 y 1 caja de 20 contometro 80*80mm</t>
  </si>
  <si>
    <t>Dias</t>
  </si>
  <si>
    <t>2 Impresora escritorio Portátil GOOJPRT 58mm</t>
  </si>
  <si>
    <t>1 impresora termica 80mm 320N y 1 paquete de 10 contometro 80*80mm</t>
  </si>
  <si>
    <t>1 impresora termica 80mm 320N</t>
  </si>
  <si>
    <t>San Martin Tocache Nuevo Progreso</t>
  </si>
  <si>
    <t>1 impresora termica 80mm 318B, 1 caja de contometro de 80*80mm y 2 rollos de etiquetas de 50*25mm</t>
  </si>
  <si>
    <t>1 impresora termica 80mm A260 y 1 caja contometro 80*80mm</t>
  </si>
  <si>
    <t>1 impresora termica 80mm 318B y 1 paquete de contometro 80*40mm</t>
  </si>
  <si>
    <t>San ramon Chanchamayo</t>
  </si>
  <si>
    <t>1 Impresora termica de 58mm GOOJPRT portatil y 10 rollos termicos 57*40mm</t>
  </si>
  <si>
    <t>1 Impresora termica de 80mm XPRINTER Escritorio 320N y 30 rollos termicos de 80*40mm</t>
  </si>
  <si>
    <t>Efectivo 30 soles-170 BCP Rodrigo</t>
  </si>
  <si>
    <t>2 Impresora termica de 80mm XPRINTER portatil y 80 rollos termicos 80*40mm</t>
  </si>
  <si>
    <t>1 Impresora Xprinter escritorio 320B  y 1 caja de contometros de 80*80mm</t>
  </si>
  <si>
    <t>1 Impresora termica de 80mm GOOJPRT MTP-3 portatil y 10 rollos termicos 80*40mm</t>
  </si>
  <si>
    <t>1 Impresora termica de 58mm GOOJPRT PT-210 portatil y 10 rollos termicos 58*40mm</t>
  </si>
  <si>
    <t>San Martin-Bellavista</t>
  </si>
  <si>
    <t>2 Impresora Xprinter escritorio A260M, 2 gaveta de dinero 3 billeteros y 4 monederos y 2 caja de contometros de 80*80mm</t>
  </si>
  <si>
    <t>1 Impresora termica de 80mm Xpritner dual portatil</t>
  </si>
  <si>
    <t>2 Impresora Xprinter escritorio A260M, 1 gaveta de dinero 3 billeteros y 4 monederos y 1 caja de contometros de 80*80mm</t>
  </si>
  <si>
    <t>Provincia San Ignacio</t>
  </si>
  <si>
    <t>BBVA 475-INTERBANK 275</t>
  </si>
  <si>
    <t>4 ImpresoraTérmica XPRINTER 58MM portátil y 1 caja de rollos termicos 58*40mm</t>
  </si>
  <si>
    <t>1 ImpresoraTérmica GOOJPRT 58MM portátil y 10 rollos termicos 58*40mm</t>
  </si>
  <si>
    <t>1 ImpresoraTérmica GOOJPRT 80MM portátil y 20 rollos termicos 80*40mm</t>
  </si>
  <si>
    <t>Bagua Grande</t>
  </si>
  <si>
    <t>5 Impresora escritorio Portátil GOOJPRT 58mm</t>
  </si>
  <si>
    <t>1 Impresora escritorio Portátil GOOJPRT 58mm y 10 rollos termicos</t>
  </si>
  <si>
    <t>6 rollos de etiquetas de 50*25mm</t>
  </si>
  <si>
    <t>Tarapoto-San Martín</t>
  </si>
  <si>
    <t>1 Gaveta de Dinero de 4 Billeteros y 8 Monederos y 1 lectora de codigo de barra inalámbrica</t>
  </si>
  <si>
    <t>Paucartambo-Pisco</t>
  </si>
  <si>
    <t>1 Impresora portátil 80mm Xprinter y 20 rollos termicos 80*40mm</t>
  </si>
  <si>
    <t>1 Impresora Termica Portátil LS8003, 1 caja de contometro 80*40mm, 3 etiquetas de 50*25mm y 1 lectora alambrica rp pos</t>
  </si>
  <si>
    <t>1 Impresora Xprinter Escritorio 260M 80mm y 1 caja de 20 contometro de 80*80mm</t>
  </si>
  <si>
    <t>1 Impresora Xprinter Escritorio 320B 80mm, 1 caja de 20 contometro de 80*80mm</t>
  </si>
  <si>
    <t>BCP Rodrigo 320-BBVA 300</t>
  </si>
  <si>
    <t xml:space="preserve">1 Impresora Xprinter Escritorio A260M 80mm, 1/2 caja de 10 contometro de 80*80mm y una lectora alámbrica xprinter </t>
  </si>
  <si>
    <t>Rioja-San Martin</t>
  </si>
  <si>
    <t>1 Impresora Xprinter Escritorio A260M 80mm y una caja de 20 contometro de 80*80mm</t>
  </si>
  <si>
    <t>Nasca</t>
  </si>
  <si>
    <t>1 Impresora GOOJPRT portátil 80mm Y 1O rollos termicos 80*40mm</t>
  </si>
  <si>
    <t xml:space="preserve">1 Impresora Xprinter portátil 58mm </t>
  </si>
  <si>
    <t>1 Impresora Xprinter escritorio A260M 80mm y 1 gaveta de dinero POS-D</t>
  </si>
  <si>
    <t>1 Impresora Xprinter portátil 80mm y 80 contometros de 80*40mm</t>
  </si>
  <si>
    <t>1 Impresora Xprinter portátil 80mm y 10 rollos termicos 80*40mm</t>
  </si>
  <si>
    <t>1 Impresora USB-Bluetooth XPRINTER 320B y 1 Gaveta de dinero 5 billeteros y 8  monederos</t>
  </si>
  <si>
    <t>Consultoria informatica y Gestion de Instalaciones</t>
  </si>
  <si>
    <t>5 Impresora termica de 58mm</t>
  </si>
  <si>
    <t>1 Impresora Xprinter portátil 58mm</t>
  </si>
  <si>
    <t>Huanta-Ayacucho</t>
  </si>
  <si>
    <t>1 Impresora MTP-3 GOOJPRT 80mm y 50 contometros de 80*40mm</t>
  </si>
  <si>
    <t>1 Impresora USB-LAN XPRINTER 260M y 1 caja de contometros 80*80mm</t>
  </si>
  <si>
    <t>1 Impresora USB-Bluetooth XPRINTER 320</t>
  </si>
  <si>
    <t>Acari</t>
  </si>
  <si>
    <t>1 Impresora termica de 80mm Portátil Xprinter 80mm</t>
  </si>
  <si>
    <t>1 Impresora termica de 80mm Escritorio Xprinter 320B y 1 caja 80*80 rollos termicos</t>
  </si>
  <si>
    <t>2 Impresora termica de 58mm portátil bluetooth XPRINTER</t>
  </si>
  <si>
    <t>1 Impresora termica de 58mm Portátil XPRINTER ticket y 10 rollos termicos</t>
  </si>
  <si>
    <t>1 Impresora termica de 80mm Portátil XPRINTER ticket y 10 rollos termicos</t>
  </si>
  <si>
    <t>1 Impresora termica de 80mm Portátil GOOJPRT ticket y 20 rollos termicos</t>
  </si>
  <si>
    <t>1 Impresora termica de 80mm Escritorio 318B XPRINTER, 1 Lectora de codigos de barra, 19 etiqueta de 50*25mm y caja de contometro 80*80mm</t>
  </si>
  <si>
    <t>1 Impresora termica de 80mm Escritorio 318B XPRINTER, 1 Lectora de codigos de barra y 1 etiqueta de 50*25mm</t>
  </si>
  <si>
    <t>6 Impresora termica de 58mm XPRINTER</t>
  </si>
  <si>
    <t>1 Impresora termica de 80mm Escritorio bluetooth-USB V320N XPRINTER</t>
  </si>
  <si>
    <t>1 Impresora termica de 80mm Escritorio XPRINTER 318B, 10 rollos 80*80mm y 1 etiquetas de 50*25mm</t>
  </si>
  <si>
    <t>Actividad de restaurante</t>
  </si>
  <si>
    <t>2 Impresora termica 58mm XPRINTER y 30 rollos termicos de 58mm</t>
  </si>
  <si>
    <t>1 Impresora termica de 58mm portátil bluetooth XPRINTER</t>
  </si>
  <si>
    <t>1 Impresora termica de 80mm Escritorio XPRINTER 318B y 5 etiquetas de 50*25mm</t>
  </si>
  <si>
    <t>1 Impresora termica de 80mm portátil bluetooth GOOJPRT y 10 rollos termicos 80*40mm</t>
  </si>
  <si>
    <t>2 Etiquetas 50*40mm y 1 etiqueta de 50*25mm</t>
  </si>
  <si>
    <t>1 Impresora termica de 58mm portátil bluetooth XPRINTER y 10 rollos termicos 57*40mm</t>
  </si>
  <si>
    <t>1 Impresora termica de 80mm portátil bluetooth GOOJPRT y 80 rollos termicos 80*40mm</t>
  </si>
  <si>
    <t>1 paquete de 10 rollos termicos 57*40mm</t>
  </si>
  <si>
    <t>1 Impresora termica de 80mm portátil bluetooth GOOJPRT y 10 rollos termicos</t>
  </si>
  <si>
    <t>Restaurante el Gordo Delgado</t>
  </si>
  <si>
    <t>1 Impresora termica de 58mm portátil bluetooth GOOJPRT y 10 rollos termicos</t>
  </si>
  <si>
    <t>1 Impresora termica de 80mm Escritorio XPRINTER 318B, 10 rollos termicos 80*80MM y 2 etiquetas de 50*25mm</t>
  </si>
  <si>
    <t>11 Impresora termica de 58mm portátil bluetooth XPRINTER</t>
  </si>
  <si>
    <t>3 Impresora termica de 80mm Y 30 rollos termicos de 80mm</t>
  </si>
  <si>
    <t>2 Impresora termica de 80mm GOOJPRT, 2 Impresora termica escritorio XPRINTER BLUETOOTH y 1 impresora portátil 58mm GOOJPRT</t>
  </si>
  <si>
    <t>3 Impresora termica de 58mm portátil bluetooth XPRINTER</t>
  </si>
  <si>
    <t>Arequipa-Principal</t>
  </si>
  <si>
    <t>1 Impresora termica de 80mm portátil bluetooth XPRINTER 10 rollos termicos</t>
  </si>
  <si>
    <t>1 Impresora termica de 80mm portátil bluetooth XPRINTER</t>
  </si>
  <si>
    <t>1 Impresora termica de 80mm portátil bluetooth Etiqueta-Ticket XPRINTER, 1 rollo de etiqueta de 50*25mm y 1 paquete de 10 rollos de 80*40mm</t>
  </si>
  <si>
    <t>2 Impresora termica de 80mm GOOJPRT</t>
  </si>
  <si>
    <t>1 Impresora termica de 80mm portátil bluetooth Etiqueta LASAET LS8007 y 1 rollo de etiqueta de 50*25mm</t>
  </si>
  <si>
    <t>2 cajas de 80*40mm</t>
  </si>
  <si>
    <t>1 Impresora termica de 58mm portátil bluetooth GOOJPRT</t>
  </si>
  <si>
    <t>1 paquete de 10 rollos de 80*40mm</t>
  </si>
  <si>
    <t>1 Impresora termica de 58mm portátil bluetooth GOOJPRT Y 1 paquete de 10 rollos termicos</t>
  </si>
  <si>
    <t>1 Impresora termica de 80mm portátil bluetooth Labell usb-bluetooth, 1 paquete de 10 rollos ticket 80*40mm Y 1 rollo etiqueta 50*40mm</t>
  </si>
  <si>
    <t>Sistema de Facturación</t>
  </si>
  <si>
    <t>1 Impresora termica Escritorio de 58mm Dual Y 1 rollo etiqueta  50*76</t>
  </si>
  <si>
    <t>Arequipa Principal</t>
  </si>
  <si>
    <t>1 Impresora termica de 80mm escritorio XPRINTER 318B, 1 lectora de  codigo inalambrico, 1 caja de 20 contometro 80*80mm Y 1 rollo etiqueta 50*40mm</t>
  </si>
  <si>
    <t>1 Impresora termica de 80mm portátil bluetooth XPRINTER Y 2 paquete de 10 rollos termicos</t>
  </si>
  <si>
    <t>Pago al contado en agencia</t>
  </si>
  <si>
    <t>1 Impresora termica de 58mm portátil bluetooth XPRINTER Y 1 paquete de 10 rollos termicos</t>
  </si>
  <si>
    <t>San Martin-Santa Lucia</t>
  </si>
  <si>
    <t>1 Impresora termica de 80mm portátil bluetooth XPRINTER Y 1 paquete de 10 rollos termicos</t>
  </si>
  <si>
    <t>Puquio-Lucanas</t>
  </si>
  <si>
    <t>BCP 680-Efectivo 200</t>
  </si>
  <si>
    <t>1 Impresora termica de 80mm escritorio XPRINTER 318B, 1 lectora de  codigo inalambrico, 1 gaveta de dinero CBX SC300 Y 1 rollo etiqueta 30*40mm</t>
  </si>
  <si>
    <t>Ventas</t>
  </si>
  <si>
    <t>1 Lectora de codigo de barra inalambrio</t>
  </si>
  <si>
    <t>Restaurant</t>
  </si>
  <si>
    <t>1 Impresora termica de 80mm portátil bluetooth XPRINTER, 1 impresora termica escritorio 80mm 320B y 1 paquete de 10 rollos termicos 80*40mm</t>
  </si>
  <si>
    <t xml:space="preserve">11 Impresora termica de 58mm portátil bluetooth GOOJPRT </t>
  </si>
  <si>
    <t>1 impresora termica 80mm A260 1 caja contometro 80*80mm</t>
  </si>
  <si>
    <t>1 impresora termica 80mm 318B, 1 caja contometro 80*80mm y rollo de etiqueta 30*40mm</t>
  </si>
  <si>
    <t>Cusco domicilio La cantuta B7 san sebastian</t>
  </si>
  <si>
    <t>CIUDAD CONSTITUCIÓN</t>
  </si>
  <si>
    <t>2 Impresora termica de 58mm portátil bluetooth</t>
  </si>
  <si>
    <t>1 Impresora termica de 58mm portátil bluetooth Y 1 paquete de 10 rollos termicos</t>
  </si>
  <si>
    <t>Lambayeque-Lambayeque</t>
  </si>
  <si>
    <t>Chilca-Cañete</t>
  </si>
  <si>
    <t>1 Impresora termica de 80mm portátil bluetooth Y 1 paquete de 10 rollos termicos</t>
  </si>
  <si>
    <t>1 Impresora termica de etiqueta 58mm blanca Y 1 rollo de etiqueta de 50*25mm</t>
  </si>
  <si>
    <t>1 rollo de etiqueta de 50*25mm</t>
  </si>
  <si>
    <t>2 Impresora termica de 80mm Y 20 rollos termicos de 80mm</t>
  </si>
  <si>
    <t>1 Impresora termica de 80mm portátil bluetooth Y 3 paquete de 10 rollos termicos</t>
  </si>
  <si>
    <t>Interbank Rodrigo</t>
  </si>
  <si>
    <t>1 Impresora termica de 58mm etiquetas LS58G Escritorio y 4 rollos termicos de 50*25</t>
  </si>
  <si>
    <t>4 Impresora termica de 80mm portátil bluetooth</t>
  </si>
  <si>
    <t>1 Impresora termica de 58mm portátil bluetooth, 5 rollos termicos de 58*40mm y 1 lectora de codigo de barras inalambrica sin parante</t>
  </si>
  <si>
    <t>Chanchamayo-Santa Ana</t>
  </si>
  <si>
    <t>150 BCP- 50 Efectivo</t>
  </si>
  <si>
    <t>cusco-la convencion-santa ana</t>
  </si>
  <si>
    <t>1 Impresora termica de 58mm portátil bluetooth Y 1 paquete de 20 rollos termicos</t>
  </si>
  <si>
    <t>Ayacucho-Huamanga</t>
  </si>
  <si>
    <t>1 rollo etiqueta 30*20mm y 1 rollo etiqueta 30*40mm</t>
  </si>
  <si>
    <t>1 Impresora termica de 80mm  dual portátil bluetooth-usb LS8003 Y 1 rollo de etiqueta de 30*20mm</t>
  </si>
  <si>
    <t>1 Impresora termica de 80mm  dual portátil bluetooth-usb LS8003, 1 paquete de 10 rollos termicos Y 1 rollo de etiqueta de 30*20mm</t>
  </si>
  <si>
    <t>Interbank-RODRIGO</t>
  </si>
  <si>
    <t>1 Impresora termica de 58mm dual blanca Y 2 paquete de 10 rollos termicos 58*40mm y 2 rollos de etiquetas de 30*40mm</t>
  </si>
  <si>
    <t>3 Impresora termica de 80mm portátil bluetooth Y 3 paquete de 10 rollos termicos 80*40mm</t>
  </si>
  <si>
    <t>BCP-RODRIGO</t>
  </si>
  <si>
    <t>1 Impresora termica de 58mm portátil bluetooth</t>
  </si>
  <si>
    <t>3 Impresora termica de 58mm portátil bluetooth Y 3 paquete de 10 rollos termicos</t>
  </si>
  <si>
    <t>1 Impresora termica de 58mm portátil bluetooth Y 1 paquete de 10 rollos termicos y aplicativo</t>
  </si>
  <si>
    <t>2 Impresora termica de 58mm</t>
  </si>
  <si>
    <t>1 impresora termica 80mm usb-lan, 1caja de contometro de 80*80mm de 20 rollos</t>
  </si>
  <si>
    <t>2 Impresora termica de 80mm, 3 impresoras de 58mm, 1 caja de rollos 100 unidades de 57**40mm y 80 rollos termicos de 80*40mm</t>
  </si>
  <si>
    <t>1 Impresora termica de 58mm de etiquetas Y 2 rollos de etiqeutas de 50*40mm</t>
  </si>
  <si>
    <t>1 Impresora termica de 80mm portátil-escritorio LS8003, 1 paquete de 10 rollos termicos Y 1 rollo de etiqueta de 50*40mm</t>
  </si>
  <si>
    <t>Venta</t>
  </si>
  <si>
    <t>18 rollos de etiqueta de 30*20mm</t>
  </si>
  <si>
    <t>1 paquete de contometro de 80mm</t>
  </si>
  <si>
    <t>1 caja de contometros de 80*40mm de 80 unidades</t>
  </si>
  <si>
    <t>BCP-rodrigo</t>
  </si>
  <si>
    <t>1 Impresora termica de 80mm portátil bluetooth-usb etiquetas, 1 rollos etiquetas 76*76mm, 1 paquete de 10 rollos termicos</t>
  </si>
  <si>
    <t>1 Impresora termica de 58mm y 10 rollos termicos de 58mm</t>
  </si>
  <si>
    <t>1 Impresora termica de 58mm y 100 rollos termicos de 58mm</t>
  </si>
  <si>
    <t>1 Impresora termica de 80mm, 10 rollos termicos de 80mm y aplicativo</t>
  </si>
  <si>
    <t>2 Impresoras termicas de 80mm y 20 rollos termicos de 80mm</t>
  </si>
  <si>
    <t>1 Impresora termica de etiquetas 58mm bluetooth-usb LASAET</t>
  </si>
  <si>
    <t>1 Impresora termica de etiquetas 80mm bluetooth, 10 rollos termicos de 80mm y un rollo de 50*40mm</t>
  </si>
  <si>
    <t>150 Efectivo y 50 Bcp Rodrigo</t>
  </si>
  <si>
    <t>Caja de rollo de 80+40mm 80 unidades</t>
  </si>
  <si>
    <t>1 Impresora termica de 58mm y 10 rollos termicos de 58*40mm</t>
  </si>
  <si>
    <t>1 Impresoras termicas de escritorio usb-lan 80mm y 20 rollos termicos de 80*80mm</t>
  </si>
  <si>
    <t>Kenko Salud</t>
  </si>
  <si>
    <t>BCP-RODRIGO 50- Efectivo 280</t>
  </si>
  <si>
    <t>1 Impresora termica de 80mm Y 10 rollos termicos de 80mm y 4 rollos etiquetas de 50*25mm</t>
  </si>
  <si>
    <t>1 Impresoras termicas de escritorio dual 80mm, 20 rollos termicos de 80*80mm, 2 lectores de codigo de barra alambrico y 4 rollos etiquetas de 50*25mm</t>
  </si>
  <si>
    <t xml:space="preserve">4 Impresora termica de 58mm Y 40 rollos termicos de 58mm </t>
  </si>
  <si>
    <t>1 Impresora termica de 80mm y 10 rollos termicos de 80mm</t>
  </si>
  <si>
    <t>4 Impresora termica de 58mm</t>
  </si>
  <si>
    <t>3 Impresora termica de 80mm y 80 rollos termicos de 80*40mm</t>
  </si>
  <si>
    <t>2 Impresora termica de 58mm y 20 rollos termicos de 58*40mm</t>
  </si>
  <si>
    <t>9 rollos de etiquetas de 50*25mm de 1000 unidades</t>
  </si>
  <si>
    <t>Envio el 2 de setiembre 2022</t>
  </si>
  <si>
    <t>1 Impresora termica de 80mm y 10 rollos termicos de 80*40mm</t>
  </si>
  <si>
    <t>Caja de 80 unidades de rollos termicos de 80*40mm</t>
  </si>
  <si>
    <t>2 Etiqeutas de 30*20mm</t>
  </si>
  <si>
    <t>Arequipa-Camana</t>
  </si>
  <si>
    <t>Se pago el 25-8-22 500 soles y 26-8-22 360 soles se realiza el envio el 26-8-22</t>
  </si>
  <si>
    <t>Restaurante y servicios de comidas</t>
  </si>
  <si>
    <t>INTERBANK</t>
  </si>
  <si>
    <t>2 Impresora termica de 80mm, 20 rollos termicos de 80*40mm y 1 caja de 80 unidades de 80*40mm</t>
  </si>
  <si>
    <t>32 soles de envio por olva courier</t>
  </si>
  <si>
    <t>1 Impresora termica de 80mm y 80 rollos termicos de 80*40mm</t>
  </si>
  <si>
    <t>1 Impresora termica de 80mm escritorio blt-usb y 20 rollos termicos de 80*80mm</t>
  </si>
  <si>
    <t>1 Impresora termica de 58mm</t>
  </si>
  <si>
    <t>BCP-sergio</t>
  </si>
  <si>
    <t>Se envio el 22 de agosto 2022</t>
  </si>
  <si>
    <t>Prendas de vestir</t>
  </si>
  <si>
    <t xml:space="preserve">1 Impresora Rp 80mm lan/usb, 1 gaveta de dinero costum de 5 billeteros y 8 monederos, 1 impresora termica de etiquetas de 58mm, 1 lector de barra inalambrico rp, 20 rollos de recibos de80*80mm, 2 rollo de etiquetas de 50*25mm de 1000 unidades y 1 rollo de etiqueta de 30*40mm de 800 unidades. </t>
  </si>
  <si>
    <t>200 unidades de contometros de 58*40mm</t>
  </si>
  <si>
    <t>Oroya-Junin</t>
  </si>
  <si>
    <t>7 Impresora termica de 58mm</t>
  </si>
  <si>
    <t>2 Impresora termica de 58mm y 20 rollos termicos de 58mm</t>
  </si>
  <si>
    <t>20 Impresora termica de 58mm</t>
  </si>
  <si>
    <t xml:space="preserve">Venta de ropa interior </t>
  </si>
  <si>
    <t>1 Impresora termica de 58mm y 2 rollos termicos de 58mm</t>
  </si>
  <si>
    <t>Concepcion-Junin</t>
  </si>
  <si>
    <t>Ventas de equipos en Gamarra</t>
  </si>
  <si>
    <t>3 Impresora termica de 80mm</t>
  </si>
  <si>
    <t>bcp rodrigo130-efectivo 50</t>
  </si>
  <si>
    <t>1 Impresora termica de 80mm y 10 contometros de 80*40mm</t>
  </si>
  <si>
    <t>Venezolano</t>
  </si>
  <si>
    <t>6 Impresora termica de 58mm y 60 rollos termicos de 58mm</t>
  </si>
  <si>
    <t>8.5 que pago a olva courier</t>
  </si>
  <si>
    <t>1 Impresora termica de 58mm y 5 contometros de 58*40mm</t>
  </si>
  <si>
    <t>1 Impresora termica de 58mm y 10 contometros de 58*40mm</t>
  </si>
  <si>
    <t>Ropa y vestido</t>
  </si>
  <si>
    <t>1 Impresora termica dual de etiquetas 80mm, 1 lectora alambrica RP, 3 rollos de etiqeutas de 30*20mm de 1000 unidades y 1 rollo de etiquetas de 50*25mm de 1000 unidades</t>
  </si>
  <si>
    <t>9 rollos de etiquetas de 50*25mm de 1000 unidades, 10 rollos de 80*40mm</t>
  </si>
  <si>
    <t>Credito de 480</t>
  </si>
  <si>
    <t>1 Impresora termica de 58mm, 10 contometros de 58*40mm, 1 Impresora termica de 80mm y 10 contometros de 80mm</t>
  </si>
  <si>
    <t>1 Impresora termica de 58mm y 20 contometros de 58*40mm</t>
  </si>
  <si>
    <t>Chanchamayo-Junin La Merced</t>
  </si>
  <si>
    <t>Efectivo 500- Interbank 105</t>
  </si>
  <si>
    <t>2 Impresora termica de 80mm</t>
  </si>
  <si>
    <t>Cambio de equipo de usb-lan a usb-blt</t>
  </si>
  <si>
    <t>Comida</t>
  </si>
  <si>
    <t>1 Impresora termica de escritorio blt-usb 80mm y 80 contometros de 80*40mm</t>
  </si>
  <si>
    <t>1 Impresora termica de 80mm y 80 contometros de 80*40mm</t>
  </si>
  <si>
    <t>Cañete-Imperial</t>
  </si>
  <si>
    <t>1 Impresora termica de 80mm</t>
  </si>
  <si>
    <t>1 Gaveta de Dinero de 5 billeteros y 8 monederos</t>
  </si>
  <si>
    <t xml:space="preserve">1 Impresora termica de 80mm, 5 rollos termicos de 80mm y 1 lectora inalambrica </t>
  </si>
  <si>
    <t>Altp-Sigues(Majes,Pedregal)</t>
  </si>
  <si>
    <t xml:space="preserve">1 Impresora termica de 58mm </t>
  </si>
  <si>
    <t>1 Impresora termica de escritorio Dual etiquetas y recibos 80mm, 1 gaveta de dinero de 3 billetero y 4 monederos y 1 lector inalambrico rp</t>
  </si>
  <si>
    <t>5 rollos de etiquetas de30*40mm y 1 rollo de etiquetas de 30*20mm</t>
  </si>
  <si>
    <t>Articulo de celular</t>
  </si>
  <si>
    <t>1 Impresora termica de 58mm y 5 rollos termicos de 58mm</t>
  </si>
  <si>
    <t>4 lectores con parante usb</t>
  </si>
  <si>
    <t>1 Impresora termica de 80mm y 5 rollos termicos de 80mm</t>
  </si>
  <si>
    <t>1 Impresora termica de 58mm, 10 rollos termicos de 58mm Y lector alambrico</t>
  </si>
  <si>
    <t>Arequipa-Pedregal</t>
  </si>
  <si>
    <t>Pago 31 de agosto 2022</t>
  </si>
  <si>
    <t>1 Impresora termica de 58mm, 10 rollos termicos de 58mm y aplicativo</t>
  </si>
  <si>
    <t>Junin-Chupacca</t>
  </si>
  <si>
    <t>1 Impresora termica de etiquetas, 1 rollo de etiquetas de 30*40mm y 10 rollos termicos de 58mm</t>
  </si>
  <si>
    <t>Ropa</t>
  </si>
  <si>
    <t>1 Impresora termica de 80mm y 20 rollos termicos de 80mm</t>
  </si>
  <si>
    <t>San Martin-Rioja</t>
  </si>
  <si>
    <t>Comision de envio 56 olva courier</t>
  </si>
  <si>
    <t>1 Impresora termica de 58mm y 105 rollos termicos de 58mm</t>
  </si>
  <si>
    <t>Madre de Dios-Tambopata-Puerto Maldonado</t>
  </si>
  <si>
    <t>RUS</t>
  </si>
  <si>
    <t>Venta al por menor de comercios</t>
  </si>
  <si>
    <t>Ferreteria y pinturas</t>
  </si>
  <si>
    <t>1 Impresoras termicas de etiquetas de 58mm y 2 rollos de etiquetas de 50*40mm</t>
  </si>
  <si>
    <t>1 Impresoras termicas de 58mm y 10 rollos termicos de 58mm</t>
  </si>
  <si>
    <t>1 Impresoras termicas de etiquetas de 58mm</t>
  </si>
  <si>
    <t>1 Impresoras termicas de 58mm y 5 rollos termicos de 58mm</t>
  </si>
  <si>
    <t>1 Impresoras termicas de 80mm y 10 rollos termicos de 80mm</t>
  </si>
  <si>
    <t>Mayorista de equipos</t>
  </si>
  <si>
    <t>5 Impresoras termicas de 58mm, 50 rollos termicos de 58mm y 1 impresora termica de etiquetas de 58mm</t>
  </si>
  <si>
    <t>1 Impresoras termicas de escritorio 80mm y 10 rollos termicos de 80mm</t>
  </si>
  <si>
    <t xml:space="preserve">Envio con comision de Olva </t>
  </si>
  <si>
    <t>Ventas al por mayor de alimentos, bebidas y tabaco</t>
  </si>
  <si>
    <t>1 Impresoras termicas de 58mm y aplicativo</t>
  </si>
  <si>
    <t>BCP-Efectivo</t>
  </si>
  <si>
    <t>1 Impresoras termicas de 58mm, 10 rollos termicos de 58mm y aplicativo</t>
  </si>
  <si>
    <t>1 Impresoras termicas de 58mm, 10 rollos termicos de 58mm y 2 lectores de codigo 1D Y 2D</t>
  </si>
  <si>
    <t>1 Impresoras termicas de 80mm y 10 rollos termicos de 80mm y 20 de aplicativo</t>
  </si>
  <si>
    <t>Abarrotes y comida de perro</t>
  </si>
  <si>
    <t>Pago 07/07/2022</t>
  </si>
  <si>
    <t>Confecciones de ropa</t>
  </si>
  <si>
    <t>1 Impresoras termicas de 58mm y 6 rollos de etiquetas</t>
  </si>
  <si>
    <t>Venta de golosina por mayor</t>
  </si>
  <si>
    <t>1 Impresoras termicas de 58mm y 30 rollos termicos de 58mm</t>
  </si>
  <si>
    <t>Venta al por menor de productos textiles</t>
  </si>
  <si>
    <t>Milagros</t>
  </si>
  <si>
    <t>Venta al por mayor productos no especializados</t>
  </si>
  <si>
    <t>5 Impresoras termicas de 80mm y 65 rollos termicos de 80mm</t>
  </si>
  <si>
    <t xml:space="preserve">1 Impresora termica 58mm </t>
  </si>
  <si>
    <t>Andahuaysla-Apurimac</t>
  </si>
  <si>
    <t>RECIBO POR HONORARIOS</t>
  </si>
  <si>
    <t>1 Impresora termica 58mm y 10 rollos termicos</t>
  </si>
  <si>
    <t>40 rollos termicos de 80mm</t>
  </si>
  <si>
    <t>1 Impresora termica 58mm y 10 rollos termicos de 58mm</t>
  </si>
  <si>
    <t>2 Impresora termica 58mm y 20 rollos termicos de 58mm</t>
  </si>
  <si>
    <t>Venta y mantnimiento de bicicletas</t>
  </si>
  <si>
    <t>Venta de equipos tecnologicos</t>
  </si>
  <si>
    <t xml:space="preserve">9 Impresora termica 80mm </t>
  </si>
  <si>
    <t>Multired y bodega</t>
  </si>
  <si>
    <t>Prendas de vestir y calzados</t>
  </si>
  <si>
    <t>Cusco Principal</t>
  </si>
  <si>
    <t>Venta al por menor de alimentos en comercios</t>
  </si>
  <si>
    <t>1 Impresora termica 58mm Y 10  rollos termicos 58mm</t>
  </si>
  <si>
    <t>Resto Bar</t>
  </si>
  <si>
    <t>80 rollos termicos de 58mm</t>
  </si>
  <si>
    <t>Ventas de piezas de telecomunicaciones</t>
  </si>
  <si>
    <t>4 Impresora termica 80mm</t>
  </si>
  <si>
    <t>Efectivo 200-BCP 150</t>
  </si>
  <si>
    <t>1 Impresora termica 80mm Y 10 rollos termicos 80mm</t>
  </si>
  <si>
    <t>1 Impresora termica 58mm Y 5 rollos termicos 58mm</t>
  </si>
  <si>
    <t>Agente multiservicios</t>
  </si>
  <si>
    <t>Cliente Multiservicios</t>
  </si>
  <si>
    <t>1 Impresora termica 58mm Y 10 rollos termicos 58mm</t>
  </si>
  <si>
    <t>Venta al por mayor productos textiles</t>
  </si>
  <si>
    <t>Mantenimiento y Reparacion de vehiculos Automotores</t>
  </si>
  <si>
    <t>1 Impresora termica 80mm Y 10  rollos termicos 80mm</t>
  </si>
  <si>
    <t>5 Impresora termica 58mm Y 100  rollos termicos 58mm</t>
  </si>
  <si>
    <t>Venta de alimentos y bebidas</t>
  </si>
  <si>
    <t>Otras actividades nuevo rus</t>
  </si>
  <si>
    <t>BBVA Rodrigo</t>
  </si>
  <si>
    <t>1 Impresora termica de etiquetas de 58mm Y se obsequio 15 rollos termicos 58mm</t>
  </si>
  <si>
    <t>2 Impresora termica 58mm Y se obsequio 20 rollos termicos 58mm</t>
  </si>
  <si>
    <t>1 Impresora termica 80mm Y se obsequio 5 rollos termicos 80mm</t>
  </si>
  <si>
    <t>5 Impresora termica 80mm Y se obsequio 5 rollos termicos 80mm</t>
  </si>
  <si>
    <t>Actividad de restaurabt y servicios movil de comida</t>
  </si>
  <si>
    <t>1 Impresora termica 80mm y 10 rollos termicos</t>
  </si>
  <si>
    <t>Actividad de medico y odontologo</t>
  </si>
  <si>
    <t>Karsil(fauccet lima cargo)</t>
  </si>
  <si>
    <t>Venta de comercio y bebidas al por menor</t>
  </si>
  <si>
    <t>1 Impresora termica 58mm</t>
  </si>
  <si>
    <t>3 Impresora termica 58mm</t>
  </si>
  <si>
    <t>Entrega Caqueta estacion provincia</t>
  </si>
  <si>
    <t>Flete de envio</t>
  </si>
  <si>
    <t>Porcentaje de utilidad</t>
  </si>
  <si>
    <t>Utilidad</t>
  </si>
  <si>
    <t>Costo Venta</t>
  </si>
  <si>
    <t xml:space="preserve"> 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</si>
</sst>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[$S/-280A]\ * #,##0.00_-;\-[$S/-280A]\ * #,##0.00_-;_-[$S/-280A]\ * &quot;-&quot;??_-;_-@_-"/>
    <numFmt numFmtId="165" formatCode="00000000"/>
    <numFmt numFmtId="166" formatCode="000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4D5156"/>
      <name val="Arial"/>
      <family val="2"/>
    </font>
    <font>
      <sz val="11"/>
      <color theme="1"/>
      <name val="C39t36l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212529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7">
    <xf numFmtId="0" fontId="0" fillId="0" borderId="0" xfId="0"/>
    <xf numFmtId="14" fontId="0" fillId="0" borderId="0" xfId="0" applyNumberFormat="1"/>
    <xf numFmtId="4" fontId="0" fillId="0" borderId="0" xfId="0" applyNumberFormat="1"/>
    <xf numFmtId="1" fontId="0" fillId="0" borderId="0" xfId="0" applyNumberFormat="1" applyAlignment="1">
      <alignment horizontal="left"/>
    </xf>
    <xf numFmtId="1" fontId="0" fillId="0" borderId="0" xfId="0" applyNumberFormat="1"/>
    <xf numFmtId="164" fontId="0" fillId="0" borderId="0" xfId="0" applyNumberFormat="1"/>
    <xf numFmtId="164" fontId="0" fillId="0" borderId="0" xfId="42" applyNumberFormat="1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1" fontId="17" fillId="0" borderId="0" xfId="42" applyNumberFormat="1" applyFont="1"/>
    <xf numFmtId="2" fontId="17" fillId="0" borderId="0" xfId="0" applyNumberFormat="1" applyFont="1"/>
    <xf numFmtId="0" fontId="0" fillId="0" borderId="0" xfId="0" applyAlignment="1">
      <alignment vertical="center"/>
    </xf>
    <xf numFmtId="0" fontId="14" fillId="0" borderId="0" xfId="0" applyFont="1"/>
    <xf numFmtId="0" fontId="21" fillId="0" borderId="0" xfId="0" applyFont="1"/>
    <xf numFmtId="0" fontId="22" fillId="0" borderId="0" xfId="0" applyFont="1"/>
    <xf numFmtId="4" fontId="21" fillId="0" borderId="0" xfId="0" applyNumberFormat="1" applyFont="1"/>
    <xf numFmtId="164" fontId="21" fillId="0" borderId="0" xfId="0" applyNumberFormat="1" applyFont="1"/>
    <xf numFmtId="0" fontId="0" fillId="33" borderId="0" xfId="0" applyFill="1"/>
    <xf numFmtId="0" fontId="21" fillId="33" borderId="0" xfId="0" applyFont="1" applyFill="1"/>
    <xf numFmtId="43" fontId="0" fillId="0" borderId="0" xfId="43" applyFont="1"/>
    <xf numFmtId="14" fontId="0" fillId="33" borderId="0" xfId="0" applyNumberFormat="1" applyFill="1"/>
    <xf numFmtId="43" fontId="0" fillId="33" borderId="0" xfId="43" applyFont="1" applyFill="1"/>
    <xf numFmtId="1" fontId="0" fillId="33" borderId="0" xfId="0" applyNumberFormat="1" applyFill="1" applyAlignment="1">
      <alignment horizontal="left"/>
    </xf>
    <xf numFmtId="164" fontId="21" fillId="33" borderId="0" xfId="0" applyNumberFormat="1" applyFont="1" applyFill="1"/>
    <xf numFmtId="164" fontId="0" fillId="33" borderId="0" xfId="0" applyNumberFormat="1" applyFill="1"/>
    <xf numFmtId="0" fontId="0" fillId="34" borderId="0" xfId="0" applyFill="1"/>
    <xf numFmtId="14" fontId="0" fillId="34" borderId="0" xfId="0" applyNumberFormat="1" applyFill="1"/>
    <xf numFmtId="0" fontId="14" fillId="34" borderId="0" xfId="0" applyFont="1" applyFill="1"/>
    <xf numFmtId="0" fontId="17" fillId="33" borderId="0" xfId="0" applyFont="1" applyFill="1"/>
    <xf numFmtId="4" fontId="21" fillId="33" borderId="0" xfId="0" applyNumberFormat="1" applyFont="1" applyFill="1"/>
    <xf numFmtId="14" fontId="21" fillId="0" borderId="0" xfId="0" applyNumberFormat="1" applyFont="1"/>
    <xf numFmtId="1" fontId="21" fillId="0" borderId="0" xfId="0" applyNumberFormat="1" applyFont="1" applyAlignment="1">
      <alignment horizontal="left"/>
    </xf>
    <xf numFmtId="14" fontId="21" fillId="33" borderId="0" xfId="0" applyNumberFormat="1" applyFont="1" applyFill="1"/>
    <xf numFmtId="1" fontId="21" fillId="33" borderId="0" xfId="0" applyNumberFormat="1" applyFont="1" applyFill="1" applyAlignment="1">
      <alignment horizontal="left"/>
    </xf>
    <xf numFmtId="0" fontId="0" fillId="35" borderId="0" xfId="0" applyFill="1"/>
    <xf numFmtId="165" fontId="0" fillId="35" borderId="0" xfId="0" applyNumberFormat="1" applyFill="1"/>
    <xf numFmtId="166" fontId="0" fillId="0" borderId="0" xfId="0" applyNumberFormat="1"/>
    <xf numFmtId="165" fontId="0" fillId="0" borderId="0" xfId="0" applyNumberFormat="1"/>
    <xf numFmtId="166" fontId="0" fillId="36" borderId="0" xfId="0" applyNumberFormat="1" applyFill="1"/>
    <xf numFmtId="0" fontId="21" fillId="36" borderId="0" xfId="0" applyFont="1" applyFill="1"/>
    <xf numFmtId="0" fontId="0" fillId="36" borderId="0" xfId="0" applyFill="1"/>
    <xf numFmtId="165" fontId="0" fillId="36" borderId="0" xfId="0" applyNumberFormat="1" applyFill="1"/>
    <xf numFmtId="166" fontId="21" fillId="36" borderId="0" xfId="0" applyNumberFormat="1" applyFont="1" applyFill="1"/>
    <xf numFmtId="165" fontId="21" fillId="36" borderId="0" xfId="0" applyNumberFormat="1" applyFont="1" applyFill="1"/>
    <xf numFmtId="166" fontId="21" fillId="0" borderId="0" xfId="0" applyNumberFormat="1" applyFont="1"/>
    <xf numFmtId="165" fontId="21" fillId="0" borderId="0" xfId="0" applyNumberFormat="1" applyFont="1"/>
    <xf numFmtId="14" fontId="0" fillId="36" borderId="0" xfId="0" applyNumberFormat="1" applyFill="1"/>
    <xf numFmtId="43" fontId="0" fillId="36" borderId="0" xfId="43" applyFont="1" applyFill="1"/>
    <xf numFmtId="43" fontId="21" fillId="36" borderId="0" xfId="43" applyFont="1" applyFill="1"/>
    <xf numFmtId="166" fontId="0" fillId="34" borderId="0" xfId="0" applyNumberFormat="1" applyFill="1"/>
    <xf numFmtId="0" fontId="21" fillId="34" borderId="0" xfId="0" applyFont="1" applyFill="1"/>
    <xf numFmtId="165" fontId="0" fillId="34" borderId="0" xfId="0" applyNumberFormat="1" applyFill="1"/>
    <xf numFmtId="43" fontId="0" fillId="34" borderId="0" xfId="43" applyFont="1" applyFill="1"/>
    <xf numFmtId="43" fontId="21" fillId="0" borderId="0" xfId="43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3" fontId="0" fillId="0" borderId="0" xfId="0" applyNumberFormat="1"/>
    <xf numFmtId="18" fontId="0" fillId="0" borderId="0" xfId="0" applyNumberFormat="1"/>
    <xf numFmtId="12" fontId="0" fillId="0" borderId="0" xfId="0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43" fontId="0" fillId="0" borderId="0" xfId="43" applyFont="1" applyFill="1"/>
    <xf numFmtId="43" fontId="0" fillId="36" borderId="0" xfId="0" applyNumberFormat="1" applyFill="1"/>
    <xf numFmtId="43" fontId="21" fillId="0" borderId="0" xfId="43" applyFont="1" applyFill="1"/>
    <xf numFmtId="0" fontId="25" fillId="0" borderId="0" xfId="0" applyFont="1"/>
    <xf numFmtId="43" fontId="0" fillId="34" borderId="0" xfId="0" applyNumberFormat="1" applyFill="1"/>
    <xf numFmtId="0" fontId="14" fillId="36" borderId="0" xfId="0" applyFont="1" applyFill="1"/>
    <xf numFmtId="43" fontId="21" fillId="0" borderId="0" xfId="0" applyNumberFormat="1" applyFont="1"/>
    <xf numFmtId="43" fontId="0" fillId="35" borderId="0" xfId="0" applyNumberFormat="1" applyFill="1"/>
    <xf numFmtId="43" fontId="0" fillId="35" borderId="0" xfId="43" applyFont="1" applyFill="1"/>
    <xf numFmtId="0" fontId="21" fillId="35" borderId="0" xfId="0" applyFont="1" applyFill="1"/>
    <xf numFmtId="14" fontId="0" fillId="35" borderId="0" xfId="0" applyNumberFormat="1" applyFill="1"/>
    <xf numFmtId="166" fontId="0" fillId="35" borderId="0" xfId="0" applyNumberFormat="1" applyFill="1"/>
    <xf numFmtId="166" fontId="14" fillId="35" borderId="0" xfId="0" applyNumberFormat="1" applyFont="1" applyFill="1"/>
    <xf numFmtId="43" fontId="21" fillId="33" borderId="0" xfId="43" applyFont="1" applyFill="1"/>
    <xf numFmtId="43" fontId="21" fillId="36" borderId="0" xfId="0" applyNumberFormat="1" applyFont="1" applyFill="1"/>
    <xf numFmtId="43" fontId="21" fillId="34" borderId="0" xfId="0" applyNumberFormat="1" applyFont="1" applyFill="1"/>
    <xf numFmtId="43" fontId="21" fillId="34" borderId="0" xfId="43" applyFont="1" applyFill="1"/>
    <xf numFmtId="166" fontId="0" fillId="37" borderId="0" xfId="0" applyNumberFormat="1" applyFill="1"/>
    <xf numFmtId="0" fontId="0" fillId="0" borderId="0" xfId="0" applyAlignment="1">
      <alignment horizontal="left"/>
    </xf>
    <xf numFmtId="165" fontId="21" fillId="34" borderId="0" xfId="0" applyNumberFormat="1" applyFont="1" applyFill="1"/>
    <xf numFmtId="166" fontId="21" fillId="34" borderId="0" xfId="0" applyNumberFormat="1" applyFont="1" applyFill="1"/>
    <xf numFmtId="0" fontId="21" fillId="38" borderId="0" xfId="0" applyFont="1" applyFill="1"/>
    <xf numFmtId="43" fontId="21" fillId="38" borderId="0" xfId="0" applyNumberFormat="1" applyFont="1" applyFill="1"/>
    <xf numFmtId="43" fontId="0" fillId="38" borderId="0" xfId="0" applyNumberFormat="1" applyFill="1"/>
    <xf numFmtId="43" fontId="0" fillId="38" borderId="0" xfId="43" applyFont="1" applyFill="1"/>
    <xf numFmtId="43" fontId="21" fillId="38" borderId="0" xfId="43" applyFont="1" applyFill="1"/>
    <xf numFmtId="0" fontId="0" fillId="38" borderId="0" xfId="0" applyFill="1"/>
    <xf numFmtId="14" fontId="0" fillId="38" borderId="0" xfId="0" applyNumberFormat="1" applyFill="1"/>
    <xf numFmtId="165" fontId="21" fillId="38" borderId="0" xfId="0" applyNumberFormat="1" applyFont="1" applyFill="1"/>
    <xf numFmtId="166" fontId="21" fillId="38" borderId="0" xfId="0" applyNumberFormat="1" applyFont="1" applyFill="1"/>
    <xf numFmtId="43" fontId="21" fillId="39" borderId="0" xfId="0" applyNumberFormat="1" applyFont="1" applyFill="1"/>
    <xf numFmtId="43" fontId="0" fillId="39" borderId="0" xfId="0" applyNumberFormat="1" applyFill="1"/>
    <xf numFmtId="43" fontId="0" fillId="39" borderId="0" xfId="43" applyFont="1" applyFill="1"/>
    <xf numFmtId="43" fontId="21" fillId="39" borderId="0" xfId="43" applyFont="1" applyFill="1"/>
    <xf numFmtId="0" fontId="21" fillId="39" borderId="0" xfId="0" applyFont="1" applyFill="1"/>
    <xf numFmtId="0" fontId="0" fillId="39" borderId="0" xfId="0" applyFill="1"/>
    <xf numFmtId="14" fontId="0" fillId="39" borderId="0" xfId="0" applyNumberFormat="1" applyFill="1"/>
    <xf numFmtId="165" fontId="21" fillId="39" borderId="0" xfId="0" applyNumberFormat="1" applyFont="1" applyFill="1"/>
    <xf numFmtId="166" fontId="21" fillId="39" borderId="0" xfId="0" applyNumberFormat="1" applyFont="1" applyFill="1"/>
    <xf numFmtId="43" fontId="14" fillId="0" borderId="0" xfId="43" applyFont="1" applyFill="1"/>
    <xf numFmtId="43" fontId="14" fillId="0" borderId="0" xfId="0" applyNumberFormat="1" applyFont="1"/>
    <xf numFmtId="43" fontId="14" fillId="0" borderId="0" xfId="43" applyFont="1"/>
    <xf numFmtId="14" fontId="14" fillId="0" borderId="0" xfId="0" applyNumberFormat="1" applyFont="1"/>
    <xf numFmtId="165" fontId="14" fillId="0" borderId="0" xfId="0" applyNumberFormat="1" applyFont="1"/>
    <xf numFmtId="166" fontId="14" fillId="0" borderId="0" xfId="0" applyNumberFormat="1" applyFont="1"/>
    <xf numFmtId="2" fontId="21" fillId="0" borderId="0" xfId="43" applyNumberFormat="1" applyFont="1" applyFill="1"/>
    <xf numFmtId="2" fontId="0" fillId="0" borderId="0" xfId="43" applyNumberFormat="1" applyFont="1" applyFill="1"/>
    <xf numFmtId="2" fontId="0" fillId="0" borderId="0" xfId="0" applyNumberFormat="1"/>
    <xf numFmtId="2" fontId="0" fillId="0" borderId="0" xfId="43" applyNumberFormat="1" applyFont="1"/>
    <xf numFmtId="2" fontId="0" fillId="36" borderId="0" xfId="43" applyNumberFormat="1" applyFont="1" applyFill="1"/>
    <xf numFmtId="2" fontId="0" fillId="36" borderId="0" xfId="0" applyNumberFormat="1" applyFill="1"/>
    <xf numFmtId="2" fontId="0" fillId="35" borderId="0" xfId="43" applyNumberFormat="1" applyFont="1" applyFill="1"/>
    <xf numFmtId="2" fontId="0" fillId="35" borderId="0" xfId="0" applyNumberFormat="1" applyFill="1"/>
    <xf numFmtId="2" fontId="0" fillId="34" borderId="0" xfId="43" applyNumberFormat="1" applyFont="1" applyFill="1"/>
    <xf numFmtId="2" fontId="0" fillId="34" borderId="0" xfId="0" applyNumberFormat="1" applyFill="1"/>
    <xf numFmtId="2" fontId="14" fillId="0" borderId="0" xfId="43" applyNumberFormat="1" applyFont="1" applyFill="1"/>
    <xf numFmtId="2" fontId="21" fillId="39" borderId="0" xfId="43" applyNumberFormat="1" applyFont="1" applyFill="1"/>
    <xf numFmtId="2" fontId="21" fillId="34" borderId="0" xfId="43" applyNumberFormat="1" applyFont="1" applyFill="1"/>
    <xf numFmtId="2" fontId="21" fillId="38" borderId="0" xfId="43" applyNumberFormat="1" applyFont="1" applyFill="1"/>
    <xf numFmtId="2" fontId="21" fillId="36" borderId="0" xfId="43" applyNumberFormat="1" applyFont="1" applyFill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3" builtinId="3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fo%20RMV%20data%20medelado%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94.63932858796" createdVersion="6" refreshedVersion="6" minRefreshableVersion="3" recordCount="261" xr:uid="{5E02638D-4086-457D-B039-3ADA90C5F955}">
  <cacheSource type="worksheet">
    <worksheetSource ref="A1:Q262" sheet="clientes" r:id="rId2"/>
  </cacheSource>
  <cacheFields count="17">
    <cacheField name="Codigo" numFmtId="166">
      <sharedItems containsSemiMixedTypes="0" containsString="0" containsNumber="1" containsInteger="1" minValue="1" maxValue="222"/>
    </cacheField>
    <cacheField name="RH" numFmtId="166">
      <sharedItems containsBlank="1" count="5">
        <s v="FT"/>
        <s v="BV"/>
        <s v="No va"/>
        <s v="RH"/>
        <m/>
      </sharedItems>
    </cacheField>
    <cacheField name="Nombre y Apellidos" numFmtId="0">
      <sharedItems containsBlank="1"/>
    </cacheField>
    <cacheField name="RUC" numFmtId="0">
      <sharedItems containsString="0" containsBlank="1" containsNumber="1" containsInteger="1" minValue="10182201222" maxValue="20601379377"/>
    </cacheField>
    <cacheField name="DNI" numFmtId="0">
      <sharedItems containsString="0" containsBlank="1" containsNumber="1" containsInteger="1" minValue="491048" maxValue="20609959275"/>
    </cacheField>
    <cacheField name="Celular" numFmtId="0">
      <sharedItems containsString="0" containsBlank="1" containsNumber="1" containsInteger="1" minValue="900038812" maxValue="999084831"/>
    </cacheField>
    <cacheField name="Comprobante" numFmtId="0">
      <sharedItems containsBlank="1"/>
    </cacheField>
    <cacheField name="Destino" numFmtId="0">
      <sharedItems containsBlank="1"/>
    </cacheField>
    <cacheField name="Agencia" numFmtId="0">
      <sharedItems containsBlank="1"/>
    </cacheField>
    <cacheField name="Direccion" numFmtId="0">
      <sharedItems containsBlank="1"/>
    </cacheField>
    <cacheField name="Fecha de Compra" numFmtId="14">
      <sharedItems containsSemiMixedTypes="0" containsNonDate="0" containsDate="1" containsString="0" minDate="2022-04-23T00:00:00" maxDate="2022-11-29T00:00:00"/>
    </cacheField>
    <cacheField name="Equipos" numFmtId="0">
      <sharedItems longText="1"/>
    </cacheField>
    <cacheField name="Pago" numFmtId="0">
      <sharedItems containsBlank="1"/>
    </cacheField>
    <cacheField name="Monto" numFmtId="43">
      <sharedItems containsSemiMixedTypes="0" containsString="0" containsNumber="1" minValue="30" maxValue="3100"/>
    </cacheField>
    <cacheField name="Rubro" numFmtId="0">
      <sharedItems containsBlank="1"/>
    </cacheField>
    <cacheField name="Co" numFmtId="0">
      <sharedItems/>
    </cacheField>
    <cacheField name="Ases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1">
  <r>
    <n v="1"/>
    <x v="0"/>
    <s v="Jhonathan Brain Tech"/>
    <m/>
    <n v="20608133161"/>
    <m/>
    <s v="FT E001-1"/>
    <m/>
    <m/>
    <s v="Lima-Santa Anita"/>
    <d v="2022-04-28T00:00:00"/>
    <s v="1 Impresora termica 58mm"/>
    <s v="BCP"/>
    <n v="190"/>
    <s v="Sistemas"/>
    <s v="U"/>
    <s v="Rodrigo"/>
  </r>
  <r>
    <n v="2"/>
    <x v="0"/>
    <s v="Camacho Astoquilca Alvaro Pablo"/>
    <m/>
    <n v="10013232046"/>
    <n v="951501949"/>
    <s v="FT E001-3"/>
    <s v="Puno"/>
    <s v="Shalom"/>
    <m/>
    <d v="2022-05-31T00:00:00"/>
    <s v="1 Impresora termica 80mm y 10 rollos termicos"/>
    <s v="BCP"/>
    <n v="350"/>
    <s v="Actividad de restaurabt y servicios movil de comida"/>
    <s v="U"/>
    <s v="Rodrigo"/>
  </r>
  <r>
    <n v="3"/>
    <x v="0"/>
    <s v="Saquiray Vela Wili Aybor"/>
    <m/>
    <n v="10741648828"/>
    <n v="916455992"/>
    <s v="FT E001-2"/>
    <s v="Iquitos"/>
    <s v="Karsil(fauccet lima cargo)"/>
    <m/>
    <d v="2022-05-30T00:00:00"/>
    <s v="1 Impresora termica 58mm y 10 rollos termicos"/>
    <s v="BBVA"/>
    <n v="223"/>
    <s v="Actividad de medico y odontologo"/>
    <s v="U"/>
    <s v="Rodrigo"/>
  </r>
  <r>
    <n v="4"/>
    <x v="1"/>
    <s v="Puntaca Posada Elizabeth Gladys"/>
    <m/>
    <n v="44867411"/>
    <n v="934546787"/>
    <s v="BV EB01-7"/>
    <s v="Sullana"/>
    <s v="Shalom"/>
    <m/>
    <d v="2022-06-01T00:00:00"/>
    <s v="1 Impresora termica 58mm y 10 rollos termicos"/>
    <s v="BCP"/>
    <n v="220"/>
    <m/>
    <s v="U"/>
    <s v="Rodrigo"/>
  </r>
  <r>
    <n v="5"/>
    <x v="1"/>
    <s v="Cardenas Mendez Ruth Yenny"/>
    <m/>
    <n v="44611313"/>
    <n v="949463540"/>
    <s v="BV EB01-6"/>
    <s v="Chosica"/>
    <s v="Shalom"/>
    <m/>
    <d v="2022-05-28T00:00:00"/>
    <s v="1 Impresora termica 58mm"/>
    <s v="BCP"/>
    <n v="200"/>
    <s v="Venta de comercio y bebidas al por menor"/>
    <s v="U"/>
    <s v="Rodrigo"/>
  </r>
  <r>
    <n v="6"/>
    <x v="1"/>
    <s v="Abramonte Contreras Paola Stephany"/>
    <m/>
    <n v="72477960"/>
    <n v="931310189"/>
    <s v="BV EB01-4"/>
    <s v="Tarapoto"/>
    <s v="Shalom"/>
    <m/>
    <d v="2022-05-26T00:00:00"/>
    <s v="1 Impresora termica 58mm y 10 rollos termicos"/>
    <s v="BBVA"/>
    <n v="200"/>
    <s v="RECIBO POR HONORARIOS"/>
    <s v="U"/>
    <s v="Rodrigo"/>
  </r>
  <r>
    <n v="7"/>
    <x v="1"/>
    <s v="Diana"/>
    <m/>
    <m/>
    <n v="949365755"/>
    <s v="BV EB01-5(NOTA DE CREDITO)"/>
    <m/>
    <m/>
    <s v="Lima-Santa Anita"/>
    <d v="2022-05-24T00:00:00"/>
    <s v="1 Impresora termica 58mm y 10 rollos termicos"/>
    <s v="Efectivo"/>
    <n v="200"/>
    <s v="Restaurant"/>
    <s v="U"/>
    <s v="Rodrigo"/>
  </r>
  <r>
    <n v="8"/>
    <x v="1"/>
    <s v="Carlos Jimenez"/>
    <m/>
    <n v="71719102"/>
    <n v="955181806"/>
    <s v="BV EB01-3"/>
    <s v="Huacho"/>
    <s v="Shalom"/>
    <m/>
    <d v="2022-05-12T00:00:00"/>
    <s v="3 Impresora termica 58mm"/>
    <s v="BCP"/>
    <n v="600"/>
    <m/>
    <s v="M"/>
    <s v="Sergio"/>
  </r>
  <r>
    <n v="9"/>
    <x v="1"/>
    <s v="Juan Carlos"/>
    <m/>
    <m/>
    <n v="946289484"/>
    <s v="BV EB01-2(NOTA DE CREDITO)"/>
    <m/>
    <m/>
    <s v="Lima-La Molina"/>
    <d v="2022-05-01T00:00:00"/>
    <s v="1 Impresora termica 58mm"/>
    <s v="Efectivo"/>
    <n v="200"/>
    <m/>
    <s v="U"/>
    <s v="Sergio"/>
  </r>
  <r>
    <n v="10"/>
    <x v="1"/>
    <s v="Yamira Santillana"/>
    <m/>
    <m/>
    <n v="912672415"/>
    <s v="BV EB01-1"/>
    <m/>
    <m/>
    <s v="Lima-San Felipe"/>
    <d v="2022-04-23T00:00:00"/>
    <s v="1 Impresora termica 58mm"/>
    <s v="BCP"/>
    <n v="200"/>
    <m/>
    <s v="U"/>
    <s v="Rodrigo"/>
  </r>
  <r>
    <n v="11"/>
    <x v="2"/>
    <s v="Caqueta estacion"/>
    <m/>
    <m/>
    <m/>
    <m/>
    <m/>
    <m/>
    <s v="Entrega Caqueta estacion provincia"/>
    <d v="2022-05-01T00:00:00"/>
    <s v="1 Impresora termica 58mm"/>
    <s v="Efectivo"/>
    <n v="200"/>
    <m/>
    <s v="U"/>
    <s v="Sergio"/>
  </r>
  <r>
    <n v="12"/>
    <x v="0"/>
    <s v="Juarez Chaiña David Ramon"/>
    <m/>
    <n v="10432482419"/>
    <n v="945128886"/>
    <s v="FT E001-4"/>
    <s v="Tacna"/>
    <s v="Shalom"/>
    <m/>
    <d v="2022-06-01T00:00:00"/>
    <s v="5 Impresora termica 80mm Y se obsequio 5 rollos termicos 80mm"/>
    <s v="Interbank"/>
    <n v="1500"/>
    <s v="Venta al por mayor productos no especializados"/>
    <s v="M"/>
    <s v="Rodrigo"/>
  </r>
  <r>
    <n v="13"/>
    <x v="2"/>
    <s v="Karen Rosales Pizzeria"/>
    <m/>
    <m/>
    <n v="960292552"/>
    <m/>
    <m/>
    <m/>
    <s v="Olivos Av Marañon 688"/>
    <d v="2022-06-02T00:00:00"/>
    <s v="1 Impresora termica 80mm Y se obsequio 5 rollos termicos 80mm"/>
    <s v="Efectivo"/>
    <n v="330"/>
    <s v="Comida"/>
    <s v="U"/>
    <s v="Rodrigo"/>
  </r>
  <r>
    <n v="14"/>
    <x v="3"/>
    <s v="Anthony"/>
    <m/>
    <m/>
    <n v="960583765"/>
    <s v="RH E001-1"/>
    <m/>
    <m/>
    <s v="San Martin de Porres"/>
    <d v="2022-06-02T00:00:00"/>
    <s v="2 Impresora termica 58mm Y se obsequio 20 rollos termicos 58mm"/>
    <s v="BCP"/>
    <n v="400"/>
    <s v="Sistemas"/>
    <s v="M"/>
    <s v="Sergio"/>
  </r>
  <r>
    <n v="15"/>
    <x v="4"/>
    <s v="Boris Orlando Alejo"/>
    <m/>
    <m/>
    <n v="949590680"/>
    <m/>
    <s v="Ica"/>
    <s v="Shalom"/>
    <m/>
    <d v="2022-06-02T00:00:00"/>
    <s v="1 Impresora termica de etiquetas de 58mm Y se obsequio 15 rollos termicos 58mm"/>
    <s v="BBVA Rodrigo"/>
    <n v="400"/>
    <s v="Sistemas"/>
    <s v="U"/>
    <s v="Sergio"/>
  </r>
  <r>
    <n v="16"/>
    <x v="4"/>
    <s v="Puscan Rojas Nehemias"/>
    <m/>
    <n v="10417259525"/>
    <n v="916263285"/>
    <m/>
    <s v="Chachapoyas"/>
    <s v="Shalom"/>
    <m/>
    <d v="2022-06-03T00:00:00"/>
    <s v="1 Impresora termica 58mm Y 10  rollos termicos 58mm"/>
    <s v="BCP"/>
    <n v="211"/>
    <s v="Otras actividades nuevo rus"/>
    <s v="U"/>
    <s v="Rodrigo"/>
  </r>
  <r>
    <n v="17"/>
    <x v="0"/>
    <s v="Borjas Hernandez July Sofia"/>
    <m/>
    <n v="10419454287"/>
    <n v="946069743"/>
    <s v="FT E001-5"/>
    <s v="Pisco"/>
    <s v="Shalom"/>
    <m/>
    <d v="2022-06-03T00:00:00"/>
    <s v="1 Impresora termica 58mm Y 10  rollos termicos 58mm"/>
    <s v="BCP"/>
    <n v="220"/>
    <s v="Venta de alimentos y bebidas"/>
    <s v="U"/>
    <s v="Rodrigo"/>
  </r>
  <r>
    <n v="18"/>
    <x v="4"/>
    <s v="Mamani Supo Juan Orestes"/>
    <m/>
    <n v="10806242654"/>
    <n v="972432081"/>
    <m/>
    <s v="Juliaca"/>
    <s v="Shalom"/>
    <m/>
    <d v="2022-06-03T00:00:00"/>
    <s v="1 Impresora termica 58mm Y 10  rollos termicos 58mm"/>
    <s v="BBVA"/>
    <n v="220"/>
    <s v="Venta al por menor de alimentos en comercios"/>
    <s v="U"/>
    <s v="Rodrigo"/>
  </r>
  <r>
    <n v="19"/>
    <x v="0"/>
    <s v="Rosales Villavicencio Gregorio "/>
    <m/>
    <n v="20602571247"/>
    <n v="920309005"/>
    <s v="FT E001-9"/>
    <s v="Huanuco"/>
    <s v="Shalom"/>
    <m/>
    <d v="2022-06-06T00:00:00"/>
    <s v="1 Impresora termica 80mm Y 10  rollos termicos 80mm"/>
    <s v="BBVA"/>
    <n v="350"/>
    <s v="Mantenimiento y Reparacion de vehiculos Automotores"/>
    <s v="U"/>
    <s v="Rodrigo"/>
  </r>
  <r>
    <n v="20"/>
    <x v="3"/>
    <s v="Chinguel Lachapelle Wilson"/>
    <m/>
    <m/>
    <n v="946308723"/>
    <s v="RH E001-53"/>
    <s v="Talara"/>
    <s v="Shalom"/>
    <m/>
    <d v="2022-06-06T00:00:00"/>
    <s v="5 Impresora termica 58mm Y 100  rollos termicos 58mm"/>
    <s v="Interbank"/>
    <n v="1030"/>
    <m/>
    <s v="M"/>
    <s v="Rodrigo"/>
  </r>
  <r>
    <n v="21"/>
    <x v="4"/>
    <s v="Yomar Faviola Maldonado Tapia"/>
    <m/>
    <n v="10445784163"/>
    <n v="965357864"/>
    <m/>
    <s v="Pucallpa"/>
    <s v="TPP COURIER"/>
    <m/>
    <d v="2022-06-08T00:00:00"/>
    <s v="1 Impresora termica 80mm Y 10 rollos termicos 80mm"/>
    <s v="BCP"/>
    <n v="350"/>
    <s v="Venta al por mayor productos textiles"/>
    <s v="U"/>
    <s v="Rodrigo"/>
  </r>
  <r>
    <n v="22"/>
    <x v="4"/>
    <s v="Rosy Thalia Perez Ponce"/>
    <m/>
    <n v="10766427192"/>
    <n v="981536477"/>
    <m/>
    <s v="Chimbote"/>
    <s v="Shalom"/>
    <m/>
    <d v="2022-06-08T00:00:00"/>
    <s v="1 Impresora termica 58mm Y 10 rollos termicos 58mm"/>
    <s v="BCP"/>
    <n v="220"/>
    <s v="Actividades empresariales"/>
    <s v="U"/>
    <s v="Rodrigo"/>
  </r>
  <r>
    <n v="23"/>
    <x v="1"/>
    <s v="Mamani Quilla Edy Wilson"/>
    <m/>
    <n v="10442404017"/>
    <n v="957734593"/>
    <s v="BV EB01-9"/>
    <s v="Huancane"/>
    <s v="Expreso Grael S.a.c."/>
    <m/>
    <d v="2022-06-08T00:00:00"/>
    <s v="1 Impresora termica 80mm Y 10 rollos termicos 80mm"/>
    <s v="BCP"/>
    <n v="350"/>
    <s v="Cliente Multiservicios"/>
    <s v="U"/>
    <s v="Rodrigo"/>
  </r>
  <r>
    <n v="24"/>
    <x v="4"/>
    <s v="Butista Rojas Yhorlina Luz"/>
    <m/>
    <n v="10442026918"/>
    <n v="939292349"/>
    <m/>
    <s v="Ayacucho"/>
    <s v="TRANSSOL"/>
    <s v="Parinacochas"/>
    <d v="2022-06-08T00:00:00"/>
    <s v="1 Impresora termica 58mm Y 5 rollos termicos 58mm"/>
    <s v="BCP"/>
    <n v="200"/>
    <s v="Agente multiservicios"/>
    <s v="U"/>
    <s v="Rodrigo"/>
  </r>
  <r>
    <n v="25"/>
    <x v="2"/>
    <s v="Kapitza"/>
    <m/>
    <m/>
    <n v="940289373"/>
    <m/>
    <m/>
    <m/>
    <s v="Ensenada"/>
    <d v="2022-06-08T00:00:00"/>
    <s v="1 Impresora termica 58mm Y 5 rollos termicos 58mm"/>
    <s v="Efectivo"/>
    <n v="200"/>
    <s v="Multired y bodega"/>
    <s v="U"/>
    <s v="Rodrigo"/>
  </r>
  <r>
    <n v="26"/>
    <x v="0"/>
    <s v="Felix Amado"/>
    <m/>
    <n v="20608301314"/>
    <n v="927468705"/>
    <s v="FT E001-12"/>
    <m/>
    <m/>
    <s v="Municipalidad Santa Anita"/>
    <d v="2022-06-09T00:00:00"/>
    <s v="4 Impresora termica 80mm"/>
    <s v="Efectivo"/>
    <n v="1200"/>
    <s v="Ventas de piezas de telecomunicaciones"/>
    <s v="M"/>
    <s v="Rodrigo"/>
  </r>
  <r>
    <n v="27"/>
    <x v="0"/>
    <s v="Yessica Palomino"/>
    <m/>
    <n v="20608377451"/>
    <n v="981129661"/>
    <s v="FT E001-11"/>
    <m/>
    <m/>
    <s v="Surquillo (Aviacion)"/>
    <d v="2022-06-09T00:00:00"/>
    <s v="1 Impresora termica 80mm Y 10 rollos termicos 80mm"/>
    <s v="Efectivo 200-BCP 150"/>
    <n v="350"/>
    <s v="Tecnoliga y gestion informatica"/>
    <s v="U"/>
    <s v="Sergio"/>
  </r>
  <r>
    <n v="28"/>
    <x v="1"/>
    <s v="Ubillus del Castillo Ricardo Agustin"/>
    <m/>
    <m/>
    <n v="941726918"/>
    <s v="BV EB01-12"/>
    <m/>
    <m/>
    <s v="Barranco paradero Balta"/>
    <d v="2022-06-09T00:00:00"/>
    <s v="80 rollos termicos de 58mm"/>
    <s v="BBVA"/>
    <n v="200"/>
    <s v="Resto Bar"/>
    <s v="U"/>
    <s v="Sergio"/>
  </r>
  <r>
    <n v="18"/>
    <x v="4"/>
    <s v="Mamani Supo Juan Orestes"/>
    <m/>
    <n v="10806242654"/>
    <n v="972432081"/>
    <m/>
    <s v="Juliaca"/>
    <s v="Shalom"/>
    <m/>
    <d v="2022-06-10T00:00:00"/>
    <s v="1 Impresora termica 58mm Y 10  rollos termicos 58mm"/>
    <s v="BBVA"/>
    <n v="220"/>
    <s v="Venta al por menor de alimentos en comercios"/>
    <s v="U"/>
    <s v="Rodrigo"/>
  </r>
  <r>
    <n v="29"/>
    <x v="4"/>
    <s v="Juan Carlos Lavilla Gamarra"/>
    <m/>
    <n v="41398638"/>
    <n v="976368567"/>
    <m/>
    <s v="Cusco Principal"/>
    <s v="Shalom"/>
    <m/>
    <d v="2022-06-10T00:00:00"/>
    <s v="1 Impresora termica 58mm y 10 rollos termicos de 58mm"/>
    <s v="BCP"/>
    <n v="200"/>
    <s v="Prendas de vestir y calzados"/>
    <s v="U"/>
    <s v="Rodrigo"/>
  </r>
  <r>
    <n v="30"/>
    <x v="4"/>
    <s v="Yola Garcia Sigueñas"/>
    <m/>
    <n v="80233741"/>
    <n v="965141515"/>
    <m/>
    <s v="HUARAL"/>
    <s v="Shalom"/>
    <m/>
    <d v="2022-06-10T00:00:00"/>
    <s v="1 Impresora termica 58mm "/>
    <s v="BCP"/>
    <n v="200"/>
    <s v="Multired y bodega"/>
    <s v="U"/>
    <s v="Rodrigo"/>
  </r>
  <r>
    <n v="31"/>
    <x v="0"/>
    <s v="Yasmileth"/>
    <m/>
    <n v="20544257677"/>
    <n v="994235597"/>
    <s v="FT E001-13"/>
    <m/>
    <m/>
    <s v="Centro de Lima galeria Computer"/>
    <d v="2022-06-11T00:00:00"/>
    <s v="9 Impresora termica 80mm "/>
    <s v="Efectivo"/>
    <n v="2700"/>
    <s v="Venta de equipos tecnologicos"/>
    <s v="M"/>
    <s v="Sergio"/>
  </r>
  <r>
    <n v="33"/>
    <x v="4"/>
    <s v="Carlos Trujillo Lonry Hunt "/>
    <m/>
    <n v="10402143407"/>
    <n v="902027120"/>
    <m/>
    <s v="Huanuco"/>
    <s v="Shalom"/>
    <m/>
    <d v="2022-06-14T00:00:00"/>
    <s v="1 Impresora termica 58mm y 10 rollos termicos de 58mm"/>
    <s v="BCP-sergio"/>
    <n v="213"/>
    <s v="Venta y mantnimiento de bicicletas"/>
    <s v="U"/>
    <s v="Sergio"/>
  </r>
  <r>
    <n v="32"/>
    <x v="4"/>
    <s v="Soledad Arrospide Ugarte"/>
    <m/>
    <n v="10088739481"/>
    <n v="993400767"/>
    <m/>
    <s v="Cañete"/>
    <s v="Soyuz"/>
    <m/>
    <d v="2022-06-15T00:00:00"/>
    <s v="1 Impresora termica 58mm y 10 rollos termicos de 58mm"/>
    <s v="BCP"/>
    <n v="200"/>
    <s v="Actividad de restaurante"/>
    <s v="M"/>
    <s v="Rodrigo"/>
  </r>
  <r>
    <n v="32"/>
    <x v="4"/>
    <s v="Juver"/>
    <m/>
    <m/>
    <n v="993400767"/>
    <m/>
    <m/>
    <m/>
    <s v="Ventanilla-Galeria santa Rosa "/>
    <d v="2022-06-15T00:00:00"/>
    <s v="2 Impresora termica 58mm y 20 rollos termicos de 58mm"/>
    <s v="BCP"/>
    <n v="390"/>
    <s v="Clases militares "/>
    <s v="M"/>
    <s v="Rodrigo"/>
  </r>
  <r>
    <n v="32"/>
    <x v="2"/>
    <s v="Nadia Tello Nuñez"/>
    <m/>
    <n v="72919964"/>
    <n v="981506117"/>
    <m/>
    <m/>
    <m/>
    <s v="Ovalo Infanta Lima"/>
    <d v="2022-06-16T00:00:00"/>
    <s v="1 Impresora termica 58mm y 10 rollos termicos de 58mm"/>
    <s v="Efectivo"/>
    <n v="190"/>
    <m/>
    <s v="M"/>
    <s v="Rodrigo"/>
  </r>
  <r>
    <n v="6"/>
    <x v="1"/>
    <s v="Abramonte Contreras Paola Stephany"/>
    <m/>
    <n v="72477960"/>
    <n v="931310189"/>
    <s v="BV EB01-25"/>
    <s v="Tarapoto"/>
    <s v="Shalom"/>
    <m/>
    <d v="2022-06-26T00:00:00"/>
    <s v="1 Impresora termica 58mm y 10 rollos termicos"/>
    <s v="BBVA"/>
    <n v="200"/>
    <s v="RECIBO POR HONORARIOS"/>
    <s v="U"/>
    <s v="Rodrigo"/>
  </r>
  <r>
    <n v="33"/>
    <x v="4"/>
    <s v="Franz Gutierrez"/>
    <m/>
    <m/>
    <n v="985778570"/>
    <m/>
    <m/>
    <m/>
    <s v="San miguel con la marina"/>
    <d v="2022-06-24T00:00:00"/>
    <s v="1 Impresora termica 58mm y 10 rollos termicos"/>
    <s v="BCP"/>
    <n v="225"/>
    <s v="Consultorio medico"/>
    <s v="U"/>
    <s v="Rodrigo"/>
  </r>
  <r>
    <n v="12"/>
    <x v="0"/>
    <s v="Juarez Chaiña David Ramon"/>
    <m/>
    <n v="10432482419"/>
    <n v="945128886"/>
    <s v="FT E001-21"/>
    <s v="Tacna"/>
    <s v="Shalom"/>
    <m/>
    <d v="2022-06-23T00:00:00"/>
    <s v="40 rollos termicos de 80mm"/>
    <s v="Interbank"/>
    <n v="120"/>
    <s v="Venta al por mayor productos no especializados"/>
    <s v="U"/>
    <s v="Rodrigo"/>
  </r>
  <r>
    <n v="34"/>
    <x v="3"/>
    <s v="Jesus Antoni Zea Huaman"/>
    <m/>
    <m/>
    <n v="983866482"/>
    <s v="RH E001-2"/>
    <s v="Andahuaysla-Apurimac"/>
    <s v="Chancas"/>
    <m/>
    <d v="2022-06-27T00:00:00"/>
    <s v="1 Impresora termica 58mm "/>
    <s v="BCP"/>
    <n v="180"/>
    <m/>
    <s v="U"/>
    <s v="Sergio"/>
  </r>
  <r>
    <n v="12"/>
    <x v="0"/>
    <s v="Juarez Chaiña David Ramon"/>
    <m/>
    <n v="10432482419"/>
    <n v="945128886"/>
    <s v="FT E001-33"/>
    <s v="Tacna"/>
    <s v="Shalom"/>
    <m/>
    <d v="2022-07-01T00:00:00"/>
    <s v="5 Impresoras termicas de 80mm y 65 rollos termicos de 80mm"/>
    <s v="Interbank"/>
    <n v="1680"/>
    <s v="Venta al por mayor productos no especializados"/>
    <s v="M"/>
    <s v="Rodrigo"/>
  </r>
  <r>
    <n v="35"/>
    <x v="0"/>
    <s v="Reategui Vargas Alexis"/>
    <m/>
    <n v="20393955415"/>
    <n v="939361591"/>
    <s v="FT E001-34"/>
    <s v="Pucallpa"/>
    <s v="Shalom"/>
    <m/>
    <d v="2022-07-01T00:00:00"/>
    <s v="2 Impresoras termicas de 80mm y 20 rollos termicos de 80mm"/>
    <s v="Interbank"/>
    <n v="700"/>
    <s v="Contador"/>
    <s v="M"/>
    <s v="Rodrigo"/>
  </r>
  <r>
    <n v="36"/>
    <x v="4"/>
    <s v="Alex del Aguila Angulo"/>
    <m/>
    <n v="10416378016"/>
    <n v="948460434"/>
    <m/>
    <s v="Tarapoto"/>
    <s v="Olva Courier"/>
    <s v="Alfonso Ugarte"/>
    <d v="2022-07-01T00:00:00"/>
    <s v="1 Impresoras termicas de 80mm y 10 rollos termicos de 80mm"/>
    <s v="Interbank"/>
    <n v="374"/>
    <s v="Contador"/>
    <s v="U"/>
    <s v="Rodrigo"/>
  </r>
  <r>
    <n v="37"/>
    <x v="4"/>
    <s v="Diana Juarez Olaya"/>
    <m/>
    <n v="48676079"/>
    <n v="918875770"/>
    <m/>
    <s v="Sullana"/>
    <s v="Shalom"/>
    <m/>
    <d v="2022-07-01T00:00:00"/>
    <s v="1 Impresoras termicas de 80mm y 10 rollos termicos de 80mm"/>
    <s v="BCP"/>
    <n v="370"/>
    <s v="Venta al por menor de productos textiles"/>
    <s v="U"/>
    <s v="Rodrigo"/>
  </r>
  <r>
    <n v="38"/>
    <x v="2"/>
    <s v="Ricardo"/>
    <m/>
    <m/>
    <n v="934129838"/>
    <m/>
    <m/>
    <m/>
    <s v="Ate Purucho cerro"/>
    <d v="2022-07-02T00:00:00"/>
    <s v="1 Impresoras termicas de 58mm y 30 rollos termicos de 58mm"/>
    <s v="Efectivo"/>
    <n v="255"/>
    <s v="Venta de golosina por mayor"/>
    <s v="U"/>
    <s v="Rodrigo"/>
  </r>
  <r>
    <n v="39"/>
    <x v="4"/>
    <s v="Emerson Morales Espinoza"/>
    <m/>
    <n v="46555582"/>
    <n v="938476026"/>
    <m/>
    <s v="Huanuco"/>
    <s v="Marvisur"/>
    <m/>
    <d v="2022-07-06T00:00:00"/>
    <s v="1 Impresoras termicas de 58mm y 10 rollos termicos de 58mm"/>
    <s v="BBVA"/>
    <n v="180"/>
    <m/>
    <s v="U"/>
    <s v="Rodrigo"/>
  </r>
  <r>
    <n v="40"/>
    <x v="2"/>
    <s v="Lesli Amaro Santiago"/>
    <m/>
    <m/>
    <n v="945381442"/>
    <m/>
    <m/>
    <m/>
    <s v="Jirón puno 3174 SMP Altura la cuadra 31 de la avenida Perú"/>
    <d v="2022-07-07T00:00:00"/>
    <s v="1 Impresoras termicas de 80mm y 10 rollos termicos de 80mm"/>
    <s v="Efectivo"/>
    <n v="350"/>
    <s v="Pagos efectivos"/>
    <s v="U"/>
    <s v="Rodrigo"/>
  </r>
  <r>
    <n v="41"/>
    <x v="3"/>
    <s v="Melissa Luna Victoria "/>
    <m/>
    <m/>
    <n v="964289101"/>
    <s v="RH E001-56"/>
    <m/>
    <m/>
    <s v="Jiron restauracion 582 dpto 104 breña"/>
    <d v="2022-07-07T00:00:00"/>
    <s v="1 Impresoras termicas de 58mm y 6 rollos de etiquetas"/>
    <s v="BCP"/>
    <n v="525"/>
    <m/>
    <s v="U"/>
    <s v="Rodrigo"/>
  </r>
  <r>
    <n v="42"/>
    <x v="4"/>
    <s v="Segundo Vasquez Diaz"/>
    <m/>
    <m/>
    <n v="968176659"/>
    <m/>
    <m/>
    <m/>
    <s v="Gamarra"/>
    <d v="2022-07-07T00:00:00"/>
    <s v="1 Impresoras termicas de 58mm y 10 rollos termicos de 58mm"/>
    <s v="BCP-sergio"/>
    <n v="200"/>
    <s v="Confecciones de ropa"/>
    <s v="U"/>
    <s v="Sergio"/>
  </r>
  <r>
    <n v="43"/>
    <x v="4"/>
    <s v="Jesús Toledo Parco"/>
    <m/>
    <n v="72612204"/>
    <n v="987742281"/>
    <m/>
    <s v="Villa Rica-Pasco"/>
    <s v="Molina unión-28 de julio con jirón abtao"/>
    <m/>
    <d v="2022-07-08T00:00:00"/>
    <s v="1 Impresoras termicas de 80mm y 10 rollos termicos de 80mm"/>
    <s v="BCP"/>
    <n v="350"/>
    <m/>
    <s v="U"/>
    <s v="Rodrigo"/>
  </r>
  <r>
    <n v="44"/>
    <x v="1"/>
    <s v="Mayra Stephany Giron Villodas"/>
    <m/>
    <n v="46958628"/>
    <n v="989710829"/>
    <s v="BV EB01-30"/>
    <m/>
    <m/>
    <s v="Mercado Villa las Palmas-Lurin"/>
    <d v="2022-07-08T00:00:00"/>
    <s v="1 Impresoras termicas de 80mm y 10 rollos termicos de 80mm"/>
    <s v="BCP"/>
    <n v="350"/>
    <s v="Abarrotes y comida de perro"/>
    <s v="U"/>
    <s v="Rodrigo"/>
  </r>
  <r>
    <n v="45"/>
    <x v="4"/>
    <s v="Ada Alvarez"/>
    <m/>
    <m/>
    <n v="989577698"/>
    <m/>
    <m/>
    <m/>
    <s v="Villa El Salvador "/>
    <d v="2022-07-08T00:00:00"/>
    <s v="1 Impresoras termicas de 80mm y 10 rollos termicos de 80mm y 20 de aplicativo"/>
    <s v="Interbank"/>
    <n v="370"/>
    <s v="Lubricantes"/>
    <s v="U"/>
    <s v="Rodrigo"/>
  </r>
  <r>
    <n v="46"/>
    <x v="4"/>
    <s v="Eusebio Pari Yufra"/>
    <m/>
    <n v="491048"/>
    <n v="983040172"/>
    <m/>
    <s v="Tacna"/>
    <s v="Shalom"/>
    <m/>
    <d v="2022-07-08T00:00:00"/>
    <s v="1 Impresoras termicas de 58mm y 10 rollos termicos de 58mm"/>
    <s v="BCP"/>
    <n v="200"/>
    <m/>
    <s v="U"/>
    <s v="Rodrigo"/>
  </r>
  <r>
    <n v="47"/>
    <x v="3"/>
    <s v="Vivianda"/>
    <m/>
    <m/>
    <n v="984903295"/>
    <s v="RH E001-57"/>
    <m/>
    <m/>
    <s v="Calle Tuman 169 Surco altura de la 16 de primavera"/>
    <d v="2022-07-09T00:00:00"/>
    <s v="1 Impresoras termicas de 58mm, 10 rollos termicos de 58mm y 2 lectores de codigo 1D Y 2D"/>
    <s v="BCP"/>
    <n v="490"/>
    <m/>
    <s v="M"/>
    <s v="Rodrigo"/>
  </r>
  <r>
    <n v="48"/>
    <x v="3"/>
    <s v="Maria Gloria Cardenas Gutierrez"/>
    <m/>
    <n v="10427783389"/>
    <n v="956457070"/>
    <s v="RH E001-58"/>
    <s v="Ica"/>
    <s v="Flores-Olivos"/>
    <m/>
    <d v="2022-07-12T00:00:00"/>
    <s v="2 Impresoras termicas de 80mm y 20 rollos termicos de 80mm"/>
    <s v="BCP"/>
    <n v="660"/>
    <s v="Contadora"/>
    <s v="M"/>
    <s v="Rodrigo"/>
  </r>
  <r>
    <n v="49"/>
    <x v="2"/>
    <s v="Lizet Briceño"/>
    <m/>
    <m/>
    <n v="955287029"/>
    <m/>
    <m/>
    <m/>
    <s v="Puente Piedra-Zapallal"/>
    <d v="2022-07-13T00:00:00"/>
    <s v="1 Impresoras termicas de 58mm y 10 rollos termicos de 58mm"/>
    <s v="Efectivo"/>
    <n v="200"/>
    <m/>
    <s v="U"/>
    <s v="Rodrigo"/>
  </r>
  <r>
    <n v="50"/>
    <x v="4"/>
    <s v="Wilmer Almonte Silva"/>
    <m/>
    <n v="41889643"/>
    <n v="997045980"/>
    <m/>
    <s v="Iquitos"/>
    <s v="Tarapoto Courier"/>
    <m/>
    <d v="2022-07-13T00:00:00"/>
    <s v="1 Impresoras termicas de 58mm y 10 rollos termicos de 58mm"/>
    <s v="BCP"/>
    <n v="200"/>
    <m/>
    <s v="U"/>
    <s v="Rodrigo"/>
  </r>
  <r>
    <n v="51"/>
    <x v="4"/>
    <s v="Sr. Guillermo"/>
    <m/>
    <m/>
    <n v="934157494"/>
    <m/>
    <m/>
    <m/>
    <s v="Av. Sebastian Lorente 503 Victoria"/>
    <d v="2022-07-14T00:00:00"/>
    <s v="1 Impresoras termicas de 80mm y 10 rollos termicos de 80mm"/>
    <s v="BCP"/>
    <n v="360"/>
    <m/>
    <s v="M"/>
    <s v="Rodrigo"/>
  </r>
  <r>
    <n v="52"/>
    <x v="4"/>
    <s v="Jean Carlos Ramirez"/>
    <m/>
    <m/>
    <n v="933872031"/>
    <m/>
    <m/>
    <m/>
    <s v="Santa Anita Mall Aventura"/>
    <d v="2022-07-13T00:00:00"/>
    <s v="1 Impresoras termicas de 58mm, 10 rollos termicos de 58mm y aplicativo"/>
    <s v="BCP-Efectivo"/>
    <n v="220"/>
    <m/>
    <s v="U"/>
    <s v="Sergio"/>
  </r>
  <r>
    <n v="53"/>
    <x v="3"/>
    <s v="Jessica Yannet Vasquez Cordova"/>
    <m/>
    <m/>
    <n v="941619302"/>
    <s v="RH E001-3"/>
    <m/>
    <m/>
    <s v="Carabayllo Establo"/>
    <d v="2022-07-13T00:00:00"/>
    <s v="1 Impresoras termicas de 58mm y aplicativo"/>
    <s v="BCP"/>
    <n v="200"/>
    <m/>
    <s v="U"/>
    <s v="Sergio"/>
  </r>
  <r>
    <n v="54"/>
    <x v="0"/>
    <s v="William Enrique Vera Valdivia"/>
    <m/>
    <n v="7451611"/>
    <n v="999084831"/>
    <s v="FT E001-39"/>
    <s v="Arequipa-Camana"/>
    <s v="Olva Courier"/>
    <s v="Comas-Santaluzmila-Universitaria"/>
    <d v="2022-07-14T00:00:00"/>
    <s v="1 Impresoras termicas de 58mm y 10 rollos termicos de 58mm"/>
    <s v="Interbank"/>
    <n v="241.92000000000002"/>
    <s v="Ventas al por mayor de alimentos, bebidas y tabaco"/>
    <s v="U"/>
    <s v="Rodrigo"/>
  </r>
  <r>
    <n v="55"/>
    <x v="3"/>
    <s v="Francis Cardozo"/>
    <m/>
    <m/>
    <n v="986776543"/>
    <s v="RH E001-59"/>
    <m/>
    <m/>
    <s v="Jr. Andahuaylas 669"/>
    <d v="2022-07-14T00:00:00"/>
    <s v="1 Impresoras termicas de escritorio 80mm y 10 rollos termicos de 80mm"/>
    <s v="BCP"/>
    <n v="520"/>
    <m/>
    <s v="M"/>
    <s v="Rodrigo"/>
  </r>
  <r>
    <n v="56"/>
    <x v="4"/>
    <s v="Guerrero Bellido Jeandira"/>
    <m/>
    <n v="47091616"/>
    <n v="956233042"/>
    <m/>
    <s v="Ica"/>
    <s v="Soyuz"/>
    <s v="Victoria-Mexico"/>
    <d v="2022-07-14T00:00:00"/>
    <s v="1 Impresoras termicas de 80mm y 10 rollos termicos de 80mm"/>
    <s v="BCP"/>
    <n v="350"/>
    <m/>
    <s v="U"/>
    <s v="Rodrigo"/>
  </r>
  <r>
    <n v="57"/>
    <x v="2"/>
    <s v="Fernando Tello Gutierrez"/>
    <m/>
    <m/>
    <n v="971730855"/>
    <m/>
    <m/>
    <m/>
    <s v="Jr. Jangas 667 Breña"/>
    <d v="2022-07-15T00:00:00"/>
    <s v="1 Impresoras termicas de 80mm y 10 rollos termicos de 80mm"/>
    <s v="Efectivo"/>
    <n v="350"/>
    <s v="Restaurant"/>
    <s v="U"/>
    <s v="Rodrigo"/>
  </r>
  <r>
    <n v="58"/>
    <x v="0"/>
    <s v="Ezio Ramiro Jean Paja Rodriguez"/>
    <m/>
    <n v="20605455973"/>
    <n v="958767360"/>
    <s v="FT E001-40"/>
    <s v="Arequipa"/>
    <s v="Shalom"/>
    <m/>
    <d v="2022-07-16T00:00:00"/>
    <s v="5 Impresoras termicas de 58mm, 50 rollos termicos de 58mm y 1 impresora termica de etiquetas de 58mm"/>
    <s v="BCP"/>
    <n v="1215"/>
    <s v="Mayorista de equipos"/>
    <s v="M"/>
    <s v="Rodrigo"/>
  </r>
  <r>
    <n v="58"/>
    <x v="4"/>
    <s v="Cesar Sanchez Yalico"/>
    <m/>
    <n v="80632864"/>
    <n v="959320411"/>
    <m/>
    <s v="La merced-Chanchamayo"/>
    <s v="Nuestra señora de las Mercedes"/>
    <s v="Av 28 de julio #1581 la victoria"/>
    <d v="2022-07-16T00:00:00"/>
    <s v="1 Impresoras termicas de 80mm y 10 rollos termicos de 80mm"/>
    <s v="BCP"/>
    <n v="350"/>
    <s v="Restaurant"/>
    <s v="U"/>
    <s v="Rodrigo"/>
  </r>
  <r>
    <n v="59"/>
    <x v="2"/>
    <s v="Jose Avila"/>
    <m/>
    <m/>
    <n v="928813538"/>
    <m/>
    <m/>
    <m/>
    <s v="Av. Tacna Jr. Conde"/>
    <d v="2022-07-17T00:00:00"/>
    <s v="1 Impresoras termicas de 58mm y 5 rollos termicos de 58mm"/>
    <s v="Efectivo"/>
    <n v="190"/>
    <s v="Fuente de Soda"/>
    <s v="U"/>
    <s v="Sergio"/>
  </r>
  <r>
    <n v="60"/>
    <x v="4"/>
    <s v="Huancachoque Chijcheapaza Edgar Juan"/>
    <m/>
    <n v="42575441"/>
    <n v="941003193"/>
    <m/>
    <s v="Arequipa"/>
    <s v="Shalom"/>
    <m/>
    <d v="2022-07-19T00:00:00"/>
    <s v="1 Impresoras termicas de etiquetas de 58mm"/>
    <s v="BCP"/>
    <n v="350"/>
    <s v="Venta"/>
    <s v="U"/>
    <s v="Rodrigo"/>
  </r>
  <r>
    <n v="61"/>
    <x v="4"/>
    <s v="Gabriela Joselinn Chavez Soca"/>
    <m/>
    <n v="70049898"/>
    <n v="998075658"/>
    <m/>
    <s v="Ayacucho"/>
    <s v="Olva Courier"/>
    <m/>
    <d v="2022-07-19T00:00:00"/>
    <s v="1 Impresoras termicas de 58mm y 10 rollos termicos de 58mm"/>
    <s v="Interbank"/>
    <n v="200"/>
    <m/>
    <s v="U"/>
    <s v="Rodrigo"/>
  </r>
  <r>
    <n v="62"/>
    <x v="4"/>
    <s v="David Tafur"/>
    <m/>
    <m/>
    <n v="983464608"/>
    <m/>
    <m/>
    <m/>
    <s v="Chorrillos"/>
    <d v="2022-07-21T00:00:00"/>
    <s v="1 Impresoras termicas de etiquetas de 58mm y 2 rollos de etiquetas de 50*40mm"/>
    <s v="BCP"/>
    <n v="430"/>
    <m/>
    <s v="U"/>
    <s v="Rodrigo"/>
  </r>
  <r>
    <n v="63"/>
    <x v="4"/>
    <s v="Yovana Paja Yucra"/>
    <m/>
    <n v="43624918"/>
    <n v="984237366"/>
    <m/>
    <s v="Urubamba"/>
    <s v="Marvisur"/>
    <m/>
    <d v="2022-07-21T00:00:00"/>
    <s v="1 Impresora termica de 80mm, 10 rollos termicos de 80mm y aplicativo"/>
    <s v="BCP"/>
    <n v="370"/>
    <s v="Ferreteria y pinturas"/>
    <s v="U"/>
    <s v="Rodrigo"/>
  </r>
  <r>
    <n v="64"/>
    <x v="4"/>
    <s v="Pisco Texeira Andy Gerson"/>
    <m/>
    <n v="43201206"/>
    <n v="926022643"/>
    <m/>
    <s v="Pucallpa"/>
    <s v="Shalom"/>
    <m/>
    <d v="2022-07-21T00:00:00"/>
    <s v="1 Impresora termica de 58mm, 10 rollos termicos de 58mm y aplicativo"/>
    <s v="BBVA"/>
    <n v="220"/>
    <s v="Venta al por menor de comercios"/>
    <s v="U"/>
    <s v="Rodrigo"/>
  </r>
  <r>
    <n v="65"/>
    <x v="4"/>
    <s v="Alfonso Efrain Chambi Cuadiay"/>
    <m/>
    <n v="41533194"/>
    <n v="951778860"/>
    <m/>
    <s v="Madre de Dios-Tambopata-Puerto Maldonado"/>
    <s v="Olva Courier"/>
    <m/>
    <d v="2022-07-22T00:00:00"/>
    <s v="1 Impresora termica de 58mm y 105 rollos termicos de 58mm"/>
    <s v="BCP"/>
    <n v="436"/>
    <m/>
    <s v="U"/>
    <s v="Rodrigo"/>
  </r>
  <r>
    <n v="66"/>
    <x v="2"/>
    <s v="Jhon Chavez"/>
    <m/>
    <m/>
    <n v="915355401"/>
    <m/>
    <m/>
    <m/>
    <s v="Rimac Av. Amancaes 499"/>
    <d v="2022-07-23T00:00:00"/>
    <s v="1 Impresora termica de 58mm y 5 rollos termicos de 58mm"/>
    <s v="Efectivo"/>
    <n v="195"/>
    <s v="Polleria"/>
    <s v="U"/>
    <s v="Rodrigo"/>
  </r>
  <r>
    <n v="67"/>
    <x v="0"/>
    <s v="Alejandro Santos Rodriguez"/>
    <m/>
    <n v="48873500"/>
    <n v="947360167"/>
    <s v="FT E001-43"/>
    <s v="San Martin-Rioja"/>
    <s v="Shalom"/>
    <m/>
    <d v="2022-07-25T00:00:00"/>
    <s v="1 Impresora termica de 80mm y 20 rollos termicos de 80mm"/>
    <s v="BCP"/>
    <n v="380"/>
    <s v="Izipay"/>
    <s v="U"/>
    <s v="Rodrigo"/>
  </r>
  <r>
    <n v="68"/>
    <x v="2"/>
    <s v="Reinaldo "/>
    <m/>
    <m/>
    <n v="972519705"/>
    <m/>
    <m/>
    <m/>
    <s v="San Martin de Porres"/>
    <d v="2022-07-25T00:00:00"/>
    <s v="1 Impresora termica de 58mm y 5 rollos termicos de 58mm"/>
    <s v="Efectivo"/>
    <n v="190"/>
    <s v="Carro"/>
    <s v="U"/>
    <s v="Sergio"/>
  </r>
  <r>
    <n v="69"/>
    <x v="4"/>
    <s v="Teodocia Yerba Zela"/>
    <m/>
    <m/>
    <n v="995690535"/>
    <m/>
    <m/>
    <m/>
    <s v="Gamarra-Guizado"/>
    <d v="2022-07-26T00:00:00"/>
    <s v="1 Impresora termica de 58mm y 10 rollos termicos de 58mm"/>
    <s v="Efectivo"/>
    <n v="210"/>
    <s v="Ropa"/>
    <s v="U"/>
    <s v="Rodrigo"/>
  </r>
  <r>
    <n v="70"/>
    <x v="4"/>
    <s v="Percy Willian Vilchez Chiroque"/>
    <m/>
    <n v="80242300"/>
    <n v="941995019"/>
    <m/>
    <m/>
    <m/>
    <s v="Agencia Naranjal"/>
    <d v="2022-07-26T00:00:00"/>
    <s v="1 Impresora termica de 80mm y 10 rollos termicos de 80mm"/>
    <s v="BCP"/>
    <n v="350"/>
    <s v="Lubricantes"/>
    <s v="U"/>
    <s v="Rodrigo"/>
  </r>
  <r>
    <n v="71"/>
    <x v="3"/>
    <s v="Graterol Bocaney Jose Manuel"/>
    <m/>
    <n v="3707056"/>
    <n v="928998527"/>
    <s v="RH E001-4"/>
    <s v="Chiclayo"/>
    <s v="Shalom"/>
    <m/>
    <d v="2022-07-27T00:00:00"/>
    <s v="1 Impresora termica de 58mm y 10 rollos termicos de 58mm"/>
    <s v="BCP"/>
    <n v="199"/>
    <s v="Venezolano"/>
    <s v="U"/>
    <s v="Sergio"/>
  </r>
  <r>
    <n v="72"/>
    <x v="3"/>
    <s v="Rita Gabirela Diaz Felipa"/>
    <m/>
    <n v="43584321"/>
    <n v="998596486"/>
    <s v="RH E001-5"/>
    <s v="Ica"/>
    <s v="Shalom"/>
    <m/>
    <d v="2022-07-27T00:00:00"/>
    <s v="1 Impresora termica de etiquetas, 1 rollo de etiquetas de 30*40mm y 10 rollos termicos de 58mm"/>
    <s v="BCP"/>
    <n v="400"/>
    <m/>
    <s v="U"/>
    <s v="Sergio"/>
  </r>
  <r>
    <n v="73"/>
    <x v="3"/>
    <s v="Estefany Vanessa Sotomayor Aliaga"/>
    <m/>
    <n v="73486769"/>
    <n v="931133658"/>
    <s v="RH E001-6"/>
    <s v="Junin-Chupacca"/>
    <s v="Shalom"/>
    <m/>
    <d v="2022-07-27T00:00:00"/>
    <s v="1 Impresora termica de 80mm y 10 rollos termicos de 80mm"/>
    <s v="BCP"/>
    <n v="350"/>
    <m/>
    <s v="U"/>
    <s v="Sergio"/>
  </r>
  <r>
    <n v="74"/>
    <x v="0"/>
    <s v="Magdalena"/>
    <m/>
    <m/>
    <n v="981176282"/>
    <s v="FT E001-44"/>
    <m/>
    <m/>
    <s v="Av. Brasil con la marina"/>
    <d v="2022-07-28T00:00:00"/>
    <s v="1 Impresora termica de 58mm y 10 rollos termicos de 58mm"/>
    <s v="Interbank-RODRIGO"/>
    <n v="210"/>
    <s v="Pasteleria"/>
    <s v="U"/>
    <s v="Sergio"/>
  </r>
  <r>
    <n v="75"/>
    <x v="3"/>
    <s v="Joel Huaman Condori"/>
    <m/>
    <n v="23266856"/>
    <m/>
    <s v="RH E001-7"/>
    <s v="Huancavelica"/>
    <s v="Marvisur"/>
    <m/>
    <d v="2022-07-28T00:00:00"/>
    <s v="1 Impresora termica de 58mm y 10 rollos termicos de 58mm"/>
    <s v="BCP"/>
    <n v="200"/>
    <m/>
    <s v="U"/>
    <s v="Sergio"/>
  </r>
  <r>
    <n v="71"/>
    <x v="3"/>
    <s v="Graterol Bocaney Jose Manuel"/>
    <m/>
    <n v="3707056"/>
    <n v="928998527"/>
    <m/>
    <s v="Chiclayo"/>
    <s v="Shalom"/>
    <m/>
    <d v="2022-08-01T00:00:00"/>
    <s v="6 Impresora termica de 58mm y 60 rollos termicos de 58mm"/>
    <s v="BCP"/>
    <n v="1080"/>
    <s v="Venezolano"/>
    <s v="M"/>
    <s v="Sergio"/>
  </r>
  <r>
    <n v="76"/>
    <x v="0"/>
    <s v="Altez Rodriguez Jose Felix"/>
    <m/>
    <n v="10104281431"/>
    <n v="997157123"/>
    <s v="FT E001-45"/>
    <m/>
    <m/>
    <s v="Oficina"/>
    <d v="2022-08-01T00:00:00"/>
    <s v="1 Impresora termica de 58mm, 10 rollos termicos de 58mm y aplicativo"/>
    <s v="Efectivo"/>
    <n v="220"/>
    <m/>
    <s v="U"/>
    <s v="Sergio"/>
  </r>
  <r>
    <n v="77"/>
    <x v="3"/>
    <s v="Luis Aurelio Moral Hervas"/>
    <m/>
    <m/>
    <n v="993070565"/>
    <s v="RH E001-8"/>
    <m/>
    <m/>
    <s v="Oficina"/>
    <d v="2022-08-01T00:00:00"/>
    <s v="1 Impresora termica de 80mm"/>
    <s v="BCP"/>
    <n v="320"/>
    <m/>
    <s v="U"/>
    <s v="Sergio"/>
  </r>
  <r>
    <n v="78"/>
    <x v="3"/>
    <s v="Leon "/>
    <m/>
    <n v="18187208"/>
    <n v="943306671"/>
    <s v="RH E001-9"/>
    <s v="Chao"/>
    <s v="Shalom"/>
    <m/>
    <d v="2022-08-01T00:00:00"/>
    <s v="1 Impresora termica de 58mm y 10 rollos termicos de 58mm"/>
    <s v="BCP"/>
    <n v="200"/>
    <m/>
    <s v="U"/>
    <s v="Sergio"/>
  </r>
  <r>
    <n v="79"/>
    <x v="3"/>
    <s v="Emite Peru"/>
    <m/>
    <m/>
    <m/>
    <s v="RH E001-10"/>
    <m/>
    <m/>
    <s v="Ventanilla"/>
    <d v="2022-08-02T00:00:00"/>
    <s v="5 Impresora termica de 58mm"/>
    <s v="BCP"/>
    <n v="800"/>
    <s v="Emite Peru Facturacion"/>
    <s v="U"/>
    <s v="Sergio"/>
  </r>
  <r>
    <n v="80"/>
    <x v="4"/>
    <s v="Elmer Pinto Choquemamani"/>
    <m/>
    <n v="42419980"/>
    <n v="975450957"/>
    <m/>
    <s v="Arequipa-Pedregal"/>
    <s v="Marvisur"/>
    <m/>
    <d v="2022-08-02T00:00:00"/>
    <s v="1 Impresora termica de 80mm y 10 rollos termicos de 80mm"/>
    <s v="BCP"/>
    <n v="350"/>
    <m/>
    <s v="U"/>
    <s v="Sergio"/>
  </r>
  <r>
    <n v="81"/>
    <x v="4"/>
    <s v="Hugo Paredes Campojo"/>
    <m/>
    <n v="16682331"/>
    <n v="979996998"/>
    <m/>
    <s v="Ucayali"/>
    <s v="Transmar"/>
    <m/>
    <d v="2022-08-02T00:00:00"/>
    <s v="1 Impresora termica de 58mm, 10 rollos termicos de 58mm Y lector alambrico"/>
    <s v="BCP"/>
    <n v="350"/>
    <m/>
    <s v="U"/>
    <s v="Sergio"/>
  </r>
  <r>
    <n v="82"/>
    <x v="2"/>
    <s v="Eduardo Ramos de Rosas"/>
    <m/>
    <m/>
    <n v="917805990"/>
    <m/>
    <m/>
    <m/>
    <s v="Comas, cevicheria tupac"/>
    <d v="2022-08-02T00:00:00"/>
    <s v="1 Impresora termica de 80mm y 5 rollos termicos de 80mm"/>
    <s v="Efectivo"/>
    <n v="335"/>
    <m/>
    <s v="U"/>
    <s v="Sergio"/>
  </r>
  <r>
    <n v="83"/>
    <x v="4"/>
    <s v="Shirley Rosales "/>
    <m/>
    <n v="42396096"/>
    <n v="928641938"/>
    <m/>
    <s v="Chimbote"/>
    <s v="Chimbote express"/>
    <m/>
    <d v="2022-08-03T00:00:00"/>
    <s v="4 lectores con parante usb"/>
    <s v="BCP-RODRIGO"/>
    <n v="640"/>
    <m/>
    <s v="U"/>
    <s v="Sergio"/>
  </r>
  <r>
    <n v="84"/>
    <x v="1"/>
    <s v="Lazo Zeballos Javier Ramiro"/>
    <m/>
    <n v="29615360"/>
    <n v="930167843"/>
    <s v="BV EB01-34"/>
    <m/>
    <m/>
    <s v="Carabayllo"/>
    <d v="2022-08-03T00:00:00"/>
    <s v="1 Impresora termica de 58mm y 5 rollos termicos de 58mm"/>
    <s v="Efectivo"/>
    <n v="190"/>
    <s v="Articulo de celular"/>
    <s v="U"/>
    <s v="Sergio"/>
  </r>
  <r>
    <n v="60"/>
    <x v="4"/>
    <s v="Huancachoque Chijcheapaza Edgar Juan"/>
    <m/>
    <n v="42575441"/>
    <n v="941003193"/>
    <m/>
    <s v="Arequipa"/>
    <s v="Shalom"/>
    <m/>
    <d v="2022-08-03T00:00:00"/>
    <s v="5 rollos de etiquetas de30*40mm y 1 rollo de etiquetas de 30*20mm"/>
    <s v="BCP"/>
    <n v="175"/>
    <s v="Venta"/>
    <s v="U"/>
    <s v="Rodrigo"/>
  </r>
  <r>
    <n v="85"/>
    <x v="4"/>
    <s v="Jose Luis Flores Robles"/>
    <m/>
    <n v="40403413"/>
    <n v="951251638"/>
    <m/>
    <s v="Barranco"/>
    <s v="Shalom"/>
    <m/>
    <d v="2022-08-04T00:00:00"/>
    <s v="1 Impresora termica de 58mm y 10 rollos termicos de 58mm"/>
    <s v="BCP"/>
    <n v="199"/>
    <m/>
    <s v="U"/>
    <s v="Sergio"/>
  </r>
  <r>
    <n v="86"/>
    <x v="2"/>
    <s v="Señora y señor"/>
    <m/>
    <m/>
    <n v="966219228"/>
    <m/>
    <m/>
    <m/>
    <s v="Oficina"/>
    <d v="2022-08-04T00:00:00"/>
    <s v="1 Impresora termica de 80mm y 10 rollos termicos de 80mm"/>
    <s v="Efectivo"/>
    <n v="330"/>
    <s v="Colegio"/>
    <s v="U"/>
    <s v="Rodrigo"/>
  </r>
  <r>
    <n v="87"/>
    <x v="0"/>
    <s v="INGA IMPORT EIRL"/>
    <m/>
    <m/>
    <n v="943073730"/>
    <s v="FT E001-48"/>
    <s v="Huancayo"/>
    <s v="Generacion 12"/>
    <m/>
    <d v="2022-08-04T00:00:00"/>
    <s v="1 Impresora termica de escritorio Dual etiquetas y recibos 80mm, 1 gaveta de dinero de 3 billetero y 4 monederos y 1 lector inalambrico rp"/>
    <s v="BCP-RODRIGO"/>
    <n v="870"/>
    <m/>
    <s v="U"/>
    <s v="Sergio"/>
  </r>
  <r>
    <n v="88"/>
    <x v="0"/>
    <s v="Jessica Arteaga"/>
    <m/>
    <n v="10719011280"/>
    <n v="902062558"/>
    <s v="FT E001-49"/>
    <m/>
    <m/>
    <s v="Trapiche Comas"/>
    <d v="2022-08-06T00:00:00"/>
    <s v="1 Impresora termica de 58mm y 10 rollos termicos de 58mm"/>
    <s v="BCP"/>
    <n v="200"/>
    <s v="Tienda"/>
    <s v="U"/>
    <s v="Rodrigo"/>
  </r>
  <r>
    <n v="89"/>
    <x v="4"/>
    <s v="Rudy Idber Sacramento Casio"/>
    <m/>
    <n v="70750791"/>
    <n v="984876283"/>
    <m/>
    <s v="Chavinillo"/>
    <s v="Expreso Aquiles"/>
    <s v="Victoria"/>
    <d v="2022-08-06T00:00:00"/>
    <s v="1 Impresora termica de 58mm "/>
    <s v="BBVA"/>
    <n v="185"/>
    <m/>
    <s v="U"/>
    <s v="Rodrigo"/>
  </r>
  <r>
    <n v="90"/>
    <x v="4"/>
    <s v="Nancy Salazar Avila"/>
    <m/>
    <n v="4262414"/>
    <n v="970725627"/>
    <m/>
    <s v="Altp-Sigues(Majes,Pedregal)"/>
    <s v="Transportes Flores"/>
    <s v="Av. 28 de julio Victoria"/>
    <d v="2022-08-07T00:00:00"/>
    <s v="1 Impresora termica de 58mm y 10 rollos termicos de 58mm"/>
    <s v="BCP"/>
    <n v="200"/>
    <m/>
    <s v="U"/>
    <s v="Sergio"/>
  </r>
  <r>
    <n v="91"/>
    <x v="2"/>
    <s v="Eloy"/>
    <m/>
    <m/>
    <m/>
    <m/>
    <m/>
    <m/>
    <s v="Ventanilla"/>
    <d v="2022-08-07T00:00:00"/>
    <s v="1 Impresora termica de 80mm, 5 rollos termicos de 80mm y 1 lectora inalambrica "/>
    <s v="Efectivo"/>
    <n v="520"/>
    <s v="Bodega"/>
    <s v="U"/>
    <s v="Sergio"/>
  </r>
  <r>
    <n v="89"/>
    <x v="4"/>
    <s v="Rudy Idber Sacramento Casio"/>
    <m/>
    <n v="70750791"/>
    <n v="984876283"/>
    <m/>
    <s v="Chavinillo"/>
    <s v="Expreso Aquiles"/>
    <s v="Victoria"/>
    <d v="2022-08-08T00:00:00"/>
    <s v="1 Gaveta de Dinero de 5 billeteros y 8 monederos"/>
    <s v="BBVA"/>
    <n v="295"/>
    <m/>
    <s v="U"/>
    <s v="Rodrigo"/>
  </r>
  <r>
    <n v="92"/>
    <x v="2"/>
    <s v="Fenix"/>
    <m/>
    <m/>
    <n v="993409484"/>
    <m/>
    <m/>
    <m/>
    <s v="Oficina"/>
    <d v="2022-08-08T00:00:00"/>
    <s v="1 Impresora termica de 80mm"/>
    <s v="Efectivo"/>
    <n v="310"/>
    <s v="Ventas de equipos en Gamarra"/>
    <s v="M"/>
    <s v="Rodrigo"/>
  </r>
  <r>
    <n v="93"/>
    <x v="4"/>
    <s v="Sandra Melissa Cahua Basurto"/>
    <m/>
    <n v="73207365"/>
    <n v="928672091"/>
    <m/>
    <s v="Cañete-Imperial"/>
    <s v="Turismo Cañete"/>
    <m/>
    <d v="2022-08-08T00:00:00"/>
    <s v="1 Impresora termica de 80mm y 80 contometros de 80*40mm"/>
    <s v="BCP"/>
    <n v="480"/>
    <m/>
    <s v="U"/>
    <s v="Rodrigo"/>
  </r>
  <r>
    <n v="94"/>
    <x v="0"/>
    <s v="Perez Rodriguez Henri William"/>
    <m/>
    <n v="10105494578"/>
    <n v="931125729"/>
    <s v="FT E001-50"/>
    <m/>
    <m/>
    <s v="Chorrillos"/>
    <d v="2022-08-08T00:00:00"/>
    <s v="1 Impresora termica de escritorio blt-usb 80mm y 80 contometros de 80*40mm"/>
    <s v="BCP"/>
    <n v="690"/>
    <s v="Comida"/>
    <s v="U"/>
    <s v="Rodrigo"/>
  </r>
  <r>
    <n v="92"/>
    <x v="3"/>
    <s v="Fenix"/>
    <m/>
    <m/>
    <n v="993409484"/>
    <s v="RH E001-60"/>
    <m/>
    <m/>
    <s v="Gamarra Galeria"/>
    <d v="2022-08-09T00:00:00"/>
    <s v="2 Impresora termica de 80mm"/>
    <s v="Efectivo 500- Interbank 105"/>
    <n v="605"/>
    <s v="Ventas de equipos en Gamarra"/>
    <s v="M"/>
    <s v="Rodrigo"/>
  </r>
  <r>
    <n v="95"/>
    <x v="4"/>
    <s v="Junior Alberto Andia Torres"/>
    <m/>
    <n v="74625531"/>
    <n v="991618006"/>
    <m/>
    <s v="Chanchamayo-Junin La Merced"/>
    <s v="Grupo la Molina"/>
    <m/>
    <d v="2022-08-09T00:00:00"/>
    <s v="1 Impresora termica de 58mm y 20 contometros de 58*40mm"/>
    <m/>
    <n v="225"/>
    <m/>
    <s v="U"/>
    <s v="Rodrigo"/>
  </r>
  <r>
    <n v="96"/>
    <x v="4"/>
    <s v="Ekaterine Zegarra"/>
    <m/>
    <m/>
    <n v="951216509"/>
    <m/>
    <s v="Lonya Grande"/>
    <s v="Kordania s.a.c."/>
    <s v="Izaguirre universitaria"/>
    <d v="2022-08-09T00:00:00"/>
    <s v="1 Impresora termica de 58mm, 10 contometros de 58*40mm, 1 Impresora termica de 80mm y 10 contometros de 80mm"/>
    <s v="Credito de 480"/>
    <n v="480"/>
    <m/>
    <s v="M"/>
    <s v="Rodrigo"/>
  </r>
  <r>
    <n v="97"/>
    <x v="0"/>
    <s v="INGA IMPORT EIRL"/>
    <m/>
    <m/>
    <n v="943073730"/>
    <s v="FT E001-51"/>
    <s v="Huancayo"/>
    <s v="Generacion 12"/>
    <m/>
    <d v="2022-08-09T00:00:00"/>
    <s v="9 rollos de etiquetas de 50*25mm de 1000 unidades, 10 rollos de 80*40mm"/>
    <s v="BCP"/>
    <n v="240"/>
    <m/>
    <s v="U"/>
    <s v="Sergio"/>
  </r>
  <r>
    <n v="98"/>
    <x v="3"/>
    <s v="Carlos Alberto Quispe Carrasco"/>
    <m/>
    <n v="42007074"/>
    <n v="988197479"/>
    <s v="RH E001-61"/>
    <m/>
    <m/>
    <s v="Oficina"/>
    <d v="2022-08-09T00:00:00"/>
    <s v="1 Impresora termica dual de etiquetas 80mm, 1 lectora alambrica RP, 3 rollos de etiqeutas de 30*20mm de 1000 unidades y 1 rollo de etiquetas de 50*25mm de 1000 unidades"/>
    <s v="Interbank"/>
    <n v="700"/>
    <s v="Ropa y vestido"/>
    <s v="U"/>
    <s v="Rodrigo"/>
  </r>
  <r>
    <n v="99"/>
    <x v="4"/>
    <s v="Maryuri Tathyana Cruz"/>
    <m/>
    <n v="73995823"/>
    <n v="970766507"/>
    <m/>
    <s v="Huarmey"/>
    <s v="Shalom"/>
    <m/>
    <d v="2022-08-09T00:00:00"/>
    <s v="1 Impresora termica de 58mm y 10 contometros de 58*40mm"/>
    <s v="BCP-RODRIGO"/>
    <n v="200"/>
    <m/>
    <s v="U"/>
    <s v="Sergio"/>
  </r>
  <r>
    <n v="100"/>
    <x v="4"/>
    <s v="Gabriela"/>
    <m/>
    <m/>
    <n v="922058897"/>
    <m/>
    <m/>
    <m/>
    <s v="Agustino"/>
    <d v="2022-08-10T00:00:00"/>
    <s v="1 Impresora termica de 58mm y 5 contometros de 58*40mm"/>
    <s v="BCP"/>
    <n v="185"/>
    <s v="Casa"/>
    <s v="U"/>
    <s v="Rodrigo"/>
  </r>
  <r>
    <n v="101"/>
    <x v="4"/>
    <s v="Daniel Bracamonte"/>
    <m/>
    <n v="44418212"/>
    <n v="992721810"/>
    <m/>
    <s v="Chiclayo"/>
    <s v="Olva Courier"/>
    <m/>
    <d v="2022-08-10T00:00:00"/>
    <s v="1 Impresora termica de 58mm y 5 contometros de 58*40mm"/>
    <s v="Interbank"/>
    <n v="208.5"/>
    <m/>
    <s v="U"/>
    <s v="Rodrigo"/>
  </r>
  <r>
    <n v="71"/>
    <x v="3"/>
    <s v="Graterol Bocaney Jose Manuel"/>
    <m/>
    <n v="3707056"/>
    <n v="928998527"/>
    <m/>
    <s v="Chiclayo"/>
    <s v="Shalom"/>
    <m/>
    <d v="2022-08-10T00:00:00"/>
    <s v="6 Impresora termica de 58mm y 60 rollos termicos de 58mm"/>
    <s v="BCP"/>
    <n v="1080"/>
    <s v="Venezolano"/>
    <s v="M"/>
    <s v="Sergio"/>
  </r>
  <r>
    <n v="102"/>
    <x v="2"/>
    <s v="Jennifer Lopez"/>
    <m/>
    <m/>
    <n v="992380047"/>
    <m/>
    <m/>
    <m/>
    <s v="La victoria"/>
    <d v="2022-08-11T00:00:00"/>
    <s v="1 Impresora termica de 80mm y 10 contometros de 80*40mm"/>
    <s v="Efectivo"/>
    <n v="350"/>
    <m/>
    <s v="U"/>
    <s v="Rodrigo"/>
  </r>
  <r>
    <n v="103"/>
    <x v="0"/>
    <s v="Juan Ruben"/>
    <m/>
    <n v="10453958782"/>
    <n v="976221676"/>
    <s v="FT E001-52"/>
    <m/>
    <m/>
    <s v="Av Trapiche"/>
    <d v="2022-08-12T00:00:00"/>
    <s v="1 Impresora termica de 58mm y 10 rollos termicos de 58mm"/>
    <s v="BCP"/>
    <n v="205"/>
    <s v="Botica"/>
    <s v="U"/>
    <s v="Rodrigo"/>
  </r>
  <r>
    <n v="104"/>
    <x v="4"/>
    <s v="Jhonatan Q."/>
    <m/>
    <m/>
    <n v="944133378"/>
    <m/>
    <m/>
    <m/>
    <s v="santa anita  "/>
    <d v="2022-08-13T00:00:00"/>
    <s v="1 Impresora termica de 58mm"/>
    <s v="bcp rodrigo130-efectivo 50"/>
    <n v="180"/>
    <s v="win internet"/>
    <s v="U"/>
    <s v="Sergio"/>
  </r>
  <r>
    <n v="92"/>
    <x v="2"/>
    <s v="Fenix"/>
    <m/>
    <m/>
    <n v="993409484"/>
    <m/>
    <m/>
    <m/>
    <s v="Gamarra Galeria"/>
    <d v="2022-08-13T00:00:00"/>
    <s v="3 Impresora termica de 80mm"/>
    <s v="Efectivo"/>
    <n v="850"/>
    <s v="Ventas de equipos en Gamarra"/>
    <s v="M"/>
    <s v="Rodrigo"/>
  </r>
  <r>
    <n v="105"/>
    <x v="4"/>
    <s v="Josue Gernimo Flores"/>
    <m/>
    <n v="70342264"/>
    <n v="918042011"/>
    <m/>
    <s v="Tacna"/>
    <s v="Marvisur"/>
    <m/>
    <d v="2022-08-15T00:00:00"/>
    <s v="1 Impresora termica de 58mm y 10 rollos termicos de 58mm"/>
    <s v="BCP-RODRIGO"/>
    <n v="200"/>
    <m/>
    <s v="U"/>
    <s v="Sergio"/>
  </r>
  <r>
    <n v="106"/>
    <x v="1"/>
    <s v="Josimar Josue Hilario Miranda"/>
    <m/>
    <n v="45686666"/>
    <n v="954478525"/>
    <s v="BV EB01-37"/>
    <s v="Concepcion-Junin"/>
    <s v="Shalom"/>
    <m/>
    <d v="2022-08-15T00:00:00"/>
    <s v="1 Impresora termica de 58mm y 2 rollos termicos de 58mm"/>
    <s v="BCP-RODRIGO"/>
    <n v="180"/>
    <m/>
    <s v="U"/>
    <s v="Sergio"/>
  </r>
  <r>
    <n v="107"/>
    <x v="2"/>
    <s v="Mily Tf"/>
    <m/>
    <m/>
    <n v="931448667"/>
    <m/>
    <m/>
    <m/>
    <s v="Ancon"/>
    <d v="2022-08-16T00:00:00"/>
    <s v="1 Impresora termica de 58mm y 10 rollos termicos de 58mm"/>
    <s v="Efectivo"/>
    <n v="210"/>
    <s v="Bodega"/>
    <s v="U"/>
    <s v="Sergio"/>
  </r>
  <r>
    <n v="108"/>
    <x v="0"/>
    <s v="Inversiones AD 10 S.A.C."/>
    <m/>
    <n v="20601089221"/>
    <n v="992658814"/>
    <s v="FT E001-54"/>
    <m/>
    <m/>
    <s v="Av. Grau la Victoria Centro Comercial"/>
    <d v="2022-08-17T00:00:00"/>
    <s v="1 Impresora termica de 80mm y 10 rollos termicos de 80mm"/>
    <s v="Efectivo"/>
    <n v="335"/>
    <s v="Venta de ropa interior "/>
    <s v="U"/>
    <s v="Rodrigo"/>
  </r>
  <r>
    <n v="109"/>
    <x v="1"/>
    <s v="Cristian Quintero"/>
    <m/>
    <m/>
    <n v="991760631"/>
    <s v="BV EB01-38"/>
    <m/>
    <m/>
    <s v="Surquillo "/>
    <d v="2022-08-17T00:00:00"/>
    <s v="20 Impresora termica de 58mm"/>
    <s v="BCP-RODRIGO"/>
    <n v="3100"/>
    <m/>
    <s v="M"/>
    <s v="Sergio"/>
  </r>
  <r>
    <n v="35"/>
    <x v="0"/>
    <s v="Reategui Vargas Alexis"/>
    <m/>
    <n v="20393955415"/>
    <n v="939361591"/>
    <s v="FT E001-55"/>
    <s v="Pucallpa"/>
    <s v="Shalom"/>
    <m/>
    <d v="2022-08-17T00:00:00"/>
    <s v="2 Impresoras termicas de 80mm y 20 rollos termicos de 80mm"/>
    <s v="BBVA"/>
    <n v="660"/>
    <s v="Contador"/>
    <s v="M"/>
    <s v="Rodrigo"/>
  </r>
  <r>
    <n v="110"/>
    <x v="2"/>
    <s v="Agua Luwa"/>
    <m/>
    <m/>
    <n v="987150308"/>
    <m/>
    <m/>
    <m/>
    <s v="Carabayllo"/>
    <d v="2022-08-19T00:00:00"/>
    <s v="2 Impresora termica de 58mm y 20 rollos termicos de 58mm"/>
    <s v="Efectivo"/>
    <n v="400"/>
    <s v="Ventas"/>
    <s v="U"/>
    <s v="Sergio"/>
  </r>
  <r>
    <n v="111"/>
    <x v="0"/>
    <s v="Crackselles S.A.C."/>
    <m/>
    <n v="20603713738"/>
    <m/>
    <s v="FT E001-56"/>
    <m/>
    <m/>
    <s v="San Borja"/>
    <d v="2022-08-19T00:00:00"/>
    <s v="7 Impresora termica de 58mm"/>
    <s v="BCP"/>
    <n v="1225"/>
    <s v="Consultoria informatica y Gestion de Instalaciones"/>
    <s v="M"/>
    <s v="Sergio"/>
  </r>
  <r>
    <n v="112"/>
    <x v="0"/>
    <s v="Grimaldo Ricaldi Espinoza"/>
    <m/>
    <n v="20161566552"/>
    <n v="954899659"/>
    <s v="FT E001-57"/>
    <s v="Oroya-Junin"/>
    <s v="Shalom"/>
    <m/>
    <d v="2022-08-20T00:00:00"/>
    <s v="200 unidades de contometros de 58*40mm"/>
    <s v="BCP"/>
    <n v="300"/>
    <s v="Municiaplidad"/>
    <s v="U"/>
    <s v="Rodrigo"/>
  </r>
  <r>
    <n v="113"/>
    <x v="3"/>
    <s v="Jose Luis Quinto Cotarate"/>
    <m/>
    <n v="21138640"/>
    <n v="927619680"/>
    <s v="RH E011-54"/>
    <s v="Tarma"/>
    <s v="Covaldi"/>
    <m/>
    <d v="2022-08-20T00:00:00"/>
    <s v="1 Impresora Rp 80mm lan/usb, 1 gaveta de dinero costum de 5 billeteros y 8 monederos, 1 impresora termica de etiquetas de 58mm, 1 lector de barra inalambrico rp, 20 rollos de recibos de80*80mm, 2 rollo de etiquetas de 50*25mm de 1000 unidades y 1 rollo de etiqueta de 30*40mm de 800 unidades. "/>
    <s v="BCP"/>
    <n v="1440"/>
    <s v="Prendas de vestir"/>
    <s v="U"/>
    <s v="Rodrigo"/>
  </r>
  <r>
    <n v="114"/>
    <x v="2"/>
    <s v="Union Saludable por Naturaleza"/>
    <m/>
    <m/>
    <n v="933295550"/>
    <m/>
    <m/>
    <m/>
    <s v="San Borja"/>
    <d v="2022-08-23T00:00:00"/>
    <s v="1 Impresora termica de 80mm y 10 rollos termicos de 80mm"/>
    <s v="Efectivo"/>
    <n v="330"/>
    <m/>
    <s v="U"/>
    <s v="Sergio"/>
  </r>
  <r>
    <n v="115"/>
    <x v="4"/>
    <s v="Carolina"/>
    <m/>
    <m/>
    <n v="962314698"/>
    <m/>
    <m/>
    <m/>
    <s v="Surco Jr Vista Alegre Mz A13"/>
    <d v="2022-08-23T00:00:00"/>
    <s v="1 Impresora termica de 58mm y 10 rollos termicos de 58mm"/>
    <s v="BCP-sergio"/>
    <n v="200"/>
    <s v="Izipay"/>
    <s v="U"/>
    <s v="Rodrigo"/>
  </r>
  <r>
    <n v="111"/>
    <x v="0"/>
    <s v="ATW SUPPORT AND SERVICES S.A.C."/>
    <m/>
    <n v="20606086459"/>
    <m/>
    <s v="FT E001-58"/>
    <m/>
    <m/>
    <s v="San Borja"/>
    <d v="2022-08-24T00:00:00"/>
    <s v="1 Impresora termica de 58mm"/>
    <s v="BCP"/>
    <n v="180"/>
    <s v="Consultoria informatica y Gestion de Instalaciones"/>
    <s v="M"/>
    <s v="Sergio"/>
  </r>
  <r>
    <n v="116"/>
    <x v="3"/>
    <s v="Jose Antonio Gomez Mendoza"/>
    <m/>
    <m/>
    <n v="958137854"/>
    <s v="RH E001-62"/>
    <s v="Arequipa"/>
    <s v="Transmotar s.a.c."/>
    <m/>
    <d v="2022-08-24T00:00:00"/>
    <s v="1 Impresora termica de 80mm escritorio blt-usb y 20 rollos termicos de 80*80mm"/>
    <s v="BCP"/>
    <n v="580"/>
    <m/>
    <s v="U"/>
    <s v="Rodrigo"/>
  </r>
  <r>
    <n v="117"/>
    <x v="4"/>
    <s v="Torres Lopez Gerarda Patricia"/>
    <m/>
    <m/>
    <n v="937369145"/>
    <m/>
    <s v="Talara"/>
    <s v="Shalom"/>
    <m/>
    <d v="2022-08-24T00:00:00"/>
    <s v="1 Impresora termica de 80mm y 80 rollos termicos de 80*40mm"/>
    <s v="BCP"/>
    <n v="480"/>
    <s v="Multipagos"/>
    <s v="U"/>
    <s v="Rodrigo"/>
  </r>
  <r>
    <n v="118"/>
    <x v="4"/>
    <s v="Jhonny Guillermo Zumaeta Tamani"/>
    <m/>
    <n v="45754992"/>
    <n v="958395777"/>
    <m/>
    <s v="Iquitos"/>
    <s v="Olva Courier"/>
    <m/>
    <d v="2022-08-25T00:00:00"/>
    <s v="1 Impresora termica de 80mm y 10 rollos termicos de 80*40mm"/>
    <s v="BCP"/>
    <n v="350"/>
    <m/>
    <s v="U"/>
    <s v="Sergio"/>
  </r>
  <r>
    <n v="119"/>
    <x v="0"/>
    <s v="Rosmy Nery Fiestas Carbonell"/>
    <m/>
    <n v="10464982162"/>
    <n v="937249181"/>
    <s v="FT E001-61"/>
    <s v="Talara"/>
    <s v="Marvisur"/>
    <m/>
    <d v="2022-08-25T00:00:00"/>
    <s v="2 Impresora termica de 80mm, 20 rollos termicos de 80*40mm y 1 caja de 80 unidades de 80*40mm"/>
    <s v="Interbank"/>
    <n v="860"/>
    <s v="Restaurante y servicios de comidas"/>
    <s v="U"/>
    <s v="Rodrigo"/>
  </r>
  <r>
    <n v="120"/>
    <x v="4"/>
    <s v="Armando Wilbert Soto Cruz"/>
    <m/>
    <n v="30422023"/>
    <n v="985383812"/>
    <m/>
    <s v="Arequipa-Camana"/>
    <s v="Marvisur"/>
    <m/>
    <d v="2022-08-26T00:00:00"/>
    <s v="1 Impresora termica de 80mm y 10 rollos termicos de 80*40mm"/>
    <s v="BBVA"/>
    <n v="350"/>
    <m/>
    <s v="U"/>
    <s v="Rodrigo"/>
  </r>
  <r>
    <n v="121"/>
    <x v="4"/>
    <s v="MCORTEZBPO"/>
    <m/>
    <m/>
    <n v="998787810"/>
    <m/>
    <m/>
    <m/>
    <s v="Municipalidad de los Olivos"/>
    <d v="2022-08-26T00:00:00"/>
    <s v="2 Etiqeutas de 30*20mm"/>
    <s v="BCP-RODRIGO"/>
    <n v="60"/>
    <m/>
    <s v="U"/>
    <s v="Sergio"/>
  </r>
  <r>
    <n v="92"/>
    <x v="2"/>
    <s v="Fenix"/>
    <m/>
    <m/>
    <n v="993409484"/>
    <m/>
    <m/>
    <m/>
    <s v="Santa Anita"/>
    <d v="2022-08-28T00:00:00"/>
    <s v="Caja de 80 unidades de rollos termicos de 80*40mm"/>
    <s v="Efectivo"/>
    <n v="180"/>
    <m/>
    <s v="M"/>
    <s v="Rodrigo"/>
  </r>
  <r>
    <n v="122"/>
    <x v="0"/>
    <s v="Joel Efren Flores Velasquez"/>
    <m/>
    <n v="10463206525"/>
    <n v="937343615"/>
    <s v="FT E001-60"/>
    <s v="Trujillo"/>
    <s v="Expreso Dorado"/>
    <s v="Plaza Norte"/>
    <d v="2022-09-01T00:00:00"/>
    <s v="1 Impresora termica de 80mm y 10 rollos termicos de 80*40mm"/>
    <s v="BBVA"/>
    <n v="350"/>
    <m/>
    <s v="U"/>
    <s v="Rodrigo"/>
  </r>
  <r>
    <n v="97"/>
    <x v="4"/>
    <s v="INGA IMPORT EIRL"/>
    <m/>
    <m/>
    <n v="943073730"/>
    <m/>
    <s v="Huancayo"/>
    <s v="Generacion 12"/>
    <m/>
    <d v="2022-09-04T00:00:00"/>
    <s v="9 rollos de etiquetas de 50*25mm de 1000 unidades"/>
    <s v="BCP"/>
    <n v="210"/>
    <m/>
    <s v="U"/>
    <s v="Sergio"/>
  </r>
  <r>
    <n v="123"/>
    <x v="1"/>
    <s v="Eduardo Aronés Aronés"/>
    <m/>
    <n v="28287721"/>
    <n v="935453352"/>
    <s v="BV EB01-41"/>
    <s v="Huanta-Ayacucho"/>
    <s v="Molina unión-28 de julio con jirón abtao"/>
    <m/>
    <d v="2022-09-05T00:00:00"/>
    <s v="2 Impresora termica de 58mm y 20 rollos termicos de 58*40mm"/>
    <s v="BCP"/>
    <n v="380"/>
    <m/>
    <s v="U"/>
    <s v="Rodrigo"/>
  </r>
  <r>
    <n v="111"/>
    <x v="0"/>
    <s v="ATW SUPPORT AND SERVICES S.A.C."/>
    <m/>
    <n v="20606086459"/>
    <m/>
    <s v="FT E001-63"/>
    <m/>
    <m/>
    <s v="San Borja"/>
    <d v="2022-09-06T00:00:00"/>
    <s v="4 Impresora termica de 58mm"/>
    <s v="BCP"/>
    <n v="700"/>
    <s v="Consultoria informatica y Gestion de Instalaciones"/>
    <s v="M"/>
    <s v="Sergio"/>
  </r>
  <r>
    <n v="114"/>
    <x v="2"/>
    <s v="Union Saludable por Naturaleza"/>
    <m/>
    <m/>
    <n v="933295550"/>
    <m/>
    <m/>
    <m/>
    <s v="San Borja"/>
    <d v="2022-09-06T00:00:00"/>
    <s v="1 Impresora termica de 80mm y 10 rollos termicos de 80mm"/>
    <s v="Efectivo"/>
    <n v="330"/>
    <m/>
    <s v="U"/>
    <s v="Sergio"/>
  </r>
  <r>
    <n v="124"/>
    <x v="0"/>
    <s v="Apaza Arela Angel"/>
    <m/>
    <n v="20601379377"/>
    <n v="933784155"/>
    <s v="FT E001-62"/>
    <s v="Juliaca"/>
    <s v="Shalom"/>
    <m/>
    <d v="2022-09-06T00:00:00"/>
    <s v="3 Impresora termica de 80mm y 80 rollos termicos de 80*40mm"/>
    <s v="Interbank"/>
    <n v="960"/>
    <m/>
    <s v="M"/>
    <s v="Rodrigo"/>
  </r>
  <r>
    <n v="125"/>
    <x v="4"/>
    <s v="Laura"/>
    <m/>
    <m/>
    <n v="998522758"/>
    <m/>
    <m/>
    <m/>
    <s v="San Juan De Lurigancho"/>
    <d v="2022-09-09T00:00:00"/>
    <s v="1 Impresora termica de 80mm y 10 rollos termicos de 80mm"/>
    <s v="BCP"/>
    <n v="325"/>
    <m/>
    <s v="U"/>
    <s v="Rodrigo"/>
  </r>
  <r>
    <n v="126"/>
    <x v="2"/>
    <s v="Santiago"/>
    <m/>
    <m/>
    <n v="987117816"/>
    <m/>
    <m/>
    <m/>
    <s v="Olivos"/>
    <d v="2022-09-09T00:00:00"/>
    <s v="10 rollos termicos de 57*40mm"/>
    <s v="Efectivo"/>
    <n v="30"/>
    <s v="Cafeteria"/>
    <s v="U"/>
    <s v="Sergio"/>
  </r>
  <r>
    <n v="127"/>
    <x v="0"/>
    <s v="Denis Benites"/>
    <m/>
    <n v="10412929441"/>
    <m/>
    <s v="FT E001-66"/>
    <m/>
    <m/>
    <s v="Chosica"/>
    <d v="2022-09-10T00:00:00"/>
    <s v="1 Impresora termica de 80mm, 10 rollos termicos de 80mm y aplicativo"/>
    <s v="BCP"/>
    <n v="350"/>
    <m/>
    <s v="U"/>
    <s v="Sergio"/>
  </r>
  <r>
    <n v="128"/>
    <x v="0"/>
    <s v="D° Linaje E.I.R.L."/>
    <m/>
    <n v="20602560903"/>
    <m/>
    <s v="FT E001-64"/>
    <m/>
    <m/>
    <s v="Ate"/>
    <d v="2022-09-10T00:00:00"/>
    <s v="4 Impresora termica de 58mm Y 40 rollos termicos de 58mm "/>
    <s v="Efectivo"/>
    <n v="760"/>
    <m/>
    <s v="M"/>
    <s v="Sergio"/>
  </r>
  <r>
    <n v="55"/>
    <x v="3"/>
    <s v="Jose Antonio Pancorbo"/>
    <m/>
    <m/>
    <n v="986776543"/>
    <s v="RH E011-55"/>
    <m/>
    <m/>
    <s v="Oficina Olivos"/>
    <d v="2022-09-10T00:00:00"/>
    <s v="1 Impresoras termicas de escritorio dual 80mm, 20 rollos termicos de 80*80mm, 2 lectores de codigo de barra alambrico y 4 rollos etiquetas de 50*25mm"/>
    <s v="BCP"/>
    <n v="1100"/>
    <m/>
    <s v="M"/>
    <s v="Rodrigo"/>
  </r>
  <r>
    <n v="129"/>
    <x v="4"/>
    <s v="Oscar Solorzano"/>
    <m/>
    <m/>
    <n v="933790714"/>
    <m/>
    <m/>
    <m/>
    <s v="Municipalidad de Carabayllo"/>
    <d v="2022-09-11T00:00:00"/>
    <s v="1 Impresora termica de 80mm Y 10 rollos termicos de 80mm y 4 rollos etiquetas de 50*25mm"/>
    <s v="BCP-RODRIGO 50- Efectivo 280"/>
    <n v="330"/>
    <m/>
    <s v="U"/>
    <s v="Sergio"/>
  </r>
  <r>
    <n v="55"/>
    <x v="0"/>
    <s v="Jose Antonio Pancorbo"/>
    <m/>
    <m/>
    <n v="986776543"/>
    <s v="FT E001-67"/>
    <m/>
    <m/>
    <s v="Municipalidad Los Olivos"/>
    <d v="2022-09-13T00:00:00"/>
    <s v="1 Impresoras termicas de escritorio usb-lan 80mm y 20 rollos termicos de 80*80mm"/>
    <s v="Efectivo"/>
    <n v="520"/>
    <m/>
    <s v="M"/>
    <s v="Rodrigo"/>
  </r>
  <r>
    <n v="130"/>
    <x v="0"/>
    <s v="Jesus Hernan"/>
    <m/>
    <n v="2060059934"/>
    <n v="975522559"/>
    <s v="FT F001-9"/>
    <m/>
    <m/>
    <s v="Callao Vellavista"/>
    <d v="2022-09-14T00:00:00"/>
    <s v="1 Impresora termica de 80mm Y 10 rollos termicos de 80mm"/>
    <s v="BCP"/>
    <n v="330"/>
    <m/>
    <s v="U"/>
    <s v="Sergio"/>
  </r>
  <r>
    <n v="131"/>
    <x v="4"/>
    <s v="Ramiro Silvio Vasquez Abad "/>
    <m/>
    <n v="23145411"/>
    <m/>
    <m/>
    <s v="Pucallpa"/>
    <s v="Marvisur"/>
    <m/>
    <d v="2022-09-14T00:00:00"/>
    <s v="1 Impresora termica de 58mm y 10 rollos termicos de 58*40mm"/>
    <s v="Interbank"/>
    <n v="200"/>
    <m/>
    <s v="U"/>
    <s v="Rodrigo"/>
  </r>
  <r>
    <n v="132"/>
    <x v="4"/>
    <s v="Asesor Corporacion Ones"/>
    <m/>
    <m/>
    <n v="938342861"/>
    <m/>
    <m/>
    <m/>
    <s v="Villa Maria del Triunfo"/>
    <d v="2022-09-15T00:00:00"/>
    <s v="Caja de rollo de 80+40mm 80 unidades"/>
    <s v="150 Efectivo y 50 Bcp Rodrigo"/>
    <n v="200"/>
    <m/>
    <s v="U"/>
    <s v="Sergio"/>
  </r>
  <r>
    <n v="133"/>
    <x v="2"/>
    <s v="Beatriz "/>
    <m/>
    <m/>
    <n v="993104850"/>
    <m/>
    <m/>
    <m/>
    <s v="Comas Universitaria con San Carlos"/>
    <d v="2022-09-16T00:00:00"/>
    <s v="1 Impresora termica de 80mm Y 10 rollos termicos de 80mm"/>
    <s v="Efectivo"/>
    <n v="320"/>
    <m/>
    <s v="U"/>
    <s v="Sergio"/>
  </r>
  <r>
    <n v="134"/>
    <x v="4"/>
    <s v="Fiorella"/>
    <m/>
    <m/>
    <n v="987672802"/>
    <m/>
    <m/>
    <m/>
    <s v="Lurin"/>
    <d v="2022-09-16T00:00:00"/>
    <s v="1 Impresora termica de 80mm Y 10 rollos termicos de 80mm"/>
    <s v="BCP-RODRIGO"/>
    <n v="350"/>
    <s v="Barberia"/>
    <s v="U"/>
    <s v="Sergio"/>
  </r>
  <r>
    <n v="135"/>
    <x v="4"/>
    <m/>
    <m/>
    <m/>
    <n v="936584456"/>
    <m/>
    <m/>
    <m/>
    <s v="Universitaria-Con Tomas Valle"/>
    <d v="2022-09-18T00:00:00"/>
    <s v="1 Impresora termica de 80mm Y 10 rollos termicos de 80mm"/>
    <s v="BCP"/>
    <n v="320"/>
    <m/>
    <s v="U"/>
    <s v="Sergio"/>
  </r>
  <r>
    <n v="136"/>
    <x v="2"/>
    <s v="Jorge Novoa"/>
    <m/>
    <m/>
    <n v="920197564"/>
    <m/>
    <m/>
    <m/>
    <s v="Surquillo"/>
    <d v="2022-09-20T00:00:00"/>
    <s v="1 Impresora termica de 80mm Y 10 rollos termicos de 80mm"/>
    <s v="Efectivo"/>
    <n v="330"/>
    <m/>
    <s v="U"/>
    <s v="Sergio"/>
  </r>
  <r>
    <n v="137"/>
    <x v="4"/>
    <s v="Diego Lisber Mamani Castro"/>
    <m/>
    <m/>
    <n v="959269812"/>
    <m/>
    <m/>
    <m/>
    <s v="Ate"/>
    <d v="2022-09-20T00:00:00"/>
    <s v="1 Impresora termica de etiquetas 80mm bluetooth, 10 rollos termicos de 80mm y un rollo de 50*40mm"/>
    <s v="Interbank Rodrigo"/>
    <n v="510"/>
    <m/>
    <s v="U"/>
    <s v="Sergio"/>
  </r>
  <r>
    <n v="138"/>
    <x v="4"/>
    <s v="Marco Enrique Acosta Calderon"/>
    <m/>
    <m/>
    <n v="955440204"/>
    <m/>
    <m/>
    <m/>
    <s v="Ate"/>
    <d v="2022-09-23T00:00:00"/>
    <s v="1 Impresora termica de etiquetas 58mm bluetooth-usb LASAET"/>
    <s v="BCP-RODRIGO"/>
    <n v="365"/>
    <m/>
    <s v="U"/>
    <s v="Sergio"/>
  </r>
  <r>
    <n v="35"/>
    <x v="3"/>
    <s v="Reategui Vargas Alexis"/>
    <m/>
    <n v="20393955415"/>
    <n v="939361591"/>
    <s v="FT F001-8"/>
    <s v="Pucallpa"/>
    <s v="Shalom"/>
    <m/>
    <d v="2022-09-24T00:00:00"/>
    <s v="2 Impresoras termicas de 80mm y 20 rollos termicos de 80mm"/>
    <s v="BBVA"/>
    <n v="600"/>
    <s v="Contador"/>
    <s v="M"/>
    <s v="Rodrigo"/>
  </r>
  <r>
    <n v="139"/>
    <x v="2"/>
    <s v="Huevos andinos eirl"/>
    <m/>
    <m/>
    <n v="979667382"/>
    <m/>
    <m/>
    <m/>
    <s v="Villa El Salvador "/>
    <d v="2022-09-25T00:00:00"/>
    <s v="1 Impresora termica de 80mm, 10 rollos termicos de 80mm y aplicativo"/>
    <s v="Efectivo"/>
    <n v="350"/>
    <m/>
    <s v="U"/>
    <s v="Sergio"/>
  </r>
  <r>
    <n v="140"/>
    <x v="1"/>
    <s v="Juan David"/>
    <m/>
    <m/>
    <n v="906341511"/>
    <s v="BV B001-2"/>
    <m/>
    <m/>
    <s v="San Juan De Lurigancho"/>
    <d v="2022-09-26T00:00:00"/>
    <s v="1 Impresora termica de 58mm y 10 rollos termicos de 58mm"/>
    <s v="Efectivo"/>
    <n v="200"/>
    <m/>
    <s v="U"/>
    <s v="Sergio"/>
  </r>
  <r>
    <n v="141"/>
    <x v="0"/>
    <s v="Salinas Ramirez Elsa"/>
    <m/>
    <m/>
    <n v="950633893"/>
    <s v="FT F001-7"/>
    <m/>
    <m/>
    <s v="San Luis"/>
    <d v="2022-09-26T00:00:00"/>
    <s v="1 Impresora termica de 58mm y 10 rollos termicos de 58mm"/>
    <s v="BCP-RODRIGO"/>
    <n v="200"/>
    <m/>
    <s v="U"/>
    <s v="Sergio"/>
  </r>
  <r>
    <n v="142"/>
    <x v="2"/>
    <s v="Colombiano"/>
    <m/>
    <m/>
    <n v="922139681"/>
    <m/>
    <m/>
    <m/>
    <s v="Dominicos"/>
    <d v="2022-09-27T00:00:00"/>
    <s v="1 Impresora termica de 58mm y 10 rollos termicos de 58mm"/>
    <s v="Efectivo"/>
    <n v="200"/>
    <m/>
    <s v="U"/>
    <s v="Sergio"/>
  </r>
  <r>
    <n v="143"/>
    <x v="4"/>
    <s v="Cesar Choqueapaza Quispe"/>
    <m/>
    <n v="45506222"/>
    <n v="990188744"/>
    <m/>
    <s v="Tacna"/>
    <s v="Shalom"/>
    <m/>
    <d v="2022-09-28T00:00:00"/>
    <s v="1 Impresora termica de 58mm y 100 rollos termicos de 58mm"/>
    <s v="BCP"/>
    <n v="350"/>
    <m/>
    <s v="U"/>
    <s v="Rodrigo"/>
  </r>
  <r>
    <n v="144"/>
    <x v="4"/>
    <s v="Jose Alberto Gonzales Huillca"/>
    <m/>
    <n v="70545354"/>
    <n v="941303898"/>
    <m/>
    <s v="Puerto Maldonado"/>
    <s v="Marvisur"/>
    <m/>
    <d v="2022-09-29T00:00:00"/>
    <s v="1 Impresora termica de 58mm y 10 rollos termicos de 58mm"/>
    <s v="BCP"/>
    <n v="190"/>
    <m/>
    <s v="U"/>
    <s v="Sergio"/>
  </r>
  <r>
    <n v="145"/>
    <x v="4"/>
    <s v="Victor Taype Taypoma"/>
    <m/>
    <n v="71387003"/>
    <n v="914623324"/>
    <m/>
    <s v="Huancayo"/>
    <s v="J.r. Cargo"/>
    <s v="Luna Pizarro"/>
    <d v="2022-09-29T00:00:00"/>
    <s v="1 Impresora termica de 58mm y 10 rollos termicos de 58mm"/>
    <s v="BCP"/>
    <n v="200"/>
    <s v="Corporacion Taype"/>
    <s v="U"/>
    <s v="Rodrigo"/>
  </r>
  <r>
    <n v="146"/>
    <x v="0"/>
    <s v="Luis Bernal"/>
    <m/>
    <n v="20609723336"/>
    <n v="990631412"/>
    <s v="FT F001-12"/>
    <m/>
    <m/>
    <s v="La molina"/>
    <d v="2022-09-30T00:00:00"/>
    <s v="1 Impresora termica de 80mm portátil bluetooth-usb etiquetas, 1 rollos etiquetas 76*76mm, 1 paquete de 10 rollos termicos"/>
    <s v="BCP-RODRIGO"/>
    <n v="580"/>
    <m/>
    <s v="U"/>
    <s v="Sergio"/>
  </r>
  <r>
    <n v="147"/>
    <x v="2"/>
    <s v="Jesus Navarro"/>
    <m/>
    <m/>
    <n v="955263462"/>
    <m/>
    <m/>
    <m/>
    <s v="Jiron Juan Crespo Castillo "/>
    <d v="2022-10-04T00:00:00"/>
    <s v="1 caja de contometros de 80*40mm de 80 unidades"/>
    <s v="Efectivo"/>
    <n v="200"/>
    <m/>
    <s v="U"/>
    <s v="Rodrigo"/>
  </r>
  <r>
    <n v="148"/>
    <x v="2"/>
    <s v="Ana Prada"/>
    <m/>
    <m/>
    <n v="957384083"/>
    <m/>
    <m/>
    <m/>
    <s v="Callao Av morales Duarte"/>
    <d v="2022-10-04T00:00:00"/>
    <s v="1 Impresora termica de 80mm portátil bluetooth Y 1 paquete de 10 rollos termicos"/>
    <s v="Efectivo"/>
    <n v="330"/>
    <m/>
    <s v="U"/>
    <s v="Rodrigo"/>
  </r>
  <r>
    <n v="149"/>
    <x v="4"/>
    <s v="Silva Cuya Helida Ana"/>
    <m/>
    <m/>
    <n v="939170886"/>
    <m/>
    <m/>
    <m/>
    <s v="Av. Brasil"/>
    <d v="2022-10-06T00:00:00"/>
    <s v="1 Impresora termica de 80mm portátil bluetooth Y 1 paquete de 10 rollos termicos"/>
    <s v="Efectivo"/>
    <n v="300"/>
    <m/>
    <s v="U"/>
    <s v="Sergio"/>
  </r>
  <r>
    <n v="150"/>
    <x v="0"/>
    <s v="Gomez Echevarria Cayo Renato"/>
    <m/>
    <n v="20609959275"/>
    <n v="962951294"/>
    <s v="FT F001-10"/>
    <s v="Huancayo"/>
    <s v="Shalom"/>
    <m/>
    <d v="2022-10-06T00:00:00"/>
    <s v="1 Impresora termica de 80mm portátil bluetooth Y 1 paquete de 10 rollos termicos"/>
    <s v="Interbank"/>
    <n v="330"/>
    <m/>
    <s v="U"/>
    <s v="Sergio"/>
  </r>
  <r>
    <n v="151"/>
    <x v="4"/>
    <s v="Cherry Tuanama Garcia"/>
    <m/>
    <n v="46910612"/>
    <n v="918413912"/>
    <m/>
    <s v="Yurimaguas"/>
    <s v="Marvisur"/>
    <m/>
    <d v="2022-10-06T00:00:00"/>
    <s v="1 Impresora termica de 58mm portátil bluetooth Y 1 paquete de 10 rollos termicos"/>
    <s v="BBVA"/>
    <n v="190"/>
    <m/>
    <s v="U"/>
    <s v="Rodrigo"/>
  </r>
  <r>
    <n v="152"/>
    <x v="2"/>
    <s v="Yos"/>
    <m/>
    <m/>
    <n v="978906149"/>
    <m/>
    <m/>
    <m/>
    <s v="Abancay"/>
    <d v="2022-10-07T00:00:00"/>
    <s v="1 paquete de contometro de 80mm"/>
    <s v="Efectivo"/>
    <n v="40"/>
    <m/>
    <s v="U"/>
    <s v="Sergio"/>
  </r>
  <r>
    <n v="153"/>
    <x v="4"/>
    <s v="Lucero Mora"/>
    <m/>
    <m/>
    <n v="988247429"/>
    <m/>
    <m/>
    <m/>
    <s v="Molina"/>
    <d v="2022-10-08T00:00:00"/>
    <s v="1 Impresora termica de 58mm portátil bluetooth Y 1 paquete de 10 rollos termicos"/>
    <s v="Interbank Rodrigo"/>
    <n v="200"/>
    <m/>
    <s v="U"/>
    <s v="Sergio"/>
  </r>
  <r>
    <n v="154"/>
    <x v="4"/>
    <s v="Monica Zegarra"/>
    <m/>
    <m/>
    <n v="997364674"/>
    <m/>
    <m/>
    <m/>
    <s v="Surco Panamericana"/>
    <d v="2022-10-08T00:00:00"/>
    <s v="1 Impresora termica de 58mm portátil bluetooth Y 1 paquete de 10 rollos termicos"/>
    <s v="BCP"/>
    <n v="200"/>
    <m/>
    <s v="U"/>
    <s v="Rodrigo"/>
  </r>
  <r>
    <n v="60"/>
    <x v="4"/>
    <s v="Huancachoque Chijcheapaza Edgar Juan"/>
    <m/>
    <n v="42575441"/>
    <n v="941003193"/>
    <m/>
    <s v="Arequipa"/>
    <s v="Shalom"/>
    <m/>
    <d v="2022-10-08T00:00:00"/>
    <s v="18 rollos de etiqueta de 30*20mm"/>
    <s v="BCP"/>
    <n v="325"/>
    <s v="Venta"/>
    <s v="U"/>
    <s v="Rodrigo"/>
  </r>
  <r>
    <n v="155"/>
    <x v="0"/>
    <s v="Pocho Joel Estela Ambicho"/>
    <m/>
    <m/>
    <n v="952189629"/>
    <s v="FT F001-11"/>
    <m/>
    <m/>
    <s v="Oficina"/>
    <d v="2022-10-08T00:00:00"/>
    <s v="1 Impresora termica de 80mm portátil-escritorio LS8003, 1 paquete de 10 rollos termicos Y 1 rollo de etiqueta de 50*40mm"/>
    <s v="BBVA"/>
    <n v="500"/>
    <m/>
    <s v="U"/>
    <s v="Rodrigo"/>
  </r>
  <r>
    <n v="156"/>
    <x v="4"/>
    <s v="Soluciones ing. S.a.c."/>
    <m/>
    <n v="20602073166"/>
    <n v="919151592"/>
    <m/>
    <m/>
    <m/>
    <s v="Oficina"/>
    <d v="2022-10-08T00:00:00"/>
    <s v="1 Impresora termica de 58mm portátil bluetooth Y 1 paquete de 10 rollos termicos"/>
    <m/>
    <n v="330"/>
    <m/>
    <s v="U"/>
    <s v="Rodrigo"/>
  </r>
  <r>
    <n v="124"/>
    <x v="0"/>
    <s v="Apaza Arela Angel"/>
    <m/>
    <n v="20601379377"/>
    <n v="933784155"/>
    <s v="FT F001-13"/>
    <s v="Juliaca"/>
    <s v="Shalom"/>
    <m/>
    <d v="2022-10-10T00:00:00"/>
    <s v="2 Impresora termica de 80mm, 3 impresoras de 58mm, 1 caja de rollos 100 unidades de 57**40mm y 80 rollos termicos de 80*40mm"/>
    <s v="Interbank"/>
    <n v="1280"/>
    <m/>
    <s v="M"/>
    <s v="Rodrigo"/>
  </r>
  <r>
    <n v="157"/>
    <x v="4"/>
    <s v="Gerardo Rios Zuluaga"/>
    <m/>
    <n v="4591730"/>
    <n v="902634901"/>
    <m/>
    <s v="Huacho"/>
    <s v="Shalom"/>
    <m/>
    <d v="2022-10-10T00:00:00"/>
    <s v="1 Impresora termica de 58mm portátil bluetooth Y 1 paquete de 10 rollos termicos"/>
    <s v="BCP"/>
    <n v="215"/>
    <m/>
    <s v="U"/>
    <s v="Rodrigo"/>
  </r>
  <r>
    <n v="158"/>
    <x v="2"/>
    <s v="Ocdulia"/>
    <m/>
    <m/>
    <n v="997896505"/>
    <m/>
    <m/>
    <m/>
    <s v="Mercado central"/>
    <d v="2022-10-10T00:00:00"/>
    <s v="1 Impresora termica de 58mm portátil bluetooth Y 1 paquete de 10 rollos termicos"/>
    <s v="Efectivo"/>
    <n v="200"/>
    <m/>
    <s v="U"/>
    <s v="Sergio"/>
  </r>
  <r>
    <n v="159"/>
    <x v="4"/>
    <s v="Mayra Anggela Inocente Loayza"/>
    <m/>
    <n v="48116990"/>
    <n v="970731578"/>
    <m/>
    <s v="Ilo"/>
    <s v="Shalom"/>
    <m/>
    <d v="2022-10-10T00:00:00"/>
    <s v="1 Impresora termica de 58mm de etiquetas Y 2 rollos de etiqeutas de 50*40mm"/>
    <s v="BCP"/>
    <n v="420"/>
    <m/>
    <s v="U"/>
    <s v="Rodrigo"/>
  </r>
  <r>
    <n v="32"/>
    <x v="3"/>
    <s v="Jose Antonio Pancorbo"/>
    <m/>
    <m/>
    <n v="993400767"/>
    <s v="RH E001-64"/>
    <m/>
    <m/>
    <s v="Carabayllo"/>
    <d v="2022-10-11T00:00:00"/>
    <s v="1 impresora termica 80mm usb-lan, 1caja de contometro de 80*80mm de 20 rollos"/>
    <s v="BBVA"/>
    <n v="520"/>
    <m/>
    <s v="M"/>
    <s v="Rodrigo"/>
  </r>
  <r>
    <n v="157"/>
    <x v="4"/>
    <s v="Gerardo Rios Zuluaga"/>
    <m/>
    <n v="4591730"/>
    <n v="902634901"/>
    <m/>
    <s v="Huacho"/>
    <s v="Shalom"/>
    <m/>
    <d v="2022-10-12T00:00:00"/>
    <s v="1 Impresora termica de 58mm portátil bluetooth Y 1 paquete de 10 rollos termicos"/>
    <s v="Interbank"/>
    <n v="220"/>
    <m/>
    <s v="U"/>
    <s v="Rodrigo"/>
  </r>
  <r>
    <n v="160"/>
    <x v="4"/>
    <s v="Inversiones Tremy"/>
    <m/>
    <n v="20563053608"/>
    <n v="993264050"/>
    <m/>
    <m/>
    <m/>
    <s v="Oficina"/>
    <d v="2022-10-12T00:00:00"/>
    <s v="1 Impresora termica de 58mm portátil bluetooth Y 1 paquete de 10 rollos termicos"/>
    <s v="BCP"/>
    <n v="190"/>
    <m/>
    <s v="U"/>
    <s v="Sergio"/>
  </r>
  <r>
    <n v="111"/>
    <x v="0"/>
    <s v="Crackselles S.A.C."/>
    <m/>
    <n v="20603713738"/>
    <m/>
    <s v="FT F001-14"/>
    <m/>
    <m/>
    <s v="Naranjal"/>
    <d v="2022-10-13T00:00:00"/>
    <s v="2 Impresora termica de 58mm"/>
    <s v="BCP-RODRIGO"/>
    <n v="350"/>
    <s v="Consultoria informatica y Gestion de Instalaciones"/>
    <s v="M"/>
    <s v="Sergio"/>
  </r>
  <r>
    <n v="161"/>
    <x v="4"/>
    <s v="Yeraldin eloa mendoza"/>
    <m/>
    <n v="45733661"/>
    <n v="940191230"/>
    <m/>
    <m/>
    <m/>
    <m/>
    <d v="2022-10-13T00:00:00"/>
    <s v="1 Impresora termica de 58mm portátil bluetooth"/>
    <s v="Interbank"/>
    <n v="190"/>
    <m/>
    <s v="U"/>
    <s v="Rodrigo"/>
  </r>
  <r>
    <n v="162"/>
    <x v="2"/>
    <s v="Liss Diaz"/>
    <m/>
    <m/>
    <n v="946480630"/>
    <m/>
    <m/>
    <m/>
    <s v="Gamarra"/>
    <d v="2022-10-13T00:00:00"/>
    <s v="1 Impresora termica de 80mm portátil bluetooth Y 1 paquete de 10 rollos termicos"/>
    <s v="Efectivo"/>
    <n v="320"/>
    <m/>
    <s v="U"/>
    <s v="Sergio"/>
  </r>
  <r>
    <n v="163"/>
    <x v="0"/>
    <s v="Edgar Moreno Pando"/>
    <m/>
    <n v="41903172"/>
    <n v="996652816"/>
    <s v="FT F001-15"/>
    <s v="Trujillo"/>
    <s v="Shalom"/>
    <m/>
    <d v="2022-10-14T00:00:00"/>
    <s v="3 Impresora termica de 58mm portátil bluetooth Y 3 paquete de 10 rollos termicos"/>
    <s v="BCP"/>
    <n v="486"/>
    <m/>
    <s v="M"/>
    <s v="Rodrigo"/>
  </r>
  <r>
    <n v="164"/>
    <x v="4"/>
    <s v="Dennis Arnold Paredes Lozano"/>
    <m/>
    <n v="73273459"/>
    <m/>
    <m/>
    <s v="Tarapoto"/>
    <s v="Shalom"/>
    <m/>
    <d v="2022-10-14T00:00:00"/>
    <s v="1 Impresora termica de 58mm portátil bluetooth Y 1 paquete de 10 rollos termicos y aplicativo"/>
    <s v="BCP-RODRIGO"/>
    <n v="220"/>
    <m/>
    <s v="U"/>
    <s v="Sergio"/>
  </r>
  <r>
    <n v="165"/>
    <x v="4"/>
    <s v="Botica Tu Farma"/>
    <m/>
    <m/>
    <n v="966115890"/>
    <m/>
    <m/>
    <m/>
    <s v="Ensenada"/>
    <d v="2022-10-15T00:00:00"/>
    <s v="1 Impresora termica de 58mm portátil bluetooth"/>
    <s v="BCP-RODRIGO"/>
    <n v="185"/>
    <m/>
    <s v="U"/>
    <s v="Sergio"/>
  </r>
  <r>
    <n v="166"/>
    <x v="1"/>
    <s v="Vicitación Gamarra"/>
    <m/>
    <n v="40949137"/>
    <n v="970416636"/>
    <s v="BV B001-5"/>
    <m/>
    <m/>
    <s v="Zapallal"/>
    <d v="2022-10-15T00:00:00"/>
    <s v="1 Impresora termica de 58mm portátil bluetooth Y 1 paquete de 10 rollos termicos"/>
    <s v="Efectivo"/>
    <n v="190"/>
    <s v="Farmaket"/>
    <s v="U"/>
    <s v="Rodrigo"/>
  </r>
  <r>
    <n v="167"/>
    <x v="4"/>
    <s v="Rivas Zapata Luis Fabian"/>
    <m/>
    <n v="45333278"/>
    <n v="993881800"/>
    <m/>
    <s v="Talara"/>
    <s v="Shalom"/>
    <m/>
    <d v="2022-10-15T00:00:00"/>
    <s v="1 Impresora termica de 58mm portátil bluetooth Y 1 paquete de 10 rollos termicos"/>
    <s v="BCP"/>
    <n v="190"/>
    <m/>
    <s v="U"/>
    <s v="Rodrigo"/>
  </r>
  <r>
    <n v="168"/>
    <x v="4"/>
    <s v="Mirriam "/>
    <m/>
    <m/>
    <n v="961098844"/>
    <m/>
    <m/>
    <m/>
    <s v="Victoria"/>
    <d v="2022-10-16T00:00:00"/>
    <s v="3 Impresora termica de 80mm portátil bluetooth Y 3 paquete de 10 rollos termicos 80*40mm"/>
    <s v="BCP"/>
    <n v="840"/>
    <m/>
    <s v="U"/>
    <s v="Sergio"/>
  </r>
  <r>
    <n v="169"/>
    <x v="4"/>
    <s v="Gladys Nieto Perez"/>
    <m/>
    <n v="72246136"/>
    <n v="993982500"/>
    <m/>
    <m/>
    <s v="Shalom"/>
    <s v="Huanuco"/>
    <d v="2022-10-17T00:00:00"/>
    <s v="1 Impresora termica de 58mm portátil bluetooth Y 1 paquete de 10 rollos termicos"/>
    <s v="BCP"/>
    <n v="190"/>
    <m/>
    <s v="U"/>
    <s v="Rodrigo"/>
  </r>
  <r>
    <n v="170"/>
    <x v="2"/>
    <s v="Pilar Castillo Ynfante"/>
    <m/>
    <n v="46158044"/>
    <n v="933523081"/>
    <m/>
    <m/>
    <m/>
    <s v="Olivos"/>
    <d v="2022-10-17T00:00:00"/>
    <s v="1 Impresora termica de 58mm portátil bluetooth Y 1 paquete de 10 rollos termicos"/>
    <s v="Efectivo"/>
    <n v="200"/>
    <m/>
    <s v="U"/>
    <s v="Rodrigo"/>
  </r>
  <r>
    <n v="171"/>
    <x v="0"/>
    <s v="Violeta Ventura Pisfil"/>
    <m/>
    <n v="16532762"/>
    <n v="996936691"/>
    <s v="FT F001-16"/>
    <s v="Chiclayo"/>
    <s v="Shalom"/>
    <m/>
    <d v="2022-10-17T00:00:00"/>
    <s v="1 Impresora termica de 58mm dual blanca Y 2 paquete de 10 rollos termicos 58*40mm y 2 rollos de etiquetas de 30*40mm"/>
    <s v="Interbank-RODRIGO"/>
    <n v="490"/>
    <m/>
    <s v="U"/>
    <s v="Sergio"/>
  </r>
  <r>
    <n v="172"/>
    <x v="2"/>
    <s v="Qenko Chincha S.A.C."/>
    <m/>
    <n v="20608590341"/>
    <n v="926503337"/>
    <s v="FT F001-23"/>
    <m/>
    <m/>
    <s v="Santa Clara"/>
    <d v="2022-10-17T00:00:00"/>
    <s v="1 Impresora termica de 58mm portátil bluetooth Y 1 paquete de 10 rollos termicos"/>
    <s v="Efectivo"/>
    <n v="210"/>
    <m/>
    <s v="U"/>
    <s v="Sergio"/>
  </r>
  <r>
    <n v="173"/>
    <x v="4"/>
    <s v="Inga Baldeon Esraelina"/>
    <m/>
    <n v="40877164"/>
    <n v="989496430"/>
    <m/>
    <s v="Tarma"/>
    <s v="La merced"/>
    <s v="Av. 28 de julio Victoria"/>
    <d v="2022-10-18T00:00:00"/>
    <s v="1 Impresora termica de 58mm portátil bluetooth Y 1 paquete de 10 rollos termicos"/>
    <s v="BCP"/>
    <n v="190"/>
    <m/>
    <s v="U"/>
    <s v="Rodrigo"/>
  </r>
  <r>
    <n v="174"/>
    <x v="4"/>
    <s v="Sallo Amau Yessica"/>
    <m/>
    <n v="72893463"/>
    <n v="921611882"/>
    <m/>
    <s v="Cusco-Principal"/>
    <s v="Shalom"/>
    <m/>
    <d v="2022-10-18T00:00:00"/>
    <s v="1 Impresora termica de 58mm portátil bluetooth Y 1 paquete de 10 rollos termicos"/>
    <s v="BCP"/>
    <n v="190"/>
    <m/>
    <s v="U"/>
    <s v="Rodrigo"/>
  </r>
  <r>
    <n v="175"/>
    <x v="4"/>
    <s v="Miguel Angel Quezada Alayo"/>
    <m/>
    <n v="45972862"/>
    <n v="989606641"/>
    <m/>
    <s v="Trujillo"/>
    <s v="Shalom"/>
    <m/>
    <d v="2022-10-19T00:00:00"/>
    <s v="1 Impresora termica de 80mm  dual portátil bluetooth-usb LS8003, 1 paquete de 10 rollos termicos Y 1 rollo de etiqueta de 30*20mm"/>
    <s v="Interbank"/>
    <n v="475"/>
    <m/>
    <s v="U"/>
    <s v="Rodrigo"/>
  </r>
  <r>
    <n v="176"/>
    <x v="4"/>
    <s v="Jose Luis Meza Samaniego"/>
    <m/>
    <m/>
    <n v="972821863"/>
    <m/>
    <m/>
    <m/>
    <s v="San Luis"/>
    <d v="2022-10-19T00:00:00"/>
    <s v="1 Impresora termica de 80mm  dual portátil bluetooth-usb LS8003 Y 1 rollo de etiqueta de 30*20mm"/>
    <s v="BCP-RODRIGO"/>
    <n v="505"/>
    <m/>
    <s v="U"/>
    <s v="Sergio"/>
  </r>
  <r>
    <n v="177"/>
    <x v="0"/>
    <s v="Uruchi Chipana Pedro Antonio"/>
    <m/>
    <n v="10426470204"/>
    <n v="932363247"/>
    <s v="FT F001-17"/>
    <m/>
    <m/>
    <s v="Gamarra"/>
    <d v="2022-10-20T00:00:00"/>
    <s v="1 Impresora termica de 80mm portátil bluetooth Y 1 paquete de 10 rollos termicos"/>
    <s v="Efectivo"/>
    <n v="340"/>
    <m/>
    <s v="U"/>
    <s v="Sergio"/>
  </r>
  <r>
    <n v="178"/>
    <x v="4"/>
    <s v="Yasmin Sadith Casachagua Peralta"/>
    <m/>
    <m/>
    <n v="915163985"/>
    <m/>
    <m/>
    <m/>
    <s v="San Luis"/>
    <d v="2022-10-20T00:00:00"/>
    <s v="1 Impresora termica de 80mm portátil bluetooth Y 1 paquete de 10 rollos termicos"/>
    <s v="BCP-RODRIGO"/>
    <n v="350"/>
    <m/>
    <s v="U"/>
    <s v="Sergio"/>
  </r>
  <r>
    <n v="179"/>
    <x v="4"/>
    <s v="Yhonatan Usacani Del Solar Mamani"/>
    <m/>
    <n v="47878040"/>
    <n v="962950305"/>
    <m/>
    <s v="Tacna"/>
    <s v="Shalom"/>
    <m/>
    <d v="2022-10-20T00:00:00"/>
    <s v="1 rollo etiqueta 30*20mm y 1 rollo etiqueta 30*40mm"/>
    <s v="BCP-RODRIGO"/>
    <n v="55"/>
    <m/>
    <s v="U"/>
    <s v="Sergio"/>
  </r>
  <r>
    <n v="180"/>
    <x v="4"/>
    <s v="Campos Carmen Genaro Leonel"/>
    <m/>
    <n v="41983226"/>
    <n v="984218815"/>
    <m/>
    <s v="Ayacucho-Huamanga"/>
    <s v="Olva Courier"/>
    <m/>
    <d v="2022-10-21T00:00:00"/>
    <s v="1 Impresora termica de 58mm portátil bluetooth Y 1 paquete de 20 rollos termicos"/>
    <s v="Interbank"/>
    <n v="330"/>
    <m/>
    <s v="U"/>
    <s v="Rodrigo"/>
  </r>
  <r>
    <n v="181"/>
    <x v="4"/>
    <s v="Yuri Andres Tucta Ore"/>
    <m/>
    <n v="74161057"/>
    <n v="953922794"/>
    <m/>
    <s v="Ayacucho-Huamanga"/>
    <s v="La Molina"/>
    <m/>
    <d v="2022-10-21T00:00:00"/>
    <s v="1 Impresora termica de 58mm portátil bluetooth Y 1 paquete de 20 rollos termicos"/>
    <s v="BCP"/>
    <n v="215"/>
    <m/>
    <s v="U"/>
    <s v="Rodrigo"/>
  </r>
  <r>
    <n v="182"/>
    <x v="0"/>
    <s v="Joel Ayre Perez"/>
    <m/>
    <n v="20609072416"/>
    <n v="925989479"/>
    <s v="FT F001-18"/>
    <s v="Chanchamayo-Santa Ana"/>
    <s v="Lobato"/>
    <m/>
    <d v="2022-10-21T00:00:00"/>
    <s v="1 Impresora termica de 80mm portátil bluetooth Y 1 paquete de 10 rollos termicos"/>
    <s v="BCP"/>
    <n v="300"/>
    <m/>
    <s v="U"/>
    <s v="Rodrigo"/>
  </r>
  <r>
    <n v="183"/>
    <x v="4"/>
    <s v="Jorge Antonio Benavente Curasi"/>
    <m/>
    <n v="44337588"/>
    <n v="966928393"/>
    <m/>
    <s v="cusco-la convencion-santa ana"/>
    <s v="Marvisur"/>
    <m/>
    <d v="2022-10-21T00:00:00"/>
    <s v="1 Impresora termica de 58mm portátil bluetooth Y 1 paquete de 10 rollos termicos"/>
    <s v="BCP"/>
    <n v="190"/>
    <m/>
    <s v="U"/>
    <s v="Rodrigo"/>
  </r>
  <r>
    <n v="184"/>
    <x v="4"/>
    <s v="Galois Chauca Quispe"/>
    <m/>
    <m/>
    <n v="931584790"/>
    <m/>
    <m/>
    <m/>
    <s v="Pueblo Libre"/>
    <d v="2022-10-21T00:00:00"/>
    <s v="1 Impresora termica de 58mm portátil bluetooth Y 1 paquete de 10 rollos termicos"/>
    <s v="150 BCP- 50 Efectivo"/>
    <n v="200"/>
    <m/>
    <s v="U"/>
    <s v="Sergio"/>
  </r>
  <r>
    <n v="185"/>
    <x v="0"/>
    <s v="Enrique Franco Linares Chacón"/>
    <m/>
    <n v="46241071"/>
    <n v="987790289"/>
    <s v="FT F001-19"/>
    <s v="Arequipa"/>
    <s v="Las Flores"/>
    <m/>
    <d v="2022-10-23T00:00:00"/>
    <s v="1 Impresora termica de 58mm portátil bluetooth, 5 rollos termicos de 58*40mm y 1 lectora de codigo de barras inalambrica sin parante"/>
    <s v="BCP"/>
    <n v="340"/>
    <m/>
    <s v="U"/>
    <s v="Rodrigo"/>
  </r>
  <r>
    <n v="186"/>
    <x v="0"/>
    <s v="Jonas Rios Ccalle"/>
    <m/>
    <n v="41494171"/>
    <n v="984607059"/>
    <s v="FT F001-20"/>
    <s v="Cusco-Principal"/>
    <s v="Shalom"/>
    <m/>
    <d v="2022-10-24T00:00:00"/>
    <s v="4 Impresora termica de 80mm portátil bluetooth"/>
    <s v="BCP"/>
    <n v="1000"/>
    <m/>
    <s v="U"/>
    <s v="Rodrigo"/>
  </r>
  <r>
    <n v="187"/>
    <x v="4"/>
    <s v="Liliana Ramirez Alanya"/>
    <m/>
    <m/>
    <n v="946131660"/>
    <m/>
    <m/>
    <m/>
    <s v="Barrios Altos"/>
    <d v="2022-10-25T00:00:00"/>
    <s v="1 Impresora termica de 58mm etiquetas LS58G Escritorio y 4 rollos termicos de 50*25"/>
    <s v="Interbank Rodrigo"/>
    <n v="500"/>
    <m/>
    <s v="U"/>
    <s v="Sergio"/>
  </r>
  <r>
    <n v="188"/>
    <x v="4"/>
    <s v="Eddy"/>
    <m/>
    <m/>
    <n v="960613712"/>
    <m/>
    <m/>
    <m/>
    <s v="Villa Maria del Triunfo"/>
    <d v="2022-10-25T00:00:00"/>
    <s v="1 Impresora termica de 58mm portátil bluetooth Y 1 paquete de 10 rollos termicos"/>
    <s v="BCP"/>
    <n v="170"/>
    <m/>
    <s v="U"/>
    <s v="Rodrigo"/>
  </r>
  <r>
    <n v="189"/>
    <x v="2"/>
    <s v="MINAYA PARIONA MARIA DEL ROSARIO"/>
    <m/>
    <n v="10101613246"/>
    <n v="941569887"/>
    <m/>
    <m/>
    <m/>
    <s v="Independecia"/>
    <d v="2022-10-27T00:00:00"/>
    <s v="1 Impresora termica de 80mm portátil bluetooth Y 3 paquete de 10 rollos termicos"/>
    <s v="Efectivo"/>
    <n v="300"/>
    <m/>
    <s v="U"/>
    <s v="Sergio"/>
  </r>
  <r>
    <n v="133"/>
    <x v="2"/>
    <s v="Beatriz "/>
    <m/>
    <m/>
    <n v="993104850"/>
    <m/>
    <m/>
    <m/>
    <s v="Jiron Cusco Centro de Lima"/>
    <d v="2022-10-27T00:00:00"/>
    <s v="2 Impresora termica de 80mm Y 20 rollos termicos de 80mm"/>
    <s v="Efectivo"/>
    <n v="600"/>
    <m/>
    <s v="U"/>
    <s v="Sergio"/>
  </r>
  <r>
    <n v="190"/>
    <x v="0"/>
    <s v="FAST GAS PERU S.A.C."/>
    <m/>
    <n v="20607770281"/>
    <n v="969352048"/>
    <s v="FT F001-21"/>
    <m/>
    <m/>
    <s v="Surco"/>
    <d v="2022-10-28T00:00:00"/>
    <s v="1 Impresora termica de 80mm portátil bluetooth Y 1 paquete de 10 rollos termicos"/>
    <s v="BCP"/>
    <n v="350"/>
    <m/>
    <s v="U"/>
    <s v="Rodrigo"/>
  </r>
  <r>
    <n v="191"/>
    <x v="0"/>
    <s v="R &amp; N BOTICA ODONTHOMARKET E.I.R.L."/>
    <m/>
    <n v="20601314038"/>
    <n v="993399745"/>
    <m/>
    <m/>
    <m/>
    <s v="Hospital Cayetano Herredia"/>
    <d v="2022-10-28T00:00:00"/>
    <s v="1 rollo de etiqueta de 50*25mm"/>
    <s v="BCP"/>
    <n v="30"/>
    <m/>
    <s v="U"/>
    <s v="Sergio"/>
  </r>
  <r>
    <n v="191"/>
    <x v="0"/>
    <s v="R &amp; N BOTICA ODONTHOMARKET E.I.R.L."/>
    <m/>
    <n v="20601314038"/>
    <n v="993399745"/>
    <s v="FT F001-22"/>
    <m/>
    <m/>
    <s v="Hospital Cayetano Herredia"/>
    <d v="2022-10-29T00:00:00"/>
    <s v="1 Impresora termica de etiqueta 58mm blanca Y 1 rollo de etiqueta de 50*25mm"/>
    <s v="BCP"/>
    <n v="390"/>
    <m/>
    <s v="U"/>
    <s v="Sergio"/>
  </r>
  <r>
    <n v="192"/>
    <x v="0"/>
    <s v="Renson Michel Sayre Mochcco"/>
    <m/>
    <m/>
    <n v="966002270"/>
    <s v="FT F001-24"/>
    <s v="Ica"/>
    <s v="Shalom"/>
    <m/>
    <d v="2022-10-31T00:00:00"/>
    <s v="1 Impresora termica de 80mm portátil bluetooth Y 1 paquete de 10 rollos termicos"/>
    <s v="BCP"/>
    <n v="335"/>
    <m/>
    <s v="U"/>
    <s v="Sergio"/>
  </r>
  <r>
    <n v="193"/>
    <x v="4"/>
    <s v="Yohana"/>
    <m/>
    <m/>
    <n v="940205170"/>
    <m/>
    <m/>
    <m/>
    <s v="Gamarra"/>
    <d v="2022-10-31T00:00:00"/>
    <s v="1 Impresora termica de 80mm portátil bluetooth Y 1 paquete de 10 rollos termicos"/>
    <s v="Efectivo"/>
    <n v="300"/>
    <m/>
    <s v="U"/>
    <s v="Sergio"/>
  </r>
  <r>
    <n v="194"/>
    <x v="4"/>
    <s v="Juan Carlos"/>
    <m/>
    <m/>
    <n v="945881998"/>
    <m/>
    <m/>
    <m/>
    <s v="Javier Prado"/>
    <d v="2022-11-01T00:00:00"/>
    <s v="1 Impresora termica de 80mm portátil bluetooth Y 1 paquete de 10 rollos termicos"/>
    <s v="Efectivo"/>
    <n v="300"/>
    <m/>
    <s v="U"/>
    <s v="Sergio"/>
  </r>
  <r>
    <n v="195"/>
    <x v="4"/>
    <s v="Andia Ramos de Jayo Joselyn Estefany"/>
    <m/>
    <n v="60074649"/>
    <n v="902529388"/>
    <m/>
    <s v="Chilca-Cañete"/>
    <s v="Shalom"/>
    <m/>
    <d v="2022-11-02T00:00:00"/>
    <s v="1 Impresora termica de 58mm portátil bluetooth Y 1 paquete de 10 rollos termicos"/>
    <s v="BCP"/>
    <n v="190"/>
    <m/>
    <s v="U"/>
    <s v="Rodrigo"/>
  </r>
  <r>
    <n v="196"/>
    <x v="4"/>
    <s v="Juan Francisco "/>
    <m/>
    <n v="42948298"/>
    <n v="981669583"/>
    <m/>
    <s v="Lambayeque-Lambayeque"/>
    <s v="Olva Courier"/>
    <m/>
    <d v="2022-11-02T00:00:00"/>
    <s v="1 Impresora termica de 58mm portátil bluetooth Y 1 paquete de 10 rollos termicos"/>
    <s v="BCP"/>
    <n v="200"/>
    <m/>
    <s v="U"/>
    <s v="Rodrigo"/>
  </r>
  <r>
    <n v="197"/>
    <x v="4"/>
    <s v="Parques Unidos S.A.C."/>
    <m/>
    <n v="20548788774"/>
    <n v="913004278"/>
    <s v="FT F001-25"/>
    <m/>
    <m/>
    <s v="Estación Naranjal"/>
    <d v="2022-11-02T00:00:00"/>
    <s v="2 Impresora termica de 58mm portátil bluetooth"/>
    <s v="BCP-RODRIGO"/>
    <n v="390"/>
    <m/>
    <s v="U"/>
    <s v="Sergio"/>
  </r>
  <r>
    <n v="198"/>
    <x v="4"/>
    <s v="Santiago Medina "/>
    <m/>
    <n v="47728669"/>
    <n v="943456808"/>
    <m/>
    <s v="CIUDAD CONSTITUCIÓN"/>
    <s v="E.T.L. HINOSTROZA EIRL"/>
    <m/>
    <d v="2022-11-07T00:00:00"/>
    <s v="1 Impresora termica de 58mm portátil bluetooth XPRINTER Y 1 paquete de 10 rollos termicos"/>
    <s v="BCP"/>
    <n v="225"/>
    <m/>
    <s v="U"/>
    <s v="Rodrigo"/>
  </r>
  <r>
    <n v="199"/>
    <x v="4"/>
    <s v="Cynthia Carrasco Borda"/>
    <m/>
    <n v="46177909"/>
    <n v="990497375"/>
    <m/>
    <s v="Abancay"/>
    <s v="Shalom"/>
    <m/>
    <d v="2022-11-07T00:00:00"/>
    <s v="1 Impresora termica de 58mm portátil bluetooth GOOJPRT Y 1 paquete de 10 rollos termicos"/>
    <s v="BCP-RODRIGO"/>
    <n v="190"/>
    <m/>
    <s v="U"/>
    <s v="Sergio"/>
  </r>
  <r>
    <n v="200"/>
    <x v="4"/>
    <s v="Jannet"/>
    <m/>
    <m/>
    <n v="924027175"/>
    <m/>
    <m/>
    <m/>
    <s v="Ventanilla"/>
    <d v="2022-11-08T00:00:00"/>
    <s v="1 Impresora termica de 58mm portátil bluetooth GOOJPRT Y 1 paquete de 10 rollos termicos"/>
    <s v="Efectivo"/>
    <n v="190"/>
    <m/>
    <s v="U"/>
    <s v="Rodrigo"/>
  </r>
  <r>
    <n v="201"/>
    <x v="0"/>
    <s v="Roger Efrain Adrianzen Ramirez"/>
    <m/>
    <n v="2661292"/>
    <n v="951709984"/>
    <s v="FT F001-26"/>
    <s v="Piura"/>
    <s v="Flores"/>
    <m/>
    <d v="2022-11-09T00:00:00"/>
    <s v="1 Impresora termica de 58mm portátil bluetooth GOOJPRT Y 1 paquete de 10 rollos termicos"/>
    <s v="BCP"/>
    <n v="200"/>
    <m/>
    <s v="U"/>
    <s v="Rodrigo"/>
  </r>
  <r>
    <n v="202"/>
    <x v="0"/>
    <s v="Rubi Santos"/>
    <m/>
    <n v="10439601201"/>
    <n v="991844209"/>
    <s v="FT F001-27"/>
    <m/>
    <m/>
    <s v="Mercado unicachi de pro"/>
    <d v="2022-11-10T00:00:00"/>
    <s v="1 impresora termica 80mm A260 1 caja contometro 80*80mm"/>
    <s v="BCP"/>
    <n v="520"/>
    <m/>
    <s v="U"/>
    <s v="Rodrigo"/>
  </r>
  <r>
    <n v="203"/>
    <x v="0"/>
    <s v="ATW SUPPORT AND SERVICES S.A.C."/>
    <m/>
    <n v="20606086459"/>
    <m/>
    <s v="FT F001-28"/>
    <m/>
    <m/>
    <s v="San Borja"/>
    <d v="2022-11-10T00:00:00"/>
    <s v="11 Impresora termica de 58mm portátil bluetooth GOOJPRT "/>
    <s v="BCP-RODRIGO"/>
    <n v="1925"/>
    <m/>
    <s v="M"/>
    <s v="Sergio"/>
  </r>
  <r>
    <n v="204"/>
    <x v="4"/>
    <s v="Lucio Ccorimanya Quispe"/>
    <m/>
    <n v="25218943"/>
    <n v="952357357"/>
    <m/>
    <s v="Cusco domicilio La cantuta B7 san sebastian"/>
    <s v="Marvisur"/>
    <m/>
    <d v="2022-11-10T00:00:00"/>
    <s v="1 impresora termica 80mm 318B, 1 caja contometro 80*80mm y rollo de etiqueta 30*40mm"/>
    <s v="BCP-RODRIGO"/>
    <n v="610"/>
    <m/>
    <s v="U"/>
    <s v="Sergio"/>
  </r>
  <r>
    <n v="205"/>
    <x v="4"/>
    <s v="Sara Apaza Medina Perez"/>
    <m/>
    <n v="45232163"/>
    <n v="991826503"/>
    <m/>
    <s v="Huancayo"/>
    <s v="Shalom"/>
    <m/>
    <d v="2022-11-10T00:00:00"/>
    <s v="1 Impresora termica de 58mm portátil bluetooth GOOJPRT Y 1 paquete de 10 rollos termicos"/>
    <s v="BCP-RODRIGO"/>
    <n v="190"/>
    <m/>
    <s v="U"/>
    <s v="Sergio"/>
  </r>
  <r>
    <n v="206"/>
    <x v="4"/>
    <s v="Julio Salinas"/>
    <m/>
    <n v="10075987019"/>
    <n v="939505831"/>
    <s v="FT F001-29"/>
    <m/>
    <m/>
    <s v="Lince el punto arequipeño"/>
    <d v="2022-11-11T00:00:00"/>
    <s v="1 Impresora termica de 80mm portátil bluetooth XPRINTER, 1 impresora termica escritorio 80mm 320B y 1 paquete de 10 rollos termicos 80*40mm"/>
    <s v="Interbank"/>
    <n v="700"/>
    <s v="Restaurant"/>
    <s v="U"/>
    <s v="Rodrigo"/>
  </r>
  <r>
    <n v="207"/>
    <x v="4"/>
    <s v="André Montoya"/>
    <m/>
    <m/>
    <n v="965393879"/>
    <m/>
    <m/>
    <m/>
    <m/>
    <d v="2022-11-12T00:00:00"/>
    <s v="1 Impresora termica de 58mm portátil bluetooth GOOJPRT Y 1 paquete de 10 rollos termicos"/>
    <s v="BCP"/>
    <n v="190"/>
    <m/>
    <s v="U"/>
    <s v="Rodrigo"/>
  </r>
  <r>
    <n v="110"/>
    <x v="2"/>
    <s v="Agua Luwa"/>
    <m/>
    <m/>
    <n v="987150308"/>
    <m/>
    <m/>
    <m/>
    <s v="Carabayllo"/>
    <d v="2022-11-13T00:00:00"/>
    <s v="1 Lectora de codigo de barra inalambrio"/>
    <s v="BCP"/>
    <n v="190"/>
    <s v="Ventas"/>
    <s v="U"/>
    <s v="Sergio"/>
  </r>
  <r>
    <n v="208"/>
    <x v="4"/>
    <s v="Alonso Rafael"/>
    <m/>
    <m/>
    <n v="997208605"/>
    <m/>
    <m/>
    <m/>
    <s v="Mercado productores de santa anita"/>
    <d v="2022-11-14T00:00:00"/>
    <s v="1 Impresora termica de 80mm escritorio XPRINTER 318B, 1 lectora de  codigo inalambrico, 1 gaveta de dinero CBX SC300 Y 1 rollo etiqueta 30*40mm"/>
    <s v="BCP 680-Efectivo 200"/>
    <n v="880"/>
    <m/>
    <s v="U"/>
    <s v="Rodrigo"/>
  </r>
  <r>
    <n v="209"/>
    <x v="4"/>
    <s v="Edgar Angel Sallo Achulla"/>
    <m/>
    <m/>
    <n v="929082332"/>
    <m/>
    <s v="Puquio-Lucanas"/>
    <s v="Marvisur"/>
    <m/>
    <d v="2022-11-14T00:00:00"/>
    <s v="1 Impresora termica de 80mm portátil bluetooth XPRINTER Y 1 paquete de 10 rollos termicos"/>
    <s v="BBVA"/>
    <n v="320"/>
    <m/>
    <s v="U"/>
    <s v="Sergio"/>
  </r>
  <r>
    <n v="210"/>
    <x v="4"/>
    <s v="Mirian Fiorrella Ruiz Flores"/>
    <m/>
    <n v="70463879"/>
    <n v="931557863"/>
    <m/>
    <s v="Tarapoto"/>
    <s v="Olva Courier"/>
    <m/>
    <d v="2022-11-15T00:00:00"/>
    <s v="1 Impresora termica de 80mm portátil bluetooth XPRINTER Y 1 paquete de 10 rollos termicos"/>
    <s v="Interbank"/>
    <n v="320"/>
    <m/>
    <s v="U"/>
    <s v="Sergio"/>
  </r>
  <r>
    <n v="211"/>
    <x v="4"/>
    <s v="Mari Fernandez Flores"/>
    <m/>
    <n v="41201962"/>
    <n v="900038812"/>
    <m/>
    <s v="San Martin-Santa Lucia"/>
    <s v="Leon de Huanuco"/>
    <m/>
    <d v="2022-11-15T00:00:00"/>
    <s v="1 Impresora termica de 58mm portátil bluetooth XPRINTER Y 1 paquete de 10 rollos termicos"/>
    <s v="Interbank"/>
    <n v="200"/>
    <m/>
    <s v="U"/>
    <s v="Sergio"/>
  </r>
  <r>
    <n v="212"/>
    <x v="4"/>
    <s v="Jose Brayn Omar Medina Castillo"/>
    <m/>
    <n v="74201265"/>
    <n v="922475825"/>
    <s v="FT F001-30"/>
    <s v="Piura"/>
    <s v="Shalom"/>
    <m/>
    <d v="2022-11-16T00:00:00"/>
    <s v="1 Impresora termica de 80mm escritorio XPRINTER 318B, 1 lectora de  codigo inalambrico, 1 caja de 20 contometro 80*80mm Y 1 rollo etiqueta 50*40mm"/>
    <s v="BBVA"/>
    <n v="765"/>
    <m/>
    <s v="U"/>
    <s v="Rodrigo"/>
  </r>
  <r>
    <n v="213"/>
    <x v="4"/>
    <s v="Jose"/>
    <m/>
    <m/>
    <n v="975565646"/>
    <m/>
    <m/>
    <m/>
    <s v="Huaycan"/>
    <d v="2022-11-16T00:00:00"/>
    <s v="1 Impresora termica de 80mm portátil bluetooth XPRINTER Y 2 paquete de 10 rollos termicos"/>
    <s v="Efectivo"/>
    <n v="400"/>
    <m/>
    <s v="U"/>
    <s v="Sergio"/>
  </r>
  <r>
    <n v="214"/>
    <x v="4"/>
    <s v="Edwin Cruz Trelles"/>
    <m/>
    <n v="71116865"/>
    <n v="958247712"/>
    <s v="FT F001-32"/>
    <s v="Arequipa Principal"/>
    <s v="Shalom"/>
    <m/>
    <d v="2022-11-16T00:00:00"/>
    <s v="1 Impresora termica Escritorio de 58mm Dual Y 1 rollo etiqueta  50*76"/>
    <s v="BBVA"/>
    <n v="450"/>
    <m/>
    <s v="U"/>
    <s v="Sergio"/>
  </r>
  <r>
    <n v="215"/>
    <x v="4"/>
    <s v="Liz Bolo"/>
    <m/>
    <m/>
    <n v="986990002"/>
    <m/>
    <m/>
    <m/>
    <s v="Av. La Marina"/>
    <d v="2022-11-16T00:00:00"/>
    <s v="1 Impresora termica de 58mm portátil bluetooth GOOJPRT Y 1 paquete de 10 rollos termicos"/>
    <s v="BCP"/>
    <n v="190"/>
    <s v="Salón de Belleza"/>
    <s v="U"/>
    <s v="Rodrigo"/>
  </r>
  <r>
    <n v="216"/>
    <x v="4"/>
    <s v="Anthony"/>
    <m/>
    <n v="20605746811"/>
    <n v="924119193"/>
    <s v="FT F001-32"/>
    <m/>
    <m/>
    <s v="Av. Brazil"/>
    <d v="2022-11-17T00:00:00"/>
    <s v="1 Impresora termica de 58mm portátil bluetooth GOOJPRT Y 1 paquete de 10 rollos termicos"/>
    <s v="Efectivo"/>
    <n v="220"/>
    <m/>
    <s v="U"/>
    <s v="Sergio"/>
  </r>
  <r>
    <n v="217"/>
    <x v="4"/>
    <s v="Mauricio"/>
    <m/>
    <n v="20609331977"/>
    <n v="981006108"/>
    <s v="FT F001-33"/>
    <m/>
    <m/>
    <s v="San Isidro"/>
    <d v="2022-11-18T00:00:00"/>
    <s v="1 Impresora termica de 80mm portátil bluetooth Labell usb-bluetooth, 1 paquete de 10 rollos ticket 80*40mm Y 1 rollo etiqueta 50*40mm"/>
    <s v="BCP-RODRIGO"/>
    <n v="520"/>
    <m/>
    <s v="U"/>
    <s v="Sergio"/>
  </r>
  <r>
    <n v="218"/>
    <x v="4"/>
    <s v="Andrea Catherine Alvarado Farias"/>
    <m/>
    <n v="44626904"/>
    <n v="940444622"/>
    <m/>
    <s v="Tumbes"/>
    <s v="Shalom"/>
    <m/>
    <d v="2022-11-19T00:00:00"/>
    <s v="1 Impresora termica de 58mm portátil bluetooth GOOJPRT Y 1 paquete de 10 rollos termicos"/>
    <s v="BCP-RODRIGO"/>
    <n v="200"/>
    <m/>
    <s v="U"/>
    <s v="Sergio"/>
  </r>
  <r>
    <n v="137"/>
    <x v="4"/>
    <s v="Diego Lisber Mamani Castro"/>
    <m/>
    <m/>
    <n v="959269812"/>
    <m/>
    <m/>
    <m/>
    <s v="Ate"/>
    <d v="2022-11-20T00:00:00"/>
    <s v="1 paquete de 10 rollos de 80*40mm"/>
    <s v="Efectivo"/>
    <n v="50"/>
    <m/>
    <s v="U"/>
    <s v="Rodrigo"/>
  </r>
  <r>
    <n v="219"/>
    <x v="4"/>
    <s v="Carlos Cuba"/>
    <m/>
    <n v="10081337468"/>
    <n v="944553300"/>
    <s v="FT F001-34"/>
    <m/>
    <m/>
    <s v="Estacion Metropolitano Central"/>
    <d v="2022-11-21T00:00:00"/>
    <s v="2 cajas de 80*40mm"/>
    <s v="Efectivo"/>
    <n v="360"/>
    <m/>
    <s v="U"/>
    <s v="Rodrigo"/>
  </r>
  <r>
    <n v="220"/>
    <x v="4"/>
    <s v="Geraldine Esmeralda Olivares Siancas"/>
    <m/>
    <n v="72402332"/>
    <n v="931104497"/>
    <m/>
    <s v="Piura"/>
    <s v="Shalom"/>
    <m/>
    <d v="2022-11-21T00:00:00"/>
    <s v="1 Impresora termica de 58mm portátil bluetooth GOOJPRT"/>
    <s v="BCP-RODRIGO"/>
    <n v="180"/>
    <m/>
    <s v="U"/>
    <s v="Sergio"/>
  </r>
  <r>
    <n v="221"/>
    <x v="4"/>
    <s v="Edith Salvador"/>
    <m/>
    <n v="20553732647"/>
    <n v="918346106"/>
    <s v="FT F001-36"/>
    <m/>
    <m/>
    <s v="Centro de Lima"/>
    <d v="2022-11-22T00:00:00"/>
    <s v="1 Impresora termica de 80mm portátil bluetooth XPRINTER"/>
    <s v="BCP"/>
    <n v="330"/>
    <m/>
    <s v="U"/>
    <s v="Rodrigo"/>
  </r>
  <r>
    <n v="222"/>
    <x v="4"/>
    <s v="Geosatelital Peru EIRL"/>
    <m/>
    <n v="20600137094"/>
    <n v="986618181"/>
    <s v="FT F001-35"/>
    <m/>
    <m/>
    <s v="Oficina"/>
    <d v="2022-11-22T00:00:00"/>
    <s v="1 Impresora termica de 80mm portátil bluetooth Etiqueta LASAET LS8007 y 1 rollo de etiqueta de 50*25mm"/>
    <s v="BCP"/>
    <n v="430"/>
    <m/>
    <s v="U"/>
    <s v="Rodrigo"/>
  </r>
  <r>
    <n v="124"/>
    <x v="0"/>
    <s v="Apaza Arela Angel"/>
    <n v="20601379377"/>
    <n v="46047067"/>
    <n v="933784155"/>
    <s v="FT F001-37"/>
    <s v="Juliaca"/>
    <s v="Shalom"/>
    <m/>
    <d v="2022-11-22T00:00:00"/>
    <s v="2 Impresora termica de 80mm GOOJPRT"/>
    <s v="Interbank"/>
    <n v="500"/>
    <m/>
    <s v="M"/>
    <s v="Rodrigo"/>
  </r>
  <r>
    <n v="125"/>
    <x v="4"/>
    <s v="Fernando Jesús Cruz Touzet"/>
    <n v="10182201222"/>
    <n v="18220122"/>
    <n v="949703013"/>
    <s v="FT F001-38"/>
    <s v="Trujillo"/>
    <m/>
    <m/>
    <d v="2022-11-23T00:00:00"/>
    <s v="1 Impresora termica de 80mm portátil bluetooth Etiqueta-Ticket XPRINTER, 1 rollo de etiqueta de 50*25mm y 1 paquete de 10 rollos de 80*40mm"/>
    <s v="BCP-RODRIGO"/>
    <n v="515"/>
    <m/>
    <s v="U"/>
    <s v="Sergio"/>
  </r>
  <r>
    <n v="126"/>
    <x v="4"/>
    <s v="Kelly"/>
    <m/>
    <m/>
    <n v="917003298"/>
    <m/>
    <m/>
    <m/>
    <s v="Agencia Financiera Confianza de Pachacutec de Ventanilla"/>
    <d v="2022-11-24T00:00:00"/>
    <s v="1 Impresora termica de 58mm portátil bluetooth XPRINTER"/>
    <s v="Efectivo"/>
    <n v="200"/>
    <m/>
    <s v="U"/>
    <s v="Rodrigo"/>
  </r>
  <r>
    <n v="127"/>
    <x v="4"/>
    <s v="Michel Zamora"/>
    <m/>
    <m/>
    <n v="986930346"/>
    <m/>
    <m/>
    <m/>
    <s v="San Juan De Lurigancho"/>
    <d v="2022-11-27T00:00:00"/>
    <s v="1 Impresora termica de 80mm portátil bluetooth XPRINTER"/>
    <s v="BCP"/>
    <n v="330"/>
    <m/>
    <s v="U"/>
    <s v="Rodrigo"/>
  </r>
  <r>
    <n v="128"/>
    <x v="0"/>
    <s v="Ricardo Marcel Barrionuevo Bustamante"/>
    <m/>
    <n v="44143269"/>
    <n v="959379078"/>
    <s v="FT F001-39"/>
    <s v="Arequipa-Principal"/>
    <s v="Cruz del Sur"/>
    <m/>
    <d v="2022-11-28T00:00:00"/>
    <s v="3 Impresora termica de 58mm portátil bluetooth XPRINTER"/>
    <s v="BCP"/>
    <n v="510"/>
    <m/>
    <s v="U"/>
    <s v="Rodrigo"/>
  </r>
  <r>
    <n v="129"/>
    <x v="4"/>
    <m/>
    <m/>
    <m/>
    <m/>
    <m/>
    <m/>
    <m/>
    <s v="El Agustino"/>
    <d v="2022-11-28T00:00:00"/>
    <s v="1 Impresora termica de 80mm portátil bluetooth XPRINTER 10 rollos termicos"/>
    <s v="Efectivo"/>
    <n v="330"/>
    <s v="Bodega"/>
    <s v="U"/>
    <s v="Sergio"/>
  </r>
  <r>
    <n v="124"/>
    <x v="0"/>
    <s v="Apaza Arela Angel"/>
    <n v="20601379377"/>
    <n v="46047067"/>
    <n v="933784155"/>
    <s v="FT F001-40"/>
    <s v="Juliaca"/>
    <s v="Shalom"/>
    <m/>
    <d v="2022-11-28T00:00:00"/>
    <s v="2 Impresora termica de 80mm GOOJPRT, 2 Impresora termica escritorio XPRINTER BLUETOOTH y 1 impresora portátil 58mm GOOJPRT"/>
    <s v="Interbank"/>
    <n v="1430"/>
    <m/>
    <s v="M"/>
    <s v="Rodri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25B4F-43E3-46A4-A94C-6D2952288342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624:I641" firstHeaderRow="1" firstDataRow="1" firstDataCol="0"/>
  <pivotFields count="17">
    <pivotField numFmtId="166" showAll="0"/>
    <pivotField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numFmtId="43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7"/>
  <sheetViews>
    <sheetView topLeftCell="O663" zoomScale="85" zoomScaleNormal="85" zoomScalePageLayoutView="10" workbookViewId="0">
      <selection activeCell="P680" sqref="P680"/>
    </sheetView>
  </sheetViews>
  <sheetFormatPr baseColWidth="10" defaultRowHeight="14.6"/>
  <cols>
    <col min="1" max="1" width="10.921875" bestFit="1" customWidth="1"/>
    <col min="3" max="3" width="42.23046875" bestFit="1" customWidth="1"/>
    <col min="4" max="4" width="11.84375" bestFit="1" customWidth="1"/>
    <col min="5" max="5" width="12.15234375" bestFit="1" customWidth="1"/>
    <col min="6" max="6" width="10.921875" bestFit="1" customWidth="1"/>
    <col min="8" max="8" width="23.61328125" bestFit="1" customWidth="1"/>
    <col min="9" max="9" width="20.61328125" bestFit="1" customWidth="1"/>
    <col min="10" max="10" width="14.69140625" customWidth="1"/>
    <col min="11" max="11" width="49.69140625" bestFit="1" customWidth="1"/>
    <col min="12" max="12" width="24.84375" customWidth="1"/>
    <col min="13" max="13" width="10.921875" bestFit="1" customWidth="1"/>
    <col min="14" max="14" width="10.921875" customWidth="1"/>
    <col min="15" max="15" width="13.69140625" customWidth="1"/>
    <col min="16" max="16" width="28.3046875" customWidth="1"/>
    <col min="17" max="20" width="10.921875" customWidth="1"/>
    <col min="21" max="21" width="15.61328125" bestFit="1" customWidth="1"/>
    <col min="22" max="22" width="13.15234375" style="4" bestFit="1" customWidth="1"/>
    <col min="23" max="23" width="50.07421875" customWidth="1"/>
    <col min="24" max="25" width="0.921875" customWidth="1"/>
    <col min="26" max="26" width="27" bestFit="1" customWidth="1"/>
  </cols>
  <sheetData>
    <row r="1" spans="1:26">
      <c r="A1" t="s">
        <v>1022</v>
      </c>
      <c r="B1" t="s">
        <v>60</v>
      </c>
      <c r="C1" t="s">
        <v>1023</v>
      </c>
      <c r="D1" t="s">
        <v>1024</v>
      </c>
      <c r="E1" t="s">
        <v>1025</v>
      </c>
      <c r="F1" t="s">
        <v>1026</v>
      </c>
      <c r="G1" t="s">
        <v>1027</v>
      </c>
      <c r="H1" t="s">
        <v>1028</v>
      </c>
      <c r="I1" t="s">
        <v>1029</v>
      </c>
      <c r="J1" t="s">
        <v>1030</v>
      </c>
      <c r="K1" t="s">
        <v>1031</v>
      </c>
      <c r="L1" t="s">
        <v>1032</v>
      </c>
      <c r="M1" t="s">
        <v>1033</v>
      </c>
      <c r="N1" t="s">
        <v>1035</v>
      </c>
      <c r="O1" s="5" t="s">
        <v>1036</v>
      </c>
      <c r="P1" t="s">
        <v>1037</v>
      </c>
      <c r="Q1" t="s">
        <v>1038</v>
      </c>
      <c r="R1" t="s">
        <v>1039</v>
      </c>
      <c r="S1" t="s">
        <v>1040</v>
      </c>
      <c r="T1" t="s">
        <v>1075</v>
      </c>
      <c r="U1" t="s">
        <v>1091</v>
      </c>
      <c r="V1" t="s">
        <v>1113</v>
      </c>
      <c r="W1" t="s">
        <v>1034</v>
      </c>
      <c r="Z1" t="s">
        <v>1130</v>
      </c>
    </row>
    <row r="2" spans="1:26">
      <c r="A2">
        <v>1</v>
      </c>
      <c r="B2" t="s">
        <v>0</v>
      </c>
      <c r="C2" t="s">
        <v>1</v>
      </c>
      <c r="F2">
        <v>912672415</v>
      </c>
      <c r="G2" t="s">
        <v>3</v>
      </c>
      <c r="H2" t="s">
        <v>4</v>
      </c>
      <c r="I2" t="s">
        <v>5</v>
      </c>
      <c r="K2" t="s">
        <v>6</v>
      </c>
      <c r="L2" t="s">
        <v>7</v>
      </c>
      <c r="M2" s="1">
        <v>44674</v>
      </c>
      <c r="N2" t="s">
        <v>8</v>
      </c>
      <c r="O2">
        <v>200</v>
      </c>
      <c r="P2" t="s">
        <v>9</v>
      </c>
      <c r="Q2" t="s">
        <v>10</v>
      </c>
      <c r="R2" t="s">
        <v>11</v>
      </c>
      <c r="T2" t="s">
        <v>1082</v>
      </c>
      <c r="U2" t="s">
        <v>1099</v>
      </c>
      <c r="V2" s="3">
        <v>1</v>
      </c>
      <c r="W2" t="s">
        <v>1146</v>
      </c>
      <c r="Z2" t="s">
        <v>1143</v>
      </c>
    </row>
    <row r="3" spans="1:26">
      <c r="A3">
        <v>2</v>
      </c>
      <c r="B3" t="s">
        <v>12</v>
      </c>
      <c r="C3" t="s">
        <v>13</v>
      </c>
      <c r="E3">
        <v>20608133161</v>
      </c>
      <c r="G3" t="s">
        <v>14</v>
      </c>
      <c r="H3" t="s">
        <v>4</v>
      </c>
      <c r="I3" t="s">
        <v>15</v>
      </c>
      <c r="K3" t="s">
        <v>16</v>
      </c>
      <c r="L3" t="s">
        <v>7</v>
      </c>
      <c r="M3" s="1">
        <v>44679</v>
      </c>
      <c r="N3" t="s">
        <v>8</v>
      </c>
      <c r="O3">
        <v>190</v>
      </c>
      <c r="P3" t="s">
        <v>101</v>
      </c>
      <c r="Q3" t="s">
        <v>10</v>
      </c>
      <c r="R3" t="s">
        <v>11</v>
      </c>
      <c r="T3" t="s">
        <v>1082</v>
      </c>
      <c r="U3" t="s">
        <v>1099</v>
      </c>
      <c r="V3" s="3">
        <v>1</v>
      </c>
      <c r="W3" t="s">
        <v>1146</v>
      </c>
      <c r="Z3" t="s">
        <v>1143</v>
      </c>
    </row>
    <row r="4" spans="1:26">
      <c r="A4">
        <v>3</v>
      </c>
      <c r="B4" t="s">
        <v>0</v>
      </c>
      <c r="C4" t="s">
        <v>17</v>
      </c>
      <c r="F4">
        <v>946289484</v>
      </c>
      <c r="G4" t="s">
        <v>18</v>
      </c>
      <c r="H4" t="s">
        <v>4</v>
      </c>
      <c r="I4" t="s">
        <v>19</v>
      </c>
      <c r="K4" t="s">
        <v>20</v>
      </c>
      <c r="L4" t="s">
        <v>7</v>
      </c>
      <c r="M4" s="1">
        <v>44682</v>
      </c>
      <c r="N4" t="s">
        <v>21</v>
      </c>
      <c r="O4">
        <v>200</v>
      </c>
      <c r="P4" t="s">
        <v>9</v>
      </c>
      <c r="Q4" t="s">
        <v>10</v>
      </c>
      <c r="R4" t="s">
        <v>22</v>
      </c>
      <c r="T4" t="s">
        <v>1082</v>
      </c>
      <c r="U4" t="s">
        <v>1099</v>
      </c>
      <c r="V4" s="3">
        <v>1</v>
      </c>
      <c r="W4" t="s">
        <v>1146</v>
      </c>
      <c r="Z4" t="s">
        <v>1143</v>
      </c>
    </row>
    <row r="5" spans="1:26">
      <c r="A5">
        <v>4</v>
      </c>
      <c r="B5" t="s">
        <v>23</v>
      </c>
      <c r="C5" t="s">
        <v>537</v>
      </c>
      <c r="G5" t="s">
        <v>2</v>
      </c>
      <c r="H5" t="s">
        <v>4</v>
      </c>
      <c r="I5" t="s">
        <v>24</v>
      </c>
      <c r="K5" t="s">
        <v>25</v>
      </c>
      <c r="L5" t="s">
        <v>37</v>
      </c>
      <c r="M5" s="1">
        <v>44682</v>
      </c>
      <c r="N5" t="s">
        <v>21</v>
      </c>
      <c r="O5">
        <v>200</v>
      </c>
      <c r="P5" t="s">
        <v>101</v>
      </c>
      <c r="Q5" t="s">
        <v>10</v>
      </c>
      <c r="R5" t="s">
        <v>22</v>
      </c>
      <c r="T5" t="s">
        <v>1082</v>
      </c>
      <c r="U5" t="s">
        <v>1099</v>
      </c>
      <c r="V5" s="3">
        <v>1</v>
      </c>
      <c r="W5" t="s">
        <v>1146</v>
      </c>
      <c r="Z5" t="s">
        <v>1143</v>
      </c>
    </row>
    <row r="6" spans="1:26">
      <c r="A6">
        <v>5</v>
      </c>
      <c r="B6" t="s">
        <v>0</v>
      </c>
      <c r="C6" t="s">
        <v>26</v>
      </c>
      <c r="E6">
        <v>71719102</v>
      </c>
      <c r="F6">
        <v>955181806</v>
      </c>
      <c r="G6" t="s">
        <v>27</v>
      </c>
      <c r="H6" t="s">
        <v>4</v>
      </c>
      <c r="I6" t="s">
        <v>28</v>
      </c>
      <c r="J6" t="s">
        <v>29</v>
      </c>
      <c r="K6" t="s">
        <v>2</v>
      </c>
      <c r="L6" t="s">
        <v>7</v>
      </c>
      <c r="M6" s="1">
        <v>44693</v>
      </c>
      <c r="N6" t="s">
        <v>8</v>
      </c>
      <c r="O6">
        <v>600</v>
      </c>
      <c r="P6" t="s">
        <v>30</v>
      </c>
      <c r="Q6" t="s">
        <v>31</v>
      </c>
      <c r="R6" t="s">
        <v>22</v>
      </c>
      <c r="T6" t="s">
        <v>1082</v>
      </c>
      <c r="U6" t="s">
        <v>1099</v>
      </c>
      <c r="V6" s="3">
        <v>3</v>
      </c>
      <c r="W6" t="s">
        <v>1146</v>
      </c>
      <c r="Z6" t="s">
        <v>1143</v>
      </c>
    </row>
    <row r="7" spans="1:26">
      <c r="A7">
        <v>6</v>
      </c>
      <c r="B7" t="s">
        <v>0</v>
      </c>
      <c r="C7" t="s">
        <v>32</v>
      </c>
      <c r="F7">
        <v>949365755</v>
      </c>
      <c r="G7" t="s">
        <v>33</v>
      </c>
      <c r="H7" t="s">
        <v>4</v>
      </c>
      <c r="I7" t="s">
        <v>15</v>
      </c>
      <c r="K7" t="s">
        <v>16</v>
      </c>
      <c r="L7" t="s">
        <v>7</v>
      </c>
      <c r="M7" s="1">
        <v>44705</v>
      </c>
      <c r="N7" t="s">
        <v>21</v>
      </c>
      <c r="O7">
        <v>180</v>
      </c>
      <c r="P7" t="s">
        <v>9</v>
      </c>
      <c r="Q7" t="s">
        <v>10</v>
      </c>
      <c r="R7" t="s">
        <v>11</v>
      </c>
      <c r="T7" t="s">
        <v>1082</v>
      </c>
      <c r="U7" t="s">
        <v>1099</v>
      </c>
      <c r="V7" s="3">
        <v>1</v>
      </c>
      <c r="W7" t="s">
        <v>1146</v>
      </c>
      <c r="Z7" t="s">
        <v>1143</v>
      </c>
    </row>
    <row r="8" spans="1:26">
      <c r="A8">
        <v>7</v>
      </c>
      <c r="B8" t="s">
        <v>0</v>
      </c>
      <c r="C8" t="s">
        <v>32</v>
      </c>
      <c r="F8">
        <v>949365755</v>
      </c>
      <c r="G8" t="s">
        <v>33</v>
      </c>
      <c r="H8" t="s">
        <v>4</v>
      </c>
      <c r="I8" t="s">
        <v>15</v>
      </c>
      <c r="K8" t="s">
        <v>16</v>
      </c>
      <c r="L8" t="s">
        <v>7</v>
      </c>
      <c r="M8" s="1">
        <v>44705</v>
      </c>
      <c r="N8" t="s">
        <v>21</v>
      </c>
      <c r="O8">
        <v>15</v>
      </c>
      <c r="P8" t="s">
        <v>9</v>
      </c>
      <c r="Q8" t="s">
        <v>10</v>
      </c>
      <c r="R8" t="s">
        <v>11</v>
      </c>
      <c r="T8" t="s">
        <v>1134</v>
      </c>
      <c r="U8" t="s">
        <v>1116</v>
      </c>
      <c r="V8">
        <v>10</v>
      </c>
      <c r="W8" t="s">
        <v>1137</v>
      </c>
      <c r="Z8" t="s">
        <v>1131</v>
      </c>
    </row>
    <row r="9" spans="1:26">
      <c r="A9">
        <v>8</v>
      </c>
      <c r="B9" t="s">
        <v>0</v>
      </c>
      <c r="C9" t="s">
        <v>34</v>
      </c>
      <c r="E9">
        <v>72477960</v>
      </c>
      <c r="F9">
        <v>931310189</v>
      </c>
      <c r="G9" t="s">
        <v>35</v>
      </c>
      <c r="H9" t="s">
        <v>423</v>
      </c>
      <c r="I9" t="s">
        <v>36</v>
      </c>
      <c r="J9" t="s">
        <v>29</v>
      </c>
      <c r="K9" t="s">
        <v>2</v>
      </c>
      <c r="L9" t="s">
        <v>37</v>
      </c>
      <c r="M9" s="1">
        <v>44707</v>
      </c>
      <c r="N9" t="s">
        <v>38</v>
      </c>
      <c r="O9">
        <v>185</v>
      </c>
      <c r="P9" t="s">
        <v>9</v>
      </c>
      <c r="Q9" t="s">
        <v>10</v>
      </c>
      <c r="R9" t="s">
        <v>11</v>
      </c>
      <c r="T9" t="s">
        <v>1082</v>
      </c>
      <c r="U9" t="s">
        <v>1099</v>
      </c>
      <c r="V9" s="3">
        <v>1</v>
      </c>
      <c r="W9" t="s">
        <v>1146</v>
      </c>
      <c r="Z9" t="s">
        <v>1143</v>
      </c>
    </row>
    <row r="10" spans="1:26">
      <c r="A10">
        <v>9</v>
      </c>
      <c r="B10" t="s">
        <v>0</v>
      </c>
      <c r="C10" t="s">
        <v>34</v>
      </c>
      <c r="E10">
        <v>72477960</v>
      </c>
      <c r="F10">
        <v>931310189</v>
      </c>
      <c r="G10" t="s">
        <v>1109</v>
      </c>
      <c r="H10" t="s">
        <v>423</v>
      </c>
      <c r="I10" t="s">
        <v>36</v>
      </c>
      <c r="J10" t="s">
        <v>29</v>
      </c>
      <c r="L10" t="s">
        <v>37</v>
      </c>
      <c r="M10" s="1">
        <v>44707</v>
      </c>
      <c r="N10" t="s">
        <v>38</v>
      </c>
      <c r="O10">
        <v>15</v>
      </c>
      <c r="P10" t="s">
        <v>9</v>
      </c>
      <c r="Q10" t="s">
        <v>10</v>
      </c>
      <c r="R10" t="s">
        <v>11</v>
      </c>
      <c r="T10" t="s">
        <v>1134</v>
      </c>
      <c r="U10" t="s">
        <v>1116</v>
      </c>
      <c r="V10">
        <v>10</v>
      </c>
      <c r="W10" t="s">
        <v>1137</v>
      </c>
      <c r="Z10" t="s">
        <v>1131</v>
      </c>
    </row>
    <row r="11" spans="1:26">
      <c r="A11">
        <v>10</v>
      </c>
      <c r="B11" t="s">
        <v>0</v>
      </c>
      <c r="C11" t="s">
        <v>39</v>
      </c>
      <c r="E11">
        <v>44611313</v>
      </c>
      <c r="F11">
        <v>949463540</v>
      </c>
      <c r="G11" t="s">
        <v>40</v>
      </c>
      <c r="H11" t="s">
        <v>4</v>
      </c>
      <c r="I11" t="s">
        <v>41</v>
      </c>
      <c r="J11" t="s">
        <v>29</v>
      </c>
      <c r="K11" t="s">
        <v>2</v>
      </c>
      <c r="L11" t="s">
        <v>37</v>
      </c>
      <c r="M11" s="1">
        <v>44709</v>
      </c>
      <c r="N11" t="s">
        <v>8</v>
      </c>
      <c r="O11">
        <v>200</v>
      </c>
      <c r="P11" t="s">
        <v>1076</v>
      </c>
      <c r="Q11" t="s">
        <v>10</v>
      </c>
      <c r="R11" t="s">
        <v>11</v>
      </c>
      <c r="S11">
        <v>10</v>
      </c>
      <c r="T11" t="s">
        <v>1082</v>
      </c>
      <c r="U11" t="s">
        <v>1099</v>
      </c>
      <c r="V11" s="3">
        <v>1</v>
      </c>
      <c r="W11" t="s">
        <v>1146</v>
      </c>
      <c r="Z11" t="s">
        <v>1143</v>
      </c>
    </row>
    <row r="12" spans="1:26">
      <c r="A12">
        <v>11</v>
      </c>
      <c r="B12" t="s">
        <v>12</v>
      </c>
      <c r="C12" t="s">
        <v>42</v>
      </c>
      <c r="E12">
        <v>10741648828</v>
      </c>
      <c r="F12">
        <v>916455992</v>
      </c>
      <c r="G12" t="s">
        <v>43</v>
      </c>
      <c r="H12" t="s">
        <v>1087</v>
      </c>
      <c r="I12" t="s">
        <v>44</v>
      </c>
      <c r="J12" t="s">
        <v>45</v>
      </c>
      <c r="K12" t="s">
        <v>2</v>
      </c>
      <c r="L12" t="s">
        <v>37</v>
      </c>
      <c r="M12" s="1">
        <v>44711</v>
      </c>
      <c r="N12" t="s">
        <v>38</v>
      </c>
      <c r="O12" s="15">
        <v>213</v>
      </c>
      <c r="P12" t="s">
        <v>129</v>
      </c>
      <c r="Q12" t="s">
        <v>10</v>
      </c>
      <c r="R12" t="s">
        <v>11</v>
      </c>
      <c r="T12" t="s">
        <v>1082</v>
      </c>
      <c r="U12" t="s">
        <v>1099</v>
      </c>
      <c r="V12" s="3">
        <v>1</v>
      </c>
      <c r="W12" t="s">
        <v>1146</v>
      </c>
      <c r="Z12" t="s">
        <v>1143</v>
      </c>
    </row>
    <row r="13" spans="1:26">
      <c r="A13">
        <v>12</v>
      </c>
      <c r="B13" t="s">
        <v>12</v>
      </c>
      <c r="C13" t="s">
        <v>42</v>
      </c>
      <c r="E13">
        <v>10741648828</v>
      </c>
      <c r="F13">
        <v>916455992</v>
      </c>
      <c r="G13" t="s">
        <v>43</v>
      </c>
      <c r="H13" t="s">
        <v>1087</v>
      </c>
      <c r="I13" t="s">
        <v>44</v>
      </c>
      <c r="J13" t="s">
        <v>45</v>
      </c>
      <c r="K13" t="s">
        <v>2</v>
      </c>
      <c r="L13" t="s">
        <v>37</v>
      </c>
      <c r="M13" s="1">
        <v>44711</v>
      </c>
      <c r="N13" t="s">
        <v>38</v>
      </c>
      <c r="O13">
        <v>15</v>
      </c>
      <c r="P13" t="s">
        <v>129</v>
      </c>
      <c r="Q13" t="s">
        <v>10</v>
      </c>
      <c r="R13" t="s">
        <v>11</v>
      </c>
      <c r="T13" t="s">
        <v>1134</v>
      </c>
      <c r="U13" t="s">
        <v>1116</v>
      </c>
      <c r="V13">
        <v>10</v>
      </c>
      <c r="W13" t="s">
        <v>1137</v>
      </c>
      <c r="Z13" t="s">
        <v>1131</v>
      </c>
    </row>
    <row r="14" spans="1:26">
      <c r="A14">
        <v>13</v>
      </c>
      <c r="B14" t="s">
        <v>12</v>
      </c>
      <c r="C14" t="s">
        <v>46</v>
      </c>
      <c r="E14">
        <v>10013232046</v>
      </c>
      <c r="F14">
        <v>951501949</v>
      </c>
      <c r="G14" t="s">
        <v>47</v>
      </c>
      <c r="H14" t="s">
        <v>48</v>
      </c>
      <c r="J14" t="s">
        <v>29</v>
      </c>
      <c r="K14" t="s">
        <v>2</v>
      </c>
      <c r="L14" t="s">
        <v>37</v>
      </c>
      <c r="M14" s="1">
        <v>44712</v>
      </c>
      <c r="N14" t="s">
        <v>8</v>
      </c>
      <c r="O14">
        <v>335</v>
      </c>
      <c r="P14" t="s">
        <v>1077</v>
      </c>
      <c r="Q14" t="s">
        <v>10</v>
      </c>
      <c r="R14" t="s">
        <v>11</v>
      </c>
      <c r="T14" t="s">
        <v>1082</v>
      </c>
      <c r="U14" t="s">
        <v>1104</v>
      </c>
      <c r="V14" s="3">
        <v>1</v>
      </c>
      <c r="W14" t="s">
        <v>1146</v>
      </c>
      <c r="Z14" t="s">
        <v>1143</v>
      </c>
    </row>
    <row r="15" spans="1:26">
      <c r="A15">
        <v>14</v>
      </c>
      <c r="B15" t="s">
        <v>12</v>
      </c>
      <c r="C15" t="s">
        <v>46</v>
      </c>
      <c r="E15">
        <v>10013232046</v>
      </c>
      <c r="F15">
        <v>951501949</v>
      </c>
      <c r="G15" t="s">
        <v>47</v>
      </c>
      <c r="H15" t="s">
        <v>48</v>
      </c>
      <c r="J15" t="s">
        <v>29</v>
      </c>
      <c r="K15" t="s">
        <v>2</v>
      </c>
      <c r="L15" t="s">
        <v>37</v>
      </c>
      <c r="M15" s="1">
        <v>44712</v>
      </c>
      <c r="N15" t="s">
        <v>8</v>
      </c>
      <c r="O15">
        <v>15</v>
      </c>
      <c r="P15" t="s">
        <v>1077</v>
      </c>
      <c r="Q15" t="s">
        <v>10</v>
      </c>
      <c r="R15" t="s">
        <v>11</v>
      </c>
      <c r="T15" t="s">
        <v>1134</v>
      </c>
      <c r="U15" t="s">
        <v>1116</v>
      </c>
      <c r="V15">
        <v>10</v>
      </c>
      <c r="W15" t="s">
        <v>1137</v>
      </c>
      <c r="Z15" t="s">
        <v>1131</v>
      </c>
    </row>
    <row r="16" spans="1:26">
      <c r="A16">
        <v>15</v>
      </c>
      <c r="B16" t="s">
        <v>0</v>
      </c>
      <c r="C16" t="s">
        <v>49</v>
      </c>
      <c r="E16">
        <v>44867411</v>
      </c>
      <c r="F16">
        <v>934546787</v>
      </c>
      <c r="G16" t="s">
        <v>50</v>
      </c>
      <c r="H16" t="s">
        <v>514</v>
      </c>
      <c r="I16" t="s">
        <v>51</v>
      </c>
      <c r="J16" t="s">
        <v>29</v>
      </c>
      <c r="K16" t="s">
        <v>2</v>
      </c>
      <c r="L16" t="s">
        <v>37</v>
      </c>
      <c r="M16" s="1">
        <v>44713</v>
      </c>
      <c r="N16" t="s">
        <v>8</v>
      </c>
      <c r="O16">
        <v>200</v>
      </c>
      <c r="P16" t="s">
        <v>52</v>
      </c>
      <c r="Q16" t="s">
        <v>10</v>
      </c>
      <c r="R16" t="s">
        <v>11</v>
      </c>
      <c r="T16" t="s">
        <v>1082</v>
      </c>
      <c r="U16" t="s">
        <v>1099</v>
      </c>
      <c r="V16" s="3">
        <v>1</v>
      </c>
      <c r="W16" t="s">
        <v>1146</v>
      </c>
      <c r="Z16" t="s">
        <v>1143</v>
      </c>
    </row>
    <row r="17" spans="1:26">
      <c r="A17">
        <v>16</v>
      </c>
      <c r="B17" t="s">
        <v>0</v>
      </c>
      <c r="C17" t="s">
        <v>49</v>
      </c>
      <c r="E17">
        <v>44867411</v>
      </c>
      <c r="F17">
        <v>934546787</v>
      </c>
      <c r="G17" t="s">
        <v>50</v>
      </c>
      <c r="H17" t="s">
        <v>514</v>
      </c>
      <c r="I17" t="s">
        <v>51</v>
      </c>
      <c r="J17" t="s">
        <v>29</v>
      </c>
      <c r="K17" t="s">
        <v>2</v>
      </c>
      <c r="L17" t="s">
        <v>37</v>
      </c>
      <c r="M17" s="1">
        <v>44713</v>
      </c>
      <c r="N17" t="s">
        <v>8</v>
      </c>
      <c r="O17">
        <v>20</v>
      </c>
      <c r="P17" t="s">
        <v>52</v>
      </c>
      <c r="Q17" t="s">
        <v>10</v>
      </c>
      <c r="R17" t="s">
        <v>11</v>
      </c>
      <c r="T17" t="s">
        <v>1134</v>
      </c>
      <c r="U17" t="s">
        <v>1116</v>
      </c>
      <c r="V17">
        <v>10</v>
      </c>
      <c r="W17" t="s">
        <v>1137</v>
      </c>
      <c r="Z17" t="s">
        <v>1131</v>
      </c>
    </row>
    <row r="18" spans="1:26">
      <c r="A18">
        <v>17</v>
      </c>
      <c r="B18" t="s">
        <v>12</v>
      </c>
      <c r="C18" t="s">
        <v>53</v>
      </c>
      <c r="E18">
        <v>10432482419</v>
      </c>
      <c r="F18">
        <v>945128886</v>
      </c>
      <c r="G18" t="s">
        <v>54</v>
      </c>
      <c r="H18" t="s">
        <v>55</v>
      </c>
      <c r="J18" t="s">
        <v>29</v>
      </c>
      <c r="K18" t="s">
        <v>2</v>
      </c>
      <c r="L18" t="s">
        <v>37</v>
      </c>
      <c r="M18" s="1">
        <v>44713</v>
      </c>
      <c r="N18" t="s">
        <v>56</v>
      </c>
      <c r="O18" s="2">
        <v>1500</v>
      </c>
      <c r="P18" t="s">
        <v>1076</v>
      </c>
      <c r="Q18" t="s">
        <v>31</v>
      </c>
      <c r="R18" t="s">
        <v>11</v>
      </c>
      <c r="T18" t="s">
        <v>1082</v>
      </c>
      <c r="U18" t="s">
        <v>1104</v>
      </c>
      <c r="V18" s="3">
        <v>5</v>
      </c>
      <c r="W18" t="s">
        <v>1145</v>
      </c>
      <c r="Z18" t="s">
        <v>1143</v>
      </c>
    </row>
    <row r="19" spans="1:26">
      <c r="A19">
        <v>18</v>
      </c>
      <c r="B19" t="s">
        <v>23</v>
      </c>
      <c r="C19" t="s">
        <v>57</v>
      </c>
      <c r="F19">
        <v>960292552</v>
      </c>
      <c r="G19" t="s">
        <v>2</v>
      </c>
      <c r="H19" t="s">
        <v>4</v>
      </c>
      <c r="I19" t="s">
        <v>58</v>
      </c>
      <c r="K19" t="s">
        <v>59</v>
      </c>
      <c r="L19" t="s">
        <v>7</v>
      </c>
      <c r="M19" s="1">
        <v>44714</v>
      </c>
      <c r="N19" t="s">
        <v>21</v>
      </c>
      <c r="O19">
        <v>330</v>
      </c>
      <c r="P19" t="s">
        <v>9</v>
      </c>
      <c r="Q19" t="s">
        <v>10</v>
      </c>
      <c r="R19" t="s">
        <v>11</v>
      </c>
      <c r="T19" t="s">
        <v>1092</v>
      </c>
      <c r="U19" t="s">
        <v>1101</v>
      </c>
      <c r="V19" s="3">
        <v>1</v>
      </c>
      <c r="W19" t="s">
        <v>1146</v>
      </c>
      <c r="Z19" t="s">
        <v>1143</v>
      </c>
    </row>
    <row r="20" spans="1:26">
      <c r="A20">
        <v>19</v>
      </c>
      <c r="B20" t="s">
        <v>60</v>
      </c>
      <c r="C20" t="s">
        <v>61</v>
      </c>
      <c r="F20">
        <v>960583765</v>
      </c>
      <c r="G20" t="s">
        <v>62</v>
      </c>
      <c r="H20" t="s">
        <v>4</v>
      </c>
      <c r="I20" t="s">
        <v>63</v>
      </c>
      <c r="K20" t="s">
        <v>63</v>
      </c>
      <c r="L20" t="s">
        <v>7</v>
      </c>
      <c r="M20" s="1">
        <v>44714</v>
      </c>
      <c r="N20" t="s">
        <v>8</v>
      </c>
      <c r="O20">
        <v>370</v>
      </c>
      <c r="P20" t="s">
        <v>101</v>
      </c>
      <c r="Q20" t="s">
        <v>31</v>
      </c>
      <c r="R20" t="s">
        <v>22</v>
      </c>
      <c r="T20" t="s">
        <v>1082</v>
      </c>
      <c r="U20" t="s">
        <v>1099</v>
      </c>
      <c r="V20" s="3">
        <v>2</v>
      </c>
      <c r="W20" t="s">
        <v>1146</v>
      </c>
      <c r="Z20" t="s">
        <v>1143</v>
      </c>
    </row>
    <row r="21" spans="1:26">
      <c r="A21">
        <v>20</v>
      </c>
      <c r="B21" t="s">
        <v>60</v>
      </c>
      <c r="C21" t="s">
        <v>61</v>
      </c>
      <c r="F21">
        <v>960583765</v>
      </c>
      <c r="G21" t="s">
        <v>62</v>
      </c>
      <c r="H21" t="s">
        <v>4</v>
      </c>
      <c r="I21" t="s">
        <v>63</v>
      </c>
      <c r="K21" t="s">
        <v>63</v>
      </c>
      <c r="L21" t="s">
        <v>7</v>
      </c>
      <c r="M21" s="1">
        <v>44714</v>
      </c>
      <c r="N21" t="s">
        <v>8</v>
      </c>
      <c r="O21">
        <v>30</v>
      </c>
      <c r="P21" t="s">
        <v>101</v>
      </c>
      <c r="Q21" t="s">
        <v>31</v>
      </c>
      <c r="R21" t="s">
        <v>22</v>
      </c>
      <c r="T21" t="s">
        <v>1134</v>
      </c>
      <c r="U21" t="s">
        <v>1116</v>
      </c>
      <c r="V21">
        <v>20</v>
      </c>
      <c r="W21" t="s">
        <v>1137</v>
      </c>
      <c r="Z21" t="s">
        <v>1131</v>
      </c>
    </row>
    <row r="22" spans="1:26">
      <c r="A22">
        <v>21</v>
      </c>
      <c r="B22" t="s">
        <v>2</v>
      </c>
      <c r="C22" t="s">
        <v>64</v>
      </c>
      <c r="F22">
        <v>949590680</v>
      </c>
      <c r="G22" t="s">
        <v>2</v>
      </c>
      <c r="H22" t="s">
        <v>65</v>
      </c>
      <c r="J22" t="s">
        <v>29</v>
      </c>
      <c r="K22" t="s">
        <v>2</v>
      </c>
      <c r="L22" t="s">
        <v>37</v>
      </c>
      <c r="M22" s="1">
        <v>44714</v>
      </c>
      <c r="N22" t="s">
        <v>38</v>
      </c>
      <c r="O22">
        <v>385</v>
      </c>
      <c r="P22" t="s">
        <v>1076</v>
      </c>
      <c r="Q22" t="s">
        <v>10</v>
      </c>
      <c r="R22" t="s">
        <v>22</v>
      </c>
      <c r="T22" t="s">
        <v>1092</v>
      </c>
      <c r="U22" t="s">
        <v>1095</v>
      </c>
      <c r="V22" s="3">
        <v>1</v>
      </c>
      <c r="W22" t="s">
        <v>1145</v>
      </c>
      <c r="Z22" t="s">
        <v>1143</v>
      </c>
    </row>
    <row r="23" spans="1:26">
      <c r="A23">
        <v>22</v>
      </c>
      <c r="B23" t="s">
        <v>2</v>
      </c>
      <c r="C23" t="s">
        <v>64</v>
      </c>
      <c r="F23">
        <v>949590680</v>
      </c>
      <c r="G23" t="s">
        <v>2</v>
      </c>
      <c r="H23" t="s">
        <v>65</v>
      </c>
      <c r="I23" t="s">
        <v>2</v>
      </c>
      <c r="J23" t="s">
        <v>29</v>
      </c>
      <c r="K23" t="s">
        <v>2</v>
      </c>
      <c r="L23" t="s">
        <v>37</v>
      </c>
      <c r="M23" s="1">
        <v>44714</v>
      </c>
      <c r="N23" t="s">
        <v>38</v>
      </c>
      <c r="O23">
        <v>15</v>
      </c>
      <c r="P23" t="s">
        <v>101</v>
      </c>
      <c r="Q23" t="s">
        <v>10</v>
      </c>
      <c r="R23" t="s">
        <v>22</v>
      </c>
      <c r="T23" t="s">
        <v>1134</v>
      </c>
      <c r="U23" t="s">
        <v>1116</v>
      </c>
      <c r="V23">
        <v>20</v>
      </c>
      <c r="W23" t="s">
        <v>1137</v>
      </c>
      <c r="Z23" t="s">
        <v>1131</v>
      </c>
    </row>
    <row r="24" spans="1:26">
      <c r="A24">
        <v>23</v>
      </c>
      <c r="B24" t="s">
        <v>2</v>
      </c>
      <c r="C24" t="s">
        <v>66</v>
      </c>
      <c r="E24">
        <v>10417259525</v>
      </c>
      <c r="F24">
        <v>916263285</v>
      </c>
      <c r="G24" t="s">
        <v>2</v>
      </c>
      <c r="H24" t="s">
        <v>1043</v>
      </c>
      <c r="I24" t="s">
        <v>67</v>
      </c>
      <c r="J24" t="s">
        <v>29</v>
      </c>
      <c r="K24" t="s">
        <v>2</v>
      </c>
      <c r="L24" t="s">
        <v>37</v>
      </c>
      <c r="M24" s="1">
        <v>44715</v>
      </c>
      <c r="N24" t="s">
        <v>8</v>
      </c>
      <c r="O24" s="14">
        <v>196</v>
      </c>
      <c r="P24" s="14" t="s">
        <v>9</v>
      </c>
      <c r="Q24" t="s">
        <v>10</v>
      </c>
      <c r="R24" t="s">
        <v>11</v>
      </c>
      <c r="T24" t="s">
        <v>1082</v>
      </c>
      <c r="U24" t="s">
        <v>1099</v>
      </c>
      <c r="V24" s="3">
        <v>1</v>
      </c>
      <c r="W24" t="s">
        <v>1146</v>
      </c>
      <c r="Z24" t="s">
        <v>1143</v>
      </c>
    </row>
    <row r="25" spans="1:26">
      <c r="A25">
        <v>24</v>
      </c>
      <c r="B25" t="s">
        <v>2</v>
      </c>
      <c r="C25" t="s">
        <v>66</v>
      </c>
      <c r="E25">
        <v>10417259525</v>
      </c>
      <c r="F25">
        <v>916263285</v>
      </c>
      <c r="G25" t="s">
        <v>2</v>
      </c>
      <c r="H25" t="s">
        <v>1043</v>
      </c>
      <c r="I25" t="s">
        <v>67</v>
      </c>
      <c r="J25" t="s">
        <v>29</v>
      </c>
      <c r="K25" t="s">
        <v>2</v>
      </c>
      <c r="L25" t="s">
        <v>37</v>
      </c>
      <c r="M25" s="1">
        <v>44715</v>
      </c>
      <c r="N25" t="s">
        <v>8</v>
      </c>
      <c r="O25" s="14">
        <v>15</v>
      </c>
      <c r="P25" s="14" t="s">
        <v>9</v>
      </c>
      <c r="Q25" t="s">
        <v>10</v>
      </c>
      <c r="R25" t="s">
        <v>11</v>
      </c>
      <c r="T25" t="s">
        <v>1134</v>
      </c>
      <c r="U25" t="s">
        <v>1116</v>
      </c>
      <c r="V25">
        <v>10</v>
      </c>
      <c r="W25" t="s">
        <v>1137</v>
      </c>
      <c r="Z25" t="s">
        <v>1131</v>
      </c>
    </row>
    <row r="26" spans="1:26">
      <c r="A26">
        <v>25</v>
      </c>
      <c r="B26" t="s">
        <v>2</v>
      </c>
      <c r="C26" t="s">
        <v>68</v>
      </c>
      <c r="E26">
        <v>10806242654</v>
      </c>
      <c r="F26">
        <v>972432081</v>
      </c>
      <c r="G26" t="s">
        <v>2</v>
      </c>
      <c r="H26" t="s">
        <v>48</v>
      </c>
      <c r="J26" t="s">
        <v>29</v>
      </c>
      <c r="K26" t="s">
        <v>2</v>
      </c>
      <c r="L26" t="s">
        <v>37</v>
      </c>
      <c r="M26" s="1">
        <v>44715</v>
      </c>
      <c r="N26" t="s">
        <v>38</v>
      </c>
      <c r="O26" s="14">
        <v>205</v>
      </c>
      <c r="P26" s="14" t="s">
        <v>1076</v>
      </c>
      <c r="Q26" t="s">
        <v>10</v>
      </c>
      <c r="R26" t="s">
        <v>11</v>
      </c>
      <c r="T26" t="s">
        <v>1092</v>
      </c>
      <c r="U26" t="s">
        <v>1100</v>
      </c>
      <c r="V26" s="3">
        <v>1</v>
      </c>
      <c r="W26" t="s">
        <v>1146</v>
      </c>
      <c r="Z26" t="s">
        <v>1144</v>
      </c>
    </row>
    <row r="27" spans="1:26">
      <c r="A27">
        <v>26</v>
      </c>
      <c r="B27" t="s">
        <v>2</v>
      </c>
      <c r="C27" t="s">
        <v>68</v>
      </c>
      <c r="E27">
        <v>10806242654</v>
      </c>
      <c r="F27">
        <v>972432081</v>
      </c>
      <c r="G27" t="s">
        <v>2</v>
      </c>
      <c r="H27" t="s">
        <v>48</v>
      </c>
      <c r="J27" t="s">
        <v>29</v>
      </c>
      <c r="K27" t="s">
        <v>2</v>
      </c>
      <c r="L27" t="s">
        <v>37</v>
      </c>
      <c r="M27" s="1">
        <v>44715</v>
      </c>
      <c r="N27" t="s">
        <v>38</v>
      </c>
      <c r="O27" s="14">
        <v>15</v>
      </c>
      <c r="P27" s="14" t="s">
        <v>1076</v>
      </c>
      <c r="Q27" t="s">
        <v>10</v>
      </c>
      <c r="R27" t="s">
        <v>11</v>
      </c>
      <c r="T27" t="s">
        <v>1134</v>
      </c>
      <c r="U27" t="s">
        <v>1116</v>
      </c>
      <c r="V27">
        <v>10</v>
      </c>
      <c r="W27" t="s">
        <v>1137</v>
      </c>
      <c r="Z27" t="s">
        <v>1131</v>
      </c>
    </row>
    <row r="28" spans="1:26">
      <c r="A28">
        <v>27</v>
      </c>
      <c r="B28" t="s">
        <v>12</v>
      </c>
      <c r="C28" t="s">
        <v>69</v>
      </c>
      <c r="E28">
        <v>10419454287</v>
      </c>
      <c r="F28">
        <v>946069743</v>
      </c>
      <c r="G28" t="s">
        <v>70</v>
      </c>
      <c r="H28" t="s">
        <v>65</v>
      </c>
      <c r="I28" t="s">
        <v>71</v>
      </c>
      <c r="J28" t="s">
        <v>29</v>
      </c>
      <c r="K28" t="s">
        <v>2</v>
      </c>
      <c r="L28" t="s">
        <v>37</v>
      </c>
      <c r="M28" s="1">
        <v>44715</v>
      </c>
      <c r="N28" t="s">
        <v>8</v>
      </c>
      <c r="O28" s="14">
        <v>205</v>
      </c>
      <c r="P28" s="14" t="s">
        <v>1076</v>
      </c>
      <c r="Q28" t="s">
        <v>10</v>
      </c>
      <c r="R28" t="s">
        <v>11</v>
      </c>
      <c r="T28" t="s">
        <v>1092</v>
      </c>
      <c r="U28" t="s">
        <v>1100</v>
      </c>
      <c r="V28" s="3">
        <v>1</v>
      </c>
      <c r="W28" t="s">
        <v>1146</v>
      </c>
      <c r="Z28" t="s">
        <v>1144</v>
      </c>
    </row>
    <row r="29" spans="1:26">
      <c r="A29">
        <v>28</v>
      </c>
      <c r="B29" t="s">
        <v>12</v>
      </c>
      <c r="C29" t="s">
        <v>69</v>
      </c>
      <c r="E29">
        <v>10419454287</v>
      </c>
      <c r="F29">
        <v>946069743</v>
      </c>
      <c r="G29" t="s">
        <v>70</v>
      </c>
      <c r="H29" t="s">
        <v>65</v>
      </c>
      <c r="I29" t="s">
        <v>71</v>
      </c>
      <c r="J29" t="s">
        <v>29</v>
      </c>
      <c r="K29" t="s">
        <v>2</v>
      </c>
      <c r="L29" t="s">
        <v>37</v>
      </c>
      <c r="M29" s="1">
        <v>44715</v>
      </c>
      <c r="N29" t="s">
        <v>8</v>
      </c>
      <c r="O29" s="14">
        <v>15</v>
      </c>
      <c r="P29" s="14" t="s">
        <v>1076</v>
      </c>
      <c r="Q29" t="s">
        <v>10</v>
      </c>
      <c r="R29" t="s">
        <v>11</v>
      </c>
      <c r="T29" t="s">
        <v>1134</v>
      </c>
      <c r="U29" t="s">
        <v>1116</v>
      </c>
      <c r="V29">
        <v>10</v>
      </c>
      <c r="W29" t="s">
        <v>1137</v>
      </c>
      <c r="Z29" t="s">
        <v>1131</v>
      </c>
    </row>
    <row r="30" spans="1:26">
      <c r="A30">
        <v>29</v>
      </c>
      <c r="B30" t="s">
        <v>60</v>
      </c>
      <c r="C30" t="s">
        <v>72</v>
      </c>
      <c r="F30">
        <v>946308723</v>
      </c>
      <c r="G30" t="s">
        <v>73</v>
      </c>
      <c r="H30" t="s">
        <v>514</v>
      </c>
      <c r="I30" t="s">
        <v>74</v>
      </c>
      <c r="J30" t="s">
        <v>29</v>
      </c>
      <c r="K30" t="s">
        <v>2</v>
      </c>
      <c r="L30" t="s">
        <v>37</v>
      </c>
      <c r="M30" s="1">
        <v>44718</v>
      </c>
      <c r="N30" t="s">
        <v>56</v>
      </c>
      <c r="O30" s="16">
        <f>1030-150</f>
        <v>880</v>
      </c>
      <c r="P30" t="s">
        <v>1076</v>
      </c>
      <c r="Q30" t="s">
        <v>31</v>
      </c>
      <c r="R30" t="s">
        <v>11</v>
      </c>
      <c r="T30" t="s">
        <v>1082</v>
      </c>
      <c r="U30" t="s">
        <v>1099</v>
      </c>
      <c r="V30" s="3">
        <v>5</v>
      </c>
      <c r="W30" t="s">
        <v>1146</v>
      </c>
      <c r="Z30" t="s">
        <v>1144</v>
      </c>
    </row>
    <row r="31" spans="1:26">
      <c r="A31">
        <v>30</v>
      </c>
      <c r="B31" t="s">
        <v>60</v>
      </c>
      <c r="C31" t="s">
        <v>72</v>
      </c>
      <c r="F31">
        <v>946308723</v>
      </c>
      <c r="G31" t="s">
        <v>73</v>
      </c>
      <c r="H31" t="s">
        <v>514</v>
      </c>
      <c r="I31" t="s">
        <v>74</v>
      </c>
      <c r="J31" t="s">
        <v>29</v>
      </c>
      <c r="K31" t="s">
        <v>2</v>
      </c>
      <c r="L31" t="s">
        <v>37</v>
      </c>
      <c r="M31" s="1">
        <v>44718</v>
      </c>
      <c r="N31" t="s">
        <v>56</v>
      </c>
      <c r="O31" s="14">
        <v>150</v>
      </c>
      <c r="P31" t="s">
        <v>1076</v>
      </c>
      <c r="Q31" t="s">
        <v>31</v>
      </c>
      <c r="R31" t="s">
        <v>11</v>
      </c>
      <c r="T31" t="s">
        <v>1134</v>
      </c>
      <c r="U31" t="s">
        <v>1116</v>
      </c>
      <c r="V31">
        <v>100</v>
      </c>
      <c r="W31" t="s">
        <v>1137</v>
      </c>
      <c r="Z31" t="s">
        <v>1131</v>
      </c>
    </row>
    <row r="32" spans="1:26">
      <c r="A32">
        <v>31</v>
      </c>
      <c r="B32" t="s">
        <v>12</v>
      </c>
      <c r="C32" t="s">
        <v>75</v>
      </c>
      <c r="E32">
        <v>20602571247</v>
      </c>
      <c r="F32">
        <v>920309005</v>
      </c>
      <c r="G32" t="s">
        <v>76</v>
      </c>
      <c r="H32" t="s">
        <v>77</v>
      </c>
      <c r="J32" t="s">
        <v>29</v>
      </c>
      <c r="K32" t="s">
        <v>2</v>
      </c>
      <c r="L32" t="s">
        <v>37</v>
      </c>
      <c r="M32" s="1">
        <v>44718</v>
      </c>
      <c r="N32" t="s">
        <v>38</v>
      </c>
      <c r="O32" s="14">
        <v>325</v>
      </c>
      <c r="P32" t="s">
        <v>1078</v>
      </c>
      <c r="Q32" t="s">
        <v>10</v>
      </c>
      <c r="R32" t="s">
        <v>11</v>
      </c>
      <c r="S32">
        <v>10</v>
      </c>
      <c r="T32" t="s">
        <v>1092</v>
      </c>
      <c r="U32" t="s">
        <v>1101</v>
      </c>
      <c r="V32" s="3">
        <v>1</v>
      </c>
      <c r="W32" t="s">
        <v>1146</v>
      </c>
      <c r="Z32" t="s">
        <v>1143</v>
      </c>
    </row>
    <row r="33" spans="1:26">
      <c r="A33">
        <v>32</v>
      </c>
      <c r="B33" t="s">
        <v>12</v>
      </c>
      <c r="C33" t="s">
        <v>75</v>
      </c>
      <c r="E33">
        <v>20602571247</v>
      </c>
      <c r="F33">
        <v>920309005</v>
      </c>
      <c r="G33" t="s">
        <v>76</v>
      </c>
      <c r="H33" t="s">
        <v>77</v>
      </c>
      <c r="J33" t="s">
        <v>29</v>
      </c>
      <c r="K33" t="s">
        <v>2</v>
      </c>
      <c r="L33" t="s">
        <v>37</v>
      </c>
      <c r="M33" s="1">
        <v>44718</v>
      </c>
      <c r="N33" t="s">
        <v>38</v>
      </c>
      <c r="O33" s="14">
        <v>25</v>
      </c>
      <c r="P33" t="s">
        <v>1078</v>
      </c>
      <c r="Q33" t="s">
        <v>10</v>
      </c>
      <c r="R33" t="s">
        <v>11</v>
      </c>
      <c r="T33" t="s">
        <v>1134</v>
      </c>
      <c r="U33" t="s">
        <v>1115</v>
      </c>
      <c r="V33">
        <v>10</v>
      </c>
      <c r="W33" t="s">
        <v>1137</v>
      </c>
      <c r="Z33" t="s">
        <v>1131</v>
      </c>
    </row>
    <row r="34" spans="1:26">
      <c r="A34">
        <v>33</v>
      </c>
      <c r="B34" t="s">
        <v>2</v>
      </c>
      <c r="C34" t="s">
        <v>78</v>
      </c>
      <c r="E34">
        <v>10445784163</v>
      </c>
      <c r="F34">
        <v>965357864</v>
      </c>
      <c r="G34" t="s">
        <v>2</v>
      </c>
      <c r="H34" s="7" t="s">
        <v>256</v>
      </c>
      <c r="I34" t="s">
        <v>79</v>
      </c>
      <c r="J34" t="s">
        <v>80</v>
      </c>
      <c r="K34" t="s">
        <v>2</v>
      </c>
      <c r="L34" t="s">
        <v>37</v>
      </c>
      <c r="M34" s="1">
        <v>44718</v>
      </c>
      <c r="N34" t="s">
        <v>8</v>
      </c>
      <c r="O34">
        <v>325</v>
      </c>
      <c r="P34" t="s">
        <v>1076</v>
      </c>
      <c r="Q34" t="s">
        <v>10</v>
      </c>
      <c r="R34" t="s">
        <v>11</v>
      </c>
      <c r="T34" t="s">
        <v>1092</v>
      </c>
      <c r="U34" t="s">
        <v>1101</v>
      </c>
      <c r="V34" s="3">
        <v>1</v>
      </c>
      <c r="W34" t="s">
        <v>1145</v>
      </c>
      <c r="Z34" t="s">
        <v>1143</v>
      </c>
    </row>
    <row r="35" spans="1:26">
      <c r="A35">
        <v>34</v>
      </c>
      <c r="B35" t="s">
        <v>2</v>
      </c>
      <c r="C35" t="s">
        <v>78</v>
      </c>
      <c r="E35">
        <v>10445784163</v>
      </c>
      <c r="F35">
        <v>965357864</v>
      </c>
      <c r="G35" t="s">
        <v>2</v>
      </c>
      <c r="H35" s="7" t="s">
        <v>256</v>
      </c>
      <c r="I35" t="s">
        <v>79</v>
      </c>
      <c r="J35" t="s">
        <v>80</v>
      </c>
      <c r="K35" t="s">
        <v>2</v>
      </c>
      <c r="L35" t="s">
        <v>37</v>
      </c>
      <c r="M35" s="1">
        <v>44718</v>
      </c>
      <c r="N35" t="s">
        <v>8</v>
      </c>
      <c r="O35" s="14">
        <v>25</v>
      </c>
      <c r="P35" t="s">
        <v>1076</v>
      </c>
      <c r="Q35" t="s">
        <v>10</v>
      </c>
      <c r="R35" t="s">
        <v>11</v>
      </c>
      <c r="T35" t="s">
        <v>1134</v>
      </c>
      <c r="U35" t="s">
        <v>1115</v>
      </c>
      <c r="V35">
        <v>10</v>
      </c>
      <c r="W35" t="s">
        <v>1137</v>
      </c>
      <c r="Z35" t="s">
        <v>1131</v>
      </c>
    </row>
    <row r="36" spans="1:26">
      <c r="A36">
        <v>35</v>
      </c>
      <c r="B36" t="s">
        <v>2</v>
      </c>
      <c r="C36" t="s">
        <v>81</v>
      </c>
      <c r="E36">
        <v>10766427192</v>
      </c>
      <c r="F36">
        <v>981536477</v>
      </c>
      <c r="G36" t="s">
        <v>2</v>
      </c>
      <c r="H36" t="s">
        <v>846</v>
      </c>
      <c r="I36" t="s">
        <v>82</v>
      </c>
      <c r="J36" t="s">
        <v>29</v>
      </c>
      <c r="K36" t="s">
        <v>2</v>
      </c>
      <c r="L36" t="s">
        <v>37</v>
      </c>
      <c r="M36" s="1">
        <v>44720</v>
      </c>
      <c r="N36" t="s">
        <v>8</v>
      </c>
      <c r="O36">
        <v>205</v>
      </c>
      <c r="P36" t="s">
        <v>83</v>
      </c>
      <c r="Q36" t="s">
        <v>10</v>
      </c>
      <c r="R36" t="s">
        <v>11</v>
      </c>
      <c r="T36" t="s">
        <v>1092</v>
      </c>
      <c r="U36" t="s">
        <v>1100</v>
      </c>
      <c r="V36" s="3">
        <v>1</v>
      </c>
      <c r="W36" t="s">
        <v>1146</v>
      </c>
      <c r="Z36" t="s">
        <v>1144</v>
      </c>
    </row>
    <row r="37" spans="1:26">
      <c r="A37">
        <v>36</v>
      </c>
      <c r="B37" t="s">
        <v>2</v>
      </c>
      <c r="C37" t="s">
        <v>81</v>
      </c>
      <c r="E37">
        <v>10766427192</v>
      </c>
      <c r="F37">
        <v>981536477</v>
      </c>
      <c r="G37" t="s">
        <v>2</v>
      </c>
      <c r="H37" t="s">
        <v>846</v>
      </c>
      <c r="I37" t="s">
        <v>82</v>
      </c>
      <c r="J37" t="s">
        <v>29</v>
      </c>
      <c r="K37" t="s">
        <v>2</v>
      </c>
      <c r="L37" t="s">
        <v>37</v>
      </c>
      <c r="M37" s="1">
        <v>44720</v>
      </c>
      <c r="N37" t="s">
        <v>8</v>
      </c>
      <c r="O37">
        <v>15</v>
      </c>
      <c r="P37" t="s">
        <v>83</v>
      </c>
      <c r="Q37" t="s">
        <v>10</v>
      </c>
      <c r="R37" t="s">
        <v>11</v>
      </c>
      <c r="T37" t="s">
        <v>1134</v>
      </c>
      <c r="U37" t="s">
        <v>1116</v>
      </c>
      <c r="V37">
        <v>10</v>
      </c>
      <c r="W37" t="s">
        <v>1137</v>
      </c>
      <c r="Z37" t="s">
        <v>1131</v>
      </c>
    </row>
    <row r="38" spans="1:26">
      <c r="A38">
        <v>37</v>
      </c>
      <c r="B38" t="s">
        <v>0</v>
      </c>
      <c r="C38" t="s">
        <v>84</v>
      </c>
      <c r="D38">
        <v>10442404017</v>
      </c>
      <c r="F38">
        <v>957734593</v>
      </c>
      <c r="G38" t="s">
        <v>85</v>
      </c>
      <c r="H38" t="s">
        <v>514</v>
      </c>
      <c r="I38" t="s">
        <v>86</v>
      </c>
      <c r="J38" t="s">
        <v>87</v>
      </c>
      <c r="K38" t="s">
        <v>2</v>
      </c>
      <c r="L38" t="s">
        <v>37</v>
      </c>
      <c r="M38" s="1">
        <v>44720</v>
      </c>
      <c r="N38" t="s">
        <v>8</v>
      </c>
      <c r="O38">
        <v>325</v>
      </c>
      <c r="P38" t="s">
        <v>1079</v>
      </c>
      <c r="Q38" t="s">
        <v>10</v>
      </c>
      <c r="R38" t="s">
        <v>11</v>
      </c>
      <c r="T38" t="s">
        <v>1092</v>
      </c>
      <c r="U38" t="s">
        <v>1101</v>
      </c>
      <c r="V38" s="3">
        <v>1</v>
      </c>
      <c r="W38" t="s">
        <v>1145</v>
      </c>
      <c r="Z38" t="s">
        <v>1143</v>
      </c>
    </row>
    <row r="39" spans="1:26">
      <c r="A39">
        <v>38</v>
      </c>
      <c r="B39" t="s">
        <v>0</v>
      </c>
      <c r="C39" t="s">
        <v>84</v>
      </c>
      <c r="D39">
        <v>10442404017</v>
      </c>
      <c r="F39">
        <v>957734593</v>
      </c>
      <c r="G39" t="s">
        <v>85</v>
      </c>
      <c r="H39" t="s">
        <v>514</v>
      </c>
      <c r="I39" t="s">
        <v>86</v>
      </c>
      <c r="J39" t="s">
        <v>87</v>
      </c>
      <c r="K39" t="s">
        <v>2</v>
      </c>
      <c r="L39" t="s">
        <v>37</v>
      </c>
      <c r="M39" s="1">
        <v>44720</v>
      </c>
      <c r="N39" t="s">
        <v>8</v>
      </c>
      <c r="O39" s="14">
        <v>25</v>
      </c>
      <c r="P39" t="s">
        <v>1079</v>
      </c>
      <c r="Q39" t="s">
        <v>10</v>
      </c>
      <c r="R39" t="s">
        <v>11</v>
      </c>
      <c r="T39" t="s">
        <v>1134</v>
      </c>
      <c r="U39" t="s">
        <v>1115</v>
      </c>
      <c r="V39">
        <v>10</v>
      </c>
      <c r="W39" t="s">
        <v>1137</v>
      </c>
      <c r="Z39" t="s">
        <v>1131</v>
      </c>
    </row>
    <row r="40" spans="1:26">
      <c r="A40">
        <v>39</v>
      </c>
      <c r="B40" t="s">
        <v>2</v>
      </c>
      <c r="C40" t="s">
        <v>88</v>
      </c>
      <c r="E40">
        <v>10442026918</v>
      </c>
      <c r="F40">
        <v>939292349</v>
      </c>
      <c r="G40" t="s">
        <v>2</v>
      </c>
      <c r="H40" t="s">
        <v>89</v>
      </c>
      <c r="I40" t="s">
        <v>90</v>
      </c>
      <c r="J40" t="s">
        <v>91</v>
      </c>
      <c r="K40" t="s">
        <v>92</v>
      </c>
      <c r="L40" t="s">
        <v>7</v>
      </c>
      <c r="M40" s="1">
        <v>44720</v>
      </c>
      <c r="N40" t="s">
        <v>8</v>
      </c>
      <c r="O40">
        <v>190</v>
      </c>
      <c r="P40" t="s">
        <v>1079</v>
      </c>
      <c r="Q40" t="s">
        <v>10</v>
      </c>
      <c r="R40" t="s">
        <v>11</v>
      </c>
      <c r="T40" t="s">
        <v>1092</v>
      </c>
      <c r="U40" t="s">
        <v>1100</v>
      </c>
      <c r="V40" s="3">
        <v>1</v>
      </c>
      <c r="W40" t="s">
        <v>1146</v>
      </c>
      <c r="Z40" t="s">
        <v>1144</v>
      </c>
    </row>
    <row r="41" spans="1:26">
      <c r="A41">
        <v>40</v>
      </c>
      <c r="B41" t="s">
        <v>2</v>
      </c>
      <c r="C41" t="s">
        <v>88</v>
      </c>
      <c r="E41">
        <v>10442026918</v>
      </c>
      <c r="F41">
        <v>939292349</v>
      </c>
      <c r="G41" t="s">
        <v>2</v>
      </c>
      <c r="H41" t="s">
        <v>89</v>
      </c>
      <c r="I41" t="s">
        <v>90</v>
      </c>
      <c r="J41" t="s">
        <v>91</v>
      </c>
      <c r="K41" t="s">
        <v>92</v>
      </c>
      <c r="L41" t="s">
        <v>7</v>
      </c>
      <c r="M41" s="1">
        <v>44720</v>
      </c>
      <c r="N41" t="s">
        <v>8</v>
      </c>
      <c r="O41" s="14">
        <v>10</v>
      </c>
      <c r="P41" t="s">
        <v>1079</v>
      </c>
      <c r="Q41" t="s">
        <v>10</v>
      </c>
      <c r="R41" t="s">
        <v>11</v>
      </c>
      <c r="T41" t="s">
        <v>1134</v>
      </c>
      <c r="U41" t="s">
        <v>1116</v>
      </c>
      <c r="V41">
        <v>5</v>
      </c>
      <c r="W41" t="s">
        <v>1137</v>
      </c>
      <c r="Z41" t="s">
        <v>1131</v>
      </c>
    </row>
    <row r="42" spans="1:26">
      <c r="A42">
        <v>41</v>
      </c>
      <c r="B42" t="s">
        <v>23</v>
      </c>
      <c r="C42" t="s">
        <v>93</v>
      </c>
      <c r="E42" t="s">
        <v>2</v>
      </c>
      <c r="F42">
        <v>940289373</v>
      </c>
      <c r="G42" t="s">
        <v>2</v>
      </c>
      <c r="H42" t="s">
        <v>4</v>
      </c>
      <c r="I42" t="s">
        <v>94</v>
      </c>
      <c r="J42" t="s">
        <v>2</v>
      </c>
      <c r="K42" t="s">
        <v>95</v>
      </c>
      <c r="L42" t="s">
        <v>7</v>
      </c>
      <c r="M42" s="1">
        <v>44720</v>
      </c>
      <c r="N42" t="s">
        <v>21</v>
      </c>
      <c r="O42">
        <v>190</v>
      </c>
      <c r="P42" t="s">
        <v>1079</v>
      </c>
      <c r="Q42" t="s">
        <v>10</v>
      </c>
      <c r="R42" t="s">
        <v>11</v>
      </c>
      <c r="T42" t="s">
        <v>1092</v>
      </c>
      <c r="U42" t="s">
        <v>1100</v>
      </c>
      <c r="V42" s="3">
        <v>1</v>
      </c>
      <c r="W42" t="s">
        <v>1146</v>
      </c>
      <c r="Y42" s="8"/>
      <c r="Z42" t="s">
        <v>1144</v>
      </c>
    </row>
    <row r="43" spans="1:26">
      <c r="A43">
        <v>42</v>
      </c>
      <c r="B43" t="s">
        <v>23</v>
      </c>
      <c r="C43" t="s">
        <v>93</v>
      </c>
      <c r="E43" t="s">
        <v>2</v>
      </c>
      <c r="F43">
        <v>940289373</v>
      </c>
      <c r="G43" t="s">
        <v>2</v>
      </c>
      <c r="H43" t="s">
        <v>4</v>
      </c>
      <c r="I43" t="s">
        <v>94</v>
      </c>
      <c r="J43" t="s">
        <v>2</v>
      </c>
      <c r="K43" t="s">
        <v>95</v>
      </c>
      <c r="L43" t="s">
        <v>7</v>
      </c>
      <c r="M43" s="1">
        <v>44720</v>
      </c>
      <c r="N43" t="s">
        <v>21</v>
      </c>
      <c r="O43" s="14">
        <v>10</v>
      </c>
      <c r="P43" t="s">
        <v>1079</v>
      </c>
      <c r="Q43" t="s">
        <v>10</v>
      </c>
      <c r="R43" t="s">
        <v>11</v>
      </c>
      <c r="T43" t="s">
        <v>1134</v>
      </c>
      <c r="U43" t="s">
        <v>1116</v>
      </c>
      <c r="V43">
        <v>5</v>
      </c>
      <c r="W43" t="s">
        <v>1137</v>
      </c>
      <c r="Z43" t="s">
        <v>1131</v>
      </c>
    </row>
    <row r="44" spans="1:26">
      <c r="A44">
        <v>43</v>
      </c>
      <c r="B44" t="s">
        <v>12</v>
      </c>
      <c r="C44" t="s">
        <v>96</v>
      </c>
      <c r="E44">
        <v>20608377451</v>
      </c>
      <c r="F44">
        <v>981129661</v>
      </c>
      <c r="G44" t="s">
        <v>97</v>
      </c>
      <c r="H44" t="s">
        <v>4</v>
      </c>
      <c r="I44" t="s">
        <v>98</v>
      </c>
      <c r="J44" t="s">
        <v>2</v>
      </c>
      <c r="K44" t="s">
        <v>99</v>
      </c>
      <c r="L44" t="s">
        <v>7</v>
      </c>
      <c r="M44" s="1">
        <v>44721</v>
      </c>
      <c r="N44" t="s">
        <v>21</v>
      </c>
      <c r="O44">
        <v>325</v>
      </c>
      <c r="P44" t="s">
        <v>101</v>
      </c>
      <c r="Q44" t="s">
        <v>10</v>
      </c>
      <c r="R44" t="s">
        <v>22</v>
      </c>
      <c r="T44" t="s">
        <v>1092</v>
      </c>
      <c r="U44" t="s">
        <v>1101</v>
      </c>
      <c r="V44" s="3">
        <v>1</v>
      </c>
      <c r="W44" t="s">
        <v>1145</v>
      </c>
      <c r="Z44" t="s">
        <v>1143</v>
      </c>
    </row>
    <row r="45" spans="1:26">
      <c r="A45">
        <v>44</v>
      </c>
      <c r="B45" t="s">
        <v>12</v>
      </c>
      <c r="C45" t="s">
        <v>96</v>
      </c>
      <c r="E45">
        <v>20608377451</v>
      </c>
      <c r="F45">
        <v>981129661</v>
      </c>
      <c r="G45" t="s">
        <v>97</v>
      </c>
      <c r="H45" t="s">
        <v>4</v>
      </c>
      <c r="I45" t="s">
        <v>98</v>
      </c>
      <c r="J45" t="s">
        <v>2</v>
      </c>
      <c r="K45" t="s">
        <v>99</v>
      </c>
      <c r="L45" t="s">
        <v>7</v>
      </c>
      <c r="M45" s="1">
        <v>44721</v>
      </c>
      <c r="N45" t="s">
        <v>21</v>
      </c>
      <c r="O45" s="14">
        <v>25</v>
      </c>
      <c r="P45" t="s">
        <v>101</v>
      </c>
      <c r="Q45" t="s">
        <v>10</v>
      </c>
      <c r="R45" t="s">
        <v>22</v>
      </c>
      <c r="T45" t="s">
        <v>1134</v>
      </c>
      <c r="U45" t="s">
        <v>1115</v>
      </c>
      <c r="V45">
        <v>10</v>
      </c>
      <c r="W45" t="s">
        <v>1137</v>
      </c>
      <c r="Z45" t="s">
        <v>1131</v>
      </c>
    </row>
    <row r="46" spans="1:26">
      <c r="A46">
        <v>45</v>
      </c>
      <c r="B46" t="s">
        <v>12</v>
      </c>
      <c r="C46" t="s">
        <v>102</v>
      </c>
      <c r="E46">
        <v>20608301314</v>
      </c>
      <c r="F46">
        <v>927468705</v>
      </c>
      <c r="G46" t="s">
        <v>103</v>
      </c>
      <c r="H46" t="s">
        <v>4</v>
      </c>
      <c r="I46" t="s">
        <v>15</v>
      </c>
      <c r="J46" t="s">
        <v>2</v>
      </c>
      <c r="K46" t="s">
        <v>104</v>
      </c>
      <c r="L46" t="s">
        <v>37</v>
      </c>
      <c r="M46" s="1">
        <v>44721</v>
      </c>
      <c r="N46" t="s">
        <v>21</v>
      </c>
      <c r="O46" s="2">
        <v>1200</v>
      </c>
      <c r="P46" t="s">
        <v>1076</v>
      </c>
      <c r="Q46" t="s">
        <v>31</v>
      </c>
      <c r="R46" t="s">
        <v>11</v>
      </c>
      <c r="T46" t="s">
        <v>1097</v>
      </c>
      <c r="U46" t="s">
        <v>1102</v>
      </c>
      <c r="V46" s="3">
        <v>4</v>
      </c>
      <c r="W46" t="s">
        <v>1145</v>
      </c>
      <c r="Z46" t="s">
        <v>1144</v>
      </c>
    </row>
    <row r="47" spans="1:26">
      <c r="A47">
        <v>46</v>
      </c>
      <c r="B47" t="s">
        <v>0</v>
      </c>
      <c r="C47" t="s">
        <v>105</v>
      </c>
      <c r="E47" t="s">
        <v>2</v>
      </c>
      <c r="F47">
        <v>941726918</v>
      </c>
      <c r="G47" t="s">
        <v>106</v>
      </c>
      <c r="H47" t="s">
        <v>4</v>
      </c>
      <c r="I47" t="s">
        <v>107</v>
      </c>
      <c r="J47" t="s">
        <v>2</v>
      </c>
      <c r="K47" t="s">
        <v>108</v>
      </c>
      <c r="L47" t="s">
        <v>37</v>
      </c>
      <c r="M47" s="1">
        <v>44721</v>
      </c>
      <c r="N47" t="s">
        <v>38</v>
      </c>
      <c r="O47">
        <v>200</v>
      </c>
      <c r="P47" t="s">
        <v>1077</v>
      </c>
      <c r="Q47" t="s">
        <v>10</v>
      </c>
      <c r="R47" t="s">
        <v>22</v>
      </c>
      <c r="T47" t="s">
        <v>1134</v>
      </c>
      <c r="U47" t="s">
        <v>1115</v>
      </c>
      <c r="V47" s="3">
        <v>80</v>
      </c>
      <c r="W47" t="s">
        <v>1137</v>
      </c>
      <c r="Z47" t="s">
        <v>1131</v>
      </c>
    </row>
    <row r="48" spans="1:26">
      <c r="A48">
        <v>47</v>
      </c>
      <c r="B48" t="s">
        <v>2</v>
      </c>
      <c r="C48" t="s">
        <v>68</v>
      </c>
      <c r="E48">
        <v>10806242654</v>
      </c>
      <c r="F48">
        <v>972432081</v>
      </c>
      <c r="G48" t="s">
        <v>2</v>
      </c>
      <c r="H48" t="s">
        <v>48</v>
      </c>
      <c r="J48" t="s">
        <v>29</v>
      </c>
      <c r="K48" t="s">
        <v>2</v>
      </c>
      <c r="L48" t="s">
        <v>37</v>
      </c>
      <c r="M48" s="1">
        <v>44722</v>
      </c>
      <c r="N48" t="s">
        <v>38</v>
      </c>
      <c r="O48">
        <v>205</v>
      </c>
      <c r="P48" t="s">
        <v>1076</v>
      </c>
      <c r="Q48" t="s">
        <v>10</v>
      </c>
      <c r="R48" t="s">
        <v>11</v>
      </c>
      <c r="T48" t="s">
        <v>1092</v>
      </c>
      <c r="U48" t="s">
        <v>1100</v>
      </c>
      <c r="V48" s="3">
        <v>1</v>
      </c>
      <c r="W48" t="s">
        <v>1146</v>
      </c>
      <c r="Z48" t="s">
        <v>1144</v>
      </c>
    </row>
    <row r="49" spans="1:26">
      <c r="A49">
        <v>48</v>
      </c>
      <c r="B49" t="s">
        <v>2</v>
      </c>
      <c r="C49" t="s">
        <v>68</v>
      </c>
      <c r="E49">
        <v>10806242654</v>
      </c>
      <c r="F49">
        <v>972432081</v>
      </c>
      <c r="G49" t="s">
        <v>2</v>
      </c>
      <c r="H49" t="s">
        <v>48</v>
      </c>
      <c r="J49" t="s">
        <v>29</v>
      </c>
      <c r="K49" t="s">
        <v>2</v>
      </c>
      <c r="L49" t="s">
        <v>37</v>
      </c>
      <c r="M49" s="1">
        <v>44722</v>
      </c>
      <c r="N49" t="s">
        <v>38</v>
      </c>
      <c r="O49" s="14">
        <v>15</v>
      </c>
      <c r="P49" t="s">
        <v>1076</v>
      </c>
      <c r="Q49" t="s">
        <v>10</v>
      </c>
      <c r="R49" t="s">
        <v>11</v>
      </c>
      <c r="T49" t="s">
        <v>1134</v>
      </c>
      <c r="U49" t="s">
        <v>1116</v>
      </c>
      <c r="V49">
        <v>10</v>
      </c>
      <c r="W49" t="s">
        <v>1137</v>
      </c>
      <c r="Z49" t="s">
        <v>1131</v>
      </c>
    </row>
    <row r="50" spans="1:26">
      <c r="A50">
        <v>49</v>
      </c>
      <c r="B50" t="s">
        <v>2</v>
      </c>
      <c r="C50" t="s">
        <v>109</v>
      </c>
      <c r="E50">
        <v>41398638</v>
      </c>
      <c r="F50">
        <v>976368567</v>
      </c>
      <c r="G50" t="s">
        <v>2</v>
      </c>
      <c r="H50" t="s">
        <v>973</v>
      </c>
      <c r="J50" t="s">
        <v>29</v>
      </c>
      <c r="K50" t="s">
        <v>2</v>
      </c>
      <c r="L50" t="s">
        <v>37</v>
      </c>
      <c r="M50" s="1">
        <v>44722</v>
      </c>
      <c r="N50" t="s">
        <v>8</v>
      </c>
      <c r="O50" s="14">
        <v>185</v>
      </c>
      <c r="P50" t="s">
        <v>1076</v>
      </c>
      <c r="Q50" t="s">
        <v>10</v>
      </c>
      <c r="R50" t="s">
        <v>11</v>
      </c>
      <c r="T50" t="s">
        <v>1092</v>
      </c>
      <c r="U50" t="s">
        <v>1100</v>
      </c>
      <c r="V50" s="3">
        <v>1</v>
      </c>
      <c r="W50" t="s">
        <v>1146</v>
      </c>
      <c r="Z50" t="s">
        <v>1144</v>
      </c>
    </row>
    <row r="51" spans="1:26">
      <c r="A51">
        <v>50</v>
      </c>
      <c r="B51" t="s">
        <v>2</v>
      </c>
      <c r="C51" t="s">
        <v>109</v>
      </c>
      <c r="E51">
        <v>41398638</v>
      </c>
      <c r="F51">
        <v>976368567</v>
      </c>
      <c r="G51" t="s">
        <v>2</v>
      </c>
      <c r="H51" t="s">
        <v>973</v>
      </c>
      <c r="J51" t="s">
        <v>29</v>
      </c>
      <c r="K51" t="s">
        <v>2</v>
      </c>
      <c r="L51" t="s">
        <v>37</v>
      </c>
      <c r="M51" s="1">
        <v>44722</v>
      </c>
      <c r="N51" t="s">
        <v>8</v>
      </c>
      <c r="O51" s="14">
        <v>15</v>
      </c>
      <c r="P51" t="s">
        <v>1076</v>
      </c>
      <c r="Q51" t="s">
        <v>10</v>
      </c>
      <c r="R51" t="s">
        <v>11</v>
      </c>
      <c r="T51" t="s">
        <v>1134</v>
      </c>
      <c r="U51" t="s">
        <v>1116</v>
      </c>
      <c r="V51">
        <v>10</v>
      </c>
      <c r="W51" t="s">
        <v>1137</v>
      </c>
      <c r="Z51" t="s">
        <v>1131</v>
      </c>
    </row>
    <row r="52" spans="1:26">
      <c r="A52">
        <v>51</v>
      </c>
      <c r="B52" t="s">
        <v>2</v>
      </c>
      <c r="C52" t="s">
        <v>110</v>
      </c>
      <c r="E52">
        <v>80233741</v>
      </c>
      <c r="F52">
        <v>965141515</v>
      </c>
      <c r="G52" t="s">
        <v>2</v>
      </c>
      <c r="H52" t="s">
        <v>4</v>
      </c>
      <c r="I52" t="s">
        <v>111</v>
      </c>
      <c r="J52" t="s">
        <v>29</v>
      </c>
      <c r="K52" t="s">
        <v>2</v>
      </c>
      <c r="L52" t="s">
        <v>37</v>
      </c>
      <c r="M52" s="1">
        <v>44722</v>
      </c>
      <c r="N52" t="s">
        <v>8</v>
      </c>
      <c r="O52">
        <v>200</v>
      </c>
      <c r="P52" t="s">
        <v>346</v>
      </c>
      <c r="Q52" t="s">
        <v>10</v>
      </c>
      <c r="R52" t="s">
        <v>11</v>
      </c>
      <c r="T52" t="s">
        <v>1092</v>
      </c>
      <c r="U52" t="s">
        <v>1100</v>
      </c>
      <c r="V52" s="3">
        <v>1</v>
      </c>
      <c r="W52" t="s">
        <v>1146</v>
      </c>
      <c r="Z52" t="s">
        <v>1144</v>
      </c>
    </row>
    <row r="53" spans="1:26">
      <c r="A53">
        <v>52</v>
      </c>
      <c r="B53" t="s">
        <v>12</v>
      </c>
      <c r="C53" t="s">
        <v>112</v>
      </c>
      <c r="E53">
        <v>20544257677</v>
      </c>
      <c r="F53">
        <v>994235597</v>
      </c>
      <c r="G53" t="s">
        <v>113</v>
      </c>
      <c r="H53" t="s">
        <v>4</v>
      </c>
      <c r="I53" t="s">
        <v>114</v>
      </c>
      <c r="J53" t="s">
        <v>2</v>
      </c>
      <c r="K53" t="s">
        <v>115</v>
      </c>
      <c r="L53" t="s">
        <v>37</v>
      </c>
      <c r="M53" s="1">
        <v>44723</v>
      </c>
      <c r="N53" t="s">
        <v>21</v>
      </c>
      <c r="O53" s="2">
        <v>2700</v>
      </c>
      <c r="P53" t="s">
        <v>1076</v>
      </c>
      <c r="Q53" t="s">
        <v>31</v>
      </c>
      <c r="R53" t="s">
        <v>22</v>
      </c>
      <c r="T53" t="s">
        <v>1092</v>
      </c>
      <c r="U53" t="s">
        <v>1101</v>
      </c>
      <c r="V53" s="3">
        <v>9</v>
      </c>
      <c r="W53" t="s">
        <v>1145</v>
      </c>
      <c r="Z53" t="s">
        <v>1144</v>
      </c>
    </row>
    <row r="54" spans="1:26">
      <c r="A54">
        <v>53</v>
      </c>
      <c r="B54" t="s">
        <v>2</v>
      </c>
      <c r="C54" t="s">
        <v>116</v>
      </c>
      <c r="E54">
        <v>10402143407</v>
      </c>
      <c r="F54">
        <v>902027120</v>
      </c>
      <c r="G54" t="s">
        <v>2</v>
      </c>
      <c r="H54" t="s">
        <v>77</v>
      </c>
      <c r="J54" t="s">
        <v>29</v>
      </c>
      <c r="K54" t="s">
        <v>2</v>
      </c>
      <c r="L54" t="s">
        <v>7</v>
      </c>
      <c r="M54" s="1">
        <v>44726</v>
      </c>
      <c r="N54" t="s">
        <v>8</v>
      </c>
      <c r="O54">
        <v>200</v>
      </c>
      <c r="P54" t="s">
        <v>1076</v>
      </c>
      <c r="Q54" t="s">
        <v>10</v>
      </c>
      <c r="R54" t="s">
        <v>22</v>
      </c>
      <c r="S54">
        <v>11</v>
      </c>
      <c r="T54" t="s">
        <v>1092</v>
      </c>
      <c r="U54" t="s">
        <v>1100</v>
      </c>
      <c r="V54" s="3">
        <v>1</v>
      </c>
      <c r="W54" t="s">
        <v>1146</v>
      </c>
      <c r="Z54" t="s">
        <v>1144</v>
      </c>
    </row>
    <row r="55" spans="1:26">
      <c r="A55">
        <v>54</v>
      </c>
      <c r="B55" t="s">
        <v>2</v>
      </c>
      <c r="C55" t="s">
        <v>116</v>
      </c>
      <c r="E55">
        <v>10402143407</v>
      </c>
      <c r="F55">
        <v>902027120</v>
      </c>
      <c r="G55" t="s">
        <v>2</v>
      </c>
      <c r="H55" t="s">
        <v>77</v>
      </c>
      <c r="J55" t="s">
        <v>29</v>
      </c>
      <c r="K55" t="s">
        <v>2</v>
      </c>
      <c r="L55" t="s">
        <v>7</v>
      </c>
      <c r="M55" s="1">
        <v>44726</v>
      </c>
      <c r="N55" t="s">
        <v>8</v>
      </c>
      <c r="O55" s="14">
        <v>13</v>
      </c>
      <c r="P55" t="s">
        <v>1076</v>
      </c>
      <c r="Q55" t="s">
        <v>10</v>
      </c>
      <c r="R55" t="s">
        <v>22</v>
      </c>
      <c r="T55" t="s">
        <v>1134</v>
      </c>
      <c r="U55" t="s">
        <v>1116</v>
      </c>
      <c r="V55">
        <v>10</v>
      </c>
      <c r="W55" t="s">
        <v>1137</v>
      </c>
      <c r="Z55" t="s">
        <v>1131</v>
      </c>
    </row>
    <row r="56" spans="1:26">
      <c r="A56">
        <v>55</v>
      </c>
      <c r="B56" t="s">
        <v>2</v>
      </c>
      <c r="C56" t="s">
        <v>117</v>
      </c>
      <c r="E56">
        <v>10088739481</v>
      </c>
      <c r="F56">
        <v>993400767</v>
      </c>
      <c r="G56" t="s">
        <v>2</v>
      </c>
      <c r="H56" t="s">
        <v>65</v>
      </c>
      <c r="J56" t="s">
        <v>118</v>
      </c>
      <c r="K56" t="s">
        <v>2</v>
      </c>
      <c r="L56" t="s">
        <v>37</v>
      </c>
      <c r="M56" s="1">
        <v>44727</v>
      </c>
      <c r="N56" t="s">
        <v>8</v>
      </c>
      <c r="O56" s="14">
        <v>185</v>
      </c>
      <c r="P56" t="s">
        <v>9</v>
      </c>
      <c r="Q56" t="s">
        <v>31</v>
      </c>
      <c r="R56" t="s">
        <v>11</v>
      </c>
      <c r="T56" t="s">
        <v>1092</v>
      </c>
      <c r="U56" t="s">
        <v>1100</v>
      </c>
      <c r="V56" s="3">
        <v>1</v>
      </c>
      <c r="W56" t="s">
        <v>1146</v>
      </c>
      <c r="Z56" t="s">
        <v>1144</v>
      </c>
    </row>
    <row r="57" spans="1:26">
      <c r="A57">
        <v>56</v>
      </c>
      <c r="B57" t="s">
        <v>2</v>
      </c>
      <c r="C57" t="s">
        <v>117</v>
      </c>
      <c r="E57">
        <v>10088739481</v>
      </c>
      <c r="F57">
        <v>993400767</v>
      </c>
      <c r="G57" t="s">
        <v>2</v>
      </c>
      <c r="H57" t="s">
        <v>65</v>
      </c>
      <c r="J57" t="s">
        <v>118</v>
      </c>
      <c r="K57" t="s">
        <v>2</v>
      </c>
      <c r="L57" t="s">
        <v>37</v>
      </c>
      <c r="M57" s="1">
        <v>44727</v>
      </c>
      <c r="N57" t="s">
        <v>8</v>
      </c>
      <c r="O57" s="14">
        <v>15</v>
      </c>
      <c r="P57" t="s">
        <v>9</v>
      </c>
      <c r="Q57" t="s">
        <v>31</v>
      </c>
      <c r="R57" t="s">
        <v>11</v>
      </c>
      <c r="T57" t="s">
        <v>1134</v>
      </c>
      <c r="U57" t="s">
        <v>1116</v>
      </c>
      <c r="V57">
        <v>10</v>
      </c>
      <c r="W57" t="s">
        <v>1137</v>
      </c>
      <c r="Z57" t="s">
        <v>1131</v>
      </c>
    </row>
    <row r="58" spans="1:26">
      <c r="A58">
        <v>57</v>
      </c>
      <c r="B58" t="s">
        <v>2</v>
      </c>
      <c r="C58" t="s">
        <v>119</v>
      </c>
      <c r="E58" t="s">
        <v>2</v>
      </c>
      <c r="F58">
        <v>993400767</v>
      </c>
      <c r="G58" t="s">
        <v>2</v>
      </c>
      <c r="H58" t="s">
        <v>4</v>
      </c>
      <c r="I58" t="s">
        <v>120</v>
      </c>
      <c r="J58" t="s">
        <v>2</v>
      </c>
      <c r="K58" t="s">
        <v>121</v>
      </c>
      <c r="L58" t="s">
        <v>7</v>
      </c>
      <c r="M58" s="1">
        <v>44727</v>
      </c>
      <c r="N58" t="s">
        <v>8</v>
      </c>
      <c r="O58" s="14">
        <v>365</v>
      </c>
      <c r="P58" t="s">
        <v>122</v>
      </c>
      <c r="Q58" t="s">
        <v>31</v>
      </c>
      <c r="R58" t="s">
        <v>11</v>
      </c>
      <c r="T58" t="s">
        <v>1092</v>
      </c>
      <c r="U58" t="s">
        <v>1100</v>
      </c>
      <c r="V58" s="3">
        <v>2</v>
      </c>
      <c r="W58" t="s">
        <v>1146</v>
      </c>
      <c r="Z58" t="s">
        <v>1143</v>
      </c>
    </row>
    <row r="59" spans="1:26">
      <c r="A59">
        <v>58</v>
      </c>
      <c r="B59" t="s">
        <v>2</v>
      </c>
      <c r="C59" t="s">
        <v>119</v>
      </c>
      <c r="E59" t="s">
        <v>2</v>
      </c>
      <c r="F59">
        <v>993400767</v>
      </c>
      <c r="G59" t="s">
        <v>2</v>
      </c>
      <c r="H59" t="s">
        <v>4</v>
      </c>
      <c r="I59" t="s">
        <v>120</v>
      </c>
      <c r="J59" t="s">
        <v>2</v>
      </c>
      <c r="K59" t="s">
        <v>121</v>
      </c>
      <c r="L59" t="s">
        <v>7</v>
      </c>
      <c r="M59" s="1">
        <v>44727</v>
      </c>
      <c r="N59" t="s">
        <v>8</v>
      </c>
      <c r="O59" s="14">
        <v>25</v>
      </c>
      <c r="P59" t="s">
        <v>122</v>
      </c>
      <c r="Q59" t="s">
        <v>31</v>
      </c>
      <c r="R59" t="s">
        <v>11</v>
      </c>
      <c r="T59" t="s">
        <v>1134</v>
      </c>
      <c r="U59" t="s">
        <v>1116</v>
      </c>
      <c r="V59">
        <v>20</v>
      </c>
      <c r="W59" t="s">
        <v>1137</v>
      </c>
      <c r="Z59" t="s">
        <v>1131</v>
      </c>
    </row>
    <row r="60" spans="1:26">
      <c r="A60">
        <v>59</v>
      </c>
      <c r="B60" t="s">
        <v>23</v>
      </c>
      <c r="C60" t="s">
        <v>123</v>
      </c>
      <c r="E60">
        <v>72919964</v>
      </c>
      <c r="F60">
        <v>981506117</v>
      </c>
      <c r="G60" t="s">
        <v>2</v>
      </c>
      <c r="H60" t="s">
        <v>4</v>
      </c>
      <c r="I60" t="s">
        <v>58</v>
      </c>
      <c r="J60" t="s">
        <v>2</v>
      </c>
      <c r="K60" t="s">
        <v>124</v>
      </c>
      <c r="L60" t="s">
        <v>7</v>
      </c>
      <c r="M60" s="1">
        <v>44728</v>
      </c>
      <c r="N60" t="s">
        <v>21</v>
      </c>
      <c r="O60">
        <v>175</v>
      </c>
      <c r="P60" t="s">
        <v>30</v>
      </c>
      <c r="Q60" t="s">
        <v>31</v>
      </c>
      <c r="R60" t="s">
        <v>11</v>
      </c>
      <c r="T60" t="s">
        <v>1082</v>
      </c>
      <c r="U60" t="s">
        <v>1099</v>
      </c>
      <c r="V60" s="3">
        <v>1</v>
      </c>
      <c r="W60" t="s">
        <v>1146</v>
      </c>
      <c r="Z60" t="s">
        <v>1144</v>
      </c>
    </row>
    <row r="61" spans="1:26">
      <c r="A61">
        <v>60</v>
      </c>
      <c r="B61" t="s">
        <v>23</v>
      </c>
      <c r="C61" t="s">
        <v>123</v>
      </c>
      <c r="E61">
        <v>72919964</v>
      </c>
      <c r="F61">
        <v>981506117</v>
      </c>
      <c r="G61" t="s">
        <v>2</v>
      </c>
      <c r="H61" t="s">
        <v>4</v>
      </c>
      <c r="I61" t="s">
        <v>58</v>
      </c>
      <c r="J61" t="s">
        <v>2</v>
      </c>
      <c r="K61" t="s">
        <v>124</v>
      </c>
      <c r="L61" t="s">
        <v>7</v>
      </c>
      <c r="M61" s="1">
        <v>44728</v>
      </c>
      <c r="N61" t="s">
        <v>21</v>
      </c>
      <c r="O61" s="14">
        <v>15</v>
      </c>
      <c r="P61" t="s">
        <v>30</v>
      </c>
      <c r="Q61" t="s">
        <v>31</v>
      </c>
      <c r="R61" t="s">
        <v>11</v>
      </c>
      <c r="T61" t="s">
        <v>1134</v>
      </c>
      <c r="U61" t="s">
        <v>1116</v>
      </c>
      <c r="V61">
        <v>10</v>
      </c>
      <c r="W61" t="s">
        <v>1137</v>
      </c>
      <c r="Z61" t="s">
        <v>1131</v>
      </c>
    </row>
    <row r="62" spans="1:26">
      <c r="A62">
        <v>61</v>
      </c>
      <c r="B62" t="s">
        <v>12</v>
      </c>
      <c r="C62" t="s">
        <v>53</v>
      </c>
      <c r="E62">
        <v>10432482419</v>
      </c>
      <c r="F62">
        <v>945128886</v>
      </c>
      <c r="G62" t="s">
        <v>125</v>
      </c>
      <c r="H62" t="s">
        <v>55</v>
      </c>
      <c r="J62" t="s">
        <v>29</v>
      </c>
      <c r="K62" t="s">
        <v>2</v>
      </c>
      <c r="L62" t="s">
        <v>37</v>
      </c>
      <c r="M62" s="1">
        <v>44735</v>
      </c>
      <c r="N62" t="s">
        <v>56</v>
      </c>
      <c r="O62">
        <v>120</v>
      </c>
      <c r="P62" t="s">
        <v>1076</v>
      </c>
      <c r="Q62" t="s">
        <v>10</v>
      </c>
      <c r="R62" t="s">
        <v>11</v>
      </c>
      <c r="T62" t="s">
        <v>1134</v>
      </c>
      <c r="U62" t="s">
        <v>1115</v>
      </c>
      <c r="V62" s="3">
        <v>40</v>
      </c>
      <c r="W62" t="s">
        <v>1137</v>
      </c>
      <c r="Z62" t="s">
        <v>1131</v>
      </c>
    </row>
    <row r="63" spans="1:26">
      <c r="A63">
        <v>62</v>
      </c>
      <c r="B63" t="s">
        <v>2</v>
      </c>
      <c r="C63" t="s">
        <v>126</v>
      </c>
      <c r="E63" t="s">
        <v>2</v>
      </c>
      <c r="F63">
        <v>985778570</v>
      </c>
      <c r="G63" t="s">
        <v>2</v>
      </c>
      <c r="H63" t="s">
        <v>4</v>
      </c>
      <c r="I63" t="s">
        <v>127</v>
      </c>
      <c r="J63" t="s">
        <v>2</v>
      </c>
      <c r="K63" t="s">
        <v>128</v>
      </c>
      <c r="L63" t="s">
        <v>37</v>
      </c>
      <c r="M63" s="1">
        <v>44736</v>
      </c>
      <c r="N63" t="s">
        <v>8</v>
      </c>
      <c r="O63">
        <v>210</v>
      </c>
      <c r="P63" t="s">
        <v>129</v>
      </c>
      <c r="Q63" t="s">
        <v>10</v>
      </c>
      <c r="R63" t="s">
        <v>11</v>
      </c>
      <c r="T63" t="s">
        <v>1092</v>
      </c>
      <c r="U63" t="s">
        <v>1100</v>
      </c>
      <c r="V63" s="3">
        <v>1</v>
      </c>
      <c r="W63" t="s">
        <v>1146</v>
      </c>
      <c r="Z63" t="s">
        <v>1144</v>
      </c>
    </row>
    <row r="64" spans="1:26">
      <c r="A64">
        <v>63</v>
      </c>
      <c r="B64" t="s">
        <v>2</v>
      </c>
      <c r="C64" t="s">
        <v>126</v>
      </c>
      <c r="E64" t="s">
        <v>2</v>
      </c>
      <c r="F64">
        <v>985778570</v>
      </c>
      <c r="G64" t="s">
        <v>2</v>
      </c>
      <c r="H64" t="s">
        <v>4</v>
      </c>
      <c r="I64" t="s">
        <v>127</v>
      </c>
      <c r="J64" t="s">
        <v>2</v>
      </c>
      <c r="K64" t="s">
        <v>128</v>
      </c>
      <c r="L64" t="s">
        <v>37</v>
      </c>
      <c r="M64" s="1">
        <v>44736</v>
      </c>
      <c r="N64" t="s">
        <v>8</v>
      </c>
      <c r="O64" s="14">
        <v>15</v>
      </c>
      <c r="P64" t="s">
        <v>129</v>
      </c>
      <c r="Q64" t="s">
        <v>10</v>
      </c>
      <c r="R64" t="s">
        <v>11</v>
      </c>
      <c r="T64" t="s">
        <v>1134</v>
      </c>
      <c r="U64" t="s">
        <v>1116</v>
      </c>
      <c r="V64">
        <v>10</v>
      </c>
      <c r="W64" t="s">
        <v>1137</v>
      </c>
      <c r="Z64" t="s">
        <v>1131</v>
      </c>
    </row>
    <row r="65" spans="1:26">
      <c r="A65">
        <v>64</v>
      </c>
      <c r="B65" t="s">
        <v>0</v>
      </c>
      <c r="C65" t="s">
        <v>34</v>
      </c>
      <c r="E65">
        <v>72477960</v>
      </c>
      <c r="F65">
        <v>931310189</v>
      </c>
      <c r="G65" t="s">
        <v>130</v>
      </c>
      <c r="H65" t="s">
        <v>423</v>
      </c>
      <c r="I65" t="s">
        <v>36</v>
      </c>
      <c r="J65" t="s">
        <v>29</v>
      </c>
      <c r="K65" t="s">
        <v>2</v>
      </c>
      <c r="L65" t="s">
        <v>37</v>
      </c>
      <c r="M65" s="1">
        <v>44738</v>
      </c>
      <c r="N65" t="s">
        <v>38</v>
      </c>
      <c r="O65" s="14">
        <v>185</v>
      </c>
      <c r="P65" t="s">
        <v>1076</v>
      </c>
      <c r="Q65" t="s">
        <v>10</v>
      </c>
      <c r="R65" t="s">
        <v>11</v>
      </c>
      <c r="T65" t="s">
        <v>1092</v>
      </c>
      <c r="U65" t="s">
        <v>1100</v>
      </c>
      <c r="V65" s="3">
        <v>1</v>
      </c>
      <c r="W65" t="s">
        <v>1146</v>
      </c>
      <c r="Z65" t="s">
        <v>1144</v>
      </c>
    </row>
    <row r="66" spans="1:26">
      <c r="A66">
        <v>65</v>
      </c>
      <c r="B66" t="s">
        <v>0</v>
      </c>
      <c r="C66" t="s">
        <v>34</v>
      </c>
      <c r="E66">
        <v>72477960</v>
      </c>
      <c r="F66">
        <v>931310189</v>
      </c>
      <c r="G66" t="s">
        <v>130</v>
      </c>
      <c r="H66" t="s">
        <v>423</v>
      </c>
      <c r="I66" t="s">
        <v>36</v>
      </c>
      <c r="J66" t="s">
        <v>29</v>
      </c>
      <c r="K66" t="s">
        <v>2</v>
      </c>
      <c r="L66" t="s">
        <v>37</v>
      </c>
      <c r="M66" s="1">
        <v>44738</v>
      </c>
      <c r="N66" t="s">
        <v>38</v>
      </c>
      <c r="O66" s="14">
        <v>15</v>
      </c>
      <c r="P66" t="s">
        <v>1076</v>
      </c>
      <c r="Q66" t="s">
        <v>10</v>
      </c>
      <c r="R66" t="s">
        <v>11</v>
      </c>
      <c r="T66" t="s">
        <v>1134</v>
      </c>
      <c r="U66" t="s">
        <v>1116</v>
      </c>
      <c r="V66">
        <v>10</v>
      </c>
      <c r="W66" t="s">
        <v>1137</v>
      </c>
      <c r="Z66" t="s">
        <v>1131</v>
      </c>
    </row>
    <row r="67" spans="1:26">
      <c r="A67">
        <v>66</v>
      </c>
      <c r="B67" t="s">
        <v>60</v>
      </c>
      <c r="C67" t="s">
        <v>131</v>
      </c>
      <c r="E67" t="s">
        <v>2</v>
      </c>
      <c r="F67">
        <v>983866482</v>
      </c>
      <c r="G67" t="s">
        <v>132</v>
      </c>
      <c r="H67" t="s">
        <v>1041</v>
      </c>
      <c r="J67" t="s">
        <v>133</v>
      </c>
      <c r="K67" t="s">
        <v>2</v>
      </c>
      <c r="L67" t="s">
        <v>37</v>
      </c>
      <c r="M67" s="1">
        <v>44739</v>
      </c>
      <c r="N67" t="s">
        <v>8</v>
      </c>
      <c r="O67">
        <v>180</v>
      </c>
      <c r="P67" t="s">
        <v>134</v>
      </c>
      <c r="Q67" t="s">
        <v>10</v>
      </c>
      <c r="R67" t="s">
        <v>22</v>
      </c>
      <c r="T67" t="s">
        <v>1092</v>
      </c>
      <c r="U67" t="s">
        <v>1100</v>
      </c>
      <c r="V67" s="3">
        <v>1</v>
      </c>
      <c r="W67" t="s">
        <v>1146</v>
      </c>
      <c r="Z67" t="s">
        <v>1144</v>
      </c>
    </row>
    <row r="68" spans="1:26">
      <c r="A68">
        <v>67</v>
      </c>
      <c r="B68" t="s">
        <v>12</v>
      </c>
      <c r="C68" t="s">
        <v>53</v>
      </c>
      <c r="E68">
        <v>10432482419</v>
      </c>
      <c r="F68">
        <v>945128886</v>
      </c>
      <c r="G68" t="s">
        <v>135</v>
      </c>
      <c r="H68" t="s">
        <v>55</v>
      </c>
      <c r="J68" t="s">
        <v>29</v>
      </c>
      <c r="K68" t="s">
        <v>2</v>
      </c>
      <c r="L68" t="s">
        <v>37</v>
      </c>
      <c r="M68" s="1">
        <v>44743</v>
      </c>
      <c r="N68" t="s">
        <v>56</v>
      </c>
      <c r="O68" s="2">
        <v>1520</v>
      </c>
      <c r="P68" t="s">
        <v>1076</v>
      </c>
      <c r="Q68" t="s">
        <v>31</v>
      </c>
      <c r="R68" t="s">
        <v>11</v>
      </c>
      <c r="T68" t="s">
        <v>1092</v>
      </c>
      <c r="U68" t="s">
        <v>1101</v>
      </c>
      <c r="V68" s="3">
        <v>5</v>
      </c>
      <c r="W68" t="s">
        <v>1145</v>
      </c>
      <c r="Z68" t="s">
        <v>1143</v>
      </c>
    </row>
    <row r="69" spans="1:26">
      <c r="A69">
        <v>68</v>
      </c>
      <c r="B69" t="s">
        <v>12</v>
      </c>
      <c r="C69" t="s">
        <v>53</v>
      </c>
      <c r="E69">
        <v>10432482419</v>
      </c>
      <c r="F69">
        <v>945128886</v>
      </c>
      <c r="G69" t="s">
        <v>135</v>
      </c>
      <c r="H69" t="s">
        <v>55</v>
      </c>
      <c r="J69" t="s">
        <v>29</v>
      </c>
      <c r="K69" t="s">
        <v>2</v>
      </c>
      <c r="L69" t="s">
        <v>37</v>
      </c>
      <c r="M69" s="1">
        <v>44743</v>
      </c>
      <c r="N69" t="s">
        <v>56</v>
      </c>
      <c r="O69" s="2">
        <v>160</v>
      </c>
      <c r="P69" t="s">
        <v>1076</v>
      </c>
      <c r="Q69" t="s">
        <v>31</v>
      </c>
      <c r="R69" t="s">
        <v>11</v>
      </c>
      <c r="T69" t="s">
        <v>1134</v>
      </c>
      <c r="U69" t="s">
        <v>1115</v>
      </c>
      <c r="V69">
        <v>65</v>
      </c>
      <c r="W69" t="s">
        <v>1137</v>
      </c>
      <c r="Z69" t="s">
        <v>1131</v>
      </c>
    </row>
    <row r="70" spans="1:26">
      <c r="A70">
        <v>69</v>
      </c>
      <c r="B70" t="s">
        <v>12</v>
      </c>
      <c r="C70" t="s">
        <v>136</v>
      </c>
      <c r="E70">
        <v>20393955415</v>
      </c>
      <c r="F70">
        <v>939361591</v>
      </c>
      <c r="G70" t="s">
        <v>137</v>
      </c>
      <c r="H70" s="7" t="s">
        <v>256</v>
      </c>
      <c r="I70" t="s">
        <v>79</v>
      </c>
      <c r="J70" t="s">
        <v>29</v>
      </c>
      <c r="K70" t="s">
        <v>2</v>
      </c>
      <c r="L70" t="s">
        <v>37</v>
      </c>
      <c r="M70" s="1">
        <v>44743</v>
      </c>
      <c r="N70" t="s">
        <v>56</v>
      </c>
      <c r="O70">
        <v>690</v>
      </c>
      <c r="P70" t="s">
        <v>138</v>
      </c>
      <c r="Q70" t="s">
        <v>31</v>
      </c>
      <c r="R70" t="s">
        <v>11</v>
      </c>
      <c r="T70" t="s">
        <v>1092</v>
      </c>
      <c r="U70" t="s">
        <v>1101</v>
      </c>
      <c r="V70" s="3">
        <v>2</v>
      </c>
      <c r="W70" t="s">
        <v>1146</v>
      </c>
      <c r="Z70" t="s">
        <v>1143</v>
      </c>
    </row>
    <row r="71" spans="1:26">
      <c r="A71">
        <v>70</v>
      </c>
      <c r="B71" t="s">
        <v>12</v>
      </c>
      <c r="C71" t="s">
        <v>136</v>
      </c>
      <c r="E71">
        <v>20393955415</v>
      </c>
      <c r="F71">
        <v>939361591</v>
      </c>
      <c r="G71" t="s">
        <v>137</v>
      </c>
      <c r="H71" s="7" t="s">
        <v>256</v>
      </c>
      <c r="I71" t="s">
        <v>79</v>
      </c>
      <c r="J71" t="s">
        <v>29</v>
      </c>
      <c r="K71" t="s">
        <v>2</v>
      </c>
      <c r="L71" t="s">
        <v>37</v>
      </c>
      <c r="M71" s="1">
        <v>44743</v>
      </c>
      <c r="N71" t="s">
        <v>56</v>
      </c>
      <c r="O71">
        <v>30</v>
      </c>
      <c r="P71" t="s">
        <v>138</v>
      </c>
      <c r="Q71" t="s">
        <v>31</v>
      </c>
      <c r="R71" t="s">
        <v>11</v>
      </c>
      <c r="T71" t="s">
        <v>1134</v>
      </c>
      <c r="U71" t="s">
        <v>1116</v>
      </c>
      <c r="V71">
        <v>20</v>
      </c>
      <c r="W71" t="s">
        <v>1137</v>
      </c>
      <c r="Z71" t="s">
        <v>1131</v>
      </c>
    </row>
    <row r="72" spans="1:26">
      <c r="A72">
        <v>71</v>
      </c>
      <c r="B72" t="s">
        <v>2</v>
      </c>
      <c r="C72" t="s">
        <v>139</v>
      </c>
      <c r="E72">
        <v>10416378016</v>
      </c>
      <c r="F72">
        <v>948460434</v>
      </c>
      <c r="G72" t="s">
        <v>2</v>
      </c>
      <c r="H72" t="s">
        <v>423</v>
      </c>
      <c r="I72" t="s">
        <v>36</v>
      </c>
      <c r="J72" t="s">
        <v>140</v>
      </c>
      <c r="K72" t="s">
        <v>141</v>
      </c>
      <c r="L72" t="s">
        <v>37</v>
      </c>
      <c r="M72" s="1">
        <v>44743</v>
      </c>
      <c r="N72" t="s">
        <v>56</v>
      </c>
      <c r="O72">
        <v>360</v>
      </c>
      <c r="P72" t="s">
        <v>138</v>
      </c>
      <c r="Q72" t="s">
        <v>10</v>
      </c>
      <c r="R72" t="s">
        <v>11</v>
      </c>
      <c r="T72" t="s">
        <v>1092</v>
      </c>
      <c r="U72" t="s">
        <v>1101</v>
      </c>
      <c r="V72" s="3">
        <v>1</v>
      </c>
      <c r="W72" t="s">
        <v>1146</v>
      </c>
      <c r="Z72" t="s">
        <v>1143</v>
      </c>
    </row>
    <row r="73" spans="1:26">
      <c r="A73">
        <v>72</v>
      </c>
      <c r="B73" t="s">
        <v>2</v>
      </c>
      <c r="C73" t="s">
        <v>139</v>
      </c>
      <c r="E73">
        <v>10416378016</v>
      </c>
      <c r="F73">
        <v>948460434</v>
      </c>
      <c r="G73" t="s">
        <v>2</v>
      </c>
      <c r="H73" t="s">
        <v>423</v>
      </c>
      <c r="I73" t="s">
        <v>36</v>
      </c>
      <c r="J73" t="s">
        <v>140</v>
      </c>
      <c r="K73" t="s">
        <v>141</v>
      </c>
      <c r="L73" t="s">
        <v>37</v>
      </c>
      <c r="M73" s="1">
        <v>44743</v>
      </c>
      <c r="N73" t="s">
        <v>56</v>
      </c>
      <c r="O73" s="14">
        <v>14</v>
      </c>
      <c r="P73" t="s">
        <v>138</v>
      </c>
      <c r="Q73" t="s">
        <v>10</v>
      </c>
      <c r="R73" t="s">
        <v>11</v>
      </c>
      <c r="T73" t="s">
        <v>1134</v>
      </c>
      <c r="U73" t="s">
        <v>1116</v>
      </c>
      <c r="V73">
        <v>10</v>
      </c>
      <c r="W73" t="s">
        <v>1137</v>
      </c>
      <c r="Z73" t="s">
        <v>1131</v>
      </c>
    </row>
    <row r="74" spans="1:26">
      <c r="A74">
        <v>73</v>
      </c>
      <c r="B74" t="s">
        <v>2</v>
      </c>
      <c r="C74" t="s">
        <v>142</v>
      </c>
      <c r="E74">
        <v>48676079</v>
      </c>
      <c r="F74">
        <v>918875770</v>
      </c>
      <c r="G74" t="s">
        <v>2</v>
      </c>
      <c r="H74" t="s">
        <v>514</v>
      </c>
      <c r="I74" t="s">
        <v>51</v>
      </c>
      <c r="J74" t="s">
        <v>29</v>
      </c>
      <c r="K74" t="s">
        <v>2</v>
      </c>
      <c r="L74" t="s">
        <v>37</v>
      </c>
      <c r="M74" s="1">
        <v>44743</v>
      </c>
      <c r="N74" t="s">
        <v>8</v>
      </c>
      <c r="O74">
        <v>355</v>
      </c>
      <c r="P74" t="s">
        <v>1076</v>
      </c>
      <c r="Q74" t="s">
        <v>10</v>
      </c>
      <c r="R74" t="s">
        <v>11</v>
      </c>
      <c r="T74" t="s">
        <v>1092</v>
      </c>
      <c r="U74" t="s">
        <v>1101</v>
      </c>
      <c r="V74" s="3">
        <v>1</v>
      </c>
      <c r="W74" t="s">
        <v>1146</v>
      </c>
      <c r="Z74" t="s">
        <v>1143</v>
      </c>
    </row>
    <row r="75" spans="1:26">
      <c r="A75">
        <v>74</v>
      </c>
      <c r="B75" t="s">
        <v>2</v>
      </c>
      <c r="C75" t="s">
        <v>142</v>
      </c>
      <c r="E75">
        <v>48676079</v>
      </c>
      <c r="F75">
        <v>918875770</v>
      </c>
      <c r="G75" t="s">
        <v>2</v>
      </c>
      <c r="H75" t="s">
        <v>514</v>
      </c>
      <c r="I75" t="s">
        <v>51</v>
      </c>
      <c r="J75" t="s">
        <v>29</v>
      </c>
      <c r="K75" t="s">
        <v>2</v>
      </c>
      <c r="L75" t="s">
        <v>37</v>
      </c>
      <c r="M75" s="1">
        <v>44743</v>
      </c>
      <c r="N75" t="s">
        <v>8</v>
      </c>
      <c r="O75" s="14">
        <v>25</v>
      </c>
      <c r="P75" t="s">
        <v>1076</v>
      </c>
      <c r="Q75" t="s">
        <v>10</v>
      </c>
      <c r="R75" t="s">
        <v>11</v>
      </c>
      <c r="T75" t="s">
        <v>1134</v>
      </c>
      <c r="U75" t="s">
        <v>1115</v>
      </c>
      <c r="V75">
        <v>10</v>
      </c>
      <c r="W75" t="s">
        <v>1137</v>
      </c>
      <c r="Z75" t="s">
        <v>1131</v>
      </c>
    </row>
    <row r="76" spans="1:26">
      <c r="A76">
        <v>75</v>
      </c>
      <c r="B76" t="s">
        <v>23</v>
      </c>
      <c r="C76" t="s">
        <v>143</v>
      </c>
      <c r="E76" t="s">
        <v>2</v>
      </c>
      <c r="F76">
        <v>934129838</v>
      </c>
      <c r="G76" t="s">
        <v>2</v>
      </c>
      <c r="H76" t="s">
        <v>4</v>
      </c>
      <c r="I76" t="s">
        <v>144</v>
      </c>
      <c r="J76" t="s">
        <v>2</v>
      </c>
      <c r="K76" t="s">
        <v>145</v>
      </c>
      <c r="L76" t="s">
        <v>7</v>
      </c>
      <c r="M76" s="1">
        <v>44744</v>
      </c>
      <c r="N76" t="s">
        <v>21</v>
      </c>
      <c r="O76">
        <v>215</v>
      </c>
      <c r="P76" t="s">
        <v>1076</v>
      </c>
      <c r="Q76" t="s">
        <v>10</v>
      </c>
      <c r="R76" t="s">
        <v>11</v>
      </c>
      <c r="T76" t="s">
        <v>1092</v>
      </c>
      <c r="U76" t="s">
        <v>1100</v>
      </c>
      <c r="V76" s="3">
        <v>1</v>
      </c>
      <c r="W76" t="s">
        <v>1146</v>
      </c>
      <c r="Z76" t="s">
        <v>1144</v>
      </c>
    </row>
    <row r="77" spans="1:26">
      <c r="A77">
        <v>76</v>
      </c>
      <c r="B77" t="s">
        <v>23</v>
      </c>
      <c r="C77" t="s">
        <v>143</v>
      </c>
      <c r="E77" t="s">
        <v>2</v>
      </c>
      <c r="F77">
        <v>934129838</v>
      </c>
      <c r="G77" t="s">
        <v>2</v>
      </c>
      <c r="H77" t="s">
        <v>4</v>
      </c>
      <c r="I77" t="s">
        <v>144</v>
      </c>
      <c r="J77" t="s">
        <v>2</v>
      </c>
      <c r="K77" t="s">
        <v>145</v>
      </c>
      <c r="L77" t="s">
        <v>7</v>
      </c>
      <c r="M77" s="1">
        <v>44744</v>
      </c>
      <c r="N77" t="s">
        <v>21</v>
      </c>
      <c r="O77" s="14">
        <v>45</v>
      </c>
      <c r="P77" t="s">
        <v>1076</v>
      </c>
      <c r="Q77" t="s">
        <v>10</v>
      </c>
      <c r="R77" t="s">
        <v>11</v>
      </c>
      <c r="T77" t="s">
        <v>1134</v>
      </c>
      <c r="U77" t="s">
        <v>1116</v>
      </c>
      <c r="V77">
        <v>30</v>
      </c>
      <c r="W77" t="s">
        <v>1137</v>
      </c>
      <c r="Z77" t="s">
        <v>1131</v>
      </c>
    </row>
    <row r="78" spans="1:26">
      <c r="A78">
        <v>77</v>
      </c>
      <c r="B78" t="s">
        <v>2</v>
      </c>
      <c r="C78" t="s">
        <v>146</v>
      </c>
      <c r="E78">
        <v>46555582</v>
      </c>
      <c r="F78">
        <v>938476026</v>
      </c>
      <c r="G78" t="s">
        <v>2</v>
      </c>
      <c r="H78" t="s">
        <v>77</v>
      </c>
      <c r="J78" t="s">
        <v>147</v>
      </c>
      <c r="K78" t="s">
        <v>2</v>
      </c>
      <c r="L78" t="s">
        <v>37</v>
      </c>
      <c r="M78" s="1">
        <v>44748</v>
      </c>
      <c r="N78" t="s">
        <v>38</v>
      </c>
      <c r="O78">
        <v>165</v>
      </c>
      <c r="P78" t="s">
        <v>9</v>
      </c>
      <c r="Q78" t="s">
        <v>10</v>
      </c>
      <c r="R78" t="s">
        <v>11</v>
      </c>
      <c r="T78" t="s">
        <v>1082</v>
      </c>
      <c r="U78" t="s">
        <v>1099</v>
      </c>
      <c r="V78" s="3">
        <v>1</v>
      </c>
      <c r="W78" t="s">
        <v>1146</v>
      </c>
      <c r="Z78" t="s">
        <v>1143</v>
      </c>
    </row>
    <row r="79" spans="1:26">
      <c r="A79">
        <v>78</v>
      </c>
      <c r="B79" t="s">
        <v>2</v>
      </c>
      <c r="C79" t="s">
        <v>146</v>
      </c>
      <c r="E79">
        <v>46555582</v>
      </c>
      <c r="F79">
        <v>938476026</v>
      </c>
      <c r="G79" t="s">
        <v>2</v>
      </c>
      <c r="H79" t="s">
        <v>77</v>
      </c>
      <c r="J79" t="s">
        <v>147</v>
      </c>
      <c r="K79" t="s">
        <v>2</v>
      </c>
      <c r="L79" t="s">
        <v>37</v>
      </c>
      <c r="M79" s="1">
        <v>44748</v>
      </c>
      <c r="N79" t="s">
        <v>38</v>
      </c>
      <c r="O79" s="14">
        <v>15</v>
      </c>
      <c r="P79" t="s">
        <v>9</v>
      </c>
      <c r="Q79" t="s">
        <v>10</v>
      </c>
      <c r="R79" t="s">
        <v>11</v>
      </c>
      <c r="T79" t="s">
        <v>1134</v>
      </c>
      <c r="U79" t="s">
        <v>1116</v>
      </c>
      <c r="V79">
        <v>10</v>
      </c>
      <c r="W79" t="s">
        <v>1137</v>
      </c>
      <c r="Z79" t="s">
        <v>1131</v>
      </c>
    </row>
    <row r="80" spans="1:26">
      <c r="A80">
        <v>79</v>
      </c>
      <c r="B80" t="s">
        <v>23</v>
      </c>
      <c r="C80" t="s">
        <v>148</v>
      </c>
      <c r="E80" t="s">
        <v>2</v>
      </c>
      <c r="F80">
        <v>945381442</v>
      </c>
      <c r="G80" t="s">
        <v>2</v>
      </c>
      <c r="H80" t="s">
        <v>4</v>
      </c>
      <c r="I80" t="s">
        <v>90</v>
      </c>
      <c r="J80" t="s">
        <v>2</v>
      </c>
      <c r="K80" t="s">
        <v>149</v>
      </c>
      <c r="L80" t="s">
        <v>37</v>
      </c>
      <c r="M80" s="1">
        <v>44749</v>
      </c>
      <c r="N80" t="s">
        <v>21</v>
      </c>
      <c r="O80" s="14">
        <v>325</v>
      </c>
      <c r="P80" t="s">
        <v>150</v>
      </c>
      <c r="Q80" t="s">
        <v>10</v>
      </c>
      <c r="R80" t="s">
        <v>11</v>
      </c>
      <c r="T80" t="s">
        <v>1092</v>
      </c>
      <c r="U80" t="s">
        <v>1101</v>
      </c>
      <c r="V80" s="3">
        <v>1</v>
      </c>
      <c r="W80" t="s">
        <v>1146</v>
      </c>
      <c r="Z80" t="s">
        <v>1143</v>
      </c>
    </row>
    <row r="81" spans="1:26">
      <c r="A81">
        <v>80</v>
      </c>
      <c r="B81" t="s">
        <v>23</v>
      </c>
      <c r="C81" t="s">
        <v>148</v>
      </c>
      <c r="E81" t="s">
        <v>2</v>
      </c>
      <c r="F81">
        <v>945381442</v>
      </c>
      <c r="G81" t="s">
        <v>2</v>
      </c>
      <c r="H81" t="s">
        <v>4</v>
      </c>
      <c r="I81" t="s">
        <v>90</v>
      </c>
      <c r="J81" t="s">
        <v>2</v>
      </c>
      <c r="K81" t="s">
        <v>149</v>
      </c>
      <c r="L81" t="s">
        <v>37</v>
      </c>
      <c r="M81" s="1">
        <v>44749</v>
      </c>
      <c r="N81" t="s">
        <v>21</v>
      </c>
      <c r="O81" s="14">
        <v>25</v>
      </c>
      <c r="P81" t="s">
        <v>150</v>
      </c>
      <c r="Q81" t="s">
        <v>10</v>
      </c>
      <c r="R81" t="s">
        <v>11</v>
      </c>
      <c r="T81" t="s">
        <v>1134</v>
      </c>
      <c r="U81" t="s">
        <v>1115</v>
      </c>
      <c r="V81">
        <v>10</v>
      </c>
      <c r="W81" t="s">
        <v>1137</v>
      </c>
      <c r="Z81" t="s">
        <v>1131</v>
      </c>
    </row>
    <row r="82" spans="1:26">
      <c r="A82">
        <v>81</v>
      </c>
      <c r="B82" t="s">
        <v>60</v>
      </c>
      <c r="C82" t="s">
        <v>151</v>
      </c>
      <c r="E82" t="s">
        <v>2</v>
      </c>
      <c r="F82">
        <v>964289101</v>
      </c>
      <c r="G82" t="s">
        <v>152</v>
      </c>
      <c r="H82" t="s">
        <v>4</v>
      </c>
      <c r="I82" t="s">
        <v>90</v>
      </c>
      <c r="J82" t="s">
        <v>2</v>
      </c>
      <c r="K82" t="s">
        <v>153</v>
      </c>
      <c r="L82" t="s">
        <v>37</v>
      </c>
      <c r="M82" s="1">
        <v>44749</v>
      </c>
      <c r="N82" t="s">
        <v>8</v>
      </c>
      <c r="O82" s="14">
        <v>505</v>
      </c>
      <c r="P82" t="s">
        <v>52</v>
      </c>
      <c r="Q82" t="s">
        <v>10</v>
      </c>
      <c r="R82" t="s">
        <v>11</v>
      </c>
      <c r="T82" t="s">
        <v>1092</v>
      </c>
      <c r="U82" t="s">
        <v>1095</v>
      </c>
      <c r="V82" s="3">
        <v>1</v>
      </c>
      <c r="W82" t="s">
        <v>1145</v>
      </c>
      <c r="Z82" t="s">
        <v>1143</v>
      </c>
    </row>
    <row r="83" spans="1:26">
      <c r="A83">
        <v>82</v>
      </c>
      <c r="B83" t="s">
        <v>60</v>
      </c>
      <c r="C83" t="s">
        <v>151</v>
      </c>
      <c r="E83" t="s">
        <v>2</v>
      </c>
      <c r="F83">
        <v>964289101</v>
      </c>
      <c r="G83" t="s">
        <v>152</v>
      </c>
      <c r="H83" t="s">
        <v>4</v>
      </c>
      <c r="I83" t="s">
        <v>90</v>
      </c>
      <c r="J83" t="s">
        <v>2</v>
      </c>
      <c r="K83" t="s">
        <v>153</v>
      </c>
      <c r="L83" t="s">
        <v>37</v>
      </c>
      <c r="M83" s="1">
        <v>44749</v>
      </c>
      <c r="N83" t="s">
        <v>8</v>
      </c>
      <c r="O83" s="14">
        <v>20</v>
      </c>
      <c r="P83" t="s">
        <v>52</v>
      </c>
      <c r="Q83" t="s">
        <v>10</v>
      </c>
      <c r="R83" t="s">
        <v>11</v>
      </c>
      <c r="T83" t="s">
        <v>1134</v>
      </c>
      <c r="U83" t="s">
        <v>1115</v>
      </c>
      <c r="V83">
        <v>6</v>
      </c>
      <c r="W83" t="s">
        <v>1137</v>
      </c>
      <c r="Z83" t="s">
        <v>1131</v>
      </c>
    </row>
    <row r="84" spans="1:26">
      <c r="A84">
        <v>83</v>
      </c>
      <c r="B84" t="s">
        <v>2</v>
      </c>
      <c r="C84" t="s">
        <v>154</v>
      </c>
      <c r="E84" t="s">
        <v>2</v>
      </c>
      <c r="F84">
        <v>968176659</v>
      </c>
      <c r="G84" t="s">
        <v>2</v>
      </c>
      <c r="H84" t="s">
        <v>4</v>
      </c>
      <c r="I84" t="s">
        <v>90</v>
      </c>
      <c r="J84" t="s">
        <v>2</v>
      </c>
      <c r="K84" t="s">
        <v>155</v>
      </c>
      <c r="L84" t="s">
        <v>37</v>
      </c>
      <c r="M84" s="1">
        <v>44749</v>
      </c>
      <c r="N84" t="s">
        <v>8</v>
      </c>
      <c r="O84">
        <v>185</v>
      </c>
      <c r="P84" t="s">
        <v>1076</v>
      </c>
      <c r="Q84" t="s">
        <v>10</v>
      </c>
      <c r="R84" t="s">
        <v>22</v>
      </c>
      <c r="T84" t="s">
        <v>1092</v>
      </c>
      <c r="U84" t="s">
        <v>1100</v>
      </c>
      <c r="V84" s="3">
        <v>1</v>
      </c>
      <c r="W84" t="s">
        <v>1146</v>
      </c>
      <c r="Z84" t="s">
        <v>1144</v>
      </c>
    </row>
    <row r="85" spans="1:26">
      <c r="A85">
        <v>84</v>
      </c>
      <c r="B85" t="s">
        <v>2</v>
      </c>
      <c r="C85" t="s">
        <v>154</v>
      </c>
      <c r="E85" t="s">
        <v>2</v>
      </c>
      <c r="F85">
        <v>968176659</v>
      </c>
      <c r="G85" t="s">
        <v>2</v>
      </c>
      <c r="H85" t="s">
        <v>4</v>
      </c>
      <c r="I85" t="s">
        <v>90</v>
      </c>
      <c r="J85" t="s">
        <v>2</v>
      </c>
      <c r="K85" t="s">
        <v>155</v>
      </c>
      <c r="L85" t="s">
        <v>37</v>
      </c>
      <c r="M85" s="1">
        <v>44749</v>
      </c>
      <c r="N85" t="s">
        <v>8</v>
      </c>
      <c r="O85" s="14">
        <v>15</v>
      </c>
      <c r="P85" t="s">
        <v>1076</v>
      </c>
      <c r="Q85" t="s">
        <v>10</v>
      </c>
      <c r="R85" t="s">
        <v>22</v>
      </c>
      <c r="T85" t="s">
        <v>1134</v>
      </c>
      <c r="U85" t="s">
        <v>1116</v>
      </c>
      <c r="V85">
        <v>10</v>
      </c>
      <c r="W85" t="s">
        <v>1137</v>
      </c>
      <c r="Z85" t="s">
        <v>1131</v>
      </c>
    </row>
    <row r="86" spans="1:26">
      <c r="A86">
        <v>85</v>
      </c>
      <c r="B86" t="s">
        <v>2</v>
      </c>
      <c r="C86" t="s">
        <v>156</v>
      </c>
      <c r="E86">
        <v>72612204</v>
      </c>
      <c r="F86">
        <v>987742281</v>
      </c>
      <c r="G86" t="s">
        <v>2</v>
      </c>
      <c r="H86" t="s">
        <v>157</v>
      </c>
      <c r="J86" t="s">
        <v>158</v>
      </c>
      <c r="K86" t="s">
        <v>2</v>
      </c>
      <c r="L86" t="s">
        <v>37</v>
      </c>
      <c r="M86" s="1">
        <v>44750</v>
      </c>
      <c r="N86" t="s">
        <v>8</v>
      </c>
      <c r="O86" s="14">
        <v>325</v>
      </c>
      <c r="P86" t="s">
        <v>9</v>
      </c>
      <c r="Q86" t="s">
        <v>10</v>
      </c>
      <c r="R86" t="s">
        <v>11</v>
      </c>
      <c r="T86" t="s">
        <v>1092</v>
      </c>
      <c r="U86" t="s">
        <v>1101</v>
      </c>
      <c r="V86" s="3">
        <v>1</v>
      </c>
      <c r="W86" t="s">
        <v>1146</v>
      </c>
      <c r="Z86" t="s">
        <v>1143</v>
      </c>
    </row>
    <row r="87" spans="1:26">
      <c r="A87">
        <v>86</v>
      </c>
      <c r="B87" t="s">
        <v>2</v>
      </c>
      <c r="C87" t="s">
        <v>156</v>
      </c>
      <c r="E87">
        <v>72612204</v>
      </c>
      <c r="F87">
        <v>987742281</v>
      </c>
      <c r="G87" t="s">
        <v>2</v>
      </c>
      <c r="H87" t="s">
        <v>157</v>
      </c>
      <c r="J87" t="s">
        <v>158</v>
      </c>
      <c r="K87" t="s">
        <v>2</v>
      </c>
      <c r="L87" t="s">
        <v>37</v>
      </c>
      <c r="M87" s="1">
        <v>44750</v>
      </c>
      <c r="N87" t="s">
        <v>8</v>
      </c>
      <c r="O87" s="14">
        <v>25</v>
      </c>
      <c r="P87" t="s">
        <v>9</v>
      </c>
      <c r="Q87" t="s">
        <v>10</v>
      </c>
      <c r="R87" t="s">
        <v>11</v>
      </c>
      <c r="T87" t="s">
        <v>1134</v>
      </c>
      <c r="U87" t="s">
        <v>1115</v>
      </c>
      <c r="V87">
        <v>10</v>
      </c>
      <c r="W87" t="s">
        <v>1137</v>
      </c>
      <c r="Z87" t="s">
        <v>1131</v>
      </c>
    </row>
    <row r="88" spans="1:26">
      <c r="A88">
        <v>87</v>
      </c>
      <c r="B88" t="s">
        <v>0</v>
      </c>
      <c r="C88" t="s">
        <v>159</v>
      </c>
      <c r="E88">
        <v>46958628</v>
      </c>
      <c r="F88">
        <v>989710829</v>
      </c>
      <c r="G88" t="s">
        <v>160</v>
      </c>
      <c r="H88" t="s">
        <v>4</v>
      </c>
      <c r="I88" t="s">
        <v>161</v>
      </c>
      <c r="J88" t="s">
        <v>2</v>
      </c>
      <c r="K88" t="s">
        <v>162</v>
      </c>
      <c r="L88" t="s">
        <v>37</v>
      </c>
      <c r="M88" s="1">
        <v>44750</v>
      </c>
      <c r="N88" t="s">
        <v>8</v>
      </c>
      <c r="O88">
        <v>325</v>
      </c>
      <c r="P88" t="s">
        <v>52</v>
      </c>
      <c r="Q88" t="s">
        <v>10</v>
      </c>
      <c r="R88" t="s">
        <v>11</v>
      </c>
      <c r="T88" t="s">
        <v>1092</v>
      </c>
      <c r="U88" t="s">
        <v>1101</v>
      </c>
      <c r="V88" s="3">
        <v>1</v>
      </c>
      <c r="W88" t="s">
        <v>1146</v>
      </c>
      <c r="Z88" t="s">
        <v>1143</v>
      </c>
    </row>
    <row r="89" spans="1:26">
      <c r="A89">
        <v>88</v>
      </c>
      <c r="B89" t="s">
        <v>0</v>
      </c>
      <c r="C89" t="s">
        <v>159</v>
      </c>
      <c r="E89">
        <v>46958628</v>
      </c>
      <c r="F89">
        <v>989710829</v>
      </c>
      <c r="G89" t="s">
        <v>160</v>
      </c>
      <c r="H89" t="s">
        <v>4</v>
      </c>
      <c r="I89" t="s">
        <v>161</v>
      </c>
      <c r="J89" t="s">
        <v>2</v>
      </c>
      <c r="K89" t="s">
        <v>162</v>
      </c>
      <c r="L89" t="s">
        <v>37</v>
      </c>
      <c r="M89" s="1">
        <v>44750</v>
      </c>
      <c r="N89" t="s">
        <v>8</v>
      </c>
      <c r="O89" s="14">
        <v>25</v>
      </c>
      <c r="P89" t="s">
        <v>52</v>
      </c>
      <c r="Q89" t="s">
        <v>10</v>
      </c>
      <c r="R89" t="s">
        <v>11</v>
      </c>
      <c r="T89" t="s">
        <v>1134</v>
      </c>
      <c r="U89" t="s">
        <v>1115</v>
      </c>
      <c r="V89">
        <v>10</v>
      </c>
      <c r="W89" t="s">
        <v>1137</v>
      </c>
      <c r="Z89" t="s">
        <v>1131</v>
      </c>
    </row>
    <row r="90" spans="1:26">
      <c r="A90">
        <v>89</v>
      </c>
      <c r="B90" t="s">
        <v>2</v>
      </c>
      <c r="C90" t="s">
        <v>163</v>
      </c>
      <c r="E90" t="s">
        <v>2</v>
      </c>
      <c r="F90">
        <v>989577698</v>
      </c>
      <c r="G90" t="s">
        <v>2</v>
      </c>
      <c r="H90" t="s">
        <v>4</v>
      </c>
      <c r="I90" t="s">
        <v>164</v>
      </c>
      <c r="J90" t="s">
        <v>2</v>
      </c>
      <c r="K90" t="s">
        <v>164</v>
      </c>
      <c r="L90" t="s">
        <v>37</v>
      </c>
      <c r="M90" s="1">
        <v>44750</v>
      </c>
      <c r="N90" t="s">
        <v>56</v>
      </c>
      <c r="O90">
        <v>345</v>
      </c>
      <c r="P90" t="s">
        <v>165</v>
      </c>
      <c r="Q90" t="s">
        <v>10</v>
      </c>
      <c r="R90" t="s">
        <v>11</v>
      </c>
      <c r="T90" t="s">
        <v>1092</v>
      </c>
      <c r="U90" t="s">
        <v>1101</v>
      </c>
      <c r="V90" s="3">
        <v>1</v>
      </c>
      <c r="W90" t="s">
        <v>1146</v>
      </c>
      <c r="Z90" t="s">
        <v>1143</v>
      </c>
    </row>
    <row r="91" spans="1:26">
      <c r="A91">
        <v>90</v>
      </c>
      <c r="B91" t="s">
        <v>2</v>
      </c>
      <c r="C91" t="s">
        <v>163</v>
      </c>
      <c r="E91" t="s">
        <v>2</v>
      </c>
      <c r="F91">
        <v>989577698</v>
      </c>
      <c r="G91" t="s">
        <v>2</v>
      </c>
      <c r="H91" t="s">
        <v>4</v>
      </c>
      <c r="I91" t="s">
        <v>164</v>
      </c>
      <c r="J91" t="s">
        <v>2</v>
      </c>
      <c r="K91" t="s">
        <v>164</v>
      </c>
      <c r="L91" t="s">
        <v>37</v>
      </c>
      <c r="M91" s="1">
        <v>44750</v>
      </c>
      <c r="N91" t="s">
        <v>56</v>
      </c>
      <c r="O91" s="14">
        <v>25</v>
      </c>
      <c r="P91" t="s">
        <v>165</v>
      </c>
      <c r="Q91" t="s">
        <v>10</v>
      </c>
      <c r="R91" t="s">
        <v>11</v>
      </c>
      <c r="T91" t="s">
        <v>1134</v>
      </c>
      <c r="U91" t="s">
        <v>1115</v>
      </c>
      <c r="V91">
        <v>10</v>
      </c>
      <c r="W91" t="s">
        <v>1137</v>
      </c>
      <c r="Z91" t="s">
        <v>1131</v>
      </c>
    </row>
    <row r="92" spans="1:26">
      <c r="A92">
        <v>91</v>
      </c>
      <c r="B92" t="s">
        <v>2</v>
      </c>
      <c r="C92" t="s">
        <v>166</v>
      </c>
      <c r="E92">
        <v>491048</v>
      </c>
      <c r="F92">
        <v>983040172</v>
      </c>
      <c r="G92" t="s">
        <v>2</v>
      </c>
      <c r="H92" t="s">
        <v>55</v>
      </c>
      <c r="J92" t="s">
        <v>29</v>
      </c>
      <c r="K92" t="s">
        <v>2</v>
      </c>
      <c r="L92" t="s">
        <v>37</v>
      </c>
      <c r="M92" s="1">
        <v>44750</v>
      </c>
      <c r="N92" t="s">
        <v>8</v>
      </c>
      <c r="O92">
        <v>185</v>
      </c>
      <c r="P92" t="s">
        <v>30</v>
      </c>
      <c r="Q92" t="s">
        <v>10</v>
      </c>
      <c r="R92" t="s">
        <v>11</v>
      </c>
      <c r="T92" t="s">
        <v>1092</v>
      </c>
      <c r="U92" t="s">
        <v>1101</v>
      </c>
      <c r="V92" s="3">
        <v>1</v>
      </c>
      <c r="W92" t="s">
        <v>1146</v>
      </c>
      <c r="Z92" t="s">
        <v>1143</v>
      </c>
    </row>
    <row r="93" spans="1:26">
      <c r="A93">
        <v>92</v>
      </c>
      <c r="B93" t="s">
        <v>2</v>
      </c>
      <c r="C93" t="s">
        <v>166</v>
      </c>
      <c r="E93">
        <v>491048</v>
      </c>
      <c r="F93">
        <v>983040172</v>
      </c>
      <c r="G93" t="s">
        <v>2</v>
      </c>
      <c r="H93" t="s">
        <v>55</v>
      </c>
      <c r="J93" t="s">
        <v>29</v>
      </c>
      <c r="K93" t="s">
        <v>2</v>
      </c>
      <c r="L93" t="s">
        <v>37</v>
      </c>
      <c r="M93" s="1">
        <v>44750</v>
      </c>
      <c r="N93" t="s">
        <v>8</v>
      </c>
      <c r="O93" s="14">
        <v>15</v>
      </c>
      <c r="P93" t="s">
        <v>30</v>
      </c>
      <c r="Q93" t="s">
        <v>10</v>
      </c>
      <c r="R93" t="s">
        <v>11</v>
      </c>
      <c r="T93" t="s">
        <v>1134</v>
      </c>
      <c r="U93" t="s">
        <v>1116</v>
      </c>
      <c r="V93">
        <v>10</v>
      </c>
      <c r="W93" t="s">
        <v>1137</v>
      </c>
      <c r="Z93" t="s">
        <v>1131</v>
      </c>
    </row>
    <row r="94" spans="1:26">
      <c r="A94">
        <v>93</v>
      </c>
      <c r="B94" t="s">
        <v>60</v>
      </c>
      <c r="C94" t="s">
        <v>167</v>
      </c>
      <c r="E94" t="s">
        <v>2</v>
      </c>
      <c r="F94">
        <v>984903295</v>
      </c>
      <c r="G94" t="s">
        <v>168</v>
      </c>
      <c r="H94" t="s">
        <v>4</v>
      </c>
      <c r="I94" t="s">
        <v>169</v>
      </c>
      <c r="J94" t="s">
        <v>2</v>
      </c>
      <c r="K94" t="s">
        <v>170</v>
      </c>
      <c r="L94" t="s">
        <v>37</v>
      </c>
      <c r="M94" s="1">
        <v>44751</v>
      </c>
      <c r="N94" t="s">
        <v>8</v>
      </c>
      <c r="O94">
        <f>490-300-10</f>
        <v>180</v>
      </c>
      <c r="P94" t="s">
        <v>1076</v>
      </c>
      <c r="Q94" t="s">
        <v>31</v>
      </c>
      <c r="R94" t="s">
        <v>11</v>
      </c>
      <c r="S94">
        <v>15</v>
      </c>
      <c r="T94" t="s">
        <v>1082</v>
      </c>
      <c r="U94" t="s">
        <v>1099</v>
      </c>
      <c r="V94" s="3">
        <v>1</v>
      </c>
      <c r="W94" t="s">
        <v>1146</v>
      </c>
      <c r="Z94" t="s">
        <v>1143</v>
      </c>
    </row>
    <row r="95" spans="1:26">
      <c r="A95">
        <v>94</v>
      </c>
      <c r="B95" t="s">
        <v>60</v>
      </c>
      <c r="C95" t="s">
        <v>167</v>
      </c>
      <c r="E95" t="s">
        <v>2</v>
      </c>
      <c r="F95">
        <v>984903295</v>
      </c>
      <c r="G95" t="s">
        <v>168</v>
      </c>
      <c r="H95" t="s">
        <v>4</v>
      </c>
      <c r="I95" t="s">
        <v>169</v>
      </c>
      <c r="J95" t="s">
        <v>2</v>
      </c>
      <c r="K95" t="s">
        <v>170</v>
      </c>
      <c r="L95" t="s">
        <v>37</v>
      </c>
      <c r="M95" s="1">
        <v>44751</v>
      </c>
      <c r="N95" t="s">
        <v>8</v>
      </c>
      <c r="O95" s="14">
        <v>10</v>
      </c>
      <c r="P95" t="s">
        <v>1076</v>
      </c>
      <c r="Q95" t="s">
        <v>31</v>
      </c>
      <c r="R95" t="s">
        <v>11</v>
      </c>
      <c r="T95" t="s">
        <v>1134</v>
      </c>
      <c r="U95" t="s">
        <v>1116</v>
      </c>
      <c r="V95" s="3">
        <v>10</v>
      </c>
      <c r="W95" t="s">
        <v>1137</v>
      </c>
      <c r="Z95" t="s">
        <v>1131</v>
      </c>
    </row>
    <row r="96" spans="1:26">
      <c r="A96">
        <v>95</v>
      </c>
      <c r="B96" t="s">
        <v>60</v>
      </c>
      <c r="C96" t="s">
        <v>167</v>
      </c>
      <c r="E96" t="s">
        <v>2</v>
      </c>
      <c r="F96">
        <v>984903295</v>
      </c>
      <c r="G96" t="s">
        <v>168</v>
      </c>
      <c r="H96" t="s">
        <v>4</v>
      </c>
      <c r="I96" t="s">
        <v>169</v>
      </c>
      <c r="J96" t="s">
        <v>2</v>
      </c>
      <c r="K96" t="s">
        <v>170</v>
      </c>
      <c r="L96" t="s">
        <v>37</v>
      </c>
      <c r="M96" s="1">
        <v>44751</v>
      </c>
      <c r="N96" t="s">
        <v>8</v>
      </c>
      <c r="O96">
        <v>300</v>
      </c>
      <c r="P96" t="s">
        <v>1076</v>
      </c>
      <c r="Q96" t="s">
        <v>31</v>
      </c>
      <c r="R96" t="s">
        <v>11</v>
      </c>
      <c r="T96" t="s">
        <v>1107</v>
      </c>
      <c r="U96" t="s">
        <v>1107</v>
      </c>
      <c r="V96" s="3">
        <v>2</v>
      </c>
      <c r="W96" t="s">
        <v>1140</v>
      </c>
      <c r="Z96" t="s">
        <v>1138</v>
      </c>
    </row>
    <row r="97" spans="1:26">
      <c r="A97">
        <v>96</v>
      </c>
      <c r="B97" t="s">
        <v>60</v>
      </c>
      <c r="C97" t="s">
        <v>171</v>
      </c>
      <c r="E97">
        <v>10427783389</v>
      </c>
      <c r="F97">
        <v>956457070</v>
      </c>
      <c r="G97" t="s">
        <v>172</v>
      </c>
      <c r="H97" t="s">
        <v>65</v>
      </c>
      <c r="J97" t="s">
        <v>173</v>
      </c>
      <c r="K97" t="s">
        <v>2</v>
      </c>
      <c r="L97" t="s">
        <v>37</v>
      </c>
      <c r="M97" s="1">
        <v>44754</v>
      </c>
      <c r="N97" t="s">
        <v>8</v>
      </c>
      <c r="O97">
        <v>610</v>
      </c>
      <c r="P97" t="s">
        <v>174</v>
      </c>
      <c r="Q97" t="s">
        <v>31</v>
      </c>
      <c r="R97" t="s">
        <v>11</v>
      </c>
      <c r="S97">
        <v>10</v>
      </c>
      <c r="T97" t="s">
        <v>1092</v>
      </c>
      <c r="U97" t="s">
        <v>1101</v>
      </c>
      <c r="V97" s="3">
        <v>2</v>
      </c>
      <c r="W97" t="s">
        <v>1146</v>
      </c>
      <c r="Z97" t="s">
        <v>1143</v>
      </c>
    </row>
    <row r="98" spans="1:26">
      <c r="A98">
        <v>97</v>
      </c>
      <c r="B98" t="s">
        <v>60</v>
      </c>
      <c r="C98" t="s">
        <v>171</v>
      </c>
      <c r="E98">
        <v>10427783389</v>
      </c>
      <c r="F98">
        <v>956457070</v>
      </c>
      <c r="G98" t="s">
        <v>172</v>
      </c>
      <c r="H98" t="s">
        <v>65</v>
      </c>
      <c r="J98" t="s">
        <v>173</v>
      </c>
      <c r="K98" t="s">
        <v>2</v>
      </c>
      <c r="L98" t="s">
        <v>37</v>
      </c>
      <c r="M98" s="1">
        <v>44754</v>
      </c>
      <c r="N98" t="s">
        <v>8</v>
      </c>
      <c r="O98">
        <v>50</v>
      </c>
      <c r="P98" t="s">
        <v>174</v>
      </c>
      <c r="Q98" t="s">
        <v>31</v>
      </c>
      <c r="R98" t="s">
        <v>11</v>
      </c>
      <c r="T98" t="s">
        <v>1134</v>
      </c>
      <c r="U98" t="s">
        <v>1115</v>
      </c>
      <c r="V98">
        <v>20</v>
      </c>
      <c r="W98" t="s">
        <v>1137</v>
      </c>
      <c r="Z98" t="s">
        <v>1131</v>
      </c>
    </row>
    <row r="99" spans="1:26">
      <c r="A99">
        <v>98</v>
      </c>
      <c r="B99" t="s">
        <v>23</v>
      </c>
      <c r="C99" t="s">
        <v>175</v>
      </c>
      <c r="E99" t="s">
        <v>2</v>
      </c>
      <c r="F99">
        <v>955287029</v>
      </c>
      <c r="G99" t="s">
        <v>2</v>
      </c>
      <c r="H99" t="s">
        <v>4</v>
      </c>
      <c r="I99" t="s">
        <v>94</v>
      </c>
      <c r="J99" t="s">
        <v>2</v>
      </c>
      <c r="K99" t="s">
        <v>176</v>
      </c>
      <c r="L99" t="s">
        <v>37</v>
      </c>
      <c r="M99" s="1">
        <v>44755</v>
      </c>
      <c r="N99" t="s">
        <v>21</v>
      </c>
      <c r="O99">
        <v>185</v>
      </c>
      <c r="P99" t="s">
        <v>9</v>
      </c>
      <c r="Q99" t="s">
        <v>10</v>
      </c>
      <c r="R99" t="s">
        <v>11</v>
      </c>
      <c r="T99" t="s">
        <v>1092</v>
      </c>
      <c r="U99" t="s">
        <v>1100</v>
      </c>
      <c r="V99" s="3">
        <v>10</v>
      </c>
      <c r="W99" t="s">
        <v>1146</v>
      </c>
      <c r="Z99" t="s">
        <v>1144</v>
      </c>
    </row>
    <row r="100" spans="1:26">
      <c r="A100">
        <v>99</v>
      </c>
      <c r="B100" t="s">
        <v>23</v>
      </c>
      <c r="C100" t="s">
        <v>175</v>
      </c>
      <c r="E100" t="s">
        <v>2</v>
      </c>
      <c r="F100">
        <v>955287029</v>
      </c>
      <c r="G100" t="s">
        <v>2</v>
      </c>
      <c r="H100" t="s">
        <v>4</v>
      </c>
      <c r="I100" t="s">
        <v>94</v>
      </c>
      <c r="J100" t="s">
        <v>2</v>
      </c>
      <c r="K100" t="s">
        <v>176</v>
      </c>
      <c r="L100" t="s">
        <v>37</v>
      </c>
      <c r="M100" s="1">
        <v>44755</v>
      </c>
      <c r="N100" t="s">
        <v>21</v>
      </c>
      <c r="O100">
        <v>15</v>
      </c>
      <c r="P100" t="s">
        <v>9</v>
      </c>
      <c r="Q100" t="s">
        <v>10</v>
      </c>
      <c r="R100" t="s">
        <v>11</v>
      </c>
      <c r="T100" t="s">
        <v>1134</v>
      </c>
      <c r="U100" t="s">
        <v>1116</v>
      </c>
      <c r="V100">
        <v>1</v>
      </c>
      <c r="W100" t="s">
        <v>1137</v>
      </c>
      <c r="Z100" t="s">
        <v>1131</v>
      </c>
    </row>
    <row r="101" spans="1:26">
      <c r="A101">
        <v>100</v>
      </c>
      <c r="B101" t="s">
        <v>2</v>
      </c>
      <c r="C101" t="s">
        <v>177</v>
      </c>
      <c r="E101">
        <v>41889643</v>
      </c>
      <c r="F101">
        <v>997045980</v>
      </c>
      <c r="G101" t="s">
        <v>2</v>
      </c>
      <c r="H101" t="s">
        <v>44</v>
      </c>
      <c r="J101" t="s">
        <v>178</v>
      </c>
      <c r="K101" t="s">
        <v>2</v>
      </c>
      <c r="L101" t="s">
        <v>37</v>
      </c>
      <c r="M101" s="1">
        <v>44755</v>
      </c>
      <c r="N101" t="s">
        <v>8</v>
      </c>
      <c r="O101">
        <v>185</v>
      </c>
      <c r="P101" t="s">
        <v>52</v>
      </c>
      <c r="Q101" t="s">
        <v>10</v>
      </c>
      <c r="R101" t="s">
        <v>11</v>
      </c>
      <c r="T101" t="s">
        <v>1092</v>
      </c>
      <c r="U101" t="s">
        <v>1100</v>
      </c>
      <c r="V101" s="3">
        <v>1</v>
      </c>
      <c r="W101" t="s">
        <v>1146</v>
      </c>
      <c r="Z101" t="s">
        <v>1144</v>
      </c>
    </row>
    <row r="102" spans="1:26">
      <c r="A102">
        <v>101</v>
      </c>
      <c r="B102" t="s">
        <v>2</v>
      </c>
      <c r="C102" t="s">
        <v>177</v>
      </c>
      <c r="E102">
        <v>41889643</v>
      </c>
      <c r="F102">
        <v>997045980</v>
      </c>
      <c r="G102" t="s">
        <v>2</v>
      </c>
      <c r="H102" t="s">
        <v>44</v>
      </c>
      <c r="J102" t="s">
        <v>178</v>
      </c>
      <c r="K102" t="s">
        <v>2</v>
      </c>
      <c r="L102" t="s">
        <v>37</v>
      </c>
      <c r="M102" s="1">
        <v>44755</v>
      </c>
      <c r="N102" t="s">
        <v>8</v>
      </c>
      <c r="O102">
        <v>15</v>
      </c>
      <c r="P102" t="s">
        <v>52</v>
      </c>
      <c r="Q102" t="s">
        <v>10</v>
      </c>
      <c r="R102" t="s">
        <v>11</v>
      </c>
      <c r="T102" t="s">
        <v>1134</v>
      </c>
      <c r="U102" t="s">
        <v>1116</v>
      </c>
      <c r="V102">
        <v>1</v>
      </c>
      <c r="W102" t="s">
        <v>1137</v>
      </c>
      <c r="Z102" t="s">
        <v>1131</v>
      </c>
    </row>
    <row r="103" spans="1:26">
      <c r="A103">
        <v>102</v>
      </c>
      <c r="B103" t="s">
        <v>2</v>
      </c>
      <c r="C103" t="s">
        <v>179</v>
      </c>
      <c r="E103" t="s">
        <v>2</v>
      </c>
      <c r="F103">
        <v>933872031</v>
      </c>
      <c r="G103" t="s">
        <v>2</v>
      </c>
      <c r="H103" t="s">
        <v>4</v>
      </c>
      <c r="I103" t="s">
        <v>15</v>
      </c>
      <c r="J103" t="s">
        <v>2</v>
      </c>
      <c r="K103" t="s">
        <v>180</v>
      </c>
      <c r="L103" t="s">
        <v>37</v>
      </c>
      <c r="M103" s="1">
        <v>44755</v>
      </c>
      <c r="N103" t="s">
        <v>8</v>
      </c>
      <c r="O103">
        <v>205</v>
      </c>
      <c r="P103" t="s">
        <v>9</v>
      </c>
      <c r="Q103" t="s">
        <v>10</v>
      </c>
      <c r="R103" t="s">
        <v>22</v>
      </c>
      <c r="T103" t="s">
        <v>1092</v>
      </c>
      <c r="U103" t="s">
        <v>1100</v>
      </c>
      <c r="V103" s="3">
        <v>1</v>
      </c>
      <c r="W103" t="s">
        <v>1146</v>
      </c>
      <c r="Z103" t="s">
        <v>1144</v>
      </c>
    </row>
    <row r="104" spans="1:26">
      <c r="A104">
        <v>103</v>
      </c>
      <c r="B104" t="s">
        <v>2</v>
      </c>
      <c r="C104" t="s">
        <v>179</v>
      </c>
      <c r="E104" t="s">
        <v>2</v>
      </c>
      <c r="F104">
        <v>933872031</v>
      </c>
      <c r="G104" t="s">
        <v>2</v>
      </c>
      <c r="H104" t="s">
        <v>4</v>
      </c>
      <c r="I104" t="s">
        <v>15</v>
      </c>
      <c r="J104" t="s">
        <v>2</v>
      </c>
      <c r="K104" t="s">
        <v>180</v>
      </c>
      <c r="L104" t="s">
        <v>37</v>
      </c>
      <c r="M104" s="1">
        <v>44755</v>
      </c>
      <c r="N104" t="s">
        <v>8</v>
      </c>
      <c r="O104" s="14">
        <v>15</v>
      </c>
      <c r="P104" t="s">
        <v>9</v>
      </c>
      <c r="Q104" t="s">
        <v>10</v>
      </c>
      <c r="R104" t="s">
        <v>22</v>
      </c>
      <c r="T104" t="s">
        <v>1134</v>
      </c>
      <c r="U104" t="s">
        <v>1116</v>
      </c>
      <c r="V104">
        <v>10</v>
      </c>
      <c r="W104" t="s">
        <v>1137</v>
      </c>
      <c r="Z104" t="s">
        <v>1131</v>
      </c>
    </row>
    <row r="105" spans="1:26">
      <c r="A105">
        <v>104</v>
      </c>
      <c r="B105" t="s">
        <v>60</v>
      </c>
      <c r="C105" t="s">
        <v>181</v>
      </c>
      <c r="E105" t="s">
        <v>2</v>
      </c>
      <c r="F105">
        <v>941619302</v>
      </c>
      <c r="G105" t="s">
        <v>182</v>
      </c>
      <c r="H105" t="s">
        <v>4</v>
      </c>
      <c r="I105" t="s">
        <v>183</v>
      </c>
      <c r="J105" t="s">
        <v>2</v>
      </c>
      <c r="K105" t="s">
        <v>184</v>
      </c>
      <c r="L105" t="s">
        <v>7</v>
      </c>
      <c r="M105" s="1">
        <v>44755</v>
      </c>
      <c r="N105" t="s">
        <v>8</v>
      </c>
      <c r="O105">
        <v>190</v>
      </c>
      <c r="P105" t="s">
        <v>30</v>
      </c>
      <c r="Q105" t="s">
        <v>10</v>
      </c>
      <c r="R105" t="s">
        <v>22</v>
      </c>
      <c r="T105" t="s">
        <v>1092</v>
      </c>
      <c r="U105" t="s">
        <v>1100</v>
      </c>
      <c r="V105" s="3">
        <v>1</v>
      </c>
      <c r="W105" t="s">
        <v>1146</v>
      </c>
      <c r="Z105" t="s">
        <v>1144</v>
      </c>
    </row>
    <row r="106" spans="1:26">
      <c r="A106">
        <v>105</v>
      </c>
      <c r="B106" t="s">
        <v>60</v>
      </c>
      <c r="C106" t="s">
        <v>181</v>
      </c>
      <c r="E106" t="s">
        <v>2</v>
      </c>
      <c r="F106">
        <v>941619302</v>
      </c>
      <c r="G106" t="s">
        <v>182</v>
      </c>
      <c r="H106" t="s">
        <v>4</v>
      </c>
      <c r="I106" t="s">
        <v>183</v>
      </c>
      <c r="J106" t="s">
        <v>2</v>
      </c>
      <c r="K106" t="s">
        <v>184</v>
      </c>
      <c r="L106" t="s">
        <v>7</v>
      </c>
      <c r="M106" s="1">
        <v>44755</v>
      </c>
      <c r="N106" t="s">
        <v>8</v>
      </c>
      <c r="O106">
        <v>10</v>
      </c>
      <c r="P106" t="s">
        <v>1076</v>
      </c>
      <c r="Q106" t="s">
        <v>10</v>
      </c>
      <c r="R106" t="s">
        <v>22</v>
      </c>
      <c r="T106" t="s">
        <v>1129</v>
      </c>
      <c r="U106" t="s">
        <v>1129</v>
      </c>
      <c r="V106">
        <v>2</v>
      </c>
      <c r="W106" t="s">
        <v>1058</v>
      </c>
      <c r="Z106" t="s">
        <v>1147</v>
      </c>
    </row>
    <row r="107" spans="1:26">
      <c r="A107">
        <v>106</v>
      </c>
      <c r="B107" t="s">
        <v>12</v>
      </c>
      <c r="C107" t="s">
        <v>185</v>
      </c>
      <c r="E107">
        <v>7451611</v>
      </c>
      <c r="F107">
        <v>999084831</v>
      </c>
      <c r="G107" t="s">
        <v>186</v>
      </c>
      <c r="H107" t="s">
        <v>199</v>
      </c>
      <c r="J107" t="s">
        <v>140</v>
      </c>
      <c r="K107" t="s">
        <v>187</v>
      </c>
      <c r="L107" t="s">
        <v>7</v>
      </c>
      <c r="M107" s="1">
        <v>44756</v>
      </c>
      <c r="N107" t="s">
        <v>56</v>
      </c>
      <c r="O107">
        <f>241.92-O108</f>
        <v>226.92</v>
      </c>
      <c r="P107" t="s">
        <v>1076</v>
      </c>
      <c r="Q107" t="s">
        <v>10</v>
      </c>
      <c r="R107" t="s">
        <v>11</v>
      </c>
      <c r="S107">
        <v>10</v>
      </c>
      <c r="T107" t="s">
        <v>1092</v>
      </c>
      <c r="U107" t="s">
        <v>1100</v>
      </c>
      <c r="V107" s="3">
        <v>1</v>
      </c>
      <c r="W107" t="s">
        <v>1146</v>
      </c>
      <c r="Z107" t="s">
        <v>1144</v>
      </c>
    </row>
    <row r="108" spans="1:26">
      <c r="A108">
        <v>107</v>
      </c>
      <c r="B108" t="s">
        <v>12</v>
      </c>
      <c r="C108" t="s">
        <v>185</v>
      </c>
      <c r="E108">
        <v>7451611</v>
      </c>
      <c r="F108">
        <v>999084831</v>
      </c>
      <c r="G108" t="s">
        <v>186</v>
      </c>
      <c r="H108" t="s">
        <v>199</v>
      </c>
      <c r="J108" t="s">
        <v>140</v>
      </c>
      <c r="K108" t="s">
        <v>187</v>
      </c>
      <c r="L108" t="s">
        <v>7</v>
      </c>
      <c r="M108" s="1">
        <v>44756</v>
      </c>
      <c r="N108" t="s">
        <v>56</v>
      </c>
      <c r="O108" s="14">
        <v>15</v>
      </c>
      <c r="P108" t="s">
        <v>1076</v>
      </c>
      <c r="Q108" t="s">
        <v>10</v>
      </c>
      <c r="R108" t="s">
        <v>11</v>
      </c>
      <c r="T108" t="s">
        <v>1134</v>
      </c>
      <c r="U108" t="s">
        <v>1116</v>
      </c>
      <c r="V108">
        <v>10</v>
      </c>
      <c r="W108" t="s">
        <v>1137</v>
      </c>
      <c r="Z108" t="s">
        <v>1131</v>
      </c>
    </row>
    <row r="109" spans="1:26">
      <c r="A109">
        <v>108</v>
      </c>
      <c r="B109" t="s">
        <v>2</v>
      </c>
      <c r="C109" t="s">
        <v>188</v>
      </c>
      <c r="E109" t="s">
        <v>2</v>
      </c>
      <c r="F109">
        <v>934157494</v>
      </c>
      <c r="G109" t="s">
        <v>2</v>
      </c>
      <c r="H109" t="s">
        <v>4</v>
      </c>
      <c r="J109" t="s">
        <v>2</v>
      </c>
      <c r="K109" t="s">
        <v>189</v>
      </c>
      <c r="L109" t="s">
        <v>7</v>
      </c>
      <c r="M109" s="1">
        <v>44756</v>
      </c>
      <c r="N109" t="s">
        <v>8</v>
      </c>
      <c r="O109">
        <v>335</v>
      </c>
      <c r="P109" t="s">
        <v>9</v>
      </c>
      <c r="Q109" t="s">
        <v>31</v>
      </c>
      <c r="R109" t="s">
        <v>11</v>
      </c>
      <c r="T109" t="s">
        <v>1092</v>
      </c>
      <c r="U109" t="s">
        <v>1101</v>
      </c>
      <c r="V109" s="3">
        <v>1</v>
      </c>
      <c r="W109" t="s">
        <v>1146</v>
      </c>
      <c r="Z109" t="s">
        <v>1143</v>
      </c>
    </row>
    <row r="110" spans="1:26">
      <c r="A110">
        <v>109</v>
      </c>
      <c r="B110" t="s">
        <v>60</v>
      </c>
      <c r="C110" t="s">
        <v>190</v>
      </c>
      <c r="E110" t="s">
        <v>2</v>
      </c>
      <c r="F110">
        <v>986776543</v>
      </c>
      <c r="G110" t="s">
        <v>191</v>
      </c>
      <c r="H110" t="s">
        <v>4</v>
      </c>
      <c r="J110" t="s">
        <v>2</v>
      </c>
      <c r="K110" t="s">
        <v>192</v>
      </c>
      <c r="L110" t="s">
        <v>7</v>
      </c>
      <c r="M110" s="1">
        <v>44756</v>
      </c>
      <c r="N110" t="s">
        <v>8</v>
      </c>
      <c r="O110" s="14">
        <v>25</v>
      </c>
      <c r="P110" t="s">
        <v>9</v>
      </c>
      <c r="Q110" t="s">
        <v>31</v>
      </c>
      <c r="R110" t="s">
        <v>11</v>
      </c>
      <c r="T110" t="s">
        <v>1134</v>
      </c>
      <c r="U110" t="s">
        <v>1115</v>
      </c>
      <c r="V110">
        <v>10</v>
      </c>
      <c r="W110" t="s">
        <v>1137</v>
      </c>
      <c r="Z110" t="s">
        <v>1131</v>
      </c>
    </row>
    <row r="111" spans="1:26">
      <c r="A111">
        <v>110</v>
      </c>
      <c r="B111" t="s">
        <v>60</v>
      </c>
      <c r="C111" t="s">
        <v>190</v>
      </c>
      <c r="E111" t="s">
        <v>2</v>
      </c>
      <c r="F111">
        <v>986776543</v>
      </c>
      <c r="G111" t="s">
        <v>191</v>
      </c>
      <c r="H111" t="s">
        <v>4</v>
      </c>
      <c r="J111" t="s">
        <v>2</v>
      </c>
      <c r="K111" t="s">
        <v>192</v>
      </c>
      <c r="L111" t="s">
        <v>7</v>
      </c>
      <c r="M111" s="1">
        <v>44756</v>
      </c>
      <c r="N111" t="s">
        <v>8</v>
      </c>
      <c r="O111">
        <v>495</v>
      </c>
      <c r="P111" t="s">
        <v>30</v>
      </c>
      <c r="Q111" t="s">
        <v>31</v>
      </c>
      <c r="R111" t="s">
        <v>11</v>
      </c>
      <c r="T111" t="s">
        <v>1092</v>
      </c>
      <c r="U111" t="s">
        <v>1105</v>
      </c>
      <c r="V111" s="3">
        <v>1</v>
      </c>
      <c r="W111" t="s">
        <v>1148</v>
      </c>
      <c r="Z111" t="s">
        <v>1149</v>
      </c>
    </row>
    <row r="112" spans="1:26">
      <c r="A112">
        <v>111</v>
      </c>
      <c r="B112" t="s">
        <v>60</v>
      </c>
      <c r="C112" t="s">
        <v>190</v>
      </c>
      <c r="E112" t="s">
        <v>2</v>
      </c>
      <c r="F112">
        <v>986776543</v>
      </c>
      <c r="G112" t="s">
        <v>191</v>
      </c>
      <c r="H112" t="s">
        <v>4</v>
      </c>
      <c r="J112" t="s">
        <v>2</v>
      </c>
      <c r="K112" t="s">
        <v>192</v>
      </c>
      <c r="L112" t="s">
        <v>7</v>
      </c>
      <c r="M112" s="1">
        <v>44756</v>
      </c>
      <c r="N112" t="s">
        <v>8</v>
      </c>
      <c r="O112" s="14">
        <v>25</v>
      </c>
      <c r="P112" t="s">
        <v>30</v>
      </c>
      <c r="Q112" t="s">
        <v>31</v>
      </c>
      <c r="R112" t="s">
        <v>11</v>
      </c>
      <c r="T112" t="s">
        <v>1134</v>
      </c>
      <c r="U112" t="s">
        <v>1115</v>
      </c>
      <c r="V112">
        <v>10</v>
      </c>
      <c r="W112" t="s">
        <v>1137</v>
      </c>
      <c r="Z112" t="s">
        <v>1131</v>
      </c>
    </row>
    <row r="113" spans="1:26">
      <c r="A113">
        <v>112</v>
      </c>
      <c r="B113" t="s">
        <v>2</v>
      </c>
      <c r="C113" t="s">
        <v>193</v>
      </c>
      <c r="E113">
        <v>47091616</v>
      </c>
      <c r="F113">
        <v>956233042</v>
      </c>
      <c r="G113" t="s">
        <v>2</v>
      </c>
      <c r="H113" t="s">
        <v>65</v>
      </c>
      <c r="J113" t="s">
        <v>118</v>
      </c>
      <c r="K113" t="s">
        <v>194</v>
      </c>
      <c r="L113" t="s">
        <v>37</v>
      </c>
      <c r="M113" s="1">
        <v>44756</v>
      </c>
      <c r="N113" t="s">
        <v>8</v>
      </c>
      <c r="O113">
        <v>325</v>
      </c>
      <c r="P113" t="s">
        <v>9</v>
      </c>
      <c r="Q113" t="s">
        <v>10</v>
      </c>
      <c r="R113" t="s">
        <v>11</v>
      </c>
      <c r="T113" t="s">
        <v>1092</v>
      </c>
      <c r="U113" t="s">
        <v>1101</v>
      </c>
      <c r="V113" s="3">
        <v>1</v>
      </c>
      <c r="W113" t="s">
        <v>1146</v>
      </c>
      <c r="Z113" t="s">
        <v>1143</v>
      </c>
    </row>
    <row r="114" spans="1:26">
      <c r="A114">
        <v>113</v>
      </c>
      <c r="B114" t="s">
        <v>2</v>
      </c>
      <c r="C114" t="s">
        <v>193</v>
      </c>
      <c r="E114">
        <v>47091616</v>
      </c>
      <c r="F114">
        <v>956233042</v>
      </c>
      <c r="G114" t="s">
        <v>2</v>
      </c>
      <c r="H114" t="s">
        <v>65</v>
      </c>
      <c r="J114" t="s">
        <v>118</v>
      </c>
      <c r="K114" t="s">
        <v>194</v>
      </c>
      <c r="L114" t="s">
        <v>37</v>
      </c>
      <c r="M114" s="1">
        <v>44756</v>
      </c>
      <c r="N114" t="s">
        <v>8</v>
      </c>
      <c r="O114" s="14">
        <v>25</v>
      </c>
      <c r="P114" t="s">
        <v>9</v>
      </c>
      <c r="Q114" t="s">
        <v>10</v>
      </c>
      <c r="R114" t="s">
        <v>11</v>
      </c>
      <c r="T114" t="s">
        <v>1134</v>
      </c>
      <c r="U114" t="s">
        <v>1115</v>
      </c>
      <c r="V114">
        <v>10</v>
      </c>
      <c r="W114" t="s">
        <v>1137</v>
      </c>
      <c r="Z114" t="s">
        <v>1131</v>
      </c>
    </row>
    <row r="115" spans="1:26">
      <c r="A115">
        <v>114</v>
      </c>
      <c r="B115" t="s">
        <v>23</v>
      </c>
      <c r="C115" t="s">
        <v>195</v>
      </c>
      <c r="E115" t="s">
        <v>2</v>
      </c>
      <c r="F115">
        <v>971730855</v>
      </c>
      <c r="G115" t="s">
        <v>2</v>
      </c>
      <c r="H115" t="s">
        <v>4</v>
      </c>
      <c r="J115" t="s">
        <v>2</v>
      </c>
      <c r="K115" t="s">
        <v>196</v>
      </c>
      <c r="L115" t="s">
        <v>7</v>
      </c>
      <c r="M115" s="1">
        <v>44757</v>
      </c>
      <c r="N115" t="s">
        <v>21</v>
      </c>
      <c r="O115">
        <v>350</v>
      </c>
      <c r="P115" t="s">
        <v>9</v>
      </c>
      <c r="Q115" t="s">
        <v>10</v>
      </c>
      <c r="R115" t="s">
        <v>11</v>
      </c>
      <c r="T115" t="s">
        <v>1092</v>
      </c>
      <c r="U115" t="s">
        <v>1101</v>
      </c>
      <c r="V115" s="3">
        <v>1</v>
      </c>
      <c r="W115" t="s">
        <v>1146</v>
      </c>
      <c r="Z115" t="s">
        <v>1143</v>
      </c>
    </row>
    <row r="116" spans="1:26">
      <c r="A116">
        <v>115</v>
      </c>
      <c r="B116" t="s">
        <v>12</v>
      </c>
      <c r="C116" t="s">
        <v>197</v>
      </c>
      <c r="E116">
        <v>20605455973</v>
      </c>
      <c r="F116">
        <v>958767360</v>
      </c>
      <c r="G116" t="s">
        <v>198</v>
      </c>
      <c r="H116" t="s">
        <v>199</v>
      </c>
      <c r="J116" t="s">
        <v>29</v>
      </c>
      <c r="K116" t="s">
        <v>2</v>
      </c>
      <c r="L116" t="s">
        <v>37</v>
      </c>
      <c r="M116" s="1">
        <v>44758</v>
      </c>
      <c r="N116" t="s">
        <v>8</v>
      </c>
      <c r="O116" s="2">
        <v>1000</v>
      </c>
      <c r="P116" t="s">
        <v>1076</v>
      </c>
      <c r="Q116" t="s">
        <v>31</v>
      </c>
      <c r="R116" t="s">
        <v>11</v>
      </c>
      <c r="T116" t="s">
        <v>1092</v>
      </c>
      <c r="U116" t="s">
        <v>1100</v>
      </c>
      <c r="V116" s="3">
        <v>5</v>
      </c>
      <c r="W116" t="s">
        <v>1146</v>
      </c>
      <c r="Z116" t="s">
        <v>1144</v>
      </c>
    </row>
    <row r="117" spans="1:26">
      <c r="A117">
        <v>116</v>
      </c>
      <c r="B117" t="s">
        <v>12</v>
      </c>
      <c r="C117" t="s">
        <v>197</v>
      </c>
      <c r="E117">
        <v>20605455973</v>
      </c>
      <c r="F117">
        <v>958767360</v>
      </c>
      <c r="G117" t="s">
        <v>198</v>
      </c>
      <c r="H117" t="s">
        <v>199</v>
      </c>
      <c r="J117" t="s">
        <v>29</v>
      </c>
      <c r="K117" t="s">
        <v>2</v>
      </c>
      <c r="L117" t="s">
        <v>37</v>
      </c>
      <c r="M117" s="1">
        <v>44758</v>
      </c>
      <c r="N117" t="s">
        <v>8</v>
      </c>
      <c r="O117" s="2">
        <v>215</v>
      </c>
      <c r="P117" t="s">
        <v>1076</v>
      </c>
      <c r="Q117" t="s">
        <v>31</v>
      </c>
      <c r="R117" t="s">
        <v>11</v>
      </c>
      <c r="T117" t="s">
        <v>1082</v>
      </c>
      <c r="U117" t="s">
        <v>1099</v>
      </c>
      <c r="V117">
        <v>1</v>
      </c>
      <c r="W117" t="s">
        <v>1146</v>
      </c>
      <c r="Z117" t="s">
        <v>1143</v>
      </c>
    </row>
    <row r="118" spans="1:26">
      <c r="A118">
        <v>117</v>
      </c>
      <c r="B118" t="s">
        <v>2</v>
      </c>
      <c r="C118" t="s">
        <v>200</v>
      </c>
      <c r="E118">
        <v>80632864</v>
      </c>
      <c r="F118">
        <v>959320411</v>
      </c>
      <c r="G118" t="s">
        <v>2</v>
      </c>
      <c r="H118" t="s">
        <v>1042</v>
      </c>
      <c r="J118" t="s">
        <v>201</v>
      </c>
      <c r="K118" t="s">
        <v>202</v>
      </c>
      <c r="L118" t="s">
        <v>37</v>
      </c>
      <c r="M118" s="1">
        <v>44758</v>
      </c>
      <c r="N118" t="s">
        <v>8</v>
      </c>
      <c r="O118">
        <v>325</v>
      </c>
      <c r="P118" t="s">
        <v>9</v>
      </c>
      <c r="Q118" t="s">
        <v>10</v>
      </c>
      <c r="R118" t="s">
        <v>11</v>
      </c>
      <c r="T118" t="s">
        <v>1092</v>
      </c>
      <c r="U118" t="s">
        <v>1095</v>
      </c>
      <c r="V118" s="3">
        <v>1</v>
      </c>
      <c r="W118" t="s">
        <v>1145</v>
      </c>
      <c r="Z118" t="s">
        <v>1143</v>
      </c>
    </row>
    <row r="119" spans="1:26">
      <c r="A119">
        <v>118</v>
      </c>
      <c r="B119" t="s">
        <v>2</v>
      </c>
      <c r="C119" t="s">
        <v>200</v>
      </c>
      <c r="E119">
        <v>80632864</v>
      </c>
      <c r="F119">
        <v>959320411</v>
      </c>
      <c r="G119" t="s">
        <v>2</v>
      </c>
      <c r="H119" t="s">
        <v>1042</v>
      </c>
      <c r="J119" t="s">
        <v>201</v>
      </c>
      <c r="K119" t="s">
        <v>202</v>
      </c>
      <c r="L119" t="s">
        <v>37</v>
      </c>
      <c r="M119" s="1">
        <v>44758</v>
      </c>
      <c r="N119" t="s">
        <v>8</v>
      </c>
      <c r="O119" s="14">
        <v>25</v>
      </c>
      <c r="P119" t="s">
        <v>9</v>
      </c>
      <c r="Q119" t="s">
        <v>10</v>
      </c>
      <c r="R119" t="s">
        <v>11</v>
      </c>
      <c r="T119" t="s">
        <v>1134</v>
      </c>
      <c r="U119" t="s">
        <v>1115</v>
      </c>
      <c r="V119">
        <v>10</v>
      </c>
      <c r="W119" t="s">
        <v>1137</v>
      </c>
      <c r="Z119" t="s">
        <v>1131</v>
      </c>
    </row>
    <row r="120" spans="1:26">
      <c r="A120">
        <v>119</v>
      </c>
      <c r="B120" t="s">
        <v>23</v>
      </c>
      <c r="C120" t="s">
        <v>203</v>
      </c>
      <c r="E120" t="s">
        <v>2</v>
      </c>
      <c r="F120">
        <v>928813538</v>
      </c>
      <c r="G120" t="s">
        <v>2</v>
      </c>
      <c r="H120" t="s">
        <v>4</v>
      </c>
      <c r="J120" t="s">
        <v>2</v>
      </c>
      <c r="K120" t="s">
        <v>204</v>
      </c>
      <c r="L120" t="s">
        <v>7</v>
      </c>
      <c r="M120" s="1">
        <v>44759</v>
      </c>
      <c r="N120" t="s">
        <v>21</v>
      </c>
      <c r="O120">
        <v>185</v>
      </c>
      <c r="P120" t="s">
        <v>205</v>
      </c>
      <c r="Q120" t="s">
        <v>10</v>
      </c>
      <c r="R120" t="s">
        <v>22</v>
      </c>
      <c r="T120" t="s">
        <v>1082</v>
      </c>
      <c r="U120" t="s">
        <v>1099</v>
      </c>
      <c r="V120" s="3">
        <v>1</v>
      </c>
      <c r="W120" t="s">
        <v>1146</v>
      </c>
      <c r="Z120" t="s">
        <v>1144</v>
      </c>
    </row>
    <row r="121" spans="1:26">
      <c r="A121">
        <v>120</v>
      </c>
      <c r="B121" t="s">
        <v>23</v>
      </c>
      <c r="C121" t="s">
        <v>203</v>
      </c>
      <c r="E121" t="s">
        <v>2</v>
      </c>
      <c r="F121">
        <v>928813538</v>
      </c>
      <c r="G121" t="s">
        <v>2</v>
      </c>
      <c r="H121" t="s">
        <v>4</v>
      </c>
      <c r="K121" t="s">
        <v>204</v>
      </c>
      <c r="L121" t="s">
        <v>7</v>
      </c>
      <c r="M121" s="1">
        <v>44759</v>
      </c>
      <c r="N121" t="s">
        <v>21</v>
      </c>
      <c r="O121" s="14">
        <v>10</v>
      </c>
      <c r="P121" t="s">
        <v>205</v>
      </c>
      <c r="Q121" t="s">
        <v>10</v>
      </c>
      <c r="R121" t="s">
        <v>22</v>
      </c>
      <c r="T121" t="s">
        <v>1134</v>
      </c>
      <c r="U121" t="s">
        <v>1116</v>
      </c>
      <c r="V121">
        <v>5</v>
      </c>
      <c r="W121" t="s">
        <v>1137</v>
      </c>
      <c r="Z121" t="s">
        <v>1131</v>
      </c>
    </row>
    <row r="122" spans="1:26">
      <c r="A122">
        <v>121</v>
      </c>
      <c r="B122" t="s">
        <v>2</v>
      </c>
      <c r="C122" t="s">
        <v>206</v>
      </c>
      <c r="E122">
        <v>42575441</v>
      </c>
      <c r="F122">
        <v>941003193</v>
      </c>
      <c r="G122" t="s">
        <v>2</v>
      </c>
      <c r="H122" t="s">
        <v>199</v>
      </c>
      <c r="J122" t="s">
        <v>29</v>
      </c>
      <c r="K122" t="s">
        <v>2</v>
      </c>
      <c r="L122" t="s">
        <v>37</v>
      </c>
      <c r="M122" s="1">
        <v>44761</v>
      </c>
      <c r="N122" t="s">
        <v>8</v>
      </c>
      <c r="O122">
        <v>320</v>
      </c>
      <c r="P122" t="s">
        <v>1076</v>
      </c>
      <c r="Q122" t="s">
        <v>10</v>
      </c>
      <c r="R122" t="s">
        <v>22</v>
      </c>
      <c r="S122">
        <v>92</v>
      </c>
      <c r="T122" t="s">
        <v>1092</v>
      </c>
      <c r="U122" t="s">
        <v>1101</v>
      </c>
      <c r="V122" s="3">
        <v>1</v>
      </c>
      <c r="W122" t="s">
        <v>1146</v>
      </c>
      <c r="Z122" t="s">
        <v>1144</v>
      </c>
    </row>
    <row r="123" spans="1:26">
      <c r="A123">
        <v>122</v>
      </c>
      <c r="B123" t="s">
        <v>2</v>
      </c>
      <c r="C123" t="s">
        <v>206</v>
      </c>
      <c r="E123">
        <v>42575441</v>
      </c>
      <c r="F123">
        <v>941003193</v>
      </c>
      <c r="G123" t="s">
        <v>2</v>
      </c>
      <c r="H123" t="s">
        <v>199</v>
      </c>
      <c r="J123" t="s">
        <v>29</v>
      </c>
      <c r="L123" t="s">
        <v>37</v>
      </c>
      <c r="M123" s="1">
        <v>44761</v>
      </c>
      <c r="N123" t="s">
        <v>8</v>
      </c>
      <c r="O123">
        <v>30</v>
      </c>
      <c r="P123" t="s">
        <v>1076</v>
      </c>
      <c r="Q123" t="s">
        <v>10</v>
      </c>
      <c r="R123" t="s">
        <v>22</v>
      </c>
      <c r="T123" t="s">
        <v>1134</v>
      </c>
      <c r="U123" t="s">
        <v>1116</v>
      </c>
      <c r="V123">
        <v>50</v>
      </c>
      <c r="W123" t="s">
        <v>1137</v>
      </c>
      <c r="Z123" t="s">
        <v>1131</v>
      </c>
    </row>
    <row r="124" spans="1:26">
      <c r="A124">
        <v>123</v>
      </c>
      <c r="B124" t="s">
        <v>2</v>
      </c>
      <c r="C124" t="s">
        <v>207</v>
      </c>
      <c r="E124">
        <v>70049898</v>
      </c>
      <c r="F124">
        <v>998075658</v>
      </c>
      <c r="G124" t="s">
        <v>2</v>
      </c>
      <c r="H124" t="s">
        <v>89</v>
      </c>
      <c r="J124" t="s">
        <v>140</v>
      </c>
      <c r="K124" t="s">
        <v>2</v>
      </c>
      <c r="L124" t="s">
        <v>37</v>
      </c>
      <c r="M124" s="1">
        <v>44761</v>
      </c>
      <c r="N124" t="s">
        <v>56</v>
      </c>
      <c r="O124">
        <v>200</v>
      </c>
      <c r="P124" t="s">
        <v>234</v>
      </c>
      <c r="Q124" t="s">
        <v>10</v>
      </c>
      <c r="R124" t="s">
        <v>22</v>
      </c>
      <c r="S124">
        <v>75</v>
      </c>
      <c r="T124" t="s">
        <v>1092</v>
      </c>
      <c r="U124" t="s">
        <v>1100</v>
      </c>
      <c r="V124" s="3">
        <v>1</v>
      </c>
      <c r="W124" t="s">
        <v>1146</v>
      </c>
      <c r="Z124" t="s">
        <v>1144</v>
      </c>
    </row>
    <row r="125" spans="1:26">
      <c r="A125">
        <v>124</v>
      </c>
      <c r="B125" t="s">
        <v>2</v>
      </c>
      <c r="C125" t="s">
        <v>207</v>
      </c>
      <c r="E125">
        <v>70049898</v>
      </c>
      <c r="F125">
        <v>998075658</v>
      </c>
      <c r="G125" t="s">
        <v>2</v>
      </c>
      <c r="H125" t="s">
        <v>89</v>
      </c>
      <c r="J125" t="s">
        <v>140</v>
      </c>
      <c r="K125" t="s">
        <v>2</v>
      </c>
      <c r="L125" t="s">
        <v>37</v>
      </c>
      <c r="M125" s="1">
        <v>44761</v>
      </c>
      <c r="N125" t="s">
        <v>56</v>
      </c>
      <c r="O125">
        <v>10</v>
      </c>
      <c r="P125" t="s">
        <v>234</v>
      </c>
      <c r="Q125" t="s">
        <v>10</v>
      </c>
      <c r="R125" t="s">
        <v>22</v>
      </c>
      <c r="T125" t="s">
        <v>1134</v>
      </c>
      <c r="U125" t="s">
        <v>1116</v>
      </c>
      <c r="V125">
        <v>1</v>
      </c>
      <c r="W125" t="s">
        <v>1137</v>
      </c>
      <c r="Z125" t="s">
        <v>1131</v>
      </c>
    </row>
    <row r="126" spans="1:26">
      <c r="A126">
        <v>125</v>
      </c>
      <c r="B126" t="s">
        <v>2</v>
      </c>
      <c r="C126" t="s">
        <v>208</v>
      </c>
      <c r="E126" t="s">
        <v>2</v>
      </c>
      <c r="F126">
        <v>983464608</v>
      </c>
      <c r="G126" t="s">
        <v>2</v>
      </c>
      <c r="H126" t="s">
        <v>4</v>
      </c>
      <c r="I126" t="s">
        <v>209</v>
      </c>
      <c r="J126" t="s">
        <v>2</v>
      </c>
      <c r="K126" t="s">
        <v>209</v>
      </c>
      <c r="L126" t="s">
        <v>37</v>
      </c>
      <c r="M126" s="1">
        <v>44763</v>
      </c>
      <c r="N126" t="s">
        <v>8</v>
      </c>
      <c r="O126">
        <v>405</v>
      </c>
      <c r="P126" t="s">
        <v>30</v>
      </c>
      <c r="Q126" t="s">
        <v>10</v>
      </c>
      <c r="R126" t="s">
        <v>11</v>
      </c>
      <c r="S126">
        <v>132</v>
      </c>
      <c r="T126" t="s">
        <v>1092</v>
      </c>
      <c r="U126" t="s">
        <v>1105</v>
      </c>
      <c r="V126" s="3">
        <v>1</v>
      </c>
      <c r="W126" t="s">
        <v>1146</v>
      </c>
      <c r="Z126" t="s">
        <v>1143</v>
      </c>
    </row>
    <row r="127" spans="1:26">
      <c r="A127">
        <v>126</v>
      </c>
      <c r="B127" t="s">
        <v>2</v>
      </c>
      <c r="C127" t="s">
        <v>208</v>
      </c>
      <c r="E127" t="s">
        <v>2</v>
      </c>
      <c r="F127">
        <v>983464608</v>
      </c>
      <c r="G127" t="s">
        <v>2</v>
      </c>
      <c r="H127" t="s">
        <v>4</v>
      </c>
      <c r="I127" t="s">
        <v>209</v>
      </c>
      <c r="J127" t="s">
        <v>2</v>
      </c>
      <c r="K127" t="s">
        <v>209</v>
      </c>
      <c r="L127" t="s">
        <v>37</v>
      </c>
      <c r="M127" s="1">
        <v>44763</v>
      </c>
      <c r="N127" t="s">
        <v>8</v>
      </c>
      <c r="O127" s="14">
        <v>25</v>
      </c>
      <c r="P127" t="s">
        <v>30</v>
      </c>
      <c r="Q127" t="s">
        <v>10</v>
      </c>
      <c r="R127" t="s">
        <v>11</v>
      </c>
      <c r="T127" t="s">
        <v>1151</v>
      </c>
      <c r="U127" t="s">
        <v>1124</v>
      </c>
      <c r="V127">
        <v>2</v>
      </c>
      <c r="W127" t="s">
        <v>1135</v>
      </c>
      <c r="Z127" t="s">
        <v>1136</v>
      </c>
    </row>
    <row r="128" spans="1:26">
      <c r="A128">
        <v>127</v>
      </c>
      <c r="B128" t="s">
        <v>2</v>
      </c>
      <c r="C128" t="s">
        <v>210</v>
      </c>
      <c r="E128">
        <v>43624918</v>
      </c>
      <c r="F128">
        <v>984237366</v>
      </c>
      <c r="G128" t="s">
        <v>2</v>
      </c>
      <c r="H128" t="s">
        <v>973</v>
      </c>
      <c r="I128" t="s">
        <v>211</v>
      </c>
      <c r="J128" t="s">
        <v>147</v>
      </c>
      <c r="K128" t="s">
        <v>2</v>
      </c>
      <c r="L128" t="s">
        <v>37</v>
      </c>
      <c r="M128" s="1">
        <v>44763</v>
      </c>
      <c r="N128" t="s">
        <v>8</v>
      </c>
      <c r="O128">
        <v>350</v>
      </c>
      <c r="P128" t="s">
        <v>1080</v>
      </c>
      <c r="Q128" t="s">
        <v>10</v>
      </c>
      <c r="R128" t="s">
        <v>11</v>
      </c>
      <c r="S128">
        <v>130</v>
      </c>
      <c r="T128" t="s">
        <v>1097</v>
      </c>
      <c r="U128" t="s">
        <v>1102</v>
      </c>
      <c r="V128" s="3">
        <v>1</v>
      </c>
      <c r="W128" t="s">
        <v>1145</v>
      </c>
      <c r="Z128" t="s">
        <v>1144</v>
      </c>
    </row>
    <row r="129" spans="1:26">
      <c r="A129">
        <v>128</v>
      </c>
      <c r="B129" t="s">
        <v>2</v>
      </c>
      <c r="C129" t="s">
        <v>210</v>
      </c>
      <c r="E129">
        <v>43624918</v>
      </c>
      <c r="F129">
        <v>984237366</v>
      </c>
      <c r="G129" t="s">
        <v>2</v>
      </c>
      <c r="H129" t="s">
        <v>973</v>
      </c>
      <c r="I129" t="s">
        <v>211</v>
      </c>
      <c r="J129" t="s">
        <v>147</v>
      </c>
      <c r="K129" t="s">
        <v>2</v>
      </c>
      <c r="L129" t="s">
        <v>37</v>
      </c>
      <c r="M129" s="1">
        <v>44763</v>
      </c>
      <c r="N129" t="s">
        <v>8</v>
      </c>
      <c r="O129">
        <v>20</v>
      </c>
      <c r="P129" t="s">
        <v>1080</v>
      </c>
      <c r="Q129" t="s">
        <v>10</v>
      </c>
      <c r="R129" t="s">
        <v>11</v>
      </c>
      <c r="T129" t="s">
        <v>1134</v>
      </c>
      <c r="U129" t="s">
        <v>1115</v>
      </c>
      <c r="V129">
        <v>10</v>
      </c>
      <c r="W129" t="s">
        <v>1137</v>
      </c>
      <c r="Z129" t="s">
        <v>1131</v>
      </c>
    </row>
    <row r="130" spans="1:26">
      <c r="A130">
        <v>129</v>
      </c>
      <c r="B130" t="s">
        <v>2</v>
      </c>
      <c r="C130" t="s">
        <v>210</v>
      </c>
      <c r="E130">
        <v>43624918</v>
      </c>
      <c r="F130">
        <v>984237366</v>
      </c>
      <c r="G130" t="s">
        <v>2</v>
      </c>
      <c r="H130" t="s">
        <v>973</v>
      </c>
      <c r="I130" t="s">
        <v>211</v>
      </c>
      <c r="J130" t="s">
        <v>147</v>
      </c>
      <c r="K130" t="s">
        <v>2</v>
      </c>
      <c r="L130" t="s">
        <v>37</v>
      </c>
      <c r="M130" s="1">
        <v>44763</v>
      </c>
      <c r="N130" t="s">
        <v>8</v>
      </c>
      <c r="O130">
        <v>10</v>
      </c>
      <c r="P130" t="s">
        <v>1080</v>
      </c>
      <c r="Q130" t="s">
        <v>10</v>
      </c>
      <c r="R130" t="s">
        <v>11</v>
      </c>
      <c r="T130" t="s">
        <v>1129</v>
      </c>
      <c r="U130" t="s">
        <v>1129</v>
      </c>
      <c r="V130">
        <v>1</v>
      </c>
      <c r="W130" t="s">
        <v>1059</v>
      </c>
      <c r="Z130" t="s">
        <v>1147</v>
      </c>
    </row>
    <row r="131" spans="1:26">
      <c r="A131">
        <v>130</v>
      </c>
      <c r="B131" t="s">
        <v>2</v>
      </c>
      <c r="C131" t="s">
        <v>212</v>
      </c>
      <c r="E131">
        <v>43201206</v>
      </c>
      <c r="F131">
        <v>926022643</v>
      </c>
      <c r="G131" t="s">
        <v>2</v>
      </c>
      <c r="H131" t="s">
        <v>256</v>
      </c>
      <c r="I131" t="s">
        <v>79</v>
      </c>
      <c r="J131" t="s">
        <v>29</v>
      </c>
      <c r="K131" t="s">
        <v>2</v>
      </c>
      <c r="L131" t="s">
        <v>37</v>
      </c>
      <c r="M131" s="1">
        <v>44763</v>
      </c>
      <c r="N131" t="s">
        <v>38</v>
      </c>
      <c r="O131">
        <v>190</v>
      </c>
      <c r="P131" t="s">
        <v>1076</v>
      </c>
      <c r="Q131" t="s">
        <v>10</v>
      </c>
      <c r="R131" t="s">
        <v>11</v>
      </c>
      <c r="S131">
        <v>95</v>
      </c>
      <c r="T131" t="s">
        <v>1082</v>
      </c>
      <c r="U131" t="s">
        <v>1099</v>
      </c>
      <c r="V131" s="3">
        <v>1</v>
      </c>
      <c r="W131" t="s">
        <v>1146</v>
      </c>
      <c r="Z131" t="s">
        <v>1144</v>
      </c>
    </row>
    <row r="132" spans="1:26">
      <c r="A132">
        <v>131</v>
      </c>
      <c r="B132" t="s">
        <v>2</v>
      </c>
      <c r="C132" t="s">
        <v>212</v>
      </c>
      <c r="E132">
        <v>43201206</v>
      </c>
      <c r="F132">
        <v>926022643</v>
      </c>
      <c r="G132" t="s">
        <v>2</v>
      </c>
      <c r="H132" t="s">
        <v>256</v>
      </c>
      <c r="I132" t="s">
        <v>79</v>
      </c>
      <c r="J132" t="s">
        <v>29</v>
      </c>
      <c r="K132" t="s">
        <v>2</v>
      </c>
      <c r="L132" t="s">
        <v>37</v>
      </c>
      <c r="M132" s="1">
        <v>44763</v>
      </c>
      <c r="N132" t="s">
        <v>38</v>
      </c>
      <c r="O132">
        <v>20</v>
      </c>
      <c r="P132" t="s">
        <v>1076</v>
      </c>
      <c r="Q132" t="s">
        <v>10</v>
      </c>
      <c r="R132" t="s">
        <v>11</v>
      </c>
      <c r="T132" t="s">
        <v>1134</v>
      </c>
      <c r="U132" t="s">
        <v>1116</v>
      </c>
      <c r="V132">
        <v>10</v>
      </c>
      <c r="W132" t="s">
        <v>1137</v>
      </c>
      <c r="Z132" t="s">
        <v>1131</v>
      </c>
    </row>
    <row r="133" spans="1:26">
      <c r="A133">
        <v>132</v>
      </c>
      <c r="B133" t="s">
        <v>2</v>
      </c>
      <c r="C133" t="s">
        <v>212</v>
      </c>
      <c r="E133">
        <v>43201206</v>
      </c>
      <c r="F133">
        <v>926022643</v>
      </c>
      <c r="G133" t="s">
        <v>2</v>
      </c>
      <c r="H133" t="s">
        <v>256</v>
      </c>
      <c r="I133" t="s">
        <v>79</v>
      </c>
      <c r="J133" t="s">
        <v>29</v>
      </c>
      <c r="K133" t="s">
        <v>2</v>
      </c>
      <c r="L133" t="s">
        <v>37</v>
      </c>
      <c r="M133" s="1">
        <v>44763</v>
      </c>
      <c r="N133" t="s">
        <v>38</v>
      </c>
      <c r="O133">
        <v>10</v>
      </c>
      <c r="P133" t="s">
        <v>1076</v>
      </c>
      <c r="Q133" t="s">
        <v>10</v>
      </c>
      <c r="R133" t="s">
        <v>11</v>
      </c>
      <c r="T133" t="s">
        <v>1129</v>
      </c>
      <c r="U133" t="s">
        <v>1129</v>
      </c>
      <c r="V133">
        <v>1</v>
      </c>
      <c r="W133" t="s">
        <v>1059</v>
      </c>
      <c r="Z133" t="s">
        <v>1147</v>
      </c>
    </row>
    <row r="134" spans="1:26">
      <c r="A134">
        <v>133</v>
      </c>
      <c r="B134" t="s">
        <v>2</v>
      </c>
      <c r="C134" t="s">
        <v>213</v>
      </c>
      <c r="E134">
        <v>41533194</v>
      </c>
      <c r="F134">
        <v>951778860</v>
      </c>
      <c r="G134" t="s">
        <v>2</v>
      </c>
      <c r="H134" t="s">
        <v>827</v>
      </c>
      <c r="J134" t="s">
        <v>140</v>
      </c>
      <c r="K134" t="s">
        <v>2</v>
      </c>
      <c r="L134" t="s">
        <v>37</v>
      </c>
      <c r="M134" s="1">
        <v>44764</v>
      </c>
      <c r="N134" t="s">
        <v>8</v>
      </c>
      <c r="O134">
        <v>421</v>
      </c>
      <c r="P134" t="s">
        <v>9</v>
      </c>
      <c r="Q134" t="s">
        <v>10</v>
      </c>
      <c r="R134" t="s">
        <v>11</v>
      </c>
      <c r="S134">
        <v>147.5</v>
      </c>
      <c r="T134" t="s">
        <v>1082</v>
      </c>
      <c r="U134" t="s">
        <v>1099</v>
      </c>
      <c r="V134" s="3">
        <v>1</v>
      </c>
      <c r="W134" t="s">
        <v>1146</v>
      </c>
      <c r="Z134" t="s">
        <v>1143</v>
      </c>
    </row>
    <row r="135" spans="1:26">
      <c r="A135">
        <v>134</v>
      </c>
      <c r="B135" t="s">
        <v>2</v>
      </c>
      <c r="C135" t="s">
        <v>213</v>
      </c>
      <c r="E135">
        <v>41533194</v>
      </c>
      <c r="F135">
        <v>951778860</v>
      </c>
      <c r="G135" t="s">
        <v>2</v>
      </c>
      <c r="H135" t="s">
        <v>827</v>
      </c>
      <c r="J135" t="s">
        <v>140</v>
      </c>
      <c r="K135" t="s">
        <v>2</v>
      </c>
      <c r="L135" t="s">
        <v>37</v>
      </c>
      <c r="M135" s="1">
        <v>44764</v>
      </c>
      <c r="N135" t="s">
        <v>8</v>
      </c>
      <c r="O135" s="14">
        <v>15</v>
      </c>
      <c r="P135" t="s">
        <v>9</v>
      </c>
      <c r="Q135" t="s">
        <v>10</v>
      </c>
      <c r="R135" t="s">
        <v>11</v>
      </c>
      <c r="T135" t="s">
        <v>1134</v>
      </c>
      <c r="U135" t="s">
        <v>1116</v>
      </c>
      <c r="V135">
        <v>10</v>
      </c>
      <c r="W135" t="s">
        <v>1137</v>
      </c>
      <c r="Z135" t="s">
        <v>1131</v>
      </c>
    </row>
    <row r="136" spans="1:26">
      <c r="A136">
        <v>135</v>
      </c>
      <c r="B136" t="s">
        <v>23</v>
      </c>
      <c r="C136" t="s">
        <v>214</v>
      </c>
      <c r="E136" t="s">
        <v>2</v>
      </c>
      <c r="F136">
        <v>915355401</v>
      </c>
      <c r="G136" t="s">
        <v>2</v>
      </c>
      <c r="H136" t="s">
        <v>4</v>
      </c>
      <c r="I136" t="s">
        <v>24</v>
      </c>
      <c r="J136" t="s">
        <v>2</v>
      </c>
      <c r="K136" t="s">
        <v>215</v>
      </c>
      <c r="L136" t="s">
        <v>37</v>
      </c>
      <c r="M136" s="1">
        <v>44765</v>
      </c>
      <c r="N136" t="s">
        <v>21</v>
      </c>
      <c r="O136">
        <v>185</v>
      </c>
      <c r="P136" t="s">
        <v>216</v>
      </c>
      <c r="Q136" t="s">
        <v>10</v>
      </c>
      <c r="R136" t="s">
        <v>11</v>
      </c>
      <c r="S136">
        <v>70</v>
      </c>
      <c r="T136" t="s">
        <v>1082</v>
      </c>
      <c r="U136" t="s">
        <v>1099</v>
      </c>
      <c r="V136" s="3">
        <v>1</v>
      </c>
      <c r="W136" t="s">
        <v>1146</v>
      </c>
      <c r="Z136" t="s">
        <v>1144</v>
      </c>
    </row>
    <row r="137" spans="1:26">
      <c r="A137">
        <v>136</v>
      </c>
      <c r="B137" t="s">
        <v>23</v>
      </c>
      <c r="C137" t="s">
        <v>214</v>
      </c>
      <c r="E137" t="s">
        <v>2</v>
      </c>
      <c r="F137">
        <v>915355401</v>
      </c>
      <c r="G137" t="s">
        <v>2</v>
      </c>
      <c r="H137" t="s">
        <v>4</v>
      </c>
      <c r="I137" t="s">
        <v>24</v>
      </c>
      <c r="J137" t="s">
        <v>2</v>
      </c>
      <c r="K137" t="s">
        <v>215</v>
      </c>
      <c r="L137" t="s">
        <v>37</v>
      </c>
      <c r="M137" s="1">
        <v>44765</v>
      </c>
      <c r="N137" t="s">
        <v>21</v>
      </c>
      <c r="O137">
        <v>10</v>
      </c>
      <c r="P137" t="s">
        <v>216</v>
      </c>
      <c r="Q137" t="s">
        <v>10</v>
      </c>
      <c r="R137" t="s">
        <v>11</v>
      </c>
      <c r="T137" t="s">
        <v>1134</v>
      </c>
      <c r="U137" t="s">
        <v>1116</v>
      </c>
      <c r="V137">
        <v>5</v>
      </c>
      <c r="W137" t="s">
        <v>1137</v>
      </c>
      <c r="Z137" t="s">
        <v>1131</v>
      </c>
    </row>
    <row r="138" spans="1:26">
      <c r="A138">
        <v>137</v>
      </c>
      <c r="B138" t="s">
        <v>12</v>
      </c>
      <c r="C138" t="s">
        <v>217</v>
      </c>
      <c r="E138">
        <v>48873500</v>
      </c>
      <c r="F138">
        <v>947360167</v>
      </c>
      <c r="G138" t="s">
        <v>218</v>
      </c>
      <c r="H138" t="s">
        <v>423</v>
      </c>
      <c r="J138" t="s">
        <v>29</v>
      </c>
      <c r="K138" t="s">
        <v>2</v>
      </c>
      <c r="L138" t="s">
        <v>37</v>
      </c>
      <c r="M138" s="1">
        <v>44767</v>
      </c>
      <c r="N138" t="s">
        <v>8</v>
      </c>
      <c r="O138">
        <v>330</v>
      </c>
      <c r="P138" t="s">
        <v>219</v>
      </c>
      <c r="Q138" t="s">
        <v>10</v>
      </c>
      <c r="R138" t="s">
        <v>11</v>
      </c>
      <c r="T138" t="s">
        <v>1097</v>
      </c>
      <c r="U138" t="s">
        <v>1102</v>
      </c>
      <c r="V138" s="3">
        <v>1</v>
      </c>
      <c r="W138" t="s">
        <v>1145</v>
      </c>
      <c r="Z138" t="s">
        <v>1144</v>
      </c>
    </row>
    <row r="139" spans="1:26">
      <c r="A139">
        <v>138</v>
      </c>
      <c r="B139" t="s">
        <v>12</v>
      </c>
      <c r="C139" t="s">
        <v>217</v>
      </c>
      <c r="E139">
        <v>48873500</v>
      </c>
      <c r="F139">
        <v>947360167</v>
      </c>
      <c r="G139" t="s">
        <v>218</v>
      </c>
      <c r="H139" t="s">
        <v>423</v>
      </c>
      <c r="J139" t="s">
        <v>29</v>
      </c>
      <c r="K139" t="s">
        <v>2</v>
      </c>
      <c r="L139" t="s">
        <v>37</v>
      </c>
      <c r="M139" s="1">
        <v>44767</v>
      </c>
      <c r="N139" t="s">
        <v>8</v>
      </c>
      <c r="O139" s="14">
        <v>50</v>
      </c>
      <c r="P139" t="s">
        <v>219</v>
      </c>
      <c r="Q139" t="s">
        <v>10</v>
      </c>
      <c r="R139" t="s">
        <v>11</v>
      </c>
      <c r="T139" t="s">
        <v>1134</v>
      </c>
      <c r="U139" t="s">
        <v>1115</v>
      </c>
      <c r="V139">
        <v>20</v>
      </c>
      <c r="W139" t="s">
        <v>1137</v>
      </c>
      <c r="Z139" t="s">
        <v>1131</v>
      </c>
    </row>
    <row r="140" spans="1:26">
      <c r="A140">
        <v>139</v>
      </c>
      <c r="B140" t="s">
        <v>23</v>
      </c>
      <c r="C140" t="s">
        <v>220</v>
      </c>
      <c r="E140" t="s">
        <v>2</v>
      </c>
      <c r="F140">
        <v>972519705</v>
      </c>
      <c r="G140" t="s">
        <v>2</v>
      </c>
      <c r="H140" t="s">
        <v>4</v>
      </c>
      <c r="I140" t="s">
        <v>63</v>
      </c>
      <c r="J140" t="s">
        <v>2</v>
      </c>
      <c r="K140" t="s">
        <v>63</v>
      </c>
      <c r="L140" t="s">
        <v>37</v>
      </c>
      <c r="M140" s="1">
        <v>44767</v>
      </c>
      <c r="N140" t="s">
        <v>21</v>
      </c>
      <c r="O140">
        <v>190</v>
      </c>
      <c r="P140" t="s">
        <v>221</v>
      </c>
      <c r="Q140" t="s">
        <v>10</v>
      </c>
      <c r="R140" t="s">
        <v>22</v>
      </c>
      <c r="T140" t="s">
        <v>1082</v>
      </c>
      <c r="U140" t="s">
        <v>1099</v>
      </c>
      <c r="V140" s="3">
        <v>1</v>
      </c>
      <c r="W140" t="s">
        <v>1146</v>
      </c>
      <c r="Z140" t="s">
        <v>1143</v>
      </c>
    </row>
    <row r="141" spans="1:26">
      <c r="A141">
        <v>140</v>
      </c>
      <c r="B141" t="s">
        <v>23</v>
      </c>
      <c r="C141" t="s">
        <v>220</v>
      </c>
      <c r="E141" t="s">
        <v>2</v>
      </c>
      <c r="F141">
        <v>972519705</v>
      </c>
      <c r="G141" t="s">
        <v>2</v>
      </c>
      <c r="H141" t="s">
        <v>4</v>
      </c>
      <c r="I141" t="s">
        <v>63</v>
      </c>
      <c r="J141" t="s">
        <v>2</v>
      </c>
      <c r="K141" t="s">
        <v>63</v>
      </c>
      <c r="L141" t="s">
        <v>37</v>
      </c>
      <c r="M141" s="1">
        <v>44767</v>
      </c>
      <c r="N141" t="s">
        <v>21</v>
      </c>
      <c r="O141">
        <v>10</v>
      </c>
      <c r="P141" t="s">
        <v>221</v>
      </c>
      <c r="Q141" t="s">
        <v>10</v>
      </c>
      <c r="R141" t="s">
        <v>22</v>
      </c>
      <c r="T141" t="s">
        <v>1134</v>
      </c>
      <c r="U141" t="s">
        <v>1116</v>
      </c>
      <c r="V141">
        <v>5</v>
      </c>
      <c r="W141" t="s">
        <v>1137</v>
      </c>
      <c r="Z141" t="s">
        <v>1131</v>
      </c>
    </row>
    <row r="142" spans="1:26">
      <c r="A142">
        <v>141</v>
      </c>
      <c r="B142" t="s">
        <v>2</v>
      </c>
      <c r="C142" t="s">
        <v>222</v>
      </c>
      <c r="E142" t="s">
        <v>2</v>
      </c>
      <c r="F142">
        <v>995690535</v>
      </c>
      <c r="G142" t="s">
        <v>2</v>
      </c>
      <c r="H142" t="s">
        <v>4</v>
      </c>
      <c r="I142" t="s">
        <v>90</v>
      </c>
      <c r="J142" t="s">
        <v>2</v>
      </c>
      <c r="K142" t="s">
        <v>223</v>
      </c>
      <c r="L142" t="s">
        <v>37</v>
      </c>
      <c r="M142" s="1">
        <v>44768</v>
      </c>
      <c r="N142" t="s">
        <v>21</v>
      </c>
      <c r="O142">
        <v>190</v>
      </c>
      <c r="P142" t="s">
        <v>1076</v>
      </c>
      <c r="Q142" t="s">
        <v>10</v>
      </c>
      <c r="R142" t="s">
        <v>22</v>
      </c>
      <c r="T142" t="s">
        <v>1082</v>
      </c>
      <c r="U142" t="s">
        <v>1099</v>
      </c>
      <c r="V142" s="3">
        <v>1</v>
      </c>
      <c r="W142" t="s">
        <v>1146</v>
      </c>
      <c r="Z142" t="s">
        <v>1144</v>
      </c>
    </row>
    <row r="143" spans="1:26">
      <c r="A143">
        <v>142</v>
      </c>
      <c r="B143" t="s">
        <v>2</v>
      </c>
      <c r="C143" t="s">
        <v>222</v>
      </c>
      <c r="E143" t="s">
        <v>2</v>
      </c>
      <c r="F143">
        <v>995690535</v>
      </c>
      <c r="G143" t="s">
        <v>2</v>
      </c>
      <c r="H143" t="s">
        <v>4</v>
      </c>
      <c r="I143" t="s">
        <v>90</v>
      </c>
      <c r="J143" t="s">
        <v>2</v>
      </c>
      <c r="K143" t="s">
        <v>223</v>
      </c>
      <c r="L143" t="s">
        <v>37</v>
      </c>
      <c r="M143" s="1">
        <v>44768</v>
      </c>
      <c r="N143" t="s">
        <v>21</v>
      </c>
      <c r="O143">
        <v>20</v>
      </c>
      <c r="P143" t="s">
        <v>1076</v>
      </c>
      <c r="Q143" t="s">
        <v>10</v>
      </c>
      <c r="R143" t="s">
        <v>22</v>
      </c>
      <c r="T143" t="s">
        <v>1134</v>
      </c>
      <c r="U143" t="s">
        <v>1116</v>
      </c>
      <c r="V143">
        <v>10</v>
      </c>
      <c r="W143" t="s">
        <v>1137</v>
      </c>
      <c r="Z143" t="s">
        <v>1131</v>
      </c>
    </row>
    <row r="144" spans="1:26">
      <c r="A144">
        <v>143</v>
      </c>
      <c r="B144" t="s">
        <v>2</v>
      </c>
      <c r="C144" t="s">
        <v>225</v>
      </c>
      <c r="E144">
        <v>80242300</v>
      </c>
      <c r="F144">
        <v>941995019</v>
      </c>
      <c r="G144" t="s">
        <v>2</v>
      </c>
      <c r="H144" t="s">
        <v>4</v>
      </c>
      <c r="J144" t="s">
        <v>2</v>
      </c>
      <c r="K144" t="s">
        <v>226</v>
      </c>
      <c r="L144" t="s">
        <v>37</v>
      </c>
      <c r="M144" s="1">
        <v>44768</v>
      </c>
      <c r="N144" t="s">
        <v>8</v>
      </c>
      <c r="O144">
        <v>325</v>
      </c>
      <c r="P144" t="s">
        <v>165</v>
      </c>
      <c r="Q144" t="s">
        <v>10</v>
      </c>
      <c r="R144" t="s">
        <v>22</v>
      </c>
      <c r="T144" t="s">
        <v>1097</v>
      </c>
      <c r="U144" t="s">
        <v>1102</v>
      </c>
      <c r="V144" s="3">
        <v>1</v>
      </c>
      <c r="W144" t="s">
        <v>1145</v>
      </c>
      <c r="Z144" t="s">
        <v>1144</v>
      </c>
    </row>
    <row r="145" spans="1:26">
      <c r="A145">
        <v>144</v>
      </c>
      <c r="B145" t="s">
        <v>2</v>
      </c>
      <c r="C145" t="s">
        <v>225</v>
      </c>
      <c r="E145">
        <v>80242300</v>
      </c>
      <c r="F145">
        <v>941995019</v>
      </c>
      <c r="G145" t="s">
        <v>2</v>
      </c>
      <c r="H145" t="s">
        <v>4</v>
      </c>
      <c r="J145" t="s">
        <v>2</v>
      </c>
      <c r="K145" t="s">
        <v>226</v>
      </c>
      <c r="L145" t="s">
        <v>37</v>
      </c>
      <c r="M145" s="1">
        <v>44768</v>
      </c>
      <c r="N145" t="s">
        <v>8</v>
      </c>
      <c r="O145" s="14">
        <v>25</v>
      </c>
      <c r="P145" t="s">
        <v>165</v>
      </c>
      <c r="Q145" t="s">
        <v>10</v>
      </c>
      <c r="R145" t="s">
        <v>22</v>
      </c>
      <c r="T145" t="s">
        <v>1134</v>
      </c>
      <c r="U145" t="s">
        <v>1115</v>
      </c>
      <c r="V145">
        <v>10</v>
      </c>
      <c r="W145" t="s">
        <v>1137</v>
      </c>
      <c r="Z145" t="s">
        <v>1131</v>
      </c>
    </row>
    <row r="146" spans="1:26" ht="13.3" customHeight="1">
      <c r="A146">
        <v>145</v>
      </c>
      <c r="B146" t="s">
        <v>60</v>
      </c>
      <c r="C146" t="s">
        <v>227</v>
      </c>
      <c r="E146">
        <v>3707056</v>
      </c>
      <c r="F146">
        <v>928998527</v>
      </c>
      <c r="G146" t="s">
        <v>228</v>
      </c>
      <c r="H146" t="s">
        <v>229</v>
      </c>
      <c r="J146" t="s">
        <v>29</v>
      </c>
      <c r="K146" t="s">
        <v>2</v>
      </c>
      <c r="L146" t="s">
        <v>37</v>
      </c>
      <c r="M146" s="1">
        <v>44769</v>
      </c>
      <c r="N146" t="s">
        <v>8</v>
      </c>
      <c r="O146">
        <v>184</v>
      </c>
      <c r="P146" t="s">
        <v>1076</v>
      </c>
      <c r="Q146" t="s">
        <v>10</v>
      </c>
      <c r="R146" t="s">
        <v>22</v>
      </c>
      <c r="T146" t="s">
        <v>1082</v>
      </c>
      <c r="U146" t="s">
        <v>1099</v>
      </c>
      <c r="V146" s="3">
        <v>1</v>
      </c>
      <c r="W146" t="s">
        <v>1146</v>
      </c>
      <c r="Z146" t="s">
        <v>1143</v>
      </c>
    </row>
    <row r="147" spans="1:26" ht="18.55" customHeight="1">
      <c r="A147">
        <v>146</v>
      </c>
      <c r="B147" t="s">
        <v>60</v>
      </c>
      <c r="C147" t="s">
        <v>227</v>
      </c>
      <c r="E147">
        <v>3707056</v>
      </c>
      <c r="F147">
        <v>928998527</v>
      </c>
      <c r="G147" t="s">
        <v>228</v>
      </c>
      <c r="H147" t="s">
        <v>229</v>
      </c>
      <c r="J147" t="s">
        <v>29</v>
      </c>
      <c r="K147" t="s">
        <v>2</v>
      </c>
      <c r="L147" t="s">
        <v>37</v>
      </c>
      <c r="M147" s="1">
        <v>44769</v>
      </c>
      <c r="N147" t="s">
        <v>8</v>
      </c>
      <c r="O147" s="14">
        <v>15</v>
      </c>
      <c r="P147" t="s">
        <v>1076</v>
      </c>
      <c r="Q147" t="s">
        <v>10</v>
      </c>
      <c r="R147" t="s">
        <v>22</v>
      </c>
      <c r="T147" t="s">
        <v>1134</v>
      </c>
      <c r="U147" t="s">
        <v>1116</v>
      </c>
      <c r="V147">
        <v>10</v>
      </c>
      <c r="W147" t="s">
        <v>1137</v>
      </c>
      <c r="Z147" t="s">
        <v>1131</v>
      </c>
    </row>
    <row r="148" spans="1:26">
      <c r="A148">
        <v>147</v>
      </c>
      <c r="B148" t="s">
        <v>60</v>
      </c>
      <c r="C148" t="s">
        <v>230</v>
      </c>
      <c r="E148">
        <v>43584321</v>
      </c>
      <c r="F148">
        <v>998596486</v>
      </c>
      <c r="G148" t="s">
        <v>231</v>
      </c>
      <c r="H148" t="s">
        <v>65</v>
      </c>
      <c r="J148" t="s">
        <v>29</v>
      </c>
      <c r="K148" t="s">
        <v>2</v>
      </c>
      <c r="L148" t="s">
        <v>37</v>
      </c>
      <c r="M148" s="1">
        <v>44769</v>
      </c>
      <c r="N148" t="s">
        <v>8</v>
      </c>
      <c r="O148">
        <v>375</v>
      </c>
      <c r="P148" t="s">
        <v>30</v>
      </c>
      <c r="Q148" t="s">
        <v>10</v>
      </c>
      <c r="R148" t="s">
        <v>22</v>
      </c>
      <c r="T148" t="s">
        <v>1092</v>
      </c>
      <c r="U148" t="s">
        <v>1105</v>
      </c>
      <c r="V148" s="3">
        <v>1</v>
      </c>
      <c r="W148" t="s">
        <v>1148</v>
      </c>
      <c r="Z148" t="s">
        <v>1149</v>
      </c>
    </row>
    <row r="149" spans="1:26">
      <c r="A149">
        <v>148</v>
      </c>
      <c r="B149" t="s">
        <v>60</v>
      </c>
      <c r="C149" t="s">
        <v>230</v>
      </c>
      <c r="E149">
        <v>43584321</v>
      </c>
      <c r="F149">
        <v>998596486</v>
      </c>
      <c r="G149" t="s">
        <v>231</v>
      </c>
      <c r="H149" t="s">
        <v>65</v>
      </c>
      <c r="J149" t="s">
        <v>29</v>
      </c>
      <c r="K149" t="s">
        <v>2</v>
      </c>
      <c r="L149" t="s">
        <v>37</v>
      </c>
      <c r="M149" s="1">
        <v>44769</v>
      </c>
      <c r="N149" t="s">
        <v>8</v>
      </c>
      <c r="O149" s="14">
        <v>25</v>
      </c>
      <c r="P149" t="s">
        <v>30</v>
      </c>
      <c r="Q149" t="s">
        <v>10</v>
      </c>
      <c r="R149" t="s">
        <v>22</v>
      </c>
      <c r="T149" t="s">
        <v>1134</v>
      </c>
      <c r="U149" t="s">
        <v>1115</v>
      </c>
      <c r="V149">
        <v>10</v>
      </c>
      <c r="W149" t="s">
        <v>1137</v>
      </c>
      <c r="Z149" t="s">
        <v>1131</v>
      </c>
    </row>
    <row r="150" spans="1:26">
      <c r="A150">
        <v>149</v>
      </c>
      <c r="B150" t="s">
        <v>60</v>
      </c>
      <c r="C150" t="s">
        <v>232</v>
      </c>
      <c r="E150">
        <v>73486769</v>
      </c>
      <c r="F150">
        <v>931133658</v>
      </c>
      <c r="G150" t="s">
        <v>233</v>
      </c>
      <c r="H150" t="s">
        <v>1042</v>
      </c>
      <c r="J150" t="s">
        <v>29</v>
      </c>
      <c r="K150" t="s">
        <v>2</v>
      </c>
      <c r="L150" t="s">
        <v>37</v>
      </c>
      <c r="M150" s="1">
        <v>44769</v>
      </c>
      <c r="N150" t="s">
        <v>8</v>
      </c>
      <c r="O150">
        <v>350</v>
      </c>
      <c r="P150" t="s">
        <v>234</v>
      </c>
      <c r="Q150" t="s">
        <v>10</v>
      </c>
      <c r="R150" t="s">
        <v>22</v>
      </c>
      <c r="T150" t="s">
        <v>1097</v>
      </c>
      <c r="U150" t="s">
        <v>1102</v>
      </c>
      <c r="V150" s="3">
        <v>1</v>
      </c>
      <c r="W150" t="s">
        <v>1145</v>
      </c>
      <c r="Z150" t="s">
        <v>1144</v>
      </c>
    </row>
    <row r="151" spans="1:26" ht="0.55000000000000004" customHeight="1">
      <c r="A151">
        <v>150</v>
      </c>
      <c r="B151" t="s">
        <v>60</v>
      </c>
      <c r="C151" t="s">
        <v>232</v>
      </c>
      <c r="E151">
        <v>73486769</v>
      </c>
      <c r="F151">
        <v>931133658</v>
      </c>
      <c r="G151" t="s">
        <v>233</v>
      </c>
      <c r="H151" t="s">
        <v>1042</v>
      </c>
      <c r="J151" t="s">
        <v>29</v>
      </c>
      <c r="K151" t="s">
        <v>2</v>
      </c>
      <c r="L151" t="s">
        <v>37</v>
      </c>
      <c r="M151" s="1">
        <v>44769</v>
      </c>
      <c r="N151" t="s">
        <v>8</v>
      </c>
      <c r="O151" s="13">
        <v>20</v>
      </c>
      <c r="P151" t="s">
        <v>234</v>
      </c>
      <c r="Q151" t="s">
        <v>10</v>
      </c>
      <c r="R151" t="s">
        <v>22</v>
      </c>
      <c r="T151" t="s">
        <v>1134</v>
      </c>
      <c r="U151" t="s">
        <v>1115</v>
      </c>
      <c r="V151">
        <v>10</v>
      </c>
      <c r="W151" t="s">
        <v>1137</v>
      </c>
      <c r="Z151" t="s">
        <v>1131</v>
      </c>
    </row>
    <row r="152" spans="1:26">
      <c r="A152">
        <v>151</v>
      </c>
      <c r="B152" t="s">
        <v>12</v>
      </c>
      <c r="C152" t="s">
        <v>235</v>
      </c>
      <c r="E152" t="s">
        <v>2</v>
      </c>
      <c r="F152">
        <v>981176282</v>
      </c>
      <c r="G152" t="s">
        <v>236</v>
      </c>
      <c r="H152" t="s">
        <v>4</v>
      </c>
      <c r="J152" t="s">
        <v>2</v>
      </c>
      <c r="K152" t="s">
        <v>237</v>
      </c>
      <c r="L152" t="s">
        <v>37</v>
      </c>
      <c r="M152" s="1">
        <v>44770</v>
      </c>
      <c r="N152" t="s">
        <v>56</v>
      </c>
      <c r="O152">
        <v>195</v>
      </c>
      <c r="P152" t="s">
        <v>238</v>
      </c>
      <c r="Q152" t="s">
        <v>10</v>
      </c>
      <c r="R152" t="s">
        <v>22</v>
      </c>
      <c r="T152" t="s">
        <v>1082</v>
      </c>
      <c r="U152" t="s">
        <v>1099</v>
      </c>
      <c r="V152" s="3">
        <v>1</v>
      </c>
      <c r="W152" t="s">
        <v>1146</v>
      </c>
      <c r="Z152" t="s">
        <v>1143</v>
      </c>
    </row>
    <row r="153" spans="1:26">
      <c r="A153">
        <v>152</v>
      </c>
      <c r="B153" t="s">
        <v>12</v>
      </c>
      <c r="C153" t="s">
        <v>235</v>
      </c>
      <c r="E153" t="s">
        <v>2</v>
      </c>
      <c r="F153">
        <v>981176282</v>
      </c>
      <c r="G153" t="s">
        <v>236</v>
      </c>
      <c r="H153" t="s">
        <v>4</v>
      </c>
      <c r="J153" t="s">
        <v>2</v>
      </c>
      <c r="K153" t="s">
        <v>237</v>
      </c>
      <c r="L153" t="s">
        <v>37</v>
      </c>
      <c r="M153" s="1">
        <v>44770</v>
      </c>
      <c r="N153" t="s">
        <v>56</v>
      </c>
      <c r="O153" s="14">
        <v>15</v>
      </c>
      <c r="P153" t="s">
        <v>238</v>
      </c>
      <c r="Q153" t="s">
        <v>10</v>
      </c>
      <c r="R153" t="s">
        <v>22</v>
      </c>
      <c r="T153" t="s">
        <v>1134</v>
      </c>
      <c r="U153" t="s">
        <v>1116</v>
      </c>
      <c r="V153">
        <v>10</v>
      </c>
      <c r="W153" t="s">
        <v>1137</v>
      </c>
      <c r="Z153" t="s">
        <v>1131</v>
      </c>
    </row>
    <row r="154" spans="1:26">
      <c r="A154">
        <v>153</v>
      </c>
      <c r="B154" t="s">
        <v>60</v>
      </c>
      <c r="C154" t="s">
        <v>239</v>
      </c>
      <c r="E154">
        <v>23266856</v>
      </c>
      <c r="F154" t="s">
        <v>2</v>
      </c>
      <c r="G154" t="s">
        <v>240</v>
      </c>
      <c r="H154" t="s">
        <v>241</v>
      </c>
      <c r="J154" t="s">
        <v>147</v>
      </c>
      <c r="K154" t="s">
        <v>2</v>
      </c>
      <c r="L154" t="s">
        <v>37</v>
      </c>
      <c r="M154" s="1">
        <v>44770</v>
      </c>
      <c r="N154" t="s">
        <v>8</v>
      </c>
      <c r="O154" s="14">
        <v>185</v>
      </c>
      <c r="P154" t="s">
        <v>234</v>
      </c>
      <c r="Q154" t="s">
        <v>10</v>
      </c>
      <c r="R154" t="s">
        <v>22</v>
      </c>
      <c r="T154" t="s">
        <v>1092</v>
      </c>
      <c r="U154" t="s">
        <v>1100</v>
      </c>
      <c r="V154" s="3">
        <v>1</v>
      </c>
      <c r="W154" t="s">
        <v>1146</v>
      </c>
      <c r="Z154" t="s">
        <v>1144</v>
      </c>
    </row>
    <row r="155" spans="1:26">
      <c r="A155">
        <v>154</v>
      </c>
      <c r="B155" t="s">
        <v>60</v>
      </c>
      <c r="C155" t="s">
        <v>239</v>
      </c>
      <c r="E155">
        <v>23266856</v>
      </c>
      <c r="F155" t="s">
        <v>2</v>
      </c>
      <c r="G155" t="s">
        <v>240</v>
      </c>
      <c r="H155" t="s">
        <v>241</v>
      </c>
      <c r="J155" t="s">
        <v>147</v>
      </c>
      <c r="K155" t="s">
        <v>2</v>
      </c>
      <c r="L155" t="s">
        <v>37</v>
      </c>
      <c r="M155" s="1">
        <v>44770</v>
      </c>
      <c r="N155" t="s">
        <v>8</v>
      </c>
      <c r="O155" s="14">
        <v>15</v>
      </c>
      <c r="P155" t="s">
        <v>234</v>
      </c>
      <c r="Q155" t="s">
        <v>10</v>
      </c>
      <c r="R155" t="s">
        <v>22</v>
      </c>
      <c r="T155" t="s">
        <v>1134</v>
      </c>
      <c r="U155" t="s">
        <v>1116</v>
      </c>
      <c r="V155">
        <v>10</v>
      </c>
      <c r="W155" t="s">
        <v>1137</v>
      </c>
      <c r="Z155" t="s">
        <v>1131</v>
      </c>
    </row>
    <row r="156" spans="1:26">
      <c r="A156">
        <v>155</v>
      </c>
      <c r="B156" t="s">
        <v>12</v>
      </c>
      <c r="C156" t="s">
        <v>242</v>
      </c>
      <c r="E156">
        <v>10104281431</v>
      </c>
      <c r="F156">
        <v>997157123</v>
      </c>
      <c r="G156" t="s">
        <v>243</v>
      </c>
      <c r="H156" t="s">
        <v>4</v>
      </c>
      <c r="I156" t="s">
        <v>244</v>
      </c>
      <c r="J156" t="s">
        <v>2</v>
      </c>
      <c r="K156" t="s">
        <v>7</v>
      </c>
      <c r="L156" t="s">
        <v>7</v>
      </c>
      <c r="M156" s="1">
        <v>44774</v>
      </c>
      <c r="N156" t="s">
        <v>21</v>
      </c>
      <c r="O156">
        <v>195</v>
      </c>
      <c r="P156" t="s">
        <v>234</v>
      </c>
      <c r="Q156" t="s">
        <v>10</v>
      </c>
      <c r="R156" t="s">
        <v>22</v>
      </c>
      <c r="T156" t="s">
        <v>1082</v>
      </c>
      <c r="U156" t="s">
        <v>1099</v>
      </c>
      <c r="V156" s="3">
        <v>1</v>
      </c>
      <c r="W156" t="s">
        <v>1146</v>
      </c>
      <c r="Z156" t="s">
        <v>1143</v>
      </c>
    </row>
    <row r="157" spans="1:26">
      <c r="A157">
        <v>156</v>
      </c>
      <c r="B157" t="s">
        <v>12</v>
      </c>
      <c r="C157" t="s">
        <v>242</v>
      </c>
      <c r="E157">
        <v>10104281431</v>
      </c>
      <c r="F157">
        <v>997157123</v>
      </c>
      <c r="G157" t="s">
        <v>243</v>
      </c>
      <c r="H157" t="s">
        <v>4</v>
      </c>
      <c r="I157" t="s">
        <v>244</v>
      </c>
      <c r="J157" t="s">
        <v>2</v>
      </c>
      <c r="K157" t="s">
        <v>7</v>
      </c>
      <c r="L157" t="s">
        <v>7</v>
      </c>
      <c r="M157" s="1">
        <v>44774</v>
      </c>
      <c r="N157" t="s">
        <v>21</v>
      </c>
      <c r="O157" s="14">
        <v>15</v>
      </c>
      <c r="P157" t="s">
        <v>234</v>
      </c>
      <c r="Q157" t="s">
        <v>10</v>
      </c>
      <c r="R157" t="s">
        <v>22</v>
      </c>
      <c r="T157" t="s">
        <v>1134</v>
      </c>
      <c r="U157" t="s">
        <v>1116</v>
      </c>
      <c r="V157">
        <v>10</v>
      </c>
      <c r="W157" t="s">
        <v>1137</v>
      </c>
      <c r="Z157" t="s">
        <v>1131</v>
      </c>
    </row>
    <row r="158" spans="1:26">
      <c r="A158">
        <v>157</v>
      </c>
      <c r="B158" t="s">
        <v>12</v>
      </c>
      <c r="C158" t="s">
        <v>242</v>
      </c>
      <c r="E158">
        <v>10104281431</v>
      </c>
      <c r="F158">
        <v>997157123</v>
      </c>
      <c r="G158" t="s">
        <v>243</v>
      </c>
      <c r="H158" t="s">
        <v>4</v>
      </c>
      <c r="I158" t="s">
        <v>244</v>
      </c>
      <c r="J158" t="s">
        <v>2</v>
      </c>
      <c r="K158" t="s">
        <v>7</v>
      </c>
      <c r="L158" t="s">
        <v>7</v>
      </c>
      <c r="M158" s="1">
        <v>44774</v>
      </c>
      <c r="N158" t="s">
        <v>21</v>
      </c>
      <c r="O158" s="14">
        <v>10</v>
      </c>
      <c r="P158" t="s">
        <v>234</v>
      </c>
      <c r="Q158" t="s">
        <v>10</v>
      </c>
      <c r="R158" t="s">
        <v>22</v>
      </c>
      <c r="T158" t="s">
        <v>1129</v>
      </c>
      <c r="U158" t="s">
        <v>1129</v>
      </c>
      <c r="V158">
        <v>1</v>
      </c>
      <c r="W158" t="s">
        <v>1059</v>
      </c>
      <c r="Z158" t="s">
        <v>1147</v>
      </c>
    </row>
    <row r="159" spans="1:26">
      <c r="A159">
        <v>158</v>
      </c>
      <c r="B159" t="s">
        <v>60</v>
      </c>
      <c r="C159" t="s">
        <v>227</v>
      </c>
      <c r="E159">
        <v>3707056</v>
      </c>
      <c r="F159">
        <v>928998527</v>
      </c>
      <c r="G159" t="s">
        <v>2</v>
      </c>
      <c r="H159" t="s">
        <v>229</v>
      </c>
      <c r="J159" t="s">
        <v>29</v>
      </c>
      <c r="K159" t="s">
        <v>2</v>
      </c>
      <c r="L159" t="s">
        <v>37</v>
      </c>
      <c r="M159" s="1">
        <v>44774</v>
      </c>
      <c r="N159" t="s">
        <v>8</v>
      </c>
      <c r="O159" s="2">
        <v>1000</v>
      </c>
      <c r="P159" t="s">
        <v>1076</v>
      </c>
      <c r="Q159" t="s">
        <v>31</v>
      </c>
      <c r="R159" t="s">
        <v>22</v>
      </c>
      <c r="T159" t="s">
        <v>1082</v>
      </c>
      <c r="U159" t="s">
        <v>1099</v>
      </c>
      <c r="V159" s="3">
        <v>6</v>
      </c>
      <c r="W159" t="s">
        <v>1146</v>
      </c>
      <c r="Z159" t="s">
        <v>1143</v>
      </c>
    </row>
    <row r="160" spans="1:26">
      <c r="A160">
        <v>159</v>
      </c>
      <c r="B160" t="s">
        <v>60</v>
      </c>
      <c r="C160" t="s">
        <v>227</v>
      </c>
      <c r="E160">
        <v>3707056</v>
      </c>
      <c r="F160">
        <v>928998527</v>
      </c>
      <c r="G160" t="s">
        <v>2</v>
      </c>
      <c r="H160" t="s">
        <v>229</v>
      </c>
      <c r="J160" t="s">
        <v>29</v>
      </c>
      <c r="K160" t="s">
        <v>2</v>
      </c>
      <c r="L160" t="s">
        <v>37</v>
      </c>
      <c r="M160" s="1">
        <v>44774</v>
      </c>
      <c r="N160" t="s">
        <v>8</v>
      </c>
      <c r="O160" s="16">
        <v>80</v>
      </c>
      <c r="P160" t="s">
        <v>1076</v>
      </c>
      <c r="Q160" t="s">
        <v>31</v>
      </c>
      <c r="R160" t="s">
        <v>22</v>
      </c>
      <c r="T160" t="s">
        <v>1134</v>
      </c>
      <c r="U160" t="s">
        <v>1116</v>
      </c>
      <c r="V160">
        <v>60</v>
      </c>
      <c r="W160" t="s">
        <v>1137</v>
      </c>
      <c r="Z160" t="s">
        <v>1131</v>
      </c>
    </row>
    <row r="161" spans="1:26">
      <c r="A161">
        <v>160</v>
      </c>
      <c r="B161" t="s">
        <v>60</v>
      </c>
      <c r="C161" t="s">
        <v>245</v>
      </c>
      <c r="E161" t="s">
        <v>2</v>
      </c>
      <c r="F161">
        <v>993070565</v>
      </c>
      <c r="G161" t="s">
        <v>246</v>
      </c>
      <c r="H161" t="s">
        <v>4</v>
      </c>
      <c r="I161" t="s">
        <v>244</v>
      </c>
      <c r="J161" t="s">
        <v>2</v>
      </c>
      <c r="K161" t="s">
        <v>7</v>
      </c>
      <c r="L161" t="s">
        <v>7</v>
      </c>
      <c r="M161" s="1">
        <v>44774</v>
      </c>
      <c r="N161" t="s">
        <v>8</v>
      </c>
      <c r="O161">
        <v>300</v>
      </c>
      <c r="P161" t="s">
        <v>234</v>
      </c>
      <c r="Q161" t="s">
        <v>10</v>
      </c>
      <c r="R161" t="s">
        <v>22</v>
      </c>
      <c r="T161" t="s">
        <v>1092</v>
      </c>
      <c r="U161" t="s">
        <v>1101</v>
      </c>
      <c r="V161" s="3">
        <v>1</v>
      </c>
      <c r="W161" t="s">
        <v>1146</v>
      </c>
      <c r="Z161" t="s">
        <v>1143</v>
      </c>
    </row>
    <row r="162" spans="1:26">
      <c r="A162">
        <v>161</v>
      </c>
      <c r="B162" t="s">
        <v>60</v>
      </c>
      <c r="C162" t="s">
        <v>245</v>
      </c>
      <c r="E162" t="s">
        <v>2</v>
      </c>
      <c r="F162">
        <v>993070565</v>
      </c>
      <c r="G162" t="s">
        <v>246</v>
      </c>
      <c r="H162" t="s">
        <v>4</v>
      </c>
      <c r="I162" t="s">
        <v>244</v>
      </c>
      <c r="J162" t="s">
        <v>2</v>
      </c>
      <c r="K162" t="s">
        <v>7</v>
      </c>
      <c r="L162" t="s">
        <v>7</v>
      </c>
      <c r="M162" s="1">
        <v>44774</v>
      </c>
      <c r="N162" t="s">
        <v>8</v>
      </c>
      <c r="O162" s="14">
        <v>20</v>
      </c>
      <c r="P162" t="s">
        <v>234</v>
      </c>
      <c r="Q162" t="s">
        <v>10</v>
      </c>
      <c r="R162" t="s">
        <v>22</v>
      </c>
      <c r="T162" t="s">
        <v>1151</v>
      </c>
      <c r="U162" t="s">
        <v>1120</v>
      </c>
      <c r="V162">
        <v>1</v>
      </c>
      <c r="W162" t="s">
        <v>1135</v>
      </c>
      <c r="Z162" t="s">
        <v>1136</v>
      </c>
    </row>
    <row r="163" spans="1:26">
      <c r="A163">
        <v>162</v>
      </c>
      <c r="B163" t="s">
        <v>60</v>
      </c>
      <c r="C163" t="s">
        <v>247</v>
      </c>
      <c r="E163">
        <v>18187208</v>
      </c>
      <c r="F163">
        <v>943306671</v>
      </c>
      <c r="G163" t="s">
        <v>248</v>
      </c>
      <c r="H163" t="s">
        <v>355</v>
      </c>
      <c r="J163" t="s">
        <v>29</v>
      </c>
      <c r="K163" t="s">
        <v>2</v>
      </c>
      <c r="L163" t="s">
        <v>37</v>
      </c>
      <c r="M163" s="1">
        <v>44774</v>
      </c>
      <c r="N163" t="s">
        <v>8</v>
      </c>
      <c r="O163">
        <v>185</v>
      </c>
      <c r="P163" t="s">
        <v>234</v>
      </c>
      <c r="Q163" t="s">
        <v>10</v>
      </c>
      <c r="R163" t="s">
        <v>22</v>
      </c>
      <c r="T163" t="s">
        <v>1092</v>
      </c>
      <c r="U163" t="s">
        <v>1100</v>
      </c>
      <c r="V163" s="3">
        <v>1</v>
      </c>
      <c r="W163" t="s">
        <v>1146</v>
      </c>
      <c r="Z163" t="s">
        <v>1144</v>
      </c>
    </row>
    <row r="164" spans="1:26">
      <c r="A164">
        <v>163</v>
      </c>
      <c r="B164" t="s">
        <v>60</v>
      </c>
      <c r="C164" t="s">
        <v>247</v>
      </c>
      <c r="E164">
        <v>18187208</v>
      </c>
      <c r="F164">
        <v>943306671</v>
      </c>
      <c r="G164" t="s">
        <v>248</v>
      </c>
      <c r="H164" t="s">
        <v>355</v>
      </c>
      <c r="J164" t="s">
        <v>29</v>
      </c>
      <c r="K164" t="s">
        <v>2</v>
      </c>
      <c r="L164" t="s">
        <v>37</v>
      </c>
      <c r="M164" s="1">
        <v>44774</v>
      </c>
      <c r="N164" t="s">
        <v>8</v>
      </c>
      <c r="O164" s="14">
        <v>15</v>
      </c>
      <c r="P164" t="s">
        <v>234</v>
      </c>
      <c r="Q164" t="s">
        <v>10</v>
      </c>
      <c r="R164" t="s">
        <v>22</v>
      </c>
      <c r="T164" t="s">
        <v>1134</v>
      </c>
      <c r="U164" t="s">
        <v>1116</v>
      </c>
      <c r="V164">
        <v>10</v>
      </c>
      <c r="W164" t="s">
        <v>1137</v>
      </c>
      <c r="Z164" t="s">
        <v>1131</v>
      </c>
    </row>
    <row r="165" spans="1:26">
      <c r="A165">
        <v>164</v>
      </c>
      <c r="B165" t="s">
        <v>60</v>
      </c>
      <c r="C165" t="s">
        <v>250</v>
      </c>
      <c r="E165" t="s">
        <v>2</v>
      </c>
      <c r="F165" t="s">
        <v>2</v>
      </c>
      <c r="G165" t="s">
        <v>251</v>
      </c>
      <c r="H165" t="s">
        <v>4</v>
      </c>
      <c r="I165" t="s">
        <v>252</v>
      </c>
      <c r="J165" t="s">
        <v>2</v>
      </c>
      <c r="K165" t="s">
        <v>252</v>
      </c>
      <c r="L165" t="s">
        <v>7</v>
      </c>
      <c r="M165" s="1">
        <v>44775</v>
      </c>
      <c r="N165" t="s">
        <v>8</v>
      </c>
      <c r="O165">
        <v>800</v>
      </c>
      <c r="P165" t="s">
        <v>253</v>
      </c>
      <c r="Q165" t="s">
        <v>10</v>
      </c>
      <c r="R165" t="s">
        <v>22</v>
      </c>
      <c r="T165" t="s">
        <v>1092</v>
      </c>
      <c r="U165" t="s">
        <v>1100</v>
      </c>
      <c r="V165" s="3">
        <v>5</v>
      </c>
      <c r="W165" t="s">
        <v>1146</v>
      </c>
      <c r="Z165" t="s">
        <v>1144</v>
      </c>
    </row>
    <row r="166" spans="1:26">
      <c r="A166">
        <v>165</v>
      </c>
      <c r="B166" t="s">
        <v>2</v>
      </c>
      <c r="C166" t="s">
        <v>254</v>
      </c>
      <c r="E166">
        <v>42419980</v>
      </c>
      <c r="F166">
        <v>975450957</v>
      </c>
      <c r="G166" t="s">
        <v>2</v>
      </c>
      <c r="H166" t="s">
        <v>199</v>
      </c>
      <c r="J166" t="s">
        <v>147</v>
      </c>
      <c r="K166" t="s">
        <v>2</v>
      </c>
      <c r="L166" t="s">
        <v>37</v>
      </c>
      <c r="M166" s="1">
        <v>44775</v>
      </c>
      <c r="N166" t="s">
        <v>8</v>
      </c>
      <c r="O166">
        <v>325</v>
      </c>
      <c r="P166" t="s">
        <v>234</v>
      </c>
      <c r="Q166" t="s">
        <v>10</v>
      </c>
      <c r="R166" t="s">
        <v>22</v>
      </c>
      <c r="T166" t="s">
        <v>1092</v>
      </c>
      <c r="U166" t="s">
        <v>1101</v>
      </c>
      <c r="V166" s="3">
        <v>1</v>
      </c>
      <c r="W166" t="s">
        <v>1146</v>
      </c>
      <c r="Z166" t="s">
        <v>1143</v>
      </c>
    </row>
    <row r="167" spans="1:26">
      <c r="A167">
        <v>166</v>
      </c>
      <c r="B167" t="s">
        <v>2</v>
      </c>
      <c r="C167" t="s">
        <v>254</v>
      </c>
      <c r="E167">
        <v>42419980</v>
      </c>
      <c r="F167">
        <v>975450957</v>
      </c>
      <c r="G167" t="s">
        <v>2</v>
      </c>
      <c r="H167" t="s">
        <v>199</v>
      </c>
      <c r="J167" t="s">
        <v>147</v>
      </c>
      <c r="K167" t="s">
        <v>2</v>
      </c>
      <c r="L167" t="s">
        <v>37</v>
      </c>
      <c r="M167" s="1">
        <v>44775</v>
      </c>
      <c r="N167" t="s">
        <v>8</v>
      </c>
      <c r="O167" s="14">
        <v>25</v>
      </c>
      <c r="P167" t="s">
        <v>234</v>
      </c>
      <c r="Q167" t="s">
        <v>10</v>
      </c>
      <c r="R167" t="s">
        <v>22</v>
      </c>
      <c r="T167" t="s">
        <v>1134</v>
      </c>
      <c r="U167" t="s">
        <v>1115</v>
      </c>
      <c r="V167">
        <v>10</v>
      </c>
      <c r="W167" t="s">
        <v>1137</v>
      </c>
      <c r="Z167" t="s">
        <v>1131</v>
      </c>
    </row>
    <row r="168" spans="1:26">
      <c r="A168">
        <v>167</v>
      </c>
      <c r="B168" t="s">
        <v>2</v>
      </c>
      <c r="C168" t="s">
        <v>255</v>
      </c>
      <c r="E168">
        <v>16682331</v>
      </c>
      <c r="F168">
        <v>979996998</v>
      </c>
      <c r="G168" t="s">
        <v>2</v>
      </c>
      <c r="H168" s="7" t="s">
        <v>256</v>
      </c>
      <c r="I168" t="s">
        <v>79</v>
      </c>
      <c r="J168" t="s">
        <v>257</v>
      </c>
      <c r="K168" t="s">
        <v>2</v>
      </c>
      <c r="L168" t="s">
        <v>37</v>
      </c>
      <c r="M168" s="1">
        <v>44775</v>
      </c>
      <c r="N168" t="s">
        <v>8</v>
      </c>
      <c r="O168">
        <v>335</v>
      </c>
      <c r="P168" t="s">
        <v>234</v>
      </c>
      <c r="Q168" t="s">
        <v>10</v>
      </c>
      <c r="R168" t="s">
        <v>22</v>
      </c>
      <c r="S168">
        <v>20</v>
      </c>
      <c r="T168" t="s">
        <v>1092</v>
      </c>
      <c r="U168" t="s">
        <v>1100</v>
      </c>
      <c r="V168" s="3">
        <v>1</v>
      </c>
      <c r="W168" t="s">
        <v>1146</v>
      </c>
      <c r="Z168" t="s">
        <v>1144</v>
      </c>
    </row>
    <row r="169" spans="1:26">
      <c r="A169">
        <v>168</v>
      </c>
      <c r="B169" t="s">
        <v>2</v>
      </c>
      <c r="C169" t="s">
        <v>255</v>
      </c>
      <c r="E169">
        <v>16682331</v>
      </c>
      <c r="F169">
        <v>979996998</v>
      </c>
      <c r="G169" t="s">
        <v>2</v>
      </c>
      <c r="H169" s="7" t="s">
        <v>256</v>
      </c>
      <c r="I169" t="s">
        <v>79</v>
      </c>
      <c r="J169" t="s">
        <v>257</v>
      </c>
      <c r="K169" t="s">
        <v>2</v>
      </c>
      <c r="L169" t="s">
        <v>37</v>
      </c>
      <c r="M169" s="1">
        <v>44775</v>
      </c>
      <c r="N169" t="s">
        <v>8</v>
      </c>
      <c r="O169" s="14">
        <v>15</v>
      </c>
      <c r="P169" t="s">
        <v>234</v>
      </c>
      <c r="Q169" t="s">
        <v>10</v>
      </c>
      <c r="R169" t="s">
        <v>22</v>
      </c>
      <c r="T169" t="s">
        <v>1134</v>
      </c>
      <c r="U169" t="s">
        <v>1116</v>
      </c>
      <c r="V169">
        <v>10</v>
      </c>
      <c r="W169" t="s">
        <v>1137</v>
      </c>
      <c r="Z169" t="s">
        <v>1131</v>
      </c>
    </row>
    <row r="170" spans="1:26">
      <c r="A170">
        <v>169</v>
      </c>
      <c r="B170" t="s">
        <v>23</v>
      </c>
      <c r="C170" t="s">
        <v>258</v>
      </c>
      <c r="E170" t="s">
        <v>2</v>
      </c>
      <c r="F170">
        <v>917805990</v>
      </c>
      <c r="G170" t="s">
        <v>2</v>
      </c>
      <c r="H170" t="s">
        <v>4</v>
      </c>
      <c r="I170" t="s">
        <v>244</v>
      </c>
      <c r="J170" t="s">
        <v>2</v>
      </c>
      <c r="K170" t="s">
        <v>259</v>
      </c>
      <c r="L170" t="s">
        <v>7</v>
      </c>
      <c r="M170" s="1">
        <v>44775</v>
      </c>
      <c r="N170" t="s">
        <v>21</v>
      </c>
      <c r="O170">
        <v>325</v>
      </c>
      <c r="P170" t="s">
        <v>234</v>
      </c>
      <c r="Q170" t="s">
        <v>10</v>
      </c>
      <c r="R170" t="s">
        <v>22</v>
      </c>
      <c r="T170" t="s">
        <v>1092</v>
      </c>
      <c r="U170" t="s">
        <v>1101</v>
      </c>
      <c r="V170" s="3">
        <v>1</v>
      </c>
      <c r="W170" t="s">
        <v>1146</v>
      </c>
      <c r="Z170" t="s">
        <v>1143</v>
      </c>
    </row>
    <row r="171" spans="1:26">
      <c r="A171">
        <v>170</v>
      </c>
      <c r="B171" t="s">
        <v>23</v>
      </c>
      <c r="C171" t="s">
        <v>258</v>
      </c>
      <c r="E171" t="s">
        <v>2</v>
      </c>
      <c r="F171">
        <v>917805990</v>
      </c>
      <c r="G171" t="s">
        <v>2</v>
      </c>
      <c r="H171" t="s">
        <v>4</v>
      </c>
      <c r="I171" t="s">
        <v>244</v>
      </c>
      <c r="J171" t="s">
        <v>2</v>
      </c>
      <c r="K171" t="s">
        <v>259</v>
      </c>
      <c r="L171" t="s">
        <v>7</v>
      </c>
      <c r="M171" s="1">
        <v>44775</v>
      </c>
      <c r="N171" t="s">
        <v>21</v>
      </c>
      <c r="O171" s="14">
        <v>10</v>
      </c>
      <c r="P171" t="s">
        <v>234</v>
      </c>
      <c r="Q171" t="s">
        <v>10</v>
      </c>
      <c r="R171" t="s">
        <v>22</v>
      </c>
      <c r="T171" t="s">
        <v>1134</v>
      </c>
      <c r="U171" t="s">
        <v>1115</v>
      </c>
      <c r="V171">
        <v>5</v>
      </c>
      <c r="W171" t="s">
        <v>1137</v>
      </c>
      <c r="Z171" t="s">
        <v>1131</v>
      </c>
    </row>
    <row r="172" spans="1:26">
      <c r="A172">
        <v>171</v>
      </c>
      <c r="B172" t="s">
        <v>2</v>
      </c>
      <c r="C172" t="s">
        <v>260</v>
      </c>
      <c r="E172">
        <v>42396096</v>
      </c>
      <c r="F172">
        <v>928641938</v>
      </c>
      <c r="G172" t="s">
        <v>2</v>
      </c>
      <c r="H172" t="s">
        <v>846</v>
      </c>
      <c r="I172" t="s">
        <v>82</v>
      </c>
      <c r="J172" t="s">
        <v>261</v>
      </c>
      <c r="K172" t="s">
        <v>2</v>
      </c>
      <c r="L172" t="s">
        <v>37</v>
      </c>
      <c r="M172" s="1">
        <v>44776</v>
      </c>
      <c r="N172" t="s">
        <v>8</v>
      </c>
      <c r="O172">
        <v>640</v>
      </c>
      <c r="P172" t="s">
        <v>234</v>
      </c>
      <c r="Q172" t="s">
        <v>10</v>
      </c>
      <c r="R172" t="s">
        <v>22</v>
      </c>
      <c r="T172" t="s">
        <v>1092</v>
      </c>
      <c r="U172" t="s">
        <v>1106</v>
      </c>
      <c r="V172" s="3">
        <v>4</v>
      </c>
      <c r="W172" t="s">
        <v>1139</v>
      </c>
      <c r="Z172" t="s">
        <v>1138</v>
      </c>
    </row>
    <row r="173" spans="1:26">
      <c r="A173">
        <v>172</v>
      </c>
      <c r="B173" t="s">
        <v>0</v>
      </c>
      <c r="C173" t="s">
        <v>262</v>
      </c>
      <c r="E173">
        <v>29615360</v>
      </c>
      <c r="F173">
        <v>930167843</v>
      </c>
      <c r="G173" t="s">
        <v>263</v>
      </c>
      <c r="H173" t="s">
        <v>4</v>
      </c>
      <c r="I173" t="s">
        <v>183</v>
      </c>
      <c r="J173" t="s">
        <v>2</v>
      </c>
      <c r="K173" t="s">
        <v>183</v>
      </c>
      <c r="L173" t="s">
        <v>7</v>
      </c>
      <c r="M173" s="1">
        <v>44776</v>
      </c>
      <c r="N173" t="s">
        <v>21</v>
      </c>
      <c r="O173">
        <v>180</v>
      </c>
      <c r="P173" t="s">
        <v>1076</v>
      </c>
      <c r="Q173" t="s">
        <v>10</v>
      </c>
      <c r="R173" t="s">
        <v>22</v>
      </c>
      <c r="T173" t="s">
        <v>1082</v>
      </c>
      <c r="U173" t="s">
        <v>1099</v>
      </c>
      <c r="V173" s="3" t="s">
        <v>1044</v>
      </c>
      <c r="W173" t="s">
        <v>1146</v>
      </c>
      <c r="Z173" t="s">
        <v>1143</v>
      </c>
    </row>
    <row r="174" spans="1:26">
      <c r="A174">
        <v>173</v>
      </c>
      <c r="B174" t="s">
        <v>0</v>
      </c>
      <c r="C174" t="s">
        <v>262</v>
      </c>
      <c r="E174">
        <v>29615360</v>
      </c>
      <c r="F174">
        <v>930167843</v>
      </c>
      <c r="G174" t="s">
        <v>263</v>
      </c>
      <c r="H174" t="s">
        <v>4</v>
      </c>
      <c r="I174" t="s">
        <v>183</v>
      </c>
      <c r="J174" t="s">
        <v>2</v>
      </c>
      <c r="K174" t="s">
        <v>183</v>
      </c>
      <c r="L174" t="s">
        <v>7</v>
      </c>
      <c r="M174" s="1">
        <v>44776</v>
      </c>
      <c r="N174" t="s">
        <v>21</v>
      </c>
      <c r="O174" s="14">
        <v>10</v>
      </c>
      <c r="P174" t="s">
        <v>1076</v>
      </c>
      <c r="Q174" t="s">
        <v>10</v>
      </c>
      <c r="R174" t="s">
        <v>22</v>
      </c>
      <c r="T174" t="s">
        <v>1134</v>
      </c>
      <c r="U174" t="s">
        <v>1116</v>
      </c>
      <c r="V174">
        <v>5</v>
      </c>
      <c r="W174" t="s">
        <v>1137</v>
      </c>
      <c r="Z174" t="s">
        <v>1131</v>
      </c>
    </row>
    <row r="175" spans="1:26">
      <c r="A175">
        <v>174</v>
      </c>
      <c r="B175" t="s">
        <v>2</v>
      </c>
      <c r="C175" t="s">
        <v>206</v>
      </c>
      <c r="E175">
        <v>42575441</v>
      </c>
      <c r="F175">
        <v>941003193</v>
      </c>
      <c r="G175" t="s">
        <v>2</v>
      </c>
      <c r="H175" t="s">
        <v>199</v>
      </c>
      <c r="J175" t="s">
        <v>29</v>
      </c>
      <c r="K175" t="s">
        <v>2</v>
      </c>
      <c r="L175" t="s">
        <v>37</v>
      </c>
      <c r="M175" s="1">
        <v>44776</v>
      </c>
      <c r="N175" t="s">
        <v>8</v>
      </c>
      <c r="O175" s="17">
        <v>150</v>
      </c>
      <c r="P175" t="s">
        <v>1076</v>
      </c>
      <c r="Q175" t="s">
        <v>10</v>
      </c>
      <c r="R175" t="s">
        <v>11</v>
      </c>
      <c r="T175" t="s">
        <v>1151</v>
      </c>
      <c r="U175" t="s">
        <v>1120</v>
      </c>
      <c r="V175" s="3">
        <v>5</v>
      </c>
      <c r="W175" t="s">
        <v>1135</v>
      </c>
      <c r="Z175" t="s">
        <v>1136</v>
      </c>
    </row>
    <row r="176" spans="1:26">
      <c r="A176">
        <v>175</v>
      </c>
      <c r="B176" t="s">
        <v>2</v>
      </c>
      <c r="C176" t="s">
        <v>206</v>
      </c>
      <c r="E176">
        <v>42575441</v>
      </c>
      <c r="F176">
        <v>941003193</v>
      </c>
      <c r="G176" t="s">
        <v>2</v>
      </c>
      <c r="H176" t="s">
        <v>199</v>
      </c>
      <c r="J176" t="s">
        <v>29</v>
      </c>
      <c r="K176" t="s">
        <v>2</v>
      </c>
      <c r="L176" t="s">
        <v>37</v>
      </c>
      <c r="M176" s="1">
        <v>44776</v>
      </c>
      <c r="N176" t="s">
        <v>8</v>
      </c>
      <c r="O176" s="17">
        <v>25</v>
      </c>
      <c r="P176" t="s">
        <v>1076</v>
      </c>
      <c r="Q176" t="s">
        <v>10</v>
      </c>
      <c r="R176" t="s">
        <v>11</v>
      </c>
      <c r="T176" t="s">
        <v>1151</v>
      </c>
      <c r="U176" t="s">
        <v>1128</v>
      </c>
      <c r="V176">
        <v>1</v>
      </c>
      <c r="W176" t="s">
        <v>1135</v>
      </c>
      <c r="Z176" t="s">
        <v>1136</v>
      </c>
    </row>
    <row r="177" spans="1:26">
      <c r="A177">
        <v>176</v>
      </c>
      <c r="B177" t="s">
        <v>12</v>
      </c>
      <c r="C177" t="s">
        <v>264</v>
      </c>
      <c r="E177" t="s">
        <v>2</v>
      </c>
      <c r="F177">
        <v>943073730</v>
      </c>
      <c r="G177" t="s">
        <v>265</v>
      </c>
      <c r="H177" t="s">
        <v>266</v>
      </c>
      <c r="J177" t="s">
        <v>267</v>
      </c>
      <c r="K177" t="s">
        <v>2</v>
      </c>
      <c r="L177" t="s">
        <v>268</v>
      </c>
      <c r="M177" s="1">
        <v>44777</v>
      </c>
      <c r="N177" t="s">
        <v>8</v>
      </c>
      <c r="O177">
        <v>420</v>
      </c>
      <c r="P177" t="s">
        <v>234</v>
      </c>
      <c r="Q177" t="s">
        <v>10</v>
      </c>
      <c r="R177" t="s">
        <v>11</v>
      </c>
      <c r="T177" t="s">
        <v>1092</v>
      </c>
      <c r="U177" t="s">
        <v>1105</v>
      </c>
      <c r="V177" s="3" t="s">
        <v>1044</v>
      </c>
      <c r="W177" t="s">
        <v>1148</v>
      </c>
      <c r="Z177" t="s">
        <v>1149</v>
      </c>
    </row>
    <row r="178" spans="1:26">
      <c r="A178">
        <v>177</v>
      </c>
      <c r="B178" t="s">
        <v>12</v>
      </c>
      <c r="C178" t="s">
        <v>264</v>
      </c>
      <c r="E178" t="s">
        <v>2</v>
      </c>
      <c r="F178">
        <v>943073730</v>
      </c>
      <c r="G178" t="s">
        <v>265</v>
      </c>
      <c r="H178" t="s">
        <v>266</v>
      </c>
      <c r="J178" t="s">
        <v>267</v>
      </c>
      <c r="K178" t="s">
        <v>2</v>
      </c>
      <c r="L178" t="s">
        <v>268</v>
      </c>
      <c r="M178" s="1">
        <v>44777</v>
      </c>
      <c r="N178" t="s">
        <v>8</v>
      </c>
      <c r="O178">
        <v>350</v>
      </c>
      <c r="P178" t="s">
        <v>234</v>
      </c>
      <c r="Q178" t="s">
        <v>10</v>
      </c>
      <c r="R178" t="s">
        <v>11</v>
      </c>
      <c r="T178" t="s">
        <v>1118</v>
      </c>
      <c r="U178" t="s">
        <v>1117</v>
      </c>
      <c r="V178">
        <v>1</v>
      </c>
      <c r="W178" t="s">
        <v>1085</v>
      </c>
      <c r="Z178" t="s">
        <v>1141</v>
      </c>
    </row>
    <row r="179" spans="1:26">
      <c r="A179">
        <v>178</v>
      </c>
      <c r="B179" t="s">
        <v>12</v>
      </c>
      <c r="C179" t="s">
        <v>264</v>
      </c>
      <c r="E179" t="s">
        <v>2</v>
      </c>
      <c r="F179">
        <v>943073730</v>
      </c>
      <c r="G179" t="s">
        <v>265</v>
      </c>
      <c r="H179" t="s">
        <v>266</v>
      </c>
      <c r="J179" t="s">
        <v>267</v>
      </c>
      <c r="K179" t="s">
        <v>2</v>
      </c>
      <c r="L179" t="s">
        <v>268</v>
      </c>
      <c r="M179" s="1">
        <v>44777</v>
      </c>
      <c r="N179" t="s">
        <v>8</v>
      </c>
      <c r="O179" s="14">
        <v>100</v>
      </c>
      <c r="P179" t="s">
        <v>234</v>
      </c>
      <c r="Q179" t="s">
        <v>10</v>
      </c>
      <c r="R179" t="s">
        <v>11</v>
      </c>
      <c r="T179" t="s">
        <v>1073</v>
      </c>
      <c r="U179" t="s">
        <v>1125</v>
      </c>
      <c r="V179">
        <v>4</v>
      </c>
      <c r="W179" t="s">
        <v>1073</v>
      </c>
      <c r="Z179" t="s">
        <v>1141</v>
      </c>
    </row>
    <row r="180" spans="1:26">
      <c r="A180">
        <v>179</v>
      </c>
      <c r="B180" t="s">
        <v>2</v>
      </c>
      <c r="C180" t="s">
        <v>269</v>
      </c>
      <c r="E180">
        <v>40403413</v>
      </c>
      <c r="F180">
        <v>951251638</v>
      </c>
      <c r="G180" t="s">
        <v>2</v>
      </c>
      <c r="H180" t="s">
        <v>4</v>
      </c>
      <c r="I180" t="s">
        <v>107</v>
      </c>
      <c r="J180" t="s">
        <v>29</v>
      </c>
      <c r="K180" t="s">
        <v>2</v>
      </c>
      <c r="L180" t="s">
        <v>37</v>
      </c>
      <c r="M180" s="1">
        <v>44777</v>
      </c>
      <c r="N180" t="s">
        <v>8</v>
      </c>
      <c r="O180">
        <v>199</v>
      </c>
      <c r="P180" t="s">
        <v>234</v>
      </c>
      <c r="Q180" t="s">
        <v>10</v>
      </c>
      <c r="R180" t="s">
        <v>11</v>
      </c>
      <c r="S180" t="s">
        <v>2</v>
      </c>
      <c r="T180" t="s">
        <v>1092</v>
      </c>
      <c r="U180" t="s">
        <v>1100</v>
      </c>
      <c r="V180" s="3" t="s">
        <v>1044</v>
      </c>
      <c r="W180" t="s">
        <v>1146</v>
      </c>
      <c r="Z180" t="s">
        <v>1144</v>
      </c>
    </row>
    <row r="181" spans="1:26">
      <c r="A181">
        <v>180</v>
      </c>
      <c r="B181" t="s">
        <v>23</v>
      </c>
      <c r="C181" t="s">
        <v>270</v>
      </c>
      <c r="E181" t="s">
        <v>2</v>
      </c>
      <c r="F181">
        <v>966219228</v>
      </c>
      <c r="G181" t="s">
        <v>2</v>
      </c>
      <c r="H181" t="s">
        <v>4</v>
      </c>
      <c r="I181" t="s">
        <v>244</v>
      </c>
      <c r="J181" t="s">
        <v>2</v>
      </c>
      <c r="K181" t="s">
        <v>7</v>
      </c>
      <c r="L181" t="s">
        <v>7</v>
      </c>
      <c r="M181" s="1">
        <v>44777</v>
      </c>
      <c r="N181" t="s">
        <v>21</v>
      </c>
      <c r="O181">
        <v>305</v>
      </c>
      <c r="P181" t="s">
        <v>271</v>
      </c>
      <c r="Q181" t="s">
        <v>10</v>
      </c>
      <c r="R181" t="s">
        <v>11</v>
      </c>
      <c r="S181" t="s">
        <v>2</v>
      </c>
      <c r="T181" t="s">
        <v>1097</v>
      </c>
      <c r="U181" t="s">
        <v>1102</v>
      </c>
      <c r="V181" s="3" t="s">
        <v>1044</v>
      </c>
      <c r="W181" t="s">
        <v>1145</v>
      </c>
      <c r="Z181" t="s">
        <v>1144</v>
      </c>
    </row>
    <row r="182" spans="1:26">
      <c r="A182">
        <v>181</v>
      </c>
      <c r="B182" t="s">
        <v>23</v>
      </c>
      <c r="C182" t="s">
        <v>270</v>
      </c>
      <c r="E182" t="s">
        <v>2</v>
      </c>
      <c r="F182">
        <v>966219228</v>
      </c>
      <c r="G182" t="s">
        <v>2</v>
      </c>
      <c r="H182" t="s">
        <v>4</v>
      </c>
      <c r="I182" t="s">
        <v>244</v>
      </c>
      <c r="J182" t="s">
        <v>2</v>
      </c>
      <c r="K182" t="s">
        <v>7</v>
      </c>
      <c r="L182" t="s">
        <v>7</v>
      </c>
      <c r="M182" s="1">
        <v>44777</v>
      </c>
      <c r="N182" t="s">
        <v>21</v>
      </c>
      <c r="O182" s="14">
        <v>25</v>
      </c>
      <c r="P182" t="s">
        <v>271</v>
      </c>
      <c r="Q182" t="s">
        <v>10</v>
      </c>
      <c r="R182" t="s">
        <v>11</v>
      </c>
      <c r="T182" t="s">
        <v>1134</v>
      </c>
      <c r="U182" t="s">
        <v>1115</v>
      </c>
      <c r="V182">
        <v>10</v>
      </c>
      <c r="W182" t="s">
        <v>1137</v>
      </c>
      <c r="Z182" t="s">
        <v>1131</v>
      </c>
    </row>
    <row r="183" spans="1:26">
      <c r="A183">
        <v>182</v>
      </c>
      <c r="B183" t="s">
        <v>12</v>
      </c>
      <c r="C183" t="s">
        <v>272</v>
      </c>
      <c r="E183">
        <v>10719011280</v>
      </c>
      <c r="F183">
        <v>902062558</v>
      </c>
      <c r="G183" t="s">
        <v>273</v>
      </c>
      <c r="H183" t="s">
        <v>4</v>
      </c>
      <c r="I183" t="s">
        <v>244</v>
      </c>
      <c r="J183" t="s">
        <v>2</v>
      </c>
      <c r="K183" t="s">
        <v>274</v>
      </c>
      <c r="L183" t="s">
        <v>7</v>
      </c>
      <c r="M183" s="1">
        <v>44779</v>
      </c>
      <c r="N183" t="s">
        <v>8</v>
      </c>
      <c r="O183">
        <v>200</v>
      </c>
      <c r="P183" t="s">
        <v>52</v>
      </c>
      <c r="Q183" t="s">
        <v>10</v>
      </c>
      <c r="R183" t="s">
        <v>11</v>
      </c>
      <c r="S183" t="s">
        <v>2</v>
      </c>
      <c r="T183" t="s">
        <v>1092</v>
      </c>
      <c r="U183" t="s">
        <v>1100</v>
      </c>
      <c r="V183" s="3" t="s">
        <v>1044</v>
      </c>
      <c r="W183" t="s">
        <v>1146</v>
      </c>
      <c r="Z183" t="s">
        <v>1144</v>
      </c>
    </row>
    <row r="184" spans="1:26">
      <c r="A184">
        <v>183</v>
      </c>
      <c r="B184" t="s">
        <v>2</v>
      </c>
      <c r="C184" t="s">
        <v>275</v>
      </c>
      <c r="E184">
        <v>70750791</v>
      </c>
      <c r="F184">
        <v>984876283</v>
      </c>
      <c r="G184" t="s">
        <v>2</v>
      </c>
      <c r="H184" t="s">
        <v>4</v>
      </c>
      <c r="I184" t="s">
        <v>90</v>
      </c>
      <c r="J184" t="s">
        <v>276</v>
      </c>
      <c r="K184" t="s">
        <v>277</v>
      </c>
      <c r="L184" t="s">
        <v>37</v>
      </c>
      <c r="M184" s="1">
        <v>44779</v>
      </c>
      <c r="N184" t="s">
        <v>38</v>
      </c>
      <c r="O184">
        <v>185</v>
      </c>
      <c r="P184" t="s">
        <v>234</v>
      </c>
      <c r="Q184" t="s">
        <v>10</v>
      </c>
      <c r="R184" t="s">
        <v>11</v>
      </c>
      <c r="T184" t="s">
        <v>1082</v>
      </c>
      <c r="U184" t="s">
        <v>1099</v>
      </c>
      <c r="V184" s="3" t="s">
        <v>1044</v>
      </c>
      <c r="W184" t="s">
        <v>1146</v>
      </c>
      <c r="Z184" t="s">
        <v>1143</v>
      </c>
    </row>
    <row r="185" spans="1:26">
      <c r="A185">
        <v>184</v>
      </c>
      <c r="B185" t="s">
        <v>2</v>
      </c>
      <c r="C185" t="s">
        <v>278</v>
      </c>
      <c r="E185">
        <v>4262414</v>
      </c>
      <c r="F185">
        <v>970725627</v>
      </c>
      <c r="G185" t="s">
        <v>2</v>
      </c>
      <c r="H185" t="s">
        <v>199</v>
      </c>
      <c r="J185" t="s">
        <v>279</v>
      </c>
      <c r="K185" t="s">
        <v>280</v>
      </c>
      <c r="L185" t="s">
        <v>37</v>
      </c>
      <c r="M185" s="1">
        <v>44780</v>
      </c>
      <c r="N185" t="s">
        <v>8</v>
      </c>
      <c r="O185">
        <v>200</v>
      </c>
      <c r="P185" t="s">
        <v>234</v>
      </c>
      <c r="Q185" t="s">
        <v>10</v>
      </c>
      <c r="R185" t="s">
        <v>22</v>
      </c>
      <c r="S185" t="s">
        <v>2</v>
      </c>
      <c r="T185" t="s">
        <v>1092</v>
      </c>
      <c r="U185" t="s">
        <v>1100</v>
      </c>
      <c r="V185" s="3" t="s">
        <v>1044</v>
      </c>
      <c r="W185" t="s">
        <v>1146</v>
      </c>
      <c r="Z185" t="s">
        <v>1144</v>
      </c>
    </row>
    <row r="186" spans="1:26">
      <c r="A186">
        <v>185</v>
      </c>
      <c r="B186" t="s">
        <v>23</v>
      </c>
      <c r="C186" t="s">
        <v>281</v>
      </c>
      <c r="E186" t="s">
        <v>2</v>
      </c>
      <c r="F186" t="s">
        <v>2</v>
      </c>
      <c r="G186" t="s">
        <v>2</v>
      </c>
      <c r="H186" t="s">
        <v>4</v>
      </c>
      <c r="I186" t="s">
        <v>252</v>
      </c>
      <c r="J186" t="s">
        <v>2</v>
      </c>
      <c r="K186" t="s">
        <v>252</v>
      </c>
      <c r="L186" t="s">
        <v>7</v>
      </c>
      <c r="M186" s="1">
        <v>44780</v>
      </c>
      <c r="N186" t="s">
        <v>21</v>
      </c>
      <c r="O186" s="5">
        <v>360</v>
      </c>
      <c r="P186" t="s">
        <v>134</v>
      </c>
      <c r="Q186" t="s">
        <v>10</v>
      </c>
      <c r="R186" t="s">
        <v>22</v>
      </c>
      <c r="T186" t="s">
        <v>1092</v>
      </c>
      <c r="U186" t="s">
        <v>1101</v>
      </c>
      <c r="V186" s="3" t="s">
        <v>1044</v>
      </c>
      <c r="W186" t="s">
        <v>1146</v>
      </c>
      <c r="Z186" t="s">
        <v>1143</v>
      </c>
    </row>
    <row r="187" spans="1:26">
      <c r="A187">
        <v>186</v>
      </c>
      <c r="B187" t="s">
        <v>23</v>
      </c>
      <c r="C187" t="s">
        <v>281</v>
      </c>
      <c r="E187" t="s">
        <v>2</v>
      </c>
      <c r="F187" t="s">
        <v>2</v>
      </c>
      <c r="G187" t="s">
        <v>2</v>
      </c>
      <c r="H187" t="s">
        <v>4</v>
      </c>
      <c r="I187" t="s">
        <v>252</v>
      </c>
      <c r="J187" t="s">
        <v>2</v>
      </c>
      <c r="K187" t="s">
        <v>252</v>
      </c>
      <c r="L187" t="s">
        <v>7</v>
      </c>
      <c r="M187" s="1">
        <v>44780</v>
      </c>
      <c r="N187" t="s">
        <v>21</v>
      </c>
      <c r="O187" s="5">
        <v>160</v>
      </c>
      <c r="P187" t="s">
        <v>134</v>
      </c>
      <c r="Q187" t="s">
        <v>10</v>
      </c>
      <c r="R187" t="s">
        <v>22</v>
      </c>
      <c r="T187" t="s">
        <v>1107</v>
      </c>
      <c r="U187" t="s">
        <v>1107</v>
      </c>
      <c r="V187">
        <v>1</v>
      </c>
      <c r="W187" t="s">
        <v>1140</v>
      </c>
      <c r="Z187" t="s">
        <v>1138</v>
      </c>
    </row>
    <row r="188" spans="1:26">
      <c r="A188">
        <v>187</v>
      </c>
      <c r="B188" t="s">
        <v>2</v>
      </c>
      <c r="C188" t="s">
        <v>275</v>
      </c>
      <c r="E188">
        <v>70750791</v>
      </c>
      <c r="F188">
        <v>984876283</v>
      </c>
      <c r="G188" t="s">
        <v>2</v>
      </c>
      <c r="H188" t="s">
        <v>77</v>
      </c>
      <c r="I188" t="s">
        <v>282</v>
      </c>
      <c r="J188" t="s">
        <v>276</v>
      </c>
      <c r="K188" t="s">
        <v>277</v>
      </c>
      <c r="L188" t="s">
        <v>37</v>
      </c>
      <c r="M188" s="1">
        <v>44781</v>
      </c>
      <c r="N188" t="s">
        <v>38</v>
      </c>
      <c r="O188">
        <v>295</v>
      </c>
      <c r="P188" t="s">
        <v>234</v>
      </c>
      <c r="Q188" t="s">
        <v>10</v>
      </c>
      <c r="R188" t="s">
        <v>11</v>
      </c>
      <c r="S188" t="s">
        <v>2</v>
      </c>
      <c r="T188" t="s">
        <v>1119</v>
      </c>
      <c r="U188" s="12" t="s">
        <v>1142</v>
      </c>
      <c r="V188" s="3" t="s">
        <v>1044</v>
      </c>
      <c r="W188" t="s">
        <v>1066</v>
      </c>
      <c r="Z188" t="s">
        <v>1141</v>
      </c>
    </row>
    <row r="189" spans="1:26">
      <c r="A189">
        <v>188</v>
      </c>
      <c r="B189" t="s">
        <v>23</v>
      </c>
      <c r="C189" t="s">
        <v>283</v>
      </c>
      <c r="E189" t="s">
        <v>2</v>
      </c>
      <c r="F189">
        <v>993409484</v>
      </c>
      <c r="G189" t="s">
        <v>2</v>
      </c>
      <c r="H189" t="s">
        <v>4</v>
      </c>
      <c r="J189" t="s">
        <v>2</v>
      </c>
      <c r="K189" t="s">
        <v>7</v>
      </c>
      <c r="L189" t="s">
        <v>7</v>
      </c>
      <c r="M189" s="1">
        <v>44781</v>
      </c>
      <c r="N189" t="s">
        <v>21</v>
      </c>
      <c r="O189">
        <v>310</v>
      </c>
      <c r="P189" t="s">
        <v>1076</v>
      </c>
      <c r="Q189" t="s">
        <v>31</v>
      </c>
      <c r="R189" t="s">
        <v>11</v>
      </c>
      <c r="S189" t="s">
        <v>2</v>
      </c>
      <c r="T189" t="s">
        <v>1097</v>
      </c>
      <c r="U189" t="s">
        <v>1102</v>
      </c>
      <c r="V189" s="3" t="s">
        <v>1044</v>
      </c>
      <c r="W189" t="s">
        <v>1145</v>
      </c>
      <c r="Z189" t="s">
        <v>1144</v>
      </c>
    </row>
    <row r="190" spans="1:26">
      <c r="A190">
        <v>189</v>
      </c>
      <c r="B190" t="s">
        <v>2</v>
      </c>
      <c r="C190" t="s">
        <v>284</v>
      </c>
      <c r="E190">
        <v>73207365</v>
      </c>
      <c r="F190">
        <v>928672091</v>
      </c>
      <c r="G190" t="s">
        <v>2</v>
      </c>
      <c r="H190" t="s">
        <v>65</v>
      </c>
      <c r="J190" t="s">
        <v>285</v>
      </c>
      <c r="K190" t="s">
        <v>2</v>
      </c>
      <c r="L190" t="s">
        <v>37</v>
      </c>
      <c r="M190" s="1">
        <v>44781</v>
      </c>
      <c r="N190" t="s">
        <v>8</v>
      </c>
      <c r="O190">
        <v>310</v>
      </c>
      <c r="P190" t="s">
        <v>234</v>
      </c>
      <c r="Q190" t="s">
        <v>10</v>
      </c>
      <c r="R190" t="s">
        <v>11</v>
      </c>
      <c r="S190" t="s">
        <v>2</v>
      </c>
      <c r="T190" t="s">
        <v>1097</v>
      </c>
      <c r="U190" t="s">
        <v>1102</v>
      </c>
      <c r="V190" s="3" t="s">
        <v>1044</v>
      </c>
      <c r="W190" t="s">
        <v>1145</v>
      </c>
      <c r="Z190" t="s">
        <v>1144</v>
      </c>
    </row>
    <row r="191" spans="1:26">
      <c r="A191">
        <v>190</v>
      </c>
      <c r="B191" t="s">
        <v>2</v>
      </c>
      <c r="C191" t="s">
        <v>284</v>
      </c>
      <c r="E191">
        <v>73207365</v>
      </c>
      <c r="F191">
        <v>928672091</v>
      </c>
      <c r="G191" t="s">
        <v>2</v>
      </c>
      <c r="H191" t="s">
        <v>65</v>
      </c>
      <c r="J191" t="s">
        <v>285</v>
      </c>
      <c r="K191" t="s">
        <v>2</v>
      </c>
      <c r="L191" t="s">
        <v>37</v>
      </c>
      <c r="M191" s="1">
        <v>44781</v>
      </c>
      <c r="N191" t="s">
        <v>8</v>
      </c>
      <c r="O191" s="14">
        <v>170</v>
      </c>
      <c r="P191" t="s">
        <v>234</v>
      </c>
      <c r="Q191" t="s">
        <v>10</v>
      </c>
      <c r="R191" t="s">
        <v>11</v>
      </c>
      <c r="T191" t="s">
        <v>1133</v>
      </c>
      <c r="U191" t="s">
        <v>1115</v>
      </c>
      <c r="V191">
        <v>80</v>
      </c>
      <c r="W191" t="s">
        <v>1132</v>
      </c>
      <c r="Z191" t="s">
        <v>1131</v>
      </c>
    </row>
    <row r="192" spans="1:26">
      <c r="A192">
        <v>191</v>
      </c>
      <c r="B192" t="s">
        <v>12</v>
      </c>
      <c r="C192" t="s">
        <v>286</v>
      </c>
      <c r="E192">
        <v>10105494578</v>
      </c>
      <c r="F192">
        <v>931125729</v>
      </c>
      <c r="G192" t="s">
        <v>287</v>
      </c>
      <c r="H192" t="s">
        <v>4</v>
      </c>
      <c r="I192" t="s">
        <v>209</v>
      </c>
      <c r="J192" t="s">
        <v>2</v>
      </c>
      <c r="K192" t="s">
        <v>209</v>
      </c>
      <c r="L192" t="s">
        <v>37</v>
      </c>
      <c r="M192" s="1">
        <v>44781</v>
      </c>
      <c r="N192" t="s">
        <v>8</v>
      </c>
      <c r="O192">
        <v>500</v>
      </c>
      <c r="P192" t="s">
        <v>9</v>
      </c>
      <c r="Q192" t="s">
        <v>10</v>
      </c>
      <c r="R192" t="s">
        <v>11</v>
      </c>
      <c r="S192">
        <v>10</v>
      </c>
      <c r="T192" t="s">
        <v>1092</v>
      </c>
      <c r="U192" t="s">
        <v>1105</v>
      </c>
      <c r="V192" s="3" t="s">
        <v>1044</v>
      </c>
      <c r="W192" t="s">
        <v>1148</v>
      </c>
      <c r="Z192" t="s">
        <v>1149</v>
      </c>
    </row>
    <row r="193" spans="1:26">
      <c r="A193">
        <v>192</v>
      </c>
      <c r="B193" t="s">
        <v>12</v>
      </c>
      <c r="C193" t="s">
        <v>286</v>
      </c>
      <c r="E193">
        <v>10105494578</v>
      </c>
      <c r="F193">
        <v>931125729</v>
      </c>
      <c r="G193" t="s">
        <v>287</v>
      </c>
      <c r="H193" t="s">
        <v>4</v>
      </c>
      <c r="I193" t="s">
        <v>209</v>
      </c>
      <c r="J193" t="s">
        <v>2</v>
      </c>
      <c r="K193" t="s">
        <v>209</v>
      </c>
      <c r="L193" t="s">
        <v>37</v>
      </c>
      <c r="M193" s="1">
        <v>44781</v>
      </c>
      <c r="N193" t="s">
        <v>8</v>
      </c>
      <c r="O193" s="14">
        <v>190</v>
      </c>
      <c r="P193" t="s">
        <v>9</v>
      </c>
      <c r="Q193" t="s">
        <v>10</v>
      </c>
      <c r="R193" t="s">
        <v>11</v>
      </c>
      <c r="T193" t="s">
        <v>1133</v>
      </c>
      <c r="U193" t="s">
        <v>1115</v>
      </c>
      <c r="V193">
        <v>80</v>
      </c>
      <c r="W193" t="s">
        <v>1132</v>
      </c>
      <c r="Z193" t="s">
        <v>1131</v>
      </c>
    </row>
    <row r="194" spans="1:26">
      <c r="A194">
        <v>193</v>
      </c>
      <c r="B194" t="s">
        <v>60</v>
      </c>
      <c r="C194" t="s">
        <v>283</v>
      </c>
      <c r="E194" t="s">
        <v>2</v>
      </c>
      <c r="F194">
        <v>993409484</v>
      </c>
      <c r="G194" t="s">
        <v>288</v>
      </c>
      <c r="H194" t="s">
        <v>4</v>
      </c>
      <c r="J194" t="s">
        <v>2</v>
      </c>
      <c r="K194" t="s">
        <v>289</v>
      </c>
      <c r="L194" t="s">
        <v>37</v>
      </c>
      <c r="M194" s="1">
        <v>44782</v>
      </c>
      <c r="N194" t="s">
        <v>100</v>
      </c>
      <c r="O194">
        <v>605</v>
      </c>
      <c r="P194" t="s">
        <v>1076</v>
      </c>
      <c r="Q194" t="s">
        <v>31</v>
      </c>
      <c r="R194" t="s">
        <v>11</v>
      </c>
      <c r="T194" t="s">
        <v>1082</v>
      </c>
      <c r="U194" t="s">
        <v>1104</v>
      </c>
      <c r="V194" s="3" t="s">
        <v>1047</v>
      </c>
      <c r="W194" t="s">
        <v>1145</v>
      </c>
      <c r="Z194" t="s">
        <v>1143</v>
      </c>
    </row>
    <row r="195" spans="1:26">
      <c r="A195">
        <v>194</v>
      </c>
      <c r="B195" t="s">
        <v>2</v>
      </c>
      <c r="C195" t="s">
        <v>290</v>
      </c>
      <c r="E195">
        <v>74625531</v>
      </c>
      <c r="F195">
        <v>991618006</v>
      </c>
      <c r="G195" t="s">
        <v>2</v>
      </c>
      <c r="H195" t="s">
        <v>1042</v>
      </c>
      <c r="J195" t="s">
        <v>291</v>
      </c>
      <c r="K195" t="s">
        <v>2</v>
      </c>
      <c r="L195" t="s">
        <v>37</v>
      </c>
      <c r="M195" s="1">
        <v>44782</v>
      </c>
      <c r="N195" t="s">
        <v>8</v>
      </c>
      <c r="O195">
        <v>195</v>
      </c>
      <c r="P195" t="s">
        <v>234</v>
      </c>
      <c r="Q195" t="s">
        <v>10</v>
      </c>
      <c r="R195" t="s">
        <v>11</v>
      </c>
      <c r="T195" t="s">
        <v>1082</v>
      </c>
      <c r="U195" t="s">
        <v>1099</v>
      </c>
      <c r="V195" s="3" t="s">
        <v>1044</v>
      </c>
      <c r="W195" t="s">
        <v>1146</v>
      </c>
      <c r="Z195" t="s">
        <v>1143</v>
      </c>
    </row>
    <row r="196" spans="1:26">
      <c r="A196">
        <v>195</v>
      </c>
      <c r="B196" t="s">
        <v>2</v>
      </c>
      <c r="C196" t="s">
        <v>290</v>
      </c>
      <c r="E196">
        <v>74625531</v>
      </c>
      <c r="F196">
        <v>991618006</v>
      </c>
      <c r="G196" t="s">
        <v>2</v>
      </c>
      <c r="H196" t="s">
        <v>1042</v>
      </c>
      <c r="J196" t="s">
        <v>291</v>
      </c>
      <c r="K196" t="s">
        <v>2</v>
      </c>
      <c r="L196" t="s">
        <v>37</v>
      </c>
      <c r="M196" s="1">
        <v>44782</v>
      </c>
      <c r="N196" t="s">
        <v>8</v>
      </c>
      <c r="O196" s="14">
        <v>30</v>
      </c>
      <c r="P196" t="s">
        <v>234</v>
      </c>
      <c r="Q196" t="s">
        <v>10</v>
      </c>
      <c r="R196" t="s">
        <v>11</v>
      </c>
      <c r="T196" t="s">
        <v>1133</v>
      </c>
      <c r="U196" t="s">
        <v>1116</v>
      </c>
      <c r="V196">
        <v>20</v>
      </c>
      <c r="W196" t="s">
        <v>1132</v>
      </c>
      <c r="Z196" t="s">
        <v>1131</v>
      </c>
    </row>
    <row r="197" spans="1:26">
      <c r="A197">
        <v>196</v>
      </c>
      <c r="B197" t="s">
        <v>2</v>
      </c>
      <c r="C197" t="s">
        <v>292</v>
      </c>
      <c r="E197" t="s">
        <v>2</v>
      </c>
      <c r="F197">
        <v>951216509</v>
      </c>
      <c r="G197" t="s">
        <v>2</v>
      </c>
      <c r="H197" t="s">
        <v>1043</v>
      </c>
      <c r="I197" t="s">
        <v>293</v>
      </c>
      <c r="J197" t="s">
        <v>294</v>
      </c>
      <c r="K197" t="s">
        <v>295</v>
      </c>
      <c r="L197" t="s">
        <v>37</v>
      </c>
      <c r="M197" s="1">
        <v>44782</v>
      </c>
      <c r="N197" t="s">
        <v>8</v>
      </c>
      <c r="O197">
        <v>260</v>
      </c>
      <c r="P197" t="s">
        <v>234</v>
      </c>
      <c r="Q197" t="s">
        <v>31</v>
      </c>
      <c r="R197" t="s">
        <v>11</v>
      </c>
      <c r="T197" t="s">
        <v>1092</v>
      </c>
      <c r="U197" t="s">
        <v>1100</v>
      </c>
      <c r="V197" s="3" t="s">
        <v>1044</v>
      </c>
      <c r="W197" t="s">
        <v>1146</v>
      </c>
      <c r="Z197" t="s">
        <v>1144</v>
      </c>
    </row>
    <row r="198" spans="1:26">
      <c r="A198">
        <v>197</v>
      </c>
      <c r="B198" t="s">
        <v>2</v>
      </c>
      <c r="C198" t="s">
        <v>292</v>
      </c>
      <c r="E198" t="s">
        <v>2</v>
      </c>
      <c r="F198">
        <v>951216509</v>
      </c>
      <c r="G198" t="s">
        <v>2</v>
      </c>
      <c r="H198" t="s">
        <v>1043</v>
      </c>
      <c r="I198" t="s">
        <v>293</v>
      </c>
      <c r="J198" t="s">
        <v>294</v>
      </c>
      <c r="K198" t="s">
        <v>295</v>
      </c>
      <c r="L198" t="s">
        <v>37</v>
      </c>
      <c r="M198" s="1">
        <v>44782</v>
      </c>
      <c r="N198" t="s">
        <v>8</v>
      </c>
      <c r="O198" s="14">
        <v>220</v>
      </c>
      <c r="P198" t="s">
        <v>234</v>
      </c>
      <c r="Q198" t="s">
        <v>31</v>
      </c>
      <c r="R198" t="s">
        <v>11</v>
      </c>
      <c r="T198" t="s">
        <v>1082</v>
      </c>
      <c r="U198" t="s">
        <v>1099</v>
      </c>
      <c r="V198" s="3" t="s">
        <v>1044</v>
      </c>
      <c r="W198" t="s">
        <v>1146</v>
      </c>
      <c r="Z198" t="s">
        <v>1143</v>
      </c>
    </row>
    <row r="199" spans="1:26">
      <c r="A199">
        <v>198</v>
      </c>
      <c r="B199" t="s">
        <v>12</v>
      </c>
      <c r="C199" t="s">
        <v>264</v>
      </c>
      <c r="E199" t="s">
        <v>2</v>
      </c>
      <c r="F199">
        <v>943073730</v>
      </c>
      <c r="G199" t="s">
        <v>296</v>
      </c>
      <c r="H199" t="s">
        <v>266</v>
      </c>
      <c r="J199" t="s">
        <v>267</v>
      </c>
      <c r="K199" t="s">
        <v>2</v>
      </c>
      <c r="L199" t="s">
        <v>37</v>
      </c>
      <c r="M199" s="1">
        <v>44782</v>
      </c>
      <c r="N199" t="s">
        <v>8</v>
      </c>
      <c r="O199" s="14">
        <v>220</v>
      </c>
      <c r="P199" t="s">
        <v>234</v>
      </c>
      <c r="Q199" t="s">
        <v>10</v>
      </c>
      <c r="R199" t="s">
        <v>22</v>
      </c>
      <c r="T199" t="s">
        <v>1151</v>
      </c>
      <c r="U199" t="s">
        <v>1127</v>
      </c>
      <c r="V199" s="3" t="s">
        <v>1049</v>
      </c>
      <c r="W199" t="s">
        <v>1135</v>
      </c>
      <c r="Z199" t="s">
        <v>1136</v>
      </c>
    </row>
    <row r="200" spans="1:26">
      <c r="A200">
        <v>199</v>
      </c>
      <c r="B200" t="s">
        <v>12</v>
      </c>
      <c r="C200" t="s">
        <v>264</v>
      </c>
      <c r="E200" t="s">
        <v>2</v>
      </c>
      <c r="F200">
        <v>943073730</v>
      </c>
      <c r="G200" t="s">
        <v>296</v>
      </c>
      <c r="H200" t="s">
        <v>266</v>
      </c>
      <c r="J200" t="s">
        <v>267</v>
      </c>
      <c r="K200" t="s">
        <v>2</v>
      </c>
      <c r="L200" t="s">
        <v>37</v>
      </c>
      <c r="M200" s="1">
        <v>44782</v>
      </c>
      <c r="N200" t="s">
        <v>8</v>
      </c>
      <c r="O200" s="14">
        <v>20</v>
      </c>
      <c r="P200" t="s">
        <v>234</v>
      </c>
      <c r="Q200" t="s">
        <v>10</v>
      </c>
      <c r="R200" t="s">
        <v>22</v>
      </c>
      <c r="T200" t="s">
        <v>1134</v>
      </c>
      <c r="U200" t="s">
        <v>1115</v>
      </c>
      <c r="V200">
        <v>10</v>
      </c>
      <c r="W200" t="s">
        <v>1137</v>
      </c>
      <c r="Z200" t="s">
        <v>1131</v>
      </c>
    </row>
    <row r="201" spans="1:26">
      <c r="A201">
        <v>200</v>
      </c>
      <c r="B201" t="s">
        <v>60</v>
      </c>
      <c r="C201" t="s">
        <v>297</v>
      </c>
      <c r="E201">
        <v>42007074</v>
      </c>
      <c r="F201">
        <v>988197479</v>
      </c>
      <c r="G201" t="s">
        <v>298</v>
      </c>
      <c r="H201" t="s">
        <v>4</v>
      </c>
      <c r="I201" t="s">
        <v>244</v>
      </c>
      <c r="J201" t="s">
        <v>2</v>
      </c>
      <c r="K201" t="s">
        <v>7</v>
      </c>
      <c r="L201" t="s">
        <v>7</v>
      </c>
      <c r="M201" s="1">
        <v>44782</v>
      </c>
      <c r="N201" t="s">
        <v>56</v>
      </c>
      <c r="O201" s="5">
        <v>330</v>
      </c>
      <c r="P201" t="s">
        <v>1076</v>
      </c>
      <c r="Q201" t="s">
        <v>10</v>
      </c>
      <c r="R201" t="s">
        <v>11</v>
      </c>
      <c r="T201" t="s">
        <v>1082</v>
      </c>
      <c r="U201" t="s">
        <v>1104</v>
      </c>
      <c r="V201" s="3" t="s">
        <v>1044</v>
      </c>
      <c r="W201" t="s">
        <v>1145</v>
      </c>
      <c r="Z201" t="s">
        <v>1143</v>
      </c>
    </row>
    <row r="202" spans="1:26">
      <c r="A202">
        <v>201</v>
      </c>
      <c r="B202" t="s">
        <v>60</v>
      </c>
      <c r="C202" t="s">
        <v>297</v>
      </c>
      <c r="E202">
        <v>42007074</v>
      </c>
      <c r="F202">
        <v>988197479</v>
      </c>
      <c r="G202" t="s">
        <v>298</v>
      </c>
      <c r="H202" t="s">
        <v>4</v>
      </c>
      <c r="I202" t="s">
        <v>244</v>
      </c>
      <c r="J202" t="s">
        <v>2</v>
      </c>
      <c r="K202" t="s">
        <v>7</v>
      </c>
      <c r="L202" t="s">
        <v>7</v>
      </c>
      <c r="M202" s="1">
        <v>44782</v>
      </c>
      <c r="N202" t="s">
        <v>56</v>
      </c>
      <c r="O202" s="17">
        <v>270</v>
      </c>
      <c r="P202" t="s">
        <v>1076</v>
      </c>
      <c r="Q202" t="s">
        <v>10</v>
      </c>
      <c r="R202" t="s">
        <v>11</v>
      </c>
      <c r="T202" t="s">
        <v>1107</v>
      </c>
      <c r="U202" t="s">
        <v>1107</v>
      </c>
      <c r="V202" s="3">
        <v>1</v>
      </c>
      <c r="W202" t="s">
        <v>1140</v>
      </c>
      <c r="Z202" t="s">
        <v>1138</v>
      </c>
    </row>
    <row r="203" spans="1:26">
      <c r="A203">
        <v>202</v>
      </c>
      <c r="B203" t="s">
        <v>60</v>
      </c>
      <c r="C203" t="s">
        <v>297</v>
      </c>
      <c r="E203">
        <v>42007074</v>
      </c>
      <c r="F203">
        <v>988197479</v>
      </c>
      <c r="G203" t="s">
        <v>298</v>
      </c>
      <c r="H203" t="s">
        <v>4</v>
      </c>
      <c r="I203" t="s">
        <v>244</v>
      </c>
      <c r="J203" t="s">
        <v>2</v>
      </c>
      <c r="K203" t="s">
        <v>7</v>
      </c>
      <c r="L203" t="s">
        <v>7</v>
      </c>
      <c r="M203" s="1">
        <v>44782</v>
      </c>
      <c r="N203" t="s">
        <v>56</v>
      </c>
      <c r="O203" s="5">
        <v>100</v>
      </c>
      <c r="P203" t="s">
        <v>1076</v>
      </c>
      <c r="Q203" t="s">
        <v>10</v>
      </c>
      <c r="R203" t="s">
        <v>11</v>
      </c>
      <c r="T203" t="s">
        <v>1151</v>
      </c>
      <c r="U203" t="s">
        <v>1120</v>
      </c>
      <c r="V203" s="3">
        <v>5</v>
      </c>
      <c r="W203" t="s">
        <v>1135</v>
      </c>
      <c r="Z203" t="s">
        <v>1136</v>
      </c>
    </row>
    <row r="204" spans="1:26">
      <c r="A204">
        <v>203</v>
      </c>
      <c r="B204" t="s">
        <v>2</v>
      </c>
      <c r="C204" t="s">
        <v>299</v>
      </c>
      <c r="E204">
        <v>73995823</v>
      </c>
      <c r="F204">
        <v>970766507</v>
      </c>
      <c r="G204" t="s">
        <v>2</v>
      </c>
      <c r="H204" t="s">
        <v>846</v>
      </c>
      <c r="I204" t="s">
        <v>300</v>
      </c>
      <c r="J204" t="s">
        <v>29</v>
      </c>
      <c r="K204" t="s">
        <v>2</v>
      </c>
      <c r="L204" t="s">
        <v>37</v>
      </c>
      <c r="M204" s="1">
        <v>44782</v>
      </c>
      <c r="N204" t="s">
        <v>8</v>
      </c>
      <c r="O204">
        <v>200</v>
      </c>
      <c r="P204" t="s">
        <v>234</v>
      </c>
      <c r="Q204" t="s">
        <v>10</v>
      </c>
      <c r="R204" t="s">
        <v>22</v>
      </c>
      <c r="T204" t="s">
        <v>1082</v>
      </c>
      <c r="U204" t="s">
        <v>1099</v>
      </c>
      <c r="V204" s="3" t="s">
        <v>1044</v>
      </c>
      <c r="W204" t="s">
        <v>1146</v>
      </c>
      <c r="Z204" t="s">
        <v>1143</v>
      </c>
    </row>
    <row r="205" spans="1:26">
      <c r="A205">
        <v>204</v>
      </c>
      <c r="B205" t="s">
        <v>2</v>
      </c>
      <c r="C205" t="s">
        <v>301</v>
      </c>
      <c r="E205" t="s">
        <v>2</v>
      </c>
      <c r="F205">
        <v>922058897</v>
      </c>
      <c r="G205" t="s">
        <v>2</v>
      </c>
      <c r="H205" t="s">
        <v>4</v>
      </c>
      <c r="J205" t="s">
        <v>2</v>
      </c>
      <c r="K205" t="s">
        <v>302</v>
      </c>
      <c r="L205" t="s">
        <v>37</v>
      </c>
      <c r="M205" s="1">
        <v>44783</v>
      </c>
      <c r="N205" t="s">
        <v>8</v>
      </c>
      <c r="O205">
        <v>185</v>
      </c>
      <c r="P205" t="s">
        <v>303</v>
      </c>
      <c r="Q205" t="s">
        <v>10</v>
      </c>
      <c r="R205" t="s">
        <v>11</v>
      </c>
      <c r="T205" t="s">
        <v>1082</v>
      </c>
      <c r="U205" t="s">
        <v>1099</v>
      </c>
      <c r="V205" s="3" t="s">
        <v>1044</v>
      </c>
      <c r="W205" t="s">
        <v>1146</v>
      </c>
      <c r="Z205" t="s">
        <v>1143</v>
      </c>
    </row>
    <row r="206" spans="1:26">
      <c r="A206">
        <v>205</v>
      </c>
      <c r="B206" t="s">
        <v>2</v>
      </c>
      <c r="C206" t="s">
        <v>304</v>
      </c>
      <c r="E206">
        <v>44418212</v>
      </c>
      <c r="F206">
        <v>992721810</v>
      </c>
      <c r="G206" t="s">
        <v>2</v>
      </c>
      <c r="H206" t="s">
        <v>229</v>
      </c>
      <c r="J206" t="s">
        <v>140</v>
      </c>
      <c r="K206" t="s">
        <v>2</v>
      </c>
      <c r="L206" t="s">
        <v>7</v>
      </c>
      <c r="M206" s="1">
        <v>44783</v>
      </c>
      <c r="N206" t="s">
        <v>56</v>
      </c>
      <c r="O206">
        <f>208.5-O207</f>
        <v>193.5</v>
      </c>
      <c r="P206" t="s">
        <v>234</v>
      </c>
      <c r="Q206" t="s">
        <v>10</v>
      </c>
      <c r="R206" t="s">
        <v>11</v>
      </c>
      <c r="S206" t="s">
        <v>305</v>
      </c>
      <c r="T206" t="s">
        <v>1092</v>
      </c>
      <c r="U206" t="s">
        <v>1100</v>
      </c>
      <c r="V206" s="3" t="s">
        <v>1044</v>
      </c>
      <c r="W206" t="s">
        <v>1146</v>
      </c>
      <c r="Z206" t="s">
        <v>1144</v>
      </c>
    </row>
    <row r="207" spans="1:26">
      <c r="A207">
        <v>206</v>
      </c>
      <c r="B207" t="s">
        <v>2</v>
      </c>
      <c r="C207" t="s">
        <v>304</v>
      </c>
      <c r="E207">
        <v>44418212</v>
      </c>
      <c r="F207">
        <v>992721810</v>
      </c>
      <c r="G207" t="s">
        <v>2</v>
      </c>
      <c r="H207" t="s">
        <v>229</v>
      </c>
      <c r="J207" t="s">
        <v>140</v>
      </c>
      <c r="K207" t="s">
        <v>2</v>
      </c>
      <c r="L207" t="s">
        <v>7</v>
      </c>
      <c r="M207" s="1">
        <v>44783</v>
      </c>
      <c r="N207" t="s">
        <v>56</v>
      </c>
      <c r="O207" s="14">
        <v>15</v>
      </c>
      <c r="P207" t="s">
        <v>234</v>
      </c>
      <c r="Q207" t="s">
        <v>10</v>
      </c>
      <c r="R207" t="s">
        <v>11</v>
      </c>
      <c r="T207" t="s">
        <v>1133</v>
      </c>
      <c r="U207" t="s">
        <v>1116</v>
      </c>
      <c r="V207">
        <v>5</v>
      </c>
      <c r="W207" t="s">
        <v>1132</v>
      </c>
      <c r="Z207" t="s">
        <v>1131</v>
      </c>
    </row>
    <row r="208" spans="1:26">
      <c r="A208">
        <v>207</v>
      </c>
      <c r="B208" t="s">
        <v>60</v>
      </c>
      <c r="C208" t="s">
        <v>227</v>
      </c>
      <c r="E208">
        <v>3707056</v>
      </c>
      <c r="F208">
        <v>928998527</v>
      </c>
      <c r="G208" t="s">
        <v>2</v>
      </c>
      <c r="H208" t="s">
        <v>229</v>
      </c>
      <c r="J208" t="s">
        <v>29</v>
      </c>
      <c r="K208" t="s">
        <v>2</v>
      </c>
      <c r="L208" t="s">
        <v>268</v>
      </c>
      <c r="M208" s="1">
        <v>44783</v>
      </c>
      <c r="N208" t="s">
        <v>8</v>
      </c>
      <c r="O208" s="2">
        <v>1000</v>
      </c>
      <c r="P208" t="s">
        <v>1076</v>
      </c>
      <c r="Q208" t="s">
        <v>31</v>
      </c>
      <c r="R208" t="s">
        <v>22</v>
      </c>
      <c r="T208" t="s">
        <v>1082</v>
      </c>
      <c r="U208" t="s">
        <v>1099</v>
      </c>
      <c r="V208" s="3" t="s">
        <v>1050</v>
      </c>
      <c r="W208" t="s">
        <v>1146</v>
      </c>
      <c r="Z208" t="s">
        <v>1143</v>
      </c>
    </row>
    <row r="209" spans="1:26">
      <c r="A209">
        <v>208</v>
      </c>
      <c r="B209" t="s">
        <v>60</v>
      </c>
      <c r="C209" t="s">
        <v>227</v>
      </c>
      <c r="E209">
        <v>3707056</v>
      </c>
      <c r="F209">
        <v>928998527</v>
      </c>
      <c r="G209" t="s">
        <v>2</v>
      </c>
      <c r="H209" t="s">
        <v>229</v>
      </c>
      <c r="J209" t="s">
        <v>29</v>
      </c>
      <c r="K209" t="s">
        <v>2</v>
      </c>
      <c r="L209" t="s">
        <v>268</v>
      </c>
      <c r="M209" s="1">
        <v>44783</v>
      </c>
      <c r="N209" t="s">
        <v>8</v>
      </c>
      <c r="O209" s="16">
        <v>80</v>
      </c>
      <c r="P209" t="s">
        <v>1076</v>
      </c>
      <c r="Q209" t="s">
        <v>31</v>
      </c>
      <c r="R209" t="s">
        <v>22</v>
      </c>
      <c r="T209" t="s">
        <v>1134</v>
      </c>
      <c r="U209" t="s">
        <v>1116</v>
      </c>
      <c r="V209">
        <v>60</v>
      </c>
      <c r="W209" t="s">
        <v>1137</v>
      </c>
      <c r="Z209" t="s">
        <v>1131</v>
      </c>
    </row>
    <row r="210" spans="1:26">
      <c r="A210">
        <v>209</v>
      </c>
      <c r="B210" t="s">
        <v>23</v>
      </c>
      <c r="C210" t="s">
        <v>306</v>
      </c>
      <c r="E210" t="s">
        <v>2</v>
      </c>
      <c r="F210">
        <v>992380047</v>
      </c>
      <c r="G210" t="s">
        <v>2</v>
      </c>
      <c r="H210" t="s">
        <v>4</v>
      </c>
      <c r="I210" t="s">
        <v>90</v>
      </c>
      <c r="J210" t="s">
        <v>2</v>
      </c>
      <c r="K210" t="s">
        <v>90</v>
      </c>
      <c r="L210" t="s">
        <v>37</v>
      </c>
      <c r="M210" s="1">
        <v>44784</v>
      </c>
      <c r="N210" t="s">
        <v>21</v>
      </c>
      <c r="O210">
        <v>350</v>
      </c>
      <c r="P210" t="s">
        <v>234</v>
      </c>
      <c r="Q210" t="s">
        <v>10</v>
      </c>
      <c r="R210" t="s">
        <v>11</v>
      </c>
      <c r="T210" t="s">
        <v>1092</v>
      </c>
      <c r="U210" t="s">
        <v>1101</v>
      </c>
      <c r="V210" s="3" t="s">
        <v>1044</v>
      </c>
      <c r="W210" t="s">
        <v>1146</v>
      </c>
      <c r="Z210" t="s">
        <v>1143</v>
      </c>
    </row>
    <row r="211" spans="1:26">
      <c r="A211">
        <v>210</v>
      </c>
      <c r="B211" t="s">
        <v>12</v>
      </c>
      <c r="C211" t="s">
        <v>307</v>
      </c>
      <c r="E211">
        <v>10453958782</v>
      </c>
      <c r="F211">
        <v>976221676</v>
      </c>
      <c r="G211" t="s">
        <v>308</v>
      </c>
      <c r="H211" t="s">
        <v>4</v>
      </c>
      <c r="I211" t="s">
        <v>244</v>
      </c>
      <c r="J211" t="s">
        <v>2</v>
      </c>
      <c r="K211" t="s">
        <v>309</v>
      </c>
      <c r="L211" t="s">
        <v>7</v>
      </c>
      <c r="M211" s="1">
        <v>44785</v>
      </c>
      <c r="N211" t="s">
        <v>8</v>
      </c>
      <c r="O211">
        <v>190</v>
      </c>
      <c r="P211" t="s">
        <v>310</v>
      </c>
      <c r="Q211" t="s">
        <v>10</v>
      </c>
      <c r="R211" t="s">
        <v>11</v>
      </c>
      <c r="T211" t="s">
        <v>1082</v>
      </c>
      <c r="U211" t="s">
        <v>1099</v>
      </c>
      <c r="V211" s="3" t="s">
        <v>1044</v>
      </c>
      <c r="W211" t="s">
        <v>1146</v>
      </c>
      <c r="Z211" t="s">
        <v>1143</v>
      </c>
    </row>
    <row r="212" spans="1:26">
      <c r="A212">
        <v>211</v>
      </c>
      <c r="B212" t="s">
        <v>12</v>
      </c>
      <c r="C212" t="s">
        <v>307</v>
      </c>
      <c r="E212">
        <v>10453958782</v>
      </c>
      <c r="F212">
        <v>976221676</v>
      </c>
      <c r="G212" t="s">
        <v>308</v>
      </c>
      <c r="H212" t="s">
        <v>4</v>
      </c>
      <c r="I212" t="s">
        <v>244</v>
      </c>
      <c r="J212" t="s">
        <v>2</v>
      </c>
      <c r="K212" t="s">
        <v>309</v>
      </c>
      <c r="L212" t="s">
        <v>7</v>
      </c>
      <c r="M212" s="1">
        <v>44785</v>
      </c>
      <c r="N212" t="s">
        <v>8</v>
      </c>
      <c r="O212" s="14">
        <v>15</v>
      </c>
      <c r="P212" t="s">
        <v>310</v>
      </c>
      <c r="Q212" t="s">
        <v>10</v>
      </c>
      <c r="R212" t="s">
        <v>11</v>
      </c>
      <c r="T212" t="s">
        <v>1134</v>
      </c>
      <c r="U212" t="s">
        <v>1116</v>
      </c>
      <c r="V212">
        <v>10</v>
      </c>
      <c r="W212" t="s">
        <v>1137</v>
      </c>
      <c r="Z212" t="s">
        <v>1131</v>
      </c>
    </row>
    <row r="213" spans="1:26">
      <c r="A213">
        <v>212</v>
      </c>
      <c r="B213" t="s">
        <v>2</v>
      </c>
      <c r="C213" t="s">
        <v>311</v>
      </c>
      <c r="E213" t="s">
        <v>2</v>
      </c>
      <c r="F213">
        <v>944133378</v>
      </c>
      <c r="G213" t="s">
        <v>2</v>
      </c>
      <c r="H213" t="s">
        <v>4</v>
      </c>
      <c r="I213" t="s">
        <v>15</v>
      </c>
      <c r="J213" t="s">
        <v>2</v>
      </c>
      <c r="K213" t="s">
        <v>312</v>
      </c>
      <c r="L213" t="s">
        <v>7</v>
      </c>
      <c r="M213" s="1">
        <v>44786</v>
      </c>
      <c r="N213" t="s">
        <v>8</v>
      </c>
      <c r="O213">
        <v>180</v>
      </c>
      <c r="P213" t="s">
        <v>313</v>
      </c>
      <c r="Q213" t="s">
        <v>10</v>
      </c>
      <c r="R213" t="s">
        <v>22</v>
      </c>
      <c r="T213" t="s">
        <v>1092</v>
      </c>
      <c r="U213" t="s">
        <v>1100</v>
      </c>
      <c r="V213" s="3" t="s">
        <v>1044</v>
      </c>
      <c r="W213" t="s">
        <v>1146</v>
      </c>
      <c r="Z213" t="s">
        <v>1144</v>
      </c>
    </row>
    <row r="214" spans="1:26">
      <c r="A214">
        <v>213</v>
      </c>
      <c r="B214" t="s">
        <v>23</v>
      </c>
      <c r="C214" t="s">
        <v>283</v>
      </c>
      <c r="E214" t="s">
        <v>2</v>
      </c>
      <c r="F214">
        <v>993409484</v>
      </c>
      <c r="G214" t="s">
        <v>2</v>
      </c>
      <c r="H214" t="s">
        <v>4</v>
      </c>
      <c r="I214" t="s">
        <v>90</v>
      </c>
      <c r="J214" t="s">
        <v>2</v>
      </c>
      <c r="K214" t="s">
        <v>289</v>
      </c>
      <c r="L214" t="s">
        <v>37</v>
      </c>
      <c r="M214" s="1">
        <v>44786</v>
      </c>
      <c r="N214" t="s">
        <v>21</v>
      </c>
      <c r="O214">
        <v>850</v>
      </c>
      <c r="P214" t="s">
        <v>1076</v>
      </c>
      <c r="Q214" t="s">
        <v>31</v>
      </c>
      <c r="R214" t="s">
        <v>11</v>
      </c>
      <c r="T214" t="s">
        <v>1082</v>
      </c>
      <c r="U214" t="s">
        <v>1104</v>
      </c>
      <c r="V214" s="3" t="s">
        <v>1045</v>
      </c>
      <c r="W214" t="s">
        <v>1145</v>
      </c>
      <c r="Z214" t="s">
        <v>1143</v>
      </c>
    </row>
    <row r="215" spans="1:26">
      <c r="A215">
        <v>214</v>
      </c>
      <c r="B215" t="s">
        <v>2</v>
      </c>
      <c r="C215" t="s">
        <v>314</v>
      </c>
      <c r="E215">
        <v>70342264</v>
      </c>
      <c r="F215">
        <v>918042011</v>
      </c>
      <c r="G215" t="s">
        <v>2</v>
      </c>
      <c r="H215" t="s">
        <v>55</v>
      </c>
      <c r="J215" t="s">
        <v>147</v>
      </c>
      <c r="K215" t="s">
        <v>2</v>
      </c>
      <c r="L215" t="s">
        <v>37</v>
      </c>
      <c r="M215" s="1">
        <v>44788</v>
      </c>
      <c r="N215" t="s">
        <v>8</v>
      </c>
      <c r="O215">
        <v>200</v>
      </c>
      <c r="P215" t="s">
        <v>234</v>
      </c>
      <c r="Q215" t="s">
        <v>10</v>
      </c>
      <c r="R215" t="s">
        <v>315</v>
      </c>
      <c r="T215" t="s">
        <v>1092</v>
      </c>
      <c r="U215" t="s">
        <v>1100</v>
      </c>
      <c r="V215" s="3" t="s">
        <v>1044</v>
      </c>
      <c r="W215" t="s">
        <v>1146</v>
      </c>
      <c r="Z215" t="s">
        <v>1144</v>
      </c>
    </row>
    <row r="216" spans="1:26">
      <c r="A216">
        <v>215</v>
      </c>
      <c r="B216" t="s">
        <v>0</v>
      </c>
      <c r="C216" t="s">
        <v>316</v>
      </c>
      <c r="E216">
        <v>45686666</v>
      </c>
      <c r="F216">
        <v>954478525</v>
      </c>
      <c r="G216" t="s">
        <v>317</v>
      </c>
      <c r="H216" t="s">
        <v>1042</v>
      </c>
      <c r="J216" t="s">
        <v>29</v>
      </c>
      <c r="K216" t="s">
        <v>2</v>
      </c>
      <c r="L216" t="s">
        <v>37</v>
      </c>
      <c r="M216" s="1">
        <v>44788</v>
      </c>
      <c r="N216" t="s">
        <v>8</v>
      </c>
      <c r="O216">
        <v>180</v>
      </c>
      <c r="P216" t="s">
        <v>52</v>
      </c>
      <c r="Q216" t="s">
        <v>10</v>
      </c>
      <c r="R216" t="s">
        <v>315</v>
      </c>
      <c r="T216" t="s">
        <v>1082</v>
      </c>
      <c r="U216" t="s">
        <v>1099</v>
      </c>
      <c r="V216" s="3" t="s">
        <v>1044</v>
      </c>
      <c r="W216" t="s">
        <v>1146</v>
      </c>
      <c r="Z216" t="s">
        <v>1143</v>
      </c>
    </row>
    <row r="217" spans="1:26">
      <c r="A217">
        <v>216</v>
      </c>
      <c r="B217" t="s">
        <v>23</v>
      </c>
      <c r="C217" t="s">
        <v>318</v>
      </c>
      <c r="E217" t="s">
        <v>2</v>
      </c>
      <c r="F217">
        <v>931448667</v>
      </c>
      <c r="G217" t="s">
        <v>2</v>
      </c>
      <c r="H217" t="s">
        <v>4</v>
      </c>
      <c r="I217" t="s">
        <v>319</v>
      </c>
      <c r="J217" t="s">
        <v>2</v>
      </c>
      <c r="K217" t="s">
        <v>319</v>
      </c>
      <c r="L217" t="s">
        <v>7</v>
      </c>
      <c r="M217" s="1">
        <v>44789</v>
      </c>
      <c r="N217" t="s">
        <v>21</v>
      </c>
      <c r="O217">
        <v>195</v>
      </c>
      <c r="P217" t="s">
        <v>134</v>
      </c>
      <c r="Q217" t="s">
        <v>10</v>
      </c>
      <c r="R217" t="s">
        <v>315</v>
      </c>
      <c r="T217" t="s">
        <v>1082</v>
      </c>
      <c r="U217" t="s">
        <v>1099</v>
      </c>
      <c r="V217" s="3" t="s">
        <v>1044</v>
      </c>
      <c r="W217" t="s">
        <v>1146</v>
      </c>
      <c r="X217" s="9">
        <v>10</v>
      </c>
      <c r="Y217" s="9" t="s">
        <v>1068</v>
      </c>
      <c r="Z217" t="s">
        <v>1143</v>
      </c>
    </row>
    <row r="218" spans="1:26">
      <c r="A218">
        <v>217</v>
      </c>
      <c r="B218" t="str">
        <f t="shared" ref="B218:N218" si="0">B217</f>
        <v>No va</v>
      </c>
      <c r="C218" t="str">
        <f t="shared" si="0"/>
        <v>Mily Tf</v>
      </c>
      <c r="E218" t="str">
        <f t="shared" si="0"/>
        <v>-</v>
      </c>
      <c r="F218">
        <f t="shared" si="0"/>
        <v>931448667</v>
      </c>
      <c r="G218" t="str">
        <f t="shared" si="0"/>
        <v>-</v>
      </c>
      <c r="H218" t="str">
        <f t="shared" si="0"/>
        <v>Lima</v>
      </c>
      <c r="I218" t="str">
        <f t="shared" si="0"/>
        <v>Ancon</v>
      </c>
      <c r="J218" t="str">
        <f t="shared" si="0"/>
        <v>-</v>
      </c>
      <c r="K218" t="str">
        <f t="shared" si="0"/>
        <v>Ancon</v>
      </c>
      <c r="L218" t="str">
        <f t="shared" si="0"/>
        <v>Oficina</v>
      </c>
      <c r="M218" s="1">
        <f t="shared" si="0"/>
        <v>44789</v>
      </c>
      <c r="N218" t="str">
        <f t="shared" si="0"/>
        <v>Efectivo</v>
      </c>
      <c r="O218" s="14">
        <v>15</v>
      </c>
      <c r="P218" t="str">
        <f t="shared" ref="P218:S218" si="1">P217</f>
        <v>Bodega</v>
      </c>
      <c r="Q218" t="str">
        <f t="shared" si="1"/>
        <v>U</v>
      </c>
      <c r="R218" t="str">
        <f t="shared" si="1"/>
        <v>sergio</v>
      </c>
      <c r="S218">
        <f t="shared" si="1"/>
        <v>0</v>
      </c>
      <c r="T218" t="s">
        <v>1134</v>
      </c>
      <c r="U218" t="s">
        <v>1116</v>
      </c>
      <c r="V218" s="3">
        <f>X217</f>
        <v>10</v>
      </c>
      <c r="W218" t="s">
        <v>1137</v>
      </c>
      <c r="X218" s="9"/>
      <c r="Y218" s="9"/>
      <c r="Z218" t="s">
        <v>1131</v>
      </c>
    </row>
    <row r="219" spans="1:26">
      <c r="A219">
        <v>218</v>
      </c>
      <c r="B219" t="s">
        <v>12</v>
      </c>
      <c r="C219" t="s">
        <v>320</v>
      </c>
      <c r="E219">
        <v>20601089221</v>
      </c>
      <c r="F219">
        <v>992658814</v>
      </c>
      <c r="G219" t="s">
        <v>321</v>
      </c>
      <c r="H219" t="s">
        <v>4</v>
      </c>
      <c r="I219" t="s">
        <v>90</v>
      </c>
      <c r="J219" t="s">
        <v>2</v>
      </c>
      <c r="K219" t="s">
        <v>322</v>
      </c>
      <c r="L219" t="s">
        <v>37</v>
      </c>
      <c r="M219" s="1">
        <v>44790</v>
      </c>
      <c r="N219" t="s">
        <v>21</v>
      </c>
      <c r="O219">
        <v>335</v>
      </c>
      <c r="P219" t="s">
        <v>1076</v>
      </c>
      <c r="Q219" t="s">
        <v>10</v>
      </c>
      <c r="R219" t="s">
        <v>11</v>
      </c>
      <c r="T219" t="s">
        <v>1082</v>
      </c>
      <c r="U219" t="s">
        <v>1104</v>
      </c>
      <c r="V219" s="3" t="s">
        <v>1044</v>
      </c>
      <c r="W219" t="s">
        <v>1145</v>
      </c>
      <c r="X219" s="9">
        <v>10</v>
      </c>
      <c r="Y219" s="9" t="s">
        <v>1056</v>
      </c>
      <c r="Z219" t="s">
        <v>1143</v>
      </c>
    </row>
    <row r="220" spans="1:26">
      <c r="A220">
        <v>219</v>
      </c>
      <c r="B220" t="s">
        <v>0</v>
      </c>
      <c r="C220" t="s">
        <v>323</v>
      </c>
      <c r="E220" t="s">
        <v>2</v>
      </c>
      <c r="F220">
        <v>991760631</v>
      </c>
      <c r="G220" t="s">
        <v>324</v>
      </c>
      <c r="H220" t="s">
        <v>4</v>
      </c>
      <c r="I220" t="s">
        <v>98</v>
      </c>
      <c r="J220" t="s">
        <v>2</v>
      </c>
      <c r="K220" t="s">
        <v>98</v>
      </c>
      <c r="L220" t="s">
        <v>37</v>
      </c>
      <c r="M220" s="1">
        <v>44790</v>
      </c>
      <c r="N220" t="s">
        <v>8</v>
      </c>
      <c r="O220" s="2">
        <v>3100</v>
      </c>
      <c r="P220" t="s">
        <v>1076</v>
      </c>
      <c r="Q220" t="s">
        <v>31</v>
      </c>
      <c r="R220" t="s">
        <v>315</v>
      </c>
      <c r="S220" t="s">
        <v>2</v>
      </c>
      <c r="T220" t="s">
        <v>1092</v>
      </c>
      <c r="U220" t="s">
        <v>1100</v>
      </c>
      <c r="V220" s="3" t="s">
        <v>1051</v>
      </c>
      <c r="W220" t="s">
        <v>1146</v>
      </c>
      <c r="X220" s="9" t="s">
        <v>2</v>
      </c>
      <c r="Y220" s="9" t="s">
        <v>2</v>
      </c>
      <c r="Z220" t="s">
        <v>1144</v>
      </c>
    </row>
    <row r="221" spans="1:26">
      <c r="A221">
        <v>220</v>
      </c>
      <c r="B221" t="s">
        <v>12</v>
      </c>
      <c r="C221" t="s">
        <v>136</v>
      </c>
      <c r="E221">
        <v>20393955415</v>
      </c>
      <c r="F221">
        <v>939361591</v>
      </c>
      <c r="G221" t="s">
        <v>325</v>
      </c>
      <c r="H221" s="7" t="s">
        <v>256</v>
      </c>
      <c r="I221" t="s">
        <v>79</v>
      </c>
      <c r="J221" t="s">
        <v>29</v>
      </c>
      <c r="K221" t="s">
        <v>2</v>
      </c>
      <c r="L221" t="s">
        <v>37</v>
      </c>
      <c r="M221" s="1">
        <v>44790</v>
      </c>
      <c r="N221" t="s">
        <v>38</v>
      </c>
      <c r="O221">
        <v>610</v>
      </c>
      <c r="P221" t="s">
        <v>138</v>
      </c>
      <c r="Q221" t="s">
        <v>31</v>
      </c>
      <c r="R221" t="s">
        <v>11</v>
      </c>
      <c r="T221" t="s">
        <v>1092</v>
      </c>
      <c r="U221" t="s">
        <v>1101</v>
      </c>
      <c r="V221" s="3" t="s">
        <v>1047</v>
      </c>
      <c r="W221" t="s">
        <v>1146</v>
      </c>
      <c r="X221" s="9">
        <v>20</v>
      </c>
      <c r="Y221" s="9" t="s">
        <v>1056</v>
      </c>
      <c r="Z221" t="s">
        <v>1143</v>
      </c>
    </row>
    <row r="222" spans="1:26" ht="15" customHeight="1">
      <c r="A222">
        <v>221</v>
      </c>
      <c r="B222" t="str">
        <f t="shared" ref="B222:N222" si="2">B221</f>
        <v>FT</v>
      </c>
      <c r="C222" t="str">
        <f t="shared" si="2"/>
        <v>Reategui Vargas Alexis</v>
      </c>
      <c r="E222">
        <f t="shared" si="2"/>
        <v>20393955415</v>
      </c>
      <c r="F222">
        <f t="shared" si="2"/>
        <v>939361591</v>
      </c>
      <c r="G222" t="str">
        <f t="shared" si="2"/>
        <v>FT E001-55</v>
      </c>
      <c r="H222" s="7" t="str">
        <f t="shared" si="2"/>
        <v>Ucayali</v>
      </c>
      <c r="I222" t="str">
        <f t="shared" si="2"/>
        <v>Pucallpa</v>
      </c>
      <c r="J222" t="str">
        <f t="shared" si="2"/>
        <v>Shalom</v>
      </c>
      <c r="K222" t="str">
        <f t="shared" si="2"/>
        <v>-</v>
      </c>
      <c r="L222" t="str">
        <f t="shared" si="2"/>
        <v>Redes sociales</v>
      </c>
      <c r="M222" s="1">
        <f t="shared" si="2"/>
        <v>44790</v>
      </c>
      <c r="N222" t="str">
        <f t="shared" si="2"/>
        <v>BBVA</v>
      </c>
      <c r="O222" s="14">
        <v>50</v>
      </c>
      <c r="P222" t="str">
        <f t="shared" ref="P222:S222" si="3">P221</f>
        <v>Contador</v>
      </c>
      <c r="Q222" t="str">
        <f t="shared" si="3"/>
        <v>M</v>
      </c>
      <c r="R222" t="str">
        <f t="shared" si="3"/>
        <v>Rodrigo</v>
      </c>
      <c r="S222">
        <f t="shared" si="3"/>
        <v>0</v>
      </c>
      <c r="T222" t="s">
        <v>1134</v>
      </c>
      <c r="U222" t="s">
        <v>1115</v>
      </c>
      <c r="V222" s="3">
        <f t="shared" ref="V222" si="4">X221</f>
        <v>20</v>
      </c>
      <c r="W222" t="s">
        <v>1137</v>
      </c>
      <c r="X222" s="9"/>
      <c r="Y222" s="9"/>
      <c r="Z222" t="s">
        <v>1131</v>
      </c>
    </row>
    <row r="223" spans="1:26">
      <c r="A223">
        <v>222</v>
      </c>
      <c r="B223" t="s">
        <v>23</v>
      </c>
      <c r="C223" t="s">
        <v>326</v>
      </c>
      <c r="E223" t="s">
        <v>2</v>
      </c>
      <c r="F223">
        <v>987150308</v>
      </c>
      <c r="G223" t="s">
        <v>2</v>
      </c>
      <c r="H223" t="s">
        <v>4</v>
      </c>
      <c r="I223" t="s">
        <v>183</v>
      </c>
      <c r="J223" t="s">
        <v>2</v>
      </c>
      <c r="K223" t="s">
        <v>183</v>
      </c>
      <c r="L223" t="s">
        <v>7</v>
      </c>
      <c r="M223" s="1">
        <v>44792</v>
      </c>
      <c r="N223" t="s">
        <v>21</v>
      </c>
      <c r="O223" s="6">
        <v>400</v>
      </c>
      <c r="P223" t="s">
        <v>1076</v>
      </c>
      <c r="Q223" t="s">
        <v>10</v>
      </c>
      <c r="R223" t="s">
        <v>315</v>
      </c>
      <c r="T223" t="s">
        <v>1097</v>
      </c>
      <c r="U223" t="s">
        <v>1103</v>
      </c>
      <c r="V223" s="3" t="s">
        <v>1047</v>
      </c>
      <c r="W223" t="s">
        <v>1145</v>
      </c>
      <c r="X223" s="9">
        <v>20</v>
      </c>
      <c r="Y223" s="9" t="s">
        <v>1068</v>
      </c>
      <c r="Z223" t="s">
        <v>1143</v>
      </c>
    </row>
    <row r="224" spans="1:26">
      <c r="A224">
        <v>223</v>
      </c>
      <c r="B224" t="s">
        <v>12</v>
      </c>
      <c r="C224" t="s">
        <v>327</v>
      </c>
      <c r="E224">
        <v>20603713738</v>
      </c>
      <c r="F224" t="s">
        <v>2</v>
      </c>
      <c r="G224" t="s">
        <v>328</v>
      </c>
      <c r="H224" t="s">
        <v>4</v>
      </c>
      <c r="I224" t="s">
        <v>329</v>
      </c>
      <c r="J224" t="s">
        <v>2</v>
      </c>
      <c r="K224" t="s">
        <v>329</v>
      </c>
      <c r="L224" t="s">
        <v>37</v>
      </c>
      <c r="M224" s="1">
        <v>44792</v>
      </c>
      <c r="N224" t="s">
        <v>8</v>
      </c>
      <c r="O224" s="2">
        <v>1225</v>
      </c>
      <c r="P224" t="s">
        <v>101</v>
      </c>
      <c r="Q224" t="s">
        <v>31</v>
      </c>
      <c r="R224" t="s">
        <v>315</v>
      </c>
      <c r="S224" t="s">
        <v>2</v>
      </c>
      <c r="T224" t="s">
        <v>1092</v>
      </c>
      <c r="U224" t="s">
        <v>1100</v>
      </c>
      <c r="V224" s="3" t="s">
        <v>1052</v>
      </c>
      <c r="W224" t="s">
        <v>1146</v>
      </c>
      <c r="X224" s="9" t="s">
        <v>2</v>
      </c>
      <c r="Y224" s="9" t="s">
        <v>2</v>
      </c>
      <c r="Z224" t="s">
        <v>1144</v>
      </c>
    </row>
    <row r="225" spans="1:26">
      <c r="A225">
        <v>224</v>
      </c>
      <c r="B225" t="s">
        <v>12</v>
      </c>
      <c r="C225" t="s">
        <v>330</v>
      </c>
      <c r="E225">
        <v>20161566552</v>
      </c>
      <c r="F225">
        <v>954899659</v>
      </c>
      <c r="G225" t="s">
        <v>331</v>
      </c>
      <c r="H225" t="s">
        <v>1042</v>
      </c>
      <c r="J225" t="s">
        <v>29</v>
      </c>
      <c r="K225" t="s">
        <v>2</v>
      </c>
      <c r="L225" t="s">
        <v>37</v>
      </c>
      <c r="M225" s="1">
        <v>44793</v>
      </c>
      <c r="N225" t="s">
        <v>8</v>
      </c>
      <c r="O225">
        <v>300</v>
      </c>
      <c r="P225" t="s">
        <v>332</v>
      </c>
      <c r="Q225" t="s">
        <v>10</v>
      </c>
      <c r="R225" t="s">
        <v>11</v>
      </c>
      <c r="S225" t="s">
        <v>2</v>
      </c>
      <c r="T225" t="s">
        <v>1133</v>
      </c>
      <c r="U225" t="s">
        <v>1116</v>
      </c>
      <c r="V225" s="3">
        <v>20</v>
      </c>
      <c r="W225" t="s">
        <v>1132</v>
      </c>
      <c r="X225" s="9" t="s">
        <v>2</v>
      </c>
      <c r="Y225" s="9" t="s">
        <v>2</v>
      </c>
      <c r="Z225" t="s">
        <v>1131</v>
      </c>
    </row>
    <row r="226" spans="1:26">
      <c r="A226">
        <v>225</v>
      </c>
      <c r="B226" t="s">
        <v>60</v>
      </c>
      <c r="C226" t="s">
        <v>333</v>
      </c>
      <c r="E226">
        <v>21138640</v>
      </c>
      <c r="F226">
        <v>927619680</v>
      </c>
      <c r="G226" t="s">
        <v>334</v>
      </c>
      <c r="H226" t="s">
        <v>1042</v>
      </c>
      <c r="I226" t="s">
        <v>335</v>
      </c>
      <c r="J226" t="s">
        <v>336</v>
      </c>
      <c r="K226" t="s">
        <v>2</v>
      </c>
      <c r="L226" t="s">
        <v>37</v>
      </c>
      <c r="M226" s="1">
        <v>44793</v>
      </c>
      <c r="N226" t="s">
        <v>8</v>
      </c>
      <c r="O226" s="2">
        <f>1440-350</f>
        <v>1090</v>
      </c>
      <c r="P226" t="s">
        <v>1076</v>
      </c>
      <c r="Q226" t="s">
        <v>10</v>
      </c>
      <c r="R226" t="s">
        <v>11</v>
      </c>
      <c r="S226">
        <v>30</v>
      </c>
      <c r="T226" t="s">
        <v>1092</v>
      </c>
      <c r="U226" t="s">
        <v>1096</v>
      </c>
      <c r="V226" s="3">
        <v>3</v>
      </c>
      <c r="W226" t="s">
        <v>1148</v>
      </c>
      <c r="X226" s="9">
        <v>1</v>
      </c>
      <c r="Y226" s="9" t="s">
        <v>1066</v>
      </c>
      <c r="Z226" t="s">
        <v>1149</v>
      </c>
    </row>
    <row r="227" spans="1:26">
      <c r="A227">
        <v>226</v>
      </c>
      <c r="B227" t="str">
        <f t="shared" ref="B227:N227" si="5">B226</f>
        <v>RH</v>
      </c>
      <c r="C227" t="str">
        <f t="shared" si="5"/>
        <v>Jose Luis Quinto Cotarate</v>
      </c>
      <c r="E227">
        <f t="shared" si="5"/>
        <v>21138640</v>
      </c>
      <c r="F227">
        <f t="shared" si="5"/>
        <v>927619680</v>
      </c>
      <c r="G227" t="str">
        <f t="shared" si="5"/>
        <v>RH E011-54</v>
      </c>
      <c r="H227" t="str">
        <f t="shared" si="5"/>
        <v>Junin</v>
      </c>
      <c r="I227" t="str">
        <f t="shared" si="5"/>
        <v>Tarma</v>
      </c>
      <c r="J227" t="str">
        <f t="shared" si="5"/>
        <v>Covaldi</v>
      </c>
      <c r="K227" t="str">
        <f t="shared" si="5"/>
        <v>-</v>
      </c>
      <c r="L227" t="str">
        <f t="shared" si="5"/>
        <v>Redes sociales</v>
      </c>
      <c r="M227" s="1">
        <f t="shared" si="5"/>
        <v>44793</v>
      </c>
      <c r="N227" t="str">
        <f t="shared" si="5"/>
        <v>BCP</v>
      </c>
      <c r="O227" s="2">
        <v>350</v>
      </c>
      <c r="P227" t="s">
        <v>1076</v>
      </c>
      <c r="Q227" t="str">
        <f>Q226</f>
        <v>U</v>
      </c>
      <c r="R227" t="str">
        <f>R226</f>
        <v>Rodrigo</v>
      </c>
      <c r="T227" t="s">
        <v>1119</v>
      </c>
      <c r="U227" s="12" t="s">
        <v>1142</v>
      </c>
      <c r="V227" s="3">
        <f>X226</f>
        <v>1</v>
      </c>
      <c r="W227" t="str">
        <f>Y226</f>
        <v>Gaveta de dinero 5 billeteros</v>
      </c>
      <c r="X227" s="9"/>
      <c r="Y227" s="9"/>
      <c r="Z227" t="s">
        <v>1141</v>
      </c>
    </row>
    <row r="228" spans="1:26">
      <c r="A228">
        <v>227</v>
      </c>
      <c r="B228" t="s">
        <v>23</v>
      </c>
      <c r="C228" t="s">
        <v>337</v>
      </c>
      <c r="E228" t="s">
        <v>2</v>
      </c>
      <c r="F228">
        <v>933295550</v>
      </c>
      <c r="G228" t="s">
        <v>2</v>
      </c>
      <c r="H228" t="s">
        <v>4</v>
      </c>
      <c r="I228" t="s">
        <v>329</v>
      </c>
      <c r="J228" t="s">
        <v>2</v>
      </c>
      <c r="K228" t="s">
        <v>329</v>
      </c>
      <c r="L228" t="s">
        <v>37</v>
      </c>
      <c r="M228" s="1">
        <v>44796</v>
      </c>
      <c r="N228" t="s">
        <v>21</v>
      </c>
      <c r="O228">
        <v>330</v>
      </c>
      <c r="P228" t="s">
        <v>52</v>
      </c>
      <c r="Q228" t="s">
        <v>10</v>
      </c>
      <c r="R228" t="s">
        <v>22</v>
      </c>
      <c r="T228" t="s">
        <v>1092</v>
      </c>
      <c r="U228" t="s">
        <v>1101</v>
      </c>
      <c r="V228" s="3" t="s">
        <v>1044</v>
      </c>
      <c r="W228" t="s">
        <v>1146</v>
      </c>
      <c r="X228" s="9">
        <v>10</v>
      </c>
      <c r="Y228" s="9" t="s">
        <v>1056</v>
      </c>
      <c r="Z228" t="s">
        <v>1143</v>
      </c>
    </row>
    <row r="229" spans="1:26">
      <c r="A229">
        <v>228</v>
      </c>
      <c r="B229" t="s">
        <v>2</v>
      </c>
      <c r="C229" t="s">
        <v>338</v>
      </c>
      <c r="E229" t="s">
        <v>2</v>
      </c>
      <c r="F229">
        <v>962314698</v>
      </c>
      <c r="G229" t="s">
        <v>2</v>
      </c>
      <c r="H229" t="s">
        <v>4</v>
      </c>
      <c r="I229" t="s">
        <v>169</v>
      </c>
      <c r="J229" t="s">
        <v>2</v>
      </c>
      <c r="K229" t="s">
        <v>339</v>
      </c>
      <c r="L229" t="s">
        <v>37</v>
      </c>
      <c r="M229" s="1">
        <v>44796</v>
      </c>
      <c r="N229" t="s">
        <v>8</v>
      </c>
      <c r="O229">
        <v>200</v>
      </c>
      <c r="P229" t="s">
        <v>219</v>
      </c>
      <c r="Q229" t="s">
        <v>10</v>
      </c>
      <c r="R229" t="s">
        <v>11</v>
      </c>
      <c r="S229" t="s">
        <v>2</v>
      </c>
      <c r="T229" t="s">
        <v>1092</v>
      </c>
      <c r="U229" t="s">
        <v>1100</v>
      </c>
      <c r="V229" s="3" t="s">
        <v>1044</v>
      </c>
      <c r="W229" t="s">
        <v>1146</v>
      </c>
      <c r="X229" s="9">
        <v>10</v>
      </c>
      <c r="Y229" s="9" t="s">
        <v>1068</v>
      </c>
      <c r="Z229" t="s">
        <v>1144</v>
      </c>
    </row>
    <row r="230" spans="1:26">
      <c r="A230">
        <v>229</v>
      </c>
      <c r="B230" t="s">
        <v>12</v>
      </c>
      <c r="C230" t="s">
        <v>340</v>
      </c>
      <c r="E230">
        <v>20606086459</v>
      </c>
      <c r="F230" t="s">
        <v>2</v>
      </c>
      <c r="G230" t="s">
        <v>341</v>
      </c>
      <c r="H230" t="s">
        <v>4</v>
      </c>
      <c r="I230" t="s">
        <v>329</v>
      </c>
      <c r="J230" t="s">
        <v>2</v>
      </c>
      <c r="K230" t="s">
        <v>329</v>
      </c>
      <c r="L230" t="s">
        <v>37</v>
      </c>
      <c r="M230" s="1">
        <v>44797</v>
      </c>
      <c r="N230" t="s">
        <v>8</v>
      </c>
      <c r="O230">
        <v>180</v>
      </c>
      <c r="P230" t="s">
        <v>101</v>
      </c>
      <c r="Q230" t="s">
        <v>31</v>
      </c>
      <c r="R230" t="s">
        <v>315</v>
      </c>
      <c r="S230" t="s">
        <v>2</v>
      </c>
      <c r="T230" t="s">
        <v>1092</v>
      </c>
      <c r="U230" t="s">
        <v>1100</v>
      </c>
      <c r="V230" s="3" t="s">
        <v>1044</v>
      </c>
      <c r="W230" t="s">
        <v>1146</v>
      </c>
      <c r="X230" s="9" t="s">
        <v>2</v>
      </c>
      <c r="Y230" s="9" t="s">
        <v>2</v>
      </c>
      <c r="Z230" t="s">
        <v>1144</v>
      </c>
    </row>
    <row r="231" spans="1:26">
      <c r="A231">
        <v>230</v>
      </c>
      <c r="B231" t="s">
        <v>60</v>
      </c>
      <c r="C231" t="s">
        <v>342</v>
      </c>
      <c r="E231" t="s">
        <v>2</v>
      </c>
      <c r="F231">
        <v>958137854</v>
      </c>
      <c r="G231" t="s">
        <v>343</v>
      </c>
      <c r="H231" t="s">
        <v>199</v>
      </c>
      <c r="J231" t="s">
        <v>344</v>
      </c>
      <c r="K231" t="s">
        <v>2</v>
      </c>
      <c r="L231" t="s">
        <v>37</v>
      </c>
      <c r="M231" s="1">
        <v>44797</v>
      </c>
      <c r="N231" t="s">
        <v>8</v>
      </c>
      <c r="O231">
        <v>480</v>
      </c>
      <c r="P231" t="s">
        <v>30</v>
      </c>
      <c r="Q231" t="s">
        <v>10</v>
      </c>
      <c r="R231" t="s">
        <v>11</v>
      </c>
      <c r="S231" t="s">
        <v>2</v>
      </c>
      <c r="T231" t="s">
        <v>1092</v>
      </c>
      <c r="U231" t="s">
        <v>1105</v>
      </c>
      <c r="V231" s="3" t="s">
        <v>1044</v>
      </c>
      <c r="W231" t="s">
        <v>1148</v>
      </c>
      <c r="X231" s="9">
        <v>20</v>
      </c>
      <c r="Y231" s="9" t="s">
        <v>1056</v>
      </c>
      <c r="Z231" t="s">
        <v>1149</v>
      </c>
    </row>
    <row r="232" spans="1:26">
      <c r="A232">
        <v>231</v>
      </c>
      <c r="B232" t="str">
        <f t="shared" ref="B232:N232" si="6">B231</f>
        <v>RH</v>
      </c>
      <c r="C232" t="str">
        <f t="shared" si="6"/>
        <v>Jose Antonio Gomez Mendoza</v>
      </c>
      <c r="E232" t="str">
        <f t="shared" si="6"/>
        <v>-</v>
      </c>
      <c r="F232">
        <f t="shared" si="6"/>
        <v>958137854</v>
      </c>
      <c r="G232" t="str">
        <f t="shared" si="6"/>
        <v>RH E001-62</v>
      </c>
      <c r="H232" t="str">
        <f t="shared" si="6"/>
        <v>Arequipa</v>
      </c>
      <c r="J232" t="str">
        <f t="shared" si="6"/>
        <v>Transmotar s.a.c.</v>
      </c>
      <c r="K232" t="str">
        <f t="shared" si="6"/>
        <v>-</v>
      </c>
      <c r="L232" t="str">
        <f t="shared" si="6"/>
        <v>Redes sociales</v>
      </c>
      <c r="M232" s="1">
        <f t="shared" si="6"/>
        <v>44797</v>
      </c>
      <c r="N232" t="str">
        <f t="shared" si="6"/>
        <v>BCP</v>
      </c>
      <c r="O232" s="14">
        <v>100</v>
      </c>
      <c r="P232" t="str">
        <f t="shared" ref="P232:S232" si="7">P231</f>
        <v>Otros</v>
      </c>
      <c r="Q232" t="str">
        <f t="shared" si="7"/>
        <v>U</v>
      </c>
      <c r="R232" t="str">
        <f t="shared" si="7"/>
        <v>Rodrigo</v>
      </c>
      <c r="S232" t="str">
        <f t="shared" si="7"/>
        <v>-</v>
      </c>
      <c r="T232" t="s">
        <v>1134</v>
      </c>
      <c r="U232" t="s">
        <v>1115</v>
      </c>
      <c r="V232" s="3">
        <v>40</v>
      </c>
      <c r="W232" t="s">
        <v>1137</v>
      </c>
      <c r="X232" s="9"/>
      <c r="Y232" s="9"/>
      <c r="Z232" t="s">
        <v>1131</v>
      </c>
    </row>
    <row r="233" spans="1:26">
      <c r="A233">
        <v>232</v>
      </c>
      <c r="B233" t="s">
        <v>2</v>
      </c>
      <c r="C233" t="s">
        <v>345</v>
      </c>
      <c r="F233">
        <v>937369145</v>
      </c>
      <c r="G233" t="s">
        <v>2</v>
      </c>
      <c r="H233" t="s">
        <v>514</v>
      </c>
      <c r="I233" t="s">
        <v>74</v>
      </c>
      <c r="J233" t="s">
        <v>29</v>
      </c>
      <c r="K233" t="s">
        <v>2</v>
      </c>
      <c r="L233" t="s">
        <v>37</v>
      </c>
      <c r="M233" s="1">
        <v>44797</v>
      </c>
      <c r="N233" t="s">
        <v>8</v>
      </c>
      <c r="O233">
        <v>330</v>
      </c>
      <c r="P233" t="s">
        <v>346</v>
      </c>
      <c r="Q233" t="s">
        <v>10</v>
      </c>
      <c r="R233" t="s">
        <v>11</v>
      </c>
      <c r="T233" t="s">
        <v>1082</v>
      </c>
      <c r="U233" t="s">
        <v>1104</v>
      </c>
      <c r="V233" s="3" t="s">
        <v>1044</v>
      </c>
      <c r="W233" t="s">
        <v>1145</v>
      </c>
      <c r="X233" s="9">
        <v>80</v>
      </c>
      <c r="Y233" s="9" t="s">
        <v>1065</v>
      </c>
      <c r="Z233" t="s">
        <v>1143</v>
      </c>
    </row>
    <row r="234" spans="1:26">
      <c r="A234">
        <v>233</v>
      </c>
      <c r="B234" t="str">
        <f t="shared" ref="B234:N234" si="8">B233</f>
        <v>-</v>
      </c>
      <c r="C234" t="str">
        <f t="shared" si="8"/>
        <v>Torres Lopez Gerarda Patricia</v>
      </c>
      <c r="F234">
        <f t="shared" si="8"/>
        <v>937369145</v>
      </c>
      <c r="G234" t="str">
        <f t="shared" si="8"/>
        <v>-</v>
      </c>
      <c r="H234" t="str">
        <f t="shared" si="8"/>
        <v>Piura</v>
      </c>
      <c r="I234" t="str">
        <f t="shared" si="8"/>
        <v>Talara</v>
      </c>
      <c r="J234" t="str">
        <f t="shared" si="8"/>
        <v>Shalom</v>
      </c>
      <c r="K234" t="str">
        <f t="shared" si="8"/>
        <v>-</v>
      </c>
      <c r="L234" t="str">
        <f t="shared" si="8"/>
        <v>Redes sociales</v>
      </c>
      <c r="M234" s="1">
        <f t="shared" si="8"/>
        <v>44797</v>
      </c>
      <c r="N234" t="str">
        <f t="shared" si="8"/>
        <v>BCP</v>
      </c>
      <c r="O234" s="14">
        <v>150</v>
      </c>
      <c r="P234" t="str">
        <f t="shared" ref="P234:S234" si="9">P233</f>
        <v>Multipagos</v>
      </c>
      <c r="Q234" t="str">
        <f t="shared" si="9"/>
        <v>U</v>
      </c>
      <c r="R234" t="str">
        <f t="shared" si="9"/>
        <v>Rodrigo</v>
      </c>
      <c r="S234">
        <f t="shared" si="9"/>
        <v>0</v>
      </c>
      <c r="T234" t="s">
        <v>1134</v>
      </c>
      <c r="U234" t="s">
        <v>1115</v>
      </c>
      <c r="V234" s="3">
        <v>80</v>
      </c>
      <c r="W234" t="s">
        <v>1137</v>
      </c>
      <c r="X234" s="9"/>
      <c r="Y234" s="9"/>
      <c r="Z234" t="s">
        <v>1131</v>
      </c>
    </row>
    <row r="235" spans="1:26">
      <c r="A235">
        <v>234</v>
      </c>
      <c r="B235" t="s">
        <v>2</v>
      </c>
      <c r="C235" t="s">
        <v>347</v>
      </c>
      <c r="E235">
        <v>45754992</v>
      </c>
      <c r="F235">
        <v>958395777</v>
      </c>
      <c r="G235" t="s">
        <v>2</v>
      </c>
      <c r="H235" t="s">
        <v>44</v>
      </c>
      <c r="J235" t="s">
        <v>140</v>
      </c>
      <c r="K235" t="s">
        <v>2</v>
      </c>
      <c r="L235" t="s">
        <v>37</v>
      </c>
      <c r="M235" s="1">
        <v>44798</v>
      </c>
      <c r="N235" t="s">
        <v>8</v>
      </c>
      <c r="O235">
        <v>325</v>
      </c>
      <c r="P235" t="s">
        <v>9</v>
      </c>
      <c r="Q235" t="s">
        <v>10</v>
      </c>
      <c r="R235" t="s">
        <v>22</v>
      </c>
      <c r="S235">
        <v>32</v>
      </c>
      <c r="T235" t="s">
        <v>1082</v>
      </c>
      <c r="U235" t="s">
        <v>1104</v>
      </c>
      <c r="V235" s="3" t="s">
        <v>1044</v>
      </c>
      <c r="W235" t="s">
        <v>1145</v>
      </c>
      <c r="X235" s="9">
        <v>10</v>
      </c>
      <c r="Y235" s="9" t="s">
        <v>1065</v>
      </c>
      <c r="Z235" t="s">
        <v>1143</v>
      </c>
    </row>
    <row r="236" spans="1:26">
      <c r="A236">
        <v>235</v>
      </c>
      <c r="B236" t="str">
        <f t="shared" ref="B236:N236" si="10">B235</f>
        <v>-</v>
      </c>
      <c r="C236" t="str">
        <f t="shared" si="10"/>
        <v>Jhonny Guillermo Zumaeta Tamani</v>
      </c>
      <c r="E236">
        <f t="shared" si="10"/>
        <v>45754992</v>
      </c>
      <c r="F236">
        <f t="shared" si="10"/>
        <v>958395777</v>
      </c>
      <c r="G236" t="str">
        <f t="shared" si="10"/>
        <v>-</v>
      </c>
      <c r="H236" t="str">
        <f t="shared" si="10"/>
        <v>Iquitos</v>
      </c>
      <c r="J236" t="str">
        <f t="shared" si="10"/>
        <v>Olva Courier</v>
      </c>
      <c r="K236" t="str">
        <f t="shared" si="10"/>
        <v>-</v>
      </c>
      <c r="L236" t="str">
        <f t="shared" si="10"/>
        <v>Redes sociales</v>
      </c>
      <c r="M236" s="1">
        <f t="shared" si="10"/>
        <v>44798</v>
      </c>
      <c r="N236" t="str">
        <f t="shared" si="10"/>
        <v>BCP</v>
      </c>
      <c r="O236" s="14">
        <v>25</v>
      </c>
      <c r="P236" t="str">
        <f t="shared" ref="P236:R236" si="11">P235</f>
        <v>Restaurante</v>
      </c>
      <c r="Q236" t="str">
        <f t="shared" si="11"/>
        <v>U</v>
      </c>
      <c r="R236" t="str">
        <f t="shared" si="11"/>
        <v>Sergio</v>
      </c>
      <c r="T236" t="s">
        <v>1134</v>
      </c>
      <c r="U236" t="s">
        <v>1115</v>
      </c>
      <c r="V236" s="3">
        <f t="shared" ref="V236" si="12">X235</f>
        <v>10</v>
      </c>
      <c r="W236" t="s">
        <v>1137</v>
      </c>
      <c r="X236" s="9"/>
      <c r="Y236" s="9"/>
      <c r="Z236" t="s">
        <v>1131</v>
      </c>
    </row>
    <row r="237" spans="1:26">
      <c r="A237">
        <v>236</v>
      </c>
      <c r="B237" t="s">
        <v>12</v>
      </c>
      <c r="C237" t="s">
        <v>348</v>
      </c>
      <c r="D237">
        <v>10464982162</v>
      </c>
      <c r="F237">
        <v>937249181</v>
      </c>
      <c r="G237" t="s">
        <v>349</v>
      </c>
      <c r="H237" t="s">
        <v>514</v>
      </c>
      <c r="I237" t="s">
        <v>74</v>
      </c>
      <c r="J237" t="s">
        <v>147</v>
      </c>
      <c r="K237" t="s">
        <v>2</v>
      </c>
      <c r="L237" t="s">
        <v>37</v>
      </c>
      <c r="M237" s="1">
        <v>44798</v>
      </c>
      <c r="N237" t="s">
        <v>56</v>
      </c>
      <c r="O237">
        <v>630</v>
      </c>
      <c r="P237" t="s">
        <v>9</v>
      </c>
      <c r="Q237" t="s">
        <v>10</v>
      </c>
      <c r="R237" t="s">
        <v>11</v>
      </c>
      <c r="S237">
        <v>30</v>
      </c>
      <c r="T237" t="s">
        <v>1092</v>
      </c>
      <c r="U237" t="s">
        <v>1105</v>
      </c>
      <c r="V237" s="3" t="s">
        <v>1047</v>
      </c>
      <c r="W237" t="s">
        <v>1148</v>
      </c>
      <c r="X237" s="9"/>
      <c r="Y237" s="9"/>
      <c r="Z237" t="s">
        <v>1149</v>
      </c>
    </row>
    <row r="238" spans="1:26">
      <c r="A238">
        <v>237</v>
      </c>
      <c r="B238" t="s">
        <v>12</v>
      </c>
      <c r="C238" t="s">
        <v>348</v>
      </c>
      <c r="D238">
        <v>10464982162</v>
      </c>
      <c r="F238">
        <v>937249181</v>
      </c>
      <c r="G238" t="s">
        <v>349</v>
      </c>
      <c r="H238" t="s">
        <v>514</v>
      </c>
      <c r="I238" t="s">
        <v>74</v>
      </c>
      <c r="J238" t="s">
        <v>147</v>
      </c>
      <c r="K238" t="s">
        <v>2</v>
      </c>
      <c r="L238" t="s">
        <v>37</v>
      </c>
      <c r="M238" s="1">
        <v>44798</v>
      </c>
      <c r="N238" t="s">
        <v>56</v>
      </c>
      <c r="O238" s="14">
        <v>230</v>
      </c>
      <c r="P238" t="s">
        <v>9</v>
      </c>
      <c r="Q238" t="s">
        <v>10</v>
      </c>
      <c r="R238" t="s">
        <v>11</v>
      </c>
      <c r="T238" t="s">
        <v>1134</v>
      </c>
      <c r="U238" t="s">
        <v>1115</v>
      </c>
      <c r="V238">
        <v>100</v>
      </c>
      <c r="W238" t="s">
        <v>1137</v>
      </c>
      <c r="X238" s="9"/>
      <c r="Y238" s="9"/>
      <c r="Z238" t="s">
        <v>1131</v>
      </c>
    </row>
    <row r="239" spans="1:26">
      <c r="A239">
        <v>238</v>
      </c>
      <c r="B239" t="s">
        <v>2</v>
      </c>
      <c r="C239" t="s">
        <v>350</v>
      </c>
      <c r="E239">
        <v>30422023</v>
      </c>
      <c r="F239">
        <v>985383812</v>
      </c>
      <c r="G239" t="s">
        <v>2</v>
      </c>
      <c r="H239" t="s">
        <v>199</v>
      </c>
      <c r="J239" t="s">
        <v>147</v>
      </c>
      <c r="K239" t="s">
        <v>2</v>
      </c>
      <c r="L239" t="s">
        <v>37</v>
      </c>
      <c r="M239" s="1">
        <v>44799</v>
      </c>
      <c r="N239" t="s">
        <v>38</v>
      </c>
      <c r="O239">
        <v>325</v>
      </c>
      <c r="P239" t="s">
        <v>52</v>
      </c>
      <c r="Q239" t="s">
        <v>10</v>
      </c>
      <c r="R239" t="s">
        <v>11</v>
      </c>
      <c r="T239" t="s">
        <v>1092</v>
      </c>
      <c r="U239" t="s">
        <v>1101</v>
      </c>
      <c r="V239" s="3" t="s">
        <v>1044</v>
      </c>
      <c r="W239" t="s">
        <v>1146</v>
      </c>
      <c r="X239" s="9">
        <v>10</v>
      </c>
      <c r="Y239" s="9" t="s">
        <v>1065</v>
      </c>
      <c r="Z239" t="s">
        <v>1143</v>
      </c>
    </row>
    <row r="240" spans="1:26">
      <c r="A240">
        <v>239</v>
      </c>
      <c r="B240" t="str">
        <f t="shared" ref="B240:N240" si="13">B239</f>
        <v>-</v>
      </c>
      <c r="C240" t="str">
        <f t="shared" si="13"/>
        <v>Armando Wilbert Soto Cruz</v>
      </c>
      <c r="E240">
        <f t="shared" si="13"/>
        <v>30422023</v>
      </c>
      <c r="F240">
        <f t="shared" si="13"/>
        <v>985383812</v>
      </c>
      <c r="G240" t="str">
        <f t="shared" si="13"/>
        <v>-</v>
      </c>
      <c r="H240" t="str">
        <f t="shared" si="13"/>
        <v>Arequipa</v>
      </c>
      <c r="J240" t="str">
        <f t="shared" si="13"/>
        <v>Marvisur</v>
      </c>
      <c r="K240" t="str">
        <f t="shared" si="13"/>
        <v>-</v>
      </c>
      <c r="L240" t="str">
        <f t="shared" si="13"/>
        <v>Redes sociales</v>
      </c>
      <c r="M240" s="1">
        <f t="shared" si="13"/>
        <v>44799</v>
      </c>
      <c r="N240" t="str">
        <f t="shared" si="13"/>
        <v>BBVA</v>
      </c>
      <c r="O240" s="14">
        <v>25</v>
      </c>
      <c r="P240" t="s">
        <v>52</v>
      </c>
      <c r="Q240" t="str">
        <f t="shared" ref="Q240:S240" si="14">Q239</f>
        <v>U</v>
      </c>
      <c r="R240" t="str">
        <f t="shared" si="14"/>
        <v>Rodrigo</v>
      </c>
      <c r="S240">
        <f t="shared" si="14"/>
        <v>0</v>
      </c>
      <c r="T240" t="s">
        <v>1134</v>
      </c>
      <c r="U240" t="s">
        <v>1115</v>
      </c>
      <c r="V240" s="3">
        <f t="shared" ref="V240" si="15">X239</f>
        <v>10</v>
      </c>
      <c r="W240" t="s">
        <v>1137</v>
      </c>
      <c r="X240" s="9"/>
      <c r="Y240" s="9"/>
      <c r="Z240" t="s">
        <v>1131</v>
      </c>
    </row>
    <row r="241" spans="1:26">
      <c r="A241">
        <v>240</v>
      </c>
      <c r="B241" t="s">
        <v>2</v>
      </c>
      <c r="C241" t="s">
        <v>351</v>
      </c>
      <c r="E241" t="s">
        <v>2</v>
      </c>
      <c r="F241">
        <v>998787810</v>
      </c>
      <c r="G241" t="s">
        <v>2</v>
      </c>
      <c r="H241" t="s">
        <v>4</v>
      </c>
      <c r="I241" t="s">
        <v>58</v>
      </c>
      <c r="J241" t="s">
        <v>2</v>
      </c>
      <c r="K241" t="s">
        <v>352</v>
      </c>
      <c r="L241" t="s">
        <v>7</v>
      </c>
      <c r="M241" s="1">
        <v>44799</v>
      </c>
      <c r="N241" t="s">
        <v>8</v>
      </c>
      <c r="O241" s="14">
        <v>60</v>
      </c>
      <c r="P241" t="s">
        <v>30</v>
      </c>
      <c r="Q241" t="s">
        <v>10</v>
      </c>
      <c r="R241" t="s">
        <v>22</v>
      </c>
      <c r="S241" t="s">
        <v>2</v>
      </c>
      <c r="T241" t="s">
        <v>1151</v>
      </c>
      <c r="U241" t="s">
        <v>1128</v>
      </c>
      <c r="V241" s="3" t="s">
        <v>1047</v>
      </c>
      <c r="W241" t="s">
        <v>1135</v>
      </c>
      <c r="X241" s="9" t="s">
        <v>2</v>
      </c>
      <c r="Y241" s="9" t="s">
        <v>2</v>
      </c>
      <c r="Z241" t="s">
        <v>1136</v>
      </c>
    </row>
    <row r="242" spans="1:26">
      <c r="A242">
        <v>241</v>
      </c>
      <c r="B242" t="s">
        <v>23</v>
      </c>
      <c r="C242" t="s">
        <v>283</v>
      </c>
      <c r="E242" t="s">
        <v>2</v>
      </c>
      <c r="F242">
        <v>993409484</v>
      </c>
      <c r="G242" t="s">
        <v>2</v>
      </c>
      <c r="H242" t="s">
        <v>4</v>
      </c>
      <c r="I242" t="s">
        <v>15</v>
      </c>
      <c r="J242" t="s">
        <v>2</v>
      </c>
      <c r="K242" t="s">
        <v>15</v>
      </c>
      <c r="L242" t="s">
        <v>37</v>
      </c>
      <c r="M242" s="1">
        <v>44801</v>
      </c>
      <c r="N242" t="s">
        <v>21</v>
      </c>
      <c r="O242">
        <v>180</v>
      </c>
      <c r="P242" t="s">
        <v>234</v>
      </c>
      <c r="Q242" t="s">
        <v>31</v>
      </c>
      <c r="R242" t="s">
        <v>11</v>
      </c>
      <c r="S242" t="s">
        <v>2</v>
      </c>
      <c r="T242" t="s">
        <v>1134</v>
      </c>
      <c r="U242" t="s">
        <v>1115</v>
      </c>
      <c r="V242" s="3">
        <v>80</v>
      </c>
      <c r="W242" t="s">
        <v>1137</v>
      </c>
      <c r="X242" s="9" t="s">
        <v>2</v>
      </c>
      <c r="Y242" s="9" t="s">
        <v>2</v>
      </c>
      <c r="Z242" t="s">
        <v>1131</v>
      </c>
    </row>
    <row r="243" spans="1:26">
      <c r="A243">
        <v>242</v>
      </c>
      <c r="B243" t="s">
        <v>12</v>
      </c>
      <c r="C243" t="s">
        <v>353</v>
      </c>
      <c r="E243">
        <v>10463206525</v>
      </c>
      <c r="F243">
        <v>937343615</v>
      </c>
      <c r="G243" t="s">
        <v>354</v>
      </c>
      <c r="H243" t="s">
        <v>355</v>
      </c>
      <c r="J243" t="s">
        <v>356</v>
      </c>
      <c r="K243" t="s">
        <v>357</v>
      </c>
      <c r="L243" t="s">
        <v>37</v>
      </c>
      <c r="M243" s="1">
        <v>44805</v>
      </c>
      <c r="N243" t="s">
        <v>38</v>
      </c>
      <c r="O243">
        <v>325</v>
      </c>
      <c r="P243" t="s">
        <v>52</v>
      </c>
      <c r="Q243" t="s">
        <v>10</v>
      </c>
      <c r="R243" t="s">
        <v>11</v>
      </c>
      <c r="S243">
        <v>30</v>
      </c>
      <c r="T243" t="s">
        <v>1092</v>
      </c>
      <c r="U243" t="s">
        <v>1101</v>
      </c>
      <c r="V243" s="3" t="s">
        <v>1044</v>
      </c>
      <c r="W243" t="s">
        <v>1146</v>
      </c>
      <c r="X243" s="9">
        <v>10</v>
      </c>
      <c r="Y243" s="9" t="s">
        <v>1065</v>
      </c>
      <c r="Z243" t="s">
        <v>1143</v>
      </c>
    </row>
    <row r="244" spans="1:26">
      <c r="A244">
        <v>243</v>
      </c>
      <c r="B244" t="str">
        <f t="shared" ref="B244:N244" si="16">B243</f>
        <v>FT</v>
      </c>
      <c r="C244" t="str">
        <f t="shared" si="16"/>
        <v>Joel Efren Flores Velasquez</v>
      </c>
      <c r="E244">
        <f t="shared" si="16"/>
        <v>10463206525</v>
      </c>
      <c r="F244">
        <f t="shared" si="16"/>
        <v>937343615</v>
      </c>
      <c r="G244" t="str">
        <f t="shared" si="16"/>
        <v>FT E001-60</v>
      </c>
      <c r="H244" t="str">
        <f t="shared" si="16"/>
        <v>Trujillo</v>
      </c>
      <c r="J244" t="str">
        <f t="shared" si="16"/>
        <v>Expreso Dorado</v>
      </c>
      <c r="K244" t="str">
        <f t="shared" si="16"/>
        <v>Plaza Norte</v>
      </c>
      <c r="L244" t="str">
        <f t="shared" si="16"/>
        <v>Redes sociales</v>
      </c>
      <c r="M244" s="1">
        <f t="shared" si="16"/>
        <v>44805</v>
      </c>
      <c r="N244" t="str">
        <f t="shared" si="16"/>
        <v>BBVA</v>
      </c>
      <c r="O244" s="14">
        <v>25</v>
      </c>
      <c r="P244" t="s">
        <v>52</v>
      </c>
      <c r="Q244" t="str">
        <f t="shared" ref="Q244:R244" si="17">Q243</f>
        <v>U</v>
      </c>
      <c r="R244" t="str">
        <f t="shared" si="17"/>
        <v>Rodrigo</v>
      </c>
      <c r="T244" t="s">
        <v>1134</v>
      </c>
      <c r="U244" t="s">
        <v>1115</v>
      </c>
      <c r="V244" s="3">
        <f t="shared" ref="V244" si="18">X243</f>
        <v>10</v>
      </c>
      <c r="W244" t="s">
        <v>1137</v>
      </c>
      <c r="X244" s="9"/>
      <c r="Y244" s="9"/>
      <c r="Z244" t="s">
        <v>1131</v>
      </c>
    </row>
    <row r="245" spans="1:26">
      <c r="A245">
        <v>244</v>
      </c>
      <c r="B245" t="s">
        <v>2</v>
      </c>
      <c r="C245" t="s">
        <v>264</v>
      </c>
      <c r="E245" t="s">
        <v>2</v>
      </c>
      <c r="F245">
        <v>943073730</v>
      </c>
      <c r="G245" t="s">
        <v>2</v>
      </c>
      <c r="H245" t="s">
        <v>266</v>
      </c>
      <c r="J245" t="s">
        <v>267</v>
      </c>
      <c r="K245" t="s">
        <v>2</v>
      </c>
      <c r="L245" t="s">
        <v>37</v>
      </c>
      <c r="M245" s="1">
        <v>44808</v>
      </c>
      <c r="N245" t="s">
        <v>8</v>
      </c>
      <c r="O245" s="14">
        <v>210</v>
      </c>
      <c r="P245" t="s">
        <v>52</v>
      </c>
      <c r="Q245" t="s">
        <v>10</v>
      </c>
      <c r="R245" t="s">
        <v>22</v>
      </c>
      <c r="T245" t="s">
        <v>1151</v>
      </c>
      <c r="U245" t="s">
        <v>1127</v>
      </c>
      <c r="V245" s="3" t="s">
        <v>1049</v>
      </c>
      <c r="W245" t="s">
        <v>1135</v>
      </c>
      <c r="X245" s="9" t="s">
        <v>2</v>
      </c>
      <c r="Y245" s="9" t="s">
        <v>2</v>
      </c>
      <c r="Z245" t="s">
        <v>1136</v>
      </c>
    </row>
    <row r="246" spans="1:26">
      <c r="A246">
        <v>245</v>
      </c>
      <c r="B246" t="s">
        <v>0</v>
      </c>
      <c r="C246" t="s">
        <v>358</v>
      </c>
      <c r="E246">
        <v>28287721</v>
      </c>
      <c r="F246">
        <v>935453352</v>
      </c>
      <c r="G246" t="s">
        <v>359</v>
      </c>
      <c r="H246" t="s">
        <v>89</v>
      </c>
      <c r="J246" t="s">
        <v>158</v>
      </c>
      <c r="K246" t="s">
        <v>2</v>
      </c>
      <c r="L246" t="s">
        <v>37</v>
      </c>
      <c r="M246" s="1">
        <v>44809</v>
      </c>
      <c r="N246" t="s">
        <v>8</v>
      </c>
      <c r="O246">
        <v>350</v>
      </c>
      <c r="P246" t="s">
        <v>30</v>
      </c>
      <c r="Q246" t="s">
        <v>10</v>
      </c>
      <c r="R246" t="s">
        <v>11</v>
      </c>
      <c r="T246" t="s">
        <v>1082</v>
      </c>
      <c r="U246" t="s">
        <v>1099</v>
      </c>
      <c r="V246" s="3" t="s">
        <v>1047</v>
      </c>
      <c r="W246" t="s">
        <v>1146</v>
      </c>
      <c r="X246" s="9">
        <v>20</v>
      </c>
      <c r="Y246" s="9" t="s">
        <v>1068</v>
      </c>
      <c r="Z246" t="s">
        <v>1143</v>
      </c>
    </row>
    <row r="247" spans="1:26">
      <c r="A247">
        <v>246</v>
      </c>
      <c r="B247" t="str">
        <f t="shared" ref="B247:N247" si="19">B246</f>
        <v>BV</v>
      </c>
      <c r="C247" t="str">
        <f t="shared" si="19"/>
        <v>Eduardo Aronés Aronés</v>
      </c>
      <c r="E247">
        <f t="shared" si="19"/>
        <v>28287721</v>
      </c>
      <c r="F247">
        <f t="shared" si="19"/>
        <v>935453352</v>
      </c>
      <c r="G247" t="str">
        <f t="shared" si="19"/>
        <v>BV EB01-41</v>
      </c>
      <c r="H247" t="str">
        <f t="shared" si="19"/>
        <v>Ayacucho</v>
      </c>
      <c r="J247" t="str">
        <f t="shared" si="19"/>
        <v>Molina unión-28 de julio con jirón abtao</v>
      </c>
      <c r="K247" t="str">
        <f t="shared" si="19"/>
        <v>-</v>
      </c>
      <c r="L247" t="str">
        <f t="shared" si="19"/>
        <v>Redes sociales</v>
      </c>
      <c r="M247" s="1">
        <f t="shared" si="19"/>
        <v>44809</v>
      </c>
      <c r="N247" t="str">
        <f t="shared" si="19"/>
        <v>BCP</v>
      </c>
      <c r="O247" s="14">
        <v>30</v>
      </c>
      <c r="P247" t="str">
        <f t="shared" ref="P247:R247" si="20">P246</f>
        <v>Otros</v>
      </c>
      <c r="Q247" t="str">
        <f t="shared" si="20"/>
        <v>U</v>
      </c>
      <c r="R247" t="str">
        <f t="shared" si="20"/>
        <v>Rodrigo</v>
      </c>
      <c r="T247" t="s">
        <v>1134</v>
      </c>
      <c r="U247" t="s">
        <v>1116</v>
      </c>
      <c r="V247" s="3">
        <f>X246</f>
        <v>20</v>
      </c>
      <c r="W247" t="s">
        <v>1137</v>
      </c>
      <c r="X247" s="9"/>
      <c r="Y247" s="9"/>
      <c r="Z247" t="s">
        <v>1131</v>
      </c>
    </row>
    <row r="248" spans="1:26">
      <c r="A248">
        <v>247</v>
      </c>
      <c r="B248" t="s">
        <v>12</v>
      </c>
      <c r="C248" t="s">
        <v>360</v>
      </c>
      <c r="E248">
        <v>20601379377</v>
      </c>
      <c r="F248">
        <v>933784155</v>
      </c>
      <c r="G248" t="s">
        <v>361</v>
      </c>
      <c r="H248" t="s">
        <v>48</v>
      </c>
      <c r="J248" t="s">
        <v>29</v>
      </c>
      <c r="K248" t="s">
        <v>2</v>
      </c>
      <c r="L248" t="s">
        <v>37</v>
      </c>
      <c r="M248" s="1">
        <v>44810</v>
      </c>
      <c r="N248" t="s">
        <v>56</v>
      </c>
      <c r="O248">
        <v>760</v>
      </c>
      <c r="P248" t="s">
        <v>30</v>
      </c>
      <c r="Q248" t="s">
        <v>31</v>
      </c>
      <c r="R248" t="s">
        <v>11</v>
      </c>
      <c r="T248" t="s">
        <v>1092</v>
      </c>
      <c r="U248" t="s">
        <v>1095</v>
      </c>
      <c r="V248" s="3">
        <v>3</v>
      </c>
      <c r="W248" t="s">
        <v>1145</v>
      </c>
      <c r="X248" s="9">
        <v>80</v>
      </c>
      <c r="Y248" s="9" t="s">
        <v>1065</v>
      </c>
      <c r="Z248" t="s">
        <v>1143</v>
      </c>
    </row>
    <row r="249" spans="1:26">
      <c r="A249">
        <v>248</v>
      </c>
      <c r="B249" t="str">
        <f t="shared" ref="B249:N249" si="21">B248</f>
        <v>FT</v>
      </c>
      <c r="C249" t="str">
        <f t="shared" si="21"/>
        <v>Apaza Arela Angel</v>
      </c>
      <c r="E249">
        <f t="shared" si="21"/>
        <v>20601379377</v>
      </c>
      <c r="F249">
        <f t="shared" si="21"/>
        <v>933784155</v>
      </c>
      <c r="G249" t="str">
        <f t="shared" si="21"/>
        <v>FT E001-62</v>
      </c>
      <c r="H249" t="str">
        <f t="shared" si="21"/>
        <v>Puno</v>
      </c>
      <c r="J249" t="str">
        <f t="shared" si="21"/>
        <v>Shalom</v>
      </c>
      <c r="K249" t="str">
        <f t="shared" si="21"/>
        <v>-</v>
      </c>
      <c r="L249" t="str">
        <f t="shared" si="21"/>
        <v>Redes sociales</v>
      </c>
      <c r="M249" s="1">
        <f t="shared" si="21"/>
        <v>44810</v>
      </c>
      <c r="N249" t="str">
        <f t="shared" si="21"/>
        <v>Interbank</v>
      </c>
      <c r="O249" s="14">
        <v>200</v>
      </c>
      <c r="P249" t="str">
        <f t="shared" ref="P249:R249" si="22">P248</f>
        <v>Otros</v>
      </c>
      <c r="Q249" t="str">
        <f t="shared" si="22"/>
        <v>M</v>
      </c>
      <c r="R249" t="str">
        <f t="shared" si="22"/>
        <v>Rodrigo</v>
      </c>
      <c r="T249" t="s">
        <v>1134</v>
      </c>
      <c r="U249" t="s">
        <v>1115</v>
      </c>
      <c r="V249" s="3">
        <f t="shared" ref="V249" si="23">X248</f>
        <v>80</v>
      </c>
      <c r="W249" t="s">
        <v>1137</v>
      </c>
      <c r="X249" s="9"/>
      <c r="Y249" s="9"/>
      <c r="Z249" t="s">
        <v>1131</v>
      </c>
    </row>
    <row r="250" spans="1:26">
      <c r="A250">
        <v>249</v>
      </c>
      <c r="B250" t="s">
        <v>23</v>
      </c>
      <c r="C250" t="s">
        <v>337</v>
      </c>
      <c r="E250" t="s">
        <v>2</v>
      </c>
      <c r="F250">
        <v>933295550</v>
      </c>
      <c r="G250" t="s">
        <v>2</v>
      </c>
      <c r="H250" t="s">
        <v>4</v>
      </c>
      <c r="I250" t="s">
        <v>329</v>
      </c>
      <c r="J250" t="s">
        <v>2</v>
      </c>
      <c r="K250" t="s">
        <v>329</v>
      </c>
      <c r="L250" t="s">
        <v>37</v>
      </c>
      <c r="M250" s="1">
        <v>44810</v>
      </c>
      <c r="N250" t="s">
        <v>21</v>
      </c>
      <c r="O250">
        <v>330</v>
      </c>
      <c r="P250" t="s">
        <v>9</v>
      </c>
      <c r="Q250" t="s">
        <v>10</v>
      </c>
      <c r="R250" t="s">
        <v>22</v>
      </c>
      <c r="T250" t="s">
        <v>1092</v>
      </c>
      <c r="U250" t="s">
        <v>1101</v>
      </c>
      <c r="V250" s="3" t="s">
        <v>1044</v>
      </c>
      <c r="W250" t="s">
        <v>1146</v>
      </c>
      <c r="X250" s="9">
        <v>10</v>
      </c>
      <c r="Y250" s="9" t="s">
        <v>1056</v>
      </c>
      <c r="Z250" t="s">
        <v>1143</v>
      </c>
    </row>
    <row r="251" spans="1:26">
      <c r="A251">
        <v>250</v>
      </c>
      <c r="B251" t="s">
        <v>12</v>
      </c>
      <c r="C251" t="s">
        <v>340</v>
      </c>
      <c r="E251">
        <v>20606086459</v>
      </c>
      <c r="F251" t="s">
        <v>2</v>
      </c>
      <c r="G251" t="s">
        <v>362</v>
      </c>
      <c r="H251" t="s">
        <v>4</v>
      </c>
      <c r="I251" t="s">
        <v>329</v>
      </c>
      <c r="J251" t="s">
        <v>2</v>
      </c>
      <c r="K251" t="s">
        <v>329</v>
      </c>
      <c r="L251" t="s">
        <v>37</v>
      </c>
      <c r="M251" s="1">
        <v>44810</v>
      </c>
      <c r="N251" t="s">
        <v>8</v>
      </c>
      <c r="O251">
        <v>700</v>
      </c>
      <c r="P251" t="s">
        <v>101</v>
      </c>
      <c r="Q251" t="s">
        <v>31</v>
      </c>
      <c r="R251" t="s">
        <v>315</v>
      </c>
      <c r="T251" t="s">
        <v>1092</v>
      </c>
      <c r="U251" t="s">
        <v>1100</v>
      </c>
      <c r="V251" s="3" t="s">
        <v>1048</v>
      </c>
      <c r="W251" t="s">
        <v>1146</v>
      </c>
      <c r="X251" s="9" t="s">
        <v>2</v>
      </c>
      <c r="Y251" s="9" t="s">
        <v>2</v>
      </c>
      <c r="Z251" t="s">
        <v>1144</v>
      </c>
    </row>
    <row r="252" spans="1:26">
      <c r="A252">
        <v>251</v>
      </c>
      <c r="B252" t="s">
        <v>2</v>
      </c>
      <c r="C252" t="s">
        <v>363</v>
      </c>
      <c r="E252" t="s">
        <v>2</v>
      </c>
      <c r="F252">
        <v>998522758</v>
      </c>
      <c r="G252" t="s">
        <v>2</v>
      </c>
      <c r="H252" t="s">
        <v>4</v>
      </c>
      <c r="I252" t="s">
        <v>364</v>
      </c>
      <c r="J252" t="s">
        <v>2</v>
      </c>
      <c r="K252" t="s">
        <v>364</v>
      </c>
      <c r="L252" t="s">
        <v>37</v>
      </c>
      <c r="M252" s="1">
        <v>44813</v>
      </c>
      <c r="N252" t="s">
        <v>8</v>
      </c>
      <c r="O252">
        <v>325</v>
      </c>
      <c r="P252" t="s">
        <v>216</v>
      </c>
      <c r="Q252" t="s">
        <v>10</v>
      </c>
      <c r="R252" t="s">
        <v>11</v>
      </c>
      <c r="T252" t="s">
        <v>1092</v>
      </c>
      <c r="U252" t="s">
        <v>1101</v>
      </c>
      <c r="V252" s="3" t="s">
        <v>1044</v>
      </c>
      <c r="W252" t="s">
        <v>1146</v>
      </c>
      <c r="X252" s="9">
        <v>10</v>
      </c>
      <c r="Y252" s="9" t="s">
        <v>1056</v>
      </c>
      <c r="Z252" t="s">
        <v>1143</v>
      </c>
    </row>
    <row r="253" spans="1:26">
      <c r="A253">
        <v>252</v>
      </c>
      <c r="B253" t="s">
        <v>23</v>
      </c>
      <c r="C253" t="s">
        <v>365</v>
      </c>
      <c r="E253" t="s">
        <v>2</v>
      </c>
      <c r="F253">
        <v>987117816</v>
      </c>
      <c r="G253" t="s">
        <v>2</v>
      </c>
      <c r="H253" t="s">
        <v>4</v>
      </c>
      <c r="I253" t="s">
        <v>58</v>
      </c>
      <c r="J253" t="s">
        <v>2</v>
      </c>
      <c r="K253" t="s">
        <v>58</v>
      </c>
      <c r="L253" t="s">
        <v>7</v>
      </c>
      <c r="M253" s="1">
        <v>44813</v>
      </c>
      <c r="N253" t="s">
        <v>21</v>
      </c>
      <c r="O253">
        <v>30</v>
      </c>
      <c r="P253" t="s">
        <v>366</v>
      </c>
      <c r="Q253" t="s">
        <v>10</v>
      </c>
      <c r="R253" t="s">
        <v>22</v>
      </c>
      <c r="T253" t="s">
        <v>1134</v>
      </c>
      <c r="U253" t="s">
        <v>1121</v>
      </c>
      <c r="V253" s="3" t="s">
        <v>1053</v>
      </c>
      <c r="W253" t="s">
        <v>1137</v>
      </c>
      <c r="X253" s="9" t="s">
        <v>2</v>
      </c>
      <c r="Y253" s="9" t="s">
        <v>2</v>
      </c>
      <c r="Z253" t="s">
        <v>1131</v>
      </c>
    </row>
    <row r="254" spans="1:26">
      <c r="A254">
        <v>253</v>
      </c>
      <c r="B254" t="s">
        <v>12</v>
      </c>
      <c r="C254" t="s">
        <v>367</v>
      </c>
      <c r="E254">
        <v>20602560903</v>
      </c>
      <c r="F254" t="s">
        <v>2</v>
      </c>
      <c r="G254" t="s">
        <v>368</v>
      </c>
      <c r="H254" t="s">
        <v>4</v>
      </c>
      <c r="I254" t="s">
        <v>144</v>
      </c>
      <c r="J254" t="s">
        <v>2</v>
      </c>
      <c r="K254" t="s">
        <v>144</v>
      </c>
      <c r="L254" t="s">
        <v>37</v>
      </c>
      <c r="M254" s="1">
        <v>44814</v>
      </c>
      <c r="N254" t="s">
        <v>21</v>
      </c>
      <c r="O254">
        <v>760</v>
      </c>
      <c r="P254" t="s">
        <v>30</v>
      </c>
      <c r="Q254" t="s">
        <v>31</v>
      </c>
      <c r="R254" t="s">
        <v>22</v>
      </c>
      <c r="T254" t="s">
        <v>1082</v>
      </c>
      <c r="U254" t="s">
        <v>1099</v>
      </c>
      <c r="V254" s="3" t="s">
        <v>1048</v>
      </c>
      <c r="W254" t="s">
        <v>1146</v>
      </c>
      <c r="X254" s="9">
        <v>40</v>
      </c>
      <c r="Y254" s="9" t="s">
        <v>1068</v>
      </c>
      <c r="Z254" t="s">
        <v>1143</v>
      </c>
    </row>
    <row r="255" spans="1:26">
      <c r="A255">
        <v>254</v>
      </c>
      <c r="B255" t="s">
        <v>12</v>
      </c>
      <c r="C255" t="s">
        <v>369</v>
      </c>
      <c r="E255">
        <v>10412929441</v>
      </c>
      <c r="F255" t="s">
        <v>2</v>
      </c>
      <c r="G255" t="s">
        <v>370</v>
      </c>
      <c r="H255" t="s">
        <v>4</v>
      </c>
      <c r="I255" t="s">
        <v>41</v>
      </c>
      <c r="J255" t="s">
        <v>2</v>
      </c>
      <c r="K255" t="s">
        <v>41</v>
      </c>
      <c r="L255" t="s">
        <v>37</v>
      </c>
      <c r="M255" s="1">
        <v>44814</v>
      </c>
      <c r="N255" t="s">
        <v>8</v>
      </c>
      <c r="O255">
        <v>320</v>
      </c>
      <c r="P255" t="s">
        <v>52</v>
      </c>
      <c r="Q255" t="s">
        <v>10</v>
      </c>
      <c r="R255" t="s">
        <v>22</v>
      </c>
      <c r="T255" t="s">
        <v>1082</v>
      </c>
      <c r="U255" t="s">
        <v>1104</v>
      </c>
      <c r="V255" s="3" t="s">
        <v>1044</v>
      </c>
      <c r="W255" t="s">
        <v>1145</v>
      </c>
      <c r="X255" s="9"/>
      <c r="Y255" s="9"/>
      <c r="Z255" t="s">
        <v>1143</v>
      </c>
    </row>
    <row r="256" spans="1:26">
      <c r="A256">
        <v>255</v>
      </c>
      <c r="B256" t="s">
        <v>12</v>
      </c>
      <c r="C256" t="s">
        <v>369</v>
      </c>
      <c r="E256">
        <v>10412929441</v>
      </c>
      <c r="F256" t="s">
        <v>2</v>
      </c>
      <c r="G256" t="s">
        <v>370</v>
      </c>
      <c r="H256" t="s">
        <v>4</v>
      </c>
      <c r="I256" t="s">
        <v>41</v>
      </c>
      <c r="J256" t="s">
        <v>2</v>
      </c>
      <c r="K256" t="s">
        <v>41</v>
      </c>
      <c r="L256" t="s">
        <v>37</v>
      </c>
      <c r="M256" s="1">
        <v>44814</v>
      </c>
      <c r="N256" t="s">
        <v>8</v>
      </c>
      <c r="O256" s="14">
        <v>20</v>
      </c>
      <c r="P256" t="s">
        <v>52</v>
      </c>
      <c r="Q256" t="s">
        <v>10</v>
      </c>
      <c r="R256" t="s">
        <v>22</v>
      </c>
      <c r="T256" t="s">
        <v>1134</v>
      </c>
      <c r="U256" t="s">
        <v>1115</v>
      </c>
      <c r="V256">
        <v>10</v>
      </c>
      <c r="W256" t="s">
        <v>1137</v>
      </c>
      <c r="X256" s="9"/>
      <c r="Y256" s="9"/>
      <c r="Z256" t="s">
        <v>1131</v>
      </c>
    </row>
    <row r="257" spans="1:26">
      <c r="A257">
        <v>256</v>
      </c>
      <c r="B257" t="s">
        <v>12</v>
      </c>
      <c r="C257" t="s">
        <v>369</v>
      </c>
      <c r="E257">
        <v>10412929441</v>
      </c>
      <c r="F257" t="s">
        <v>2</v>
      </c>
      <c r="G257" t="s">
        <v>370</v>
      </c>
      <c r="H257" t="s">
        <v>4</v>
      </c>
      <c r="I257" t="s">
        <v>41</v>
      </c>
      <c r="J257" t="s">
        <v>2</v>
      </c>
      <c r="K257" t="s">
        <v>41</v>
      </c>
      <c r="L257" t="s">
        <v>37</v>
      </c>
      <c r="M257" s="1">
        <v>44814</v>
      </c>
      <c r="N257" t="s">
        <v>8</v>
      </c>
      <c r="O257">
        <v>10</v>
      </c>
      <c r="P257" t="s">
        <v>52</v>
      </c>
      <c r="Q257" t="s">
        <v>10</v>
      </c>
      <c r="R257" t="s">
        <v>22</v>
      </c>
      <c r="T257" t="s">
        <v>1129</v>
      </c>
      <c r="U257" t="s">
        <v>1129</v>
      </c>
      <c r="V257">
        <v>1</v>
      </c>
      <c r="W257" t="s">
        <v>1059</v>
      </c>
      <c r="X257" s="9"/>
      <c r="Y257" s="9"/>
      <c r="Z257" t="s">
        <v>1147</v>
      </c>
    </row>
    <row r="258" spans="1:26">
      <c r="A258">
        <v>257</v>
      </c>
      <c r="B258" t="s">
        <v>60</v>
      </c>
      <c r="C258" t="s">
        <v>224</v>
      </c>
      <c r="E258" t="s">
        <v>2</v>
      </c>
      <c r="F258">
        <v>986776543</v>
      </c>
      <c r="G258" t="s">
        <v>371</v>
      </c>
      <c r="H258" t="s">
        <v>4</v>
      </c>
      <c r="I258" t="s">
        <v>58</v>
      </c>
      <c r="J258" t="s">
        <v>2</v>
      </c>
      <c r="K258" t="s">
        <v>372</v>
      </c>
      <c r="L258" t="s">
        <v>7</v>
      </c>
      <c r="M258" s="1">
        <v>44814</v>
      </c>
      <c r="N258" t="s">
        <v>8</v>
      </c>
      <c r="O258" s="2">
        <f>1100-O259-O260</f>
        <v>460</v>
      </c>
      <c r="P258" t="s">
        <v>30</v>
      </c>
      <c r="Q258" t="s">
        <v>31</v>
      </c>
      <c r="R258" t="s">
        <v>11</v>
      </c>
      <c r="T258" t="s">
        <v>1092</v>
      </c>
      <c r="U258" t="s">
        <v>1105</v>
      </c>
      <c r="V258" s="3" t="s">
        <v>1044</v>
      </c>
      <c r="W258" t="s">
        <v>1148</v>
      </c>
      <c r="X258" s="9"/>
      <c r="Y258" s="9"/>
      <c r="Z258" t="s">
        <v>1149</v>
      </c>
    </row>
    <row r="259" spans="1:26">
      <c r="A259">
        <v>258</v>
      </c>
      <c r="B259" t="s">
        <v>60</v>
      </c>
      <c r="C259" t="s">
        <v>224</v>
      </c>
      <c r="E259" t="s">
        <v>2</v>
      </c>
      <c r="F259">
        <v>986776543</v>
      </c>
      <c r="G259" t="s">
        <v>371</v>
      </c>
      <c r="H259" t="s">
        <v>4</v>
      </c>
      <c r="I259" t="s">
        <v>58</v>
      </c>
      <c r="J259" t="s">
        <v>2</v>
      </c>
      <c r="K259" t="s">
        <v>372</v>
      </c>
      <c r="L259" t="s">
        <v>7</v>
      </c>
      <c r="M259" s="1">
        <v>44814</v>
      </c>
      <c r="N259" t="s">
        <v>8</v>
      </c>
      <c r="O259" s="2">
        <v>580</v>
      </c>
      <c r="P259" t="s">
        <v>30</v>
      </c>
      <c r="Q259" t="s">
        <v>31</v>
      </c>
      <c r="R259" t="s">
        <v>11</v>
      </c>
      <c r="T259" t="s">
        <v>1107</v>
      </c>
      <c r="U259" t="s">
        <v>1107</v>
      </c>
      <c r="V259">
        <v>2</v>
      </c>
      <c r="W259" t="s">
        <v>1140</v>
      </c>
      <c r="X259" s="9"/>
      <c r="Y259" s="9"/>
      <c r="Z259" t="s">
        <v>1138</v>
      </c>
    </row>
    <row r="260" spans="1:26">
      <c r="A260">
        <v>259</v>
      </c>
      <c r="B260" t="s">
        <v>60</v>
      </c>
      <c r="C260" t="s">
        <v>224</v>
      </c>
      <c r="E260" t="s">
        <v>2</v>
      </c>
      <c r="F260">
        <v>986776543</v>
      </c>
      <c r="G260" t="s">
        <v>371</v>
      </c>
      <c r="H260" t="s">
        <v>4</v>
      </c>
      <c r="I260" t="s">
        <v>58</v>
      </c>
      <c r="J260" t="s">
        <v>2</v>
      </c>
      <c r="K260" t="s">
        <v>372</v>
      </c>
      <c r="L260" t="s">
        <v>7</v>
      </c>
      <c r="M260" s="1">
        <v>44814</v>
      </c>
      <c r="N260" t="s">
        <v>8</v>
      </c>
      <c r="O260" s="16">
        <v>60</v>
      </c>
      <c r="P260" t="s">
        <v>30</v>
      </c>
      <c r="Q260" t="s">
        <v>31</v>
      </c>
      <c r="R260" t="s">
        <v>11</v>
      </c>
      <c r="T260" t="s">
        <v>1134</v>
      </c>
      <c r="U260" t="s">
        <v>1115</v>
      </c>
      <c r="V260">
        <v>20</v>
      </c>
      <c r="W260" t="s">
        <v>1137</v>
      </c>
      <c r="X260" s="9"/>
      <c r="Y260" s="9"/>
      <c r="Z260" t="s">
        <v>1131</v>
      </c>
    </row>
    <row r="261" spans="1:26">
      <c r="A261">
        <v>260</v>
      </c>
      <c r="B261" t="s">
        <v>2</v>
      </c>
      <c r="C261" t="s">
        <v>373</v>
      </c>
      <c r="E261" t="s">
        <v>2</v>
      </c>
      <c r="F261">
        <v>933790714</v>
      </c>
      <c r="G261" t="s">
        <v>2</v>
      </c>
      <c r="H261" t="s">
        <v>4</v>
      </c>
      <c r="I261" t="s">
        <v>183</v>
      </c>
      <c r="J261" t="s">
        <v>2</v>
      </c>
      <c r="K261" t="s">
        <v>374</v>
      </c>
      <c r="L261" t="s">
        <v>37</v>
      </c>
      <c r="M261" s="1">
        <v>44815</v>
      </c>
      <c r="N261" t="s">
        <v>8</v>
      </c>
      <c r="O261">
        <v>300</v>
      </c>
      <c r="P261" t="s">
        <v>234</v>
      </c>
      <c r="Q261" t="s">
        <v>10</v>
      </c>
      <c r="R261" t="s">
        <v>22</v>
      </c>
      <c r="T261" t="s">
        <v>1082</v>
      </c>
      <c r="U261" t="s">
        <v>1104</v>
      </c>
      <c r="V261" s="3" t="s">
        <v>1044</v>
      </c>
      <c r="W261" t="s">
        <v>1145</v>
      </c>
      <c r="X261" s="9">
        <v>14</v>
      </c>
      <c r="Y261" s="9" t="s">
        <v>1071</v>
      </c>
      <c r="Z261" t="s">
        <v>1143</v>
      </c>
    </row>
    <row r="262" spans="1:26">
      <c r="A262">
        <v>261</v>
      </c>
      <c r="B262" t="str">
        <f t="shared" ref="B262:N262" si="24">B261</f>
        <v>-</v>
      </c>
      <c r="C262" t="str">
        <f t="shared" si="24"/>
        <v>Oscar Solorzano</v>
      </c>
      <c r="E262" t="str">
        <f t="shared" si="24"/>
        <v>-</v>
      </c>
      <c r="F262">
        <f t="shared" si="24"/>
        <v>933790714</v>
      </c>
      <c r="G262" t="str">
        <f t="shared" si="24"/>
        <v>-</v>
      </c>
      <c r="H262" t="str">
        <f t="shared" si="24"/>
        <v>Lima</v>
      </c>
      <c r="I262" t="str">
        <f t="shared" si="24"/>
        <v>Carabayllo</v>
      </c>
      <c r="J262" t="str">
        <f t="shared" si="24"/>
        <v>-</v>
      </c>
      <c r="K262" t="str">
        <f t="shared" si="24"/>
        <v>Municipalidad de Carabayllo</v>
      </c>
      <c r="L262" t="str">
        <f t="shared" si="24"/>
        <v>Redes sociales</v>
      </c>
      <c r="M262" s="1">
        <f t="shared" si="24"/>
        <v>44815</v>
      </c>
      <c r="N262" t="str">
        <f t="shared" si="24"/>
        <v>BCP</v>
      </c>
      <c r="O262" s="16">
        <v>30</v>
      </c>
      <c r="P262" t="str">
        <f t="shared" ref="P262:R262" si="25">P261</f>
        <v>Farmacia</v>
      </c>
      <c r="Q262" t="str">
        <f t="shared" si="25"/>
        <v>U</v>
      </c>
      <c r="R262" t="str">
        <f t="shared" si="25"/>
        <v>Sergio</v>
      </c>
      <c r="T262" t="s">
        <v>1134</v>
      </c>
      <c r="U262" t="s">
        <v>1115</v>
      </c>
      <c r="V262" s="3">
        <f t="shared" ref="V262" si="26">X261</f>
        <v>14</v>
      </c>
      <c r="W262" t="s">
        <v>1137</v>
      </c>
      <c r="X262" s="9"/>
      <c r="Y262" s="9"/>
      <c r="Z262" t="s">
        <v>1131</v>
      </c>
    </row>
    <row r="263" spans="1:26">
      <c r="A263">
        <v>262</v>
      </c>
      <c r="B263" t="s">
        <v>12</v>
      </c>
      <c r="C263" t="s">
        <v>224</v>
      </c>
      <c r="E263" t="s">
        <v>2</v>
      </c>
      <c r="F263">
        <v>986776543</v>
      </c>
      <c r="G263" t="s">
        <v>375</v>
      </c>
      <c r="H263" t="s">
        <v>4</v>
      </c>
      <c r="I263" t="s">
        <v>58</v>
      </c>
      <c r="J263" t="s">
        <v>2</v>
      </c>
      <c r="K263" t="s">
        <v>376</v>
      </c>
      <c r="L263" t="s">
        <v>37</v>
      </c>
      <c r="M263" s="1">
        <v>44817</v>
      </c>
      <c r="N263" t="s">
        <v>21</v>
      </c>
      <c r="O263">
        <v>470</v>
      </c>
      <c r="P263" t="s">
        <v>30</v>
      </c>
      <c r="Q263" t="s">
        <v>31</v>
      </c>
      <c r="R263" t="s">
        <v>11</v>
      </c>
      <c r="T263" t="s">
        <v>1092</v>
      </c>
      <c r="U263" t="s">
        <v>1105</v>
      </c>
      <c r="V263" s="3" t="s">
        <v>1044</v>
      </c>
      <c r="W263" t="s">
        <v>1148</v>
      </c>
      <c r="X263" s="9">
        <v>20</v>
      </c>
      <c r="Y263" s="9" t="s">
        <v>1056</v>
      </c>
      <c r="Z263" t="s">
        <v>1149</v>
      </c>
    </row>
    <row r="264" spans="1:26">
      <c r="A264">
        <v>263</v>
      </c>
      <c r="B264" t="str">
        <f t="shared" ref="B264:N264" si="27">B263</f>
        <v>FT</v>
      </c>
      <c r="C264" t="str">
        <f t="shared" si="27"/>
        <v>Jose Antonio Pancorbo</v>
      </c>
      <c r="E264" t="str">
        <f t="shared" si="27"/>
        <v>-</v>
      </c>
      <c r="F264">
        <f t="shared" si="27"/>
        <v>986776543</v>
      </c>
      <c r="G264" t="str">
        <f t="shared" si="27"/>
        <v>FT E001-67</v>
      </c>
      <c r="H264" t="str">
        <f t="shared" si="27"/>
        <v>Lima</v>
      </c>
      <c r="I264" t="str">
        <f t="shared" si="27"/>
        <v>Olivos</v>
      </c>
      <c r="J264" t="str">
        <f t="shared" si="27"/>
        <v>-</v>
      </c>
      <c r="K264" t="str">
        <f t="shared" si="27"/>
        <v>Municipalidad Los Olivos</v>
      </c>
      <c r="L264" t="str">
        <f t="shared" si="27"/>
        <v>Redes sociales</v>
      </c>
      <c r="M264" s="1">
        <f t="shared" si="27"/>
        <v>44817</v>
      </c>
      <c r="N264" t="str">
        <f t="shared" si="27"/>
        <v>Efectivo</v>
      </c>
      <c r="O264" s="16">
        <f>25*(V264/10)</f>
        <v>50</v>
      </c>
      <c r="P264" t="str">
        <f t="shared" ref="P264:R264" si="28">P263</f>
        <v>Otros</v>
      </c>
      <c r="Q264" t="str">
        <f t="shared" si="28"/>
        <v>M</v>
      </c>
      <c r="R264" t="str">
        <f t="shared" si="28"/>
        <v>Rodrigo</v>
      </c>
      <c r="T264" t="s">
        <v>1134</v>
      </c>
      <c r="U264" t="s">
        <v>1115</v>
      </c>
      <c r="V264" s="3">
        <f t="shared" ref="V264" si="29">X263</f>
        <v>20</v>
      </c>
      <c r="W264" t="s">
        <v>1137</v>
      </c>
      <c r="X264" s="9"/>
      <c r="Y264" s="9"/>
      <c r="Z264" t="s">
        <v>1131</v>
      </c>
    </row>
    <row r="265" spans="1:26">
      <c r="A265">
        <v>264</v>
      </c>
      <c r="B265" t="s">
        <v>2</v>
      </c>
      <c r="C265" t="s">
        <v>377</v>
      </c>
      <c r="E265">
        <v>23145411</v>
      </c>
      <c r="F265" t="s">
        <v>2</v>
      </c>
      <c r="G265" t="s">
        <v>2</v>
      </c>
      <c r="H265" s="7" t="s">
        <v>256</v>
      </c>
      <c r="I265" t="s">
        <v>79</v>
      </c>
      <c r="J265" t="s">
        <v>147</v>
      </c>
      <c r="K265" t="s">
        <v>2</v>
      </c>
      <c r="L265" t="s">
        <v>37</v>
      </c>
      <c r="M265" s="1">
        <v>44818</v>
      </c>
      <c r="N265" t="s">
        <v>56</v>
      </c>
      <c r="O265">
        <v>200</v>
      </c>
      <c r="P265" t="s">
        <v>52</v>
      </c>
      <c r="Q265" t="s">
        <v>10</v>
      </c>
      <c r="R265" t="s">
        <v>11</v>
      </c>
      <c r="T265" t="s">
        <v>1082</v>
      </c>
      <c r="U265" t="s">
        <v>1099</v>
      </c>
      <c r="V265" s="3" t="s">
        <v>1044</v>
      </c>
      <c r="W265" t="s">
        <v>1146</v>
      </c>
      <c r="X265" s="9">
        <v>10</v>
      </c>
      <c r="Y265" s="9" t="s">
        <v>1068</v>
      </c>
      <c r="Z265" t="s">
        <v>1143</v>
      </c>
    </row>
    <row r="266" spans="1:26">
      <c r="A266">
        <v>265</v>
      </c>
      <c r="B266" t="s">
        <v>12</v>
      </c>
      <c r="C266" t="s">
        <v>378</v>
      </c>
      <c r="E266">
        <v>2060059934</v>
      </c>
      <c r="F266">
        <v>975522559</v>
      </c>
      <c r="G266" t="s">
        <v>379</v>
      </c>
      <c r="H266" t="s">
        <v>4</v>
      </c>
      <c r="I266" t="s">
        <v>380</v>
      </c>
      <c r="J266" t="s">
        <v>2</v>
      </c>
      <c r="K266" t="s">
        <v>381</v>
      </c>
      <c r="L266" t="s">
        <v>37</v>
      </c>
      <c r="M266" s="1">
        <v>44818</v>
      </c>
      <c r="N266" t="s">
        <v>8</v>
      </c>
      <c r="O266">
        <v>330</v>
      </c>
      <c r="P266" t="s">
        <v>234</v>
      </c>
      <c r="Q266" t="s">
        <v>10</v>
      </c>
      <c r="R266" t="s">
        <v>22</v>
      </c>
      <c r="T266" t="s">
        <v>1092</v>
      </c>
      <c r="U266" t="s">
        <v>1101</v>
      </c>
      <c r="V266" s="3" t="s">
        <v>1044</v>
      </c>
      <c r="W266" t="s">
        <v>1146</v>
      </c>
      <c r="X266" s="9">
        <v>10</v>
      </c>
      <c r="Y266" s="9" t="s">
        <v>1056</v>
      </c>
      <c r="Z266" t="s">
        <v>1143</v>
      </c>
    </row>
    <row r="267" spans="1:26">
      <c r="A267">
        <v>266</v>
      </c>
      <c r="B267" t="s">
        <v>2</v>
      </c>
      <c r="C267" t="s">
        <v>382</v>
      </c>
      <c r="E267" t="s">
        <v>2</v>
      </c>
      <c r="F267">
        <v>938342861</v>
      </c>
      <c r="G267" t="s">
        <v>2</v>
      </c>
      <c r="H267" t="s">
        <v>4</v>
      </c>
      <c r="I267" t="s">
        <v>383</v>
      </c>
      <c r="J267" t="s">
        <v>2</v>
      </c>
      <c r="K267" t="s">
        <v>383</v>
      </c>
      <c r="L267" t="s">
        <v>37</v>
      </c>
      <c r="M267" s="1">
        <v>44819</v>
      </c>
      <c r="N267" t="s">
        <v>100</v>
      </c>
      <c r="O267" s="16">
        <f>25*(V267/10)</f>
        <v>200</v>
      </c>
      <c r="P267" t="s">
        <v>30</v>
      </c>
      <c r="Q267" t="s">
        <v>10</v>
      </c>
      <c r="R267" t="s">
        <v>22</v>
      </c>
      <c r="T267" t="s">
        <v>1134</v>
      </c>
      <c r="U267" t="s">
        <v>1115</v>
      </c>
      <c r="V267" s="3">
        <v>80</v>
      </c>
      <c r="W267" t="s">
        <v>1137</v>
      </c>
      <c r="X267" s="9" t="s">
        <v>2</v>
      </c>
      <c r="Y267" s="9" t="s">
        <v>2</v>
      </c>
      <c r="Z267" t="s">
        <v>1131</v>
      </c>
    </row>
    <row r="268" spans="1:26">
      <c r="A268">
        <v>267</v>
      </c>
      <c r="B268" t="s">
        <v>23</v>
      </c>
      <c r="C268" t="s">
        <v>384</v>
      </c>
      <c r="E268" t="s">
        <v>2</v>
      </c>
      <c r="F268">
        <v>993104850</v>
      </c>
      <c r="G268" t="s">
        <v>2</v>
      </c>
      <c r="H268" t="s">
        <v>4</v>
      </c>
      <c r="I268" t="s">
        <v>244</v>
      </c>
      <c r="J268" t="s">
        <v>2</v>
      </c>
      <c r="K268" t="s">
        <v>385</v>
      </c>
      <c r="L268" t="s">
        <v>7</v>
      </c>
      <c r="M268" s="1">
        <v>44820</v>
      </c>
      <c r="N268" t="s">
        <v>21</v>
      </c>
      <c r="O268">
        <v>320</v>
      </c>
      <c r="P268" t="s">
        <v>9</v>
      </c>
      <c r="Q268" t="s">
        <v>10</v>
      </c>
      <c r="R268" t="s">
        <v>22</v>
      </c>
      <c r="T268" t="s">
        <v>1082</v>
      </c>
      <c r="U268" t="s">
        <v>1104</v>
      </c>
      <c r="V268" s="3" t="s">
        <v>1044</v>
      </c>
      <c r="W268" t="s">
        <v>1145</v>
      </c>
      <c r="X268" s="9">
        <v>10</v>
      </c>
      <c r="Y268" s="9" t="s">
        <v>1056</v>
      </c>
      <c r="Z268" t="s">
        <v>1143</v>
      </c>
    </row>
    <row r="269" spans="1:26">
      <c r="A269">
        <v>268</v>
      </c>
      <c r="B269" t="s">
        <v>2</v>
      </c>
      <c r="C269" t="s">
        <v>386</v>
      </c>
      <c r="E269" t="s">
        <v>2</v>
      </c>
      <c r="F269">
        <v>987672802</v>
      </c>
      <c r="G269" t="s">
        <v>2</v>
      </c>
      <c r="H269" t="s">
        <v>4</v>
      </c>
      <c r="I269" t="s">
        <v>161</v>
      </c>
      <c r="J269" t="s">
        <v>2</v>
      </c>
      <c r="K269" t="s">
        <v>161</v>
      </c>
      <c r="L269" t="s">
        <v>37</v>
      </c>
      <c r="M269" s="1">
        <v>44820</v>
      </c>
      <c r="N269" t="s">
        <v>8</v>
      </c>
      <c r="O269">
        <v>325</v>
      </c>
      <c r="P269" t="s">
        <v>387</v>
      </c>
      <c r="Q269" t="s">
        <v>10</v>
      </c>
      <c r="R269" t="s">
        <v>22</v>
      </c>
      <c r="T269" t="s">
        <v>1082</v>
      </c>
      <c r="U269" t="s">
        <v>1104</v>
      </c>
      <c r="V269" s="3" t="s">
        <v>1044</v>
      </c>
      <c r="W269" t="s">
        <v>1145</v>
      </c>
      <c r="X269" s="9">
        <v>10</v>
      </c>
      <c r="Y269" s="9" t="s">
        <v>1056</v>
      </c>
      <c r="Z269" t="s">
        <v>1143</v>
      </c>
    </row>
    <row r="270" spans="1:26">
      <c r="A270">
        <v>269</v>
      </c>
      <c r="B270" t="str">
        <f t="shared" ref="B270:N270" si="30">B269</f>
        <v>-</v>
      </c>
      <c r="C270" t="str">
        <f t="shared" si="30"/>
        <v>Fiorella</v>
      </c>
      <c r="E270" t="str">
        <f t="shared" si="30"/>
        <v>-</v>
      </c>
      <c r="F270">
        <f t="shared" si="30"/>
        <v>987672802</v>
      </c>
      <c r="G270" t="str">
        <f t="shared" si="30"/>
        <v>-</v>
      </c>
      <c r="H270" t="str">
        <f t="shared" si="30"/>
        <v>Lima</v>
      </c>
      <c r="I270" t="str">
        <f t="shared" si="30"/>
        <v>Lurin</v>
      </c>
      <c r="J270" t="str">
        <f t="shared" si="30"/>
        <v>-</v>
      </c>
      <c r="K270" t="str">
        <f t="shared" si="30"/>
        <v>Lurin</v>
      </c>
      <c r="L270" t="str">
        <f t="shared" si="30"/>
        <v>Redes sociales</v>
      </c>
      <c r="M270" s="1">
        <f t="shared" si="30"/>
        <v>44820</v>
      </c>
      <c r="N270" t="str">
        <f t="shared" si="30"/>
        <v>BCP</v>
      </c>
      <c r="O270" s="16">
        <f>25*(V270/10)</f>
        <v>25</v>
      </c>
      <c r="P270" t="str">
        <f t="shared" ref="P270:R270" si="31">P269</f>
        <v>Barberia</v>
      </c>
      <c r="Q270" t="str">
        <f t="shared" si="31"/>
        <v>U</v>
      </c>
      <c r="R270" t="str">
        <f t="shared" si="31"/>
        <v>Sergio</v>
      </c>
      <c r="T270" t="s">
        <v>1134</v>
      </c>
      <c r="U270" t="s">
        <v>1115</v>
      </c>
      <c r="V270" s="3">
        <f t="shared" ref="V270" si="32">X269</f>
        <v>10</v>
      </c>
      <c r="W270" t="s">
        <v>1137</v>
      </c>
      <c r="X270" s="9"/>
      <c r="Y270" s="9"/>
      <c r="Z270" t="s">
        <v>1131</v>
      </c>
    </row>
    <row r="271" spans="1:26">
      <c r="A271">
        <v>270</v>
      </c>
      <c r="B271" t="s">
        <v>2</v>
      </c>
      <c r="C271" t="s">
        <v>388</v>
      </c>
      <c r="E271" t="s">
        <v>2</v>
      </c>
      <c r="F271">
        <v>936584456</v>
      </c>
      <c r="G271" t="s">
        <v>2</v>
      </c>
      <c r="H271" t="s">
        <v>4</v>
      </c>
      <c r="I271" t="s">
        <v>58</v>
      </c>
      <c r="J271" t="s">
        <v>2</v>
      </c>
      <c r="K271" t="s">
        <v>389</v>
      </c>
      <c r="L271" t="s">
        <v>7</v>
      </c>
      <c r="M271" s="1">
        <v>44822</v>
      </c>
      <c r="N271" t="s">
        <v>8</v>
      </c>
      <c r="O271">
        <v>320</v>
      </c>
      <c r="P271" t="s">
        <v>30</v>
      </c>
      <c r="Q271" t="s">
        <v>10</v>
      </c>
      <c r="R271" t="s">
        <v>22</v>
      </c>
      <c r="T271" t="s">
        <v>1082</v>
      </c>
      <c r="U271" t="s">
        <v>1104</v>
      </c>
      <c r="V271" s="3" t="s">
        <v>1044</v>
      </c>
      <c r="W271" t="s">
        <v>1145</v>
      </c>
      <c r="X271" s="9">
        <v>10</v>
      </c>
      <c r="Y271" s="9" t="s">
        <v>1056</v>
      </c>
      <c r="Z271" t="s">
        <v>1143</v>
      </c>
    </row>
    <row r="272" spans="1:26">
      <c r="A272">
        <v>271</v>
      </c>
      <c r="B272" t="s">
        <v>23</v>
      </c>
      <c r="C272" t="s">
        <v>390</v>
      </c>
      <c r="E272" t="s">
        <v>2</v>
      </c>
      <c r="F272">
        <v>920197564</v>
      </c>
      <c r="G272" t="s">
        <v>2</v>
      </c>
      <c r="H272" t="s">
        <v>4</v>
      </c>
      <c r="I272" t="s">
        <v>391</v>
      </c>
      <c r="J272" t="s">
        <v>2</v>
      </c>
      <c r="K272" t="s">
        <v>391</v>
      </c>
      <c r="L272" t="s">
        <v>37</v>
      </c>
      <c r="M272" s="1">
        <v>44824</v>
      </c>
      <c r="N272" t="s">
        <v>21</v>
      </c>
      <c r="O272">
        <v>330</v>
      </c>
      <c r="P272" t="s">
        <v>234</v>
      </c>
      <c r="Q272" t="s">
        <v>10</v>
      </c>
      <c r="R272" t="s">
        <v>22</v>
      </c>
      <c r="T272" t="s">
        <v>1082</v>
      </c>
      <c r="U272" t="s">
        <v>1104</v>
      </c>
      <c r="V272" s="3" t="s">
        <v>1044</v>
      </c>
      <c r="W272" t="s">
        <v>1145</v>
      </c>
      <c r="X272" s="9">
        <v>10</v>
      </c>
      <c r="Y272" s="9" t="s">
        <v>1056</v>
      </c>
      <c r="Z272" t="s">
        <v>1143</v>
      </c>
    </row>
    <row r="273" spans="1:26">
      <c r="A273">
        <v>272</v>
      </c>
      <c r="B273" t="s">
        <v>2</v>
      </c>
      <c r="C273" t="s">
        <v>392</v>
      </c>
      <c r="E273" t="s">
        <v>2</v>
      </c>
      <c r="F273">
        <v>959269812</v>
      </c>
      <c r="G273" t="s">
        <v>2</v>
      </c>
      <c r="H273" t="s">
        <v>4</v>
      </c>
      <c r="I273" t="s">
        <v>144</v>
      </c>
      <c r="J273" t="s">
        <v>2</v>
      </c>
      <c r="K273" t="s">
        <v>144</v>
      </c>
      <c r="L273" t="s">
        <v>37</v>
      </c>
      <c r="M273" s="1">
        <v>44824</v>
      </c>
      <c r="N273" t="s">
        <v>56</v>
      </c>
      <c r="O273" s="2">
        <f>510-O274-O275</f>
        <v>335</v>
      </c>
      <c r="P273" t="s">
        <v>234</v>
      </c>
      <c r="Q273" t="s">
        <v>10</v>
      </c>
      <c r="R273" t="s">
        <v>22</v>
      </c>
      <c r="T273" t="s">
        <v>1082</v>
      </c>
      <c r="U273" t="s">
        <v>1104</v>
      </c>
      <c r="V273" s="3" t="s">
        <v>1044</v>
      </c>
      <c r="W273" t="s">
        <v>1145</v>
      </c>
      <c r="X273" s="9"/>
      <c r="Y273" s="9"/>
      <c r="Z273" t="s">
        <v>1143</v>
      </c>
    </row>
    <row r="274" spans="1:26">
      <c r="A274">
        <v>273</v>
      </c>
      <c r="B274" t="s">
        <v>2</v>
      </c>
      <c r="C274" t="s">
        <v>392</v>
      </c>
      <c r="E274" t="s">
        <v>2</v>
      </c>
      <c r="F274">
        <v>959269812</v>
      </c>
      <c r="G274" t="s">
        <v>2</v>
      </c>
      <c r="H274" t="s">
        <v>4</v>
      </c>
      <c r="I274" t="s">
        <v>144</v>
      </c>
      <c r="J274" t="s">
        <v>2</v>
      </c>
      <c r="K274" t="s">
        <v>144</v>
      </c>
      <c r="L274" t="s">
        <v>37</v>
      </c>
      <c r="M274" s="1">
        <v>44824</v>
      </c>
      <c r="N274" t="s">
        <v>56</v>
      </c>
      <c r="O274" s="16">
        <f>25*(V274/10)</f>
        <v>150</v>
      </c>
      <c r="P274" t="s">
        <v>234</v>
      </c>
      <c r="Q274" t="s">
        <v>10</v>
      </c>
      <c r="R274" t="s">
        <v>22</v>
      </c>
      <c r="T274" t="s">
        <v>1134</v>
      </c>
      <c r="U274" t="s">
        <v>1115</v>
      </c>
      <c r="V274">
        <v>60</v>
      </c>
      <c r="W274" t="s">
        <v>1137</v>
      </c>
      <c r="X274" s="9"/>
      <c r="Y274" s="9"/>
      <c r="Z274" t="s">
        <v>1131</v>
      </c>
    </row>
    <row r="275" spans="1:26">
      <c r="A275">
        <v>274</v>
      </c>
      <c r="B275" t="s">
        <v>2</v>
      </c>
      <c r="C275" t="s">
        <v>392</v>
      </c>
      <c r="E275" t="s">
        <v>2</v>
      </c>
      <c r="F275">
        <v>959269812</v>
      </c>
      <c r="G275" t="s">
        <v>2</v>
      </c>
      <c r="H275" t="s">
        <v>4</v>
      </c>
      <c r="I275" t="s">
        <v>144</v>
      </c>
      <c r="J275" t="s">
        <v>2</v>
      </c>
      <c r="K275" t="s">
        <v>144</v>
      </c>
      <c r="L275" t="s">
        <v>37</v>
      </c>
      <c r="M275" s="1">
        <v>44824</v>
      </c>
      <c r="N275" t="s">
        <v>56</v>
      </c>
      <c r="O275" s="14">
        <v>25</v>
      </c>
      <c r="P275" t="s">
        <v>234</v>
      </c>
      <c r="Q275" t="s">
        <v>10</v>
      </c>
      <c r="R275" t="s">
        <v>22</v>
      </c>
      <c r="T275" t="s">
        <v>1151</v>
      </c>
      <c r="U275" t="s">
        <v>1124</v>
      </c>
      <c r="V275">
        <v>1</v>
      </c>
      <c r="W275" t="s">
        <v>1135</v>
      </c>
      <c r="X275" s="9"/>
      <c r="Y275" s="9"/>
      <c r="Z275" t="s">
        <v>1136</v>
      </c>
    </row>
    <row r="276" spans="1:26">
      <c r="A276">
        <v>275</v>
      </c>
      <c r="B276" t="s">
        <v>2</v>
      </c>
      <c r="C276" t="s">
        <v>393</v>
      </c>
      <c r="E276" t="s">
        <v>2</v>
      </c>
      <c r="F276">
        <v>955440204</v>
      </c>
      <c r="G276" t="s">
        <v>2</v>
      </c>
      <c r="H276" t="s">
        <v>4</v>
      </c>
      <c r="I276" t="s">
        <v>144</v>
      </c>
      <c r="J276" t="s">
        <v>2</v>
      </c>
      <c r="K276" t="s">
        <v>144</v>
      </c>
      <c r="L276" t="s">
        <v>37</v>
      </c>
      <c r="M276" s="1">
        <v>44827</v>
      </c>
      <c r="N276" t="s">
        <v>8</v>
      </c>
      <c r="O276">
        <v>365</v>
      </c>
      <c r="P276" t="s">
        <v>30</v>
      </c>
      <c r="Q276" t="s">
        <v>10</v>
      </c>
      <c r="R276" t="s">
        <v>22</v>
      </c>
      <c r="T276" t="s">
        <v>1097</v>
      </c>
      <c r="U276" t="s">
        <v>1102</v>
      </c>
      <c r="V276" s="3" t="s">
        <v>1044</v>
      </c>
      <c r="W276" t="s">
        <v>1145</v>
      </c>
      <c r="X276" s="9" t="s">
        <v>2</v>
      </c>
      <c r="Y276" s="9" t="s">
        <v>2</v>
      </c>
      <c r="Z276" t="s">
        <v>1144</v>
      </c>
    </row>
    <row r="277" spans="1:26">
      <c r="A277">
        <v>276</v>
      </c>
      <c r="B277" t="s">
        <v>60</v>
      </c>
      <c r="C277" t="s">
        <v>136</v>
      </c>
      <c r="E277">
        <v>20393955415</v>
      </c>
      <c r="F277">
        <v>939361591</v>
      </c>
      <c r="G277" t="s">
        <v>394</v>
      </c>
      <c r="H277" s="7" t="s">
        <v>256</v>
      </c>
      <c r="I277" t="s">
        <v>79</v>
      </c>
      <c r="J277" t="s">
        <v>29</v>
      </c>
      <c r="K277" t="s">
        <v>2</v>
      </c>
      <c r="L277" t="s">
        <v>37</v>
      </c>
      <c r="M277" s="1">
        <v>44828</v>
      </c>
      <c r="N277" t="s">
        <v>38</v>
      </c>
      <c r="O277">
        <v>570</v>
      </c>
      <c r="P277" t="s">
        <v>138</v>
      </c>
      <c r="Q277" t="s">
        <v>31</v>
      </c>
      <c r="R277" t="s">
        <v>11</v>
      </c>
      <c r="T277" t="s">
        <v>1092</v>
      </c>
      <c r="U277" t="s">
        <v>1105</v>
      </c>
      <c r="V277" s="3" t="s">
        <v>1047</v>
      </c>
      <c r="W277" t="s">
        <v>1148</v>
      </c>
      <c r="X277" s="9">
        <v>20</v>
      </c>
      <c r="Y277" s="9" t="s">
        <v>1056</v>
      </c>
      <c r="Z277" t="s">
        <v>1149</v>
      </c>
    </row>
    <row r="278" spans="1:26">
      <c r="A278">
        <v>277</v>
      </c>
      <c r="B278" t="str">
        <f t="shared" ref="B278:N278" si="33">B277</f>
        <v>RH</v>
      </c>
      <c r="C278" t="str">
        <f t="shared" si="33"/>
        <v>Reategui Vargas Alexis</v>
      </c>
      <c r="E278">
        <f t="shared" si="33"/>
        <v>20393955415</v>
      </c>
      <c r="F278">
        <f t="shared" si="33"/>
        <v>939361591</v>
      </c>
      <c r="G278" t="str">
        <f t="shared" si="33"/>
        <v>FT F001-8</v>
      </c>
      <c r="H278" s="7" t="str">
        <f t="shared" si="33"/>
        <v>Ucayali</v>
      </c>
      <c r="I278" t="str">
        <f t="shared" si="33"/>
        <v>Pucallpa</v>
      </c>
      <c r="J278" t="str">
        <f t="shared" si="33"/>
        <v>Shalom</v>
      </c>
      <c r="K278" t="str">
        <f t="shared" si="33"/>
        <v>-</v>
      </c>
      <c r="L278" t="str">
        <f t="shared" si="33"/>
        <v>Redes sociales</v>
      </c>
      <c r="M278" s="1">
        <f t="shared" si="33"/>
        <v>44828</v>
      </c>
      <c r="N278" t="str">
        <f t="shared" si="33"/>
        <v>BBVA</v>
      </c>
      <c r="O278" s="16">
        <v>30</v>
      </c>
      <c r="P278" t="str">
        <f t="shared" ref="P278:R278" si="34">P277</f>
        <v>Contador</v>
      </c>
      <c r="Q278" t="str">
        <f t="shared" si="34"/>
        <v>M</v>
      </c>
      <c r="R278" t="str">
        <f t="shared" si="34"/>
        <v>Rodrigo</v>
      </c>
      <c r="T278" t="s">
        <v>1134</v>
      </c>
      <c r="U278" t="s">
        <v>1115</v>
      </c>
      <c r="V278" s="3">
        <v>20</v>
      </c>
      <c r="W278" t="s">
        <v>1137</v>
      </c>
      <c r="X278" s="9"/>
      <c r="Y278" s="9"/>
      <c r="Z278" t="s">
        <v>1131</v>
      </c>
    </row>
    <row r="279" spans="1:26">
      <c r="A279">
        <v>278</v>
      </c>
      <c r="B279" t="s">
        <v>23</v>
      </c>
      <c r="C279" t="s">
        <v>395</v>
      </c>
      <c r="E279" t="s">
        <v>2</v>
      </c>
      <c r="F279">
        <v>979667382</v>
      </c>
      <c r="G279" t="s">
        <v>2</v>
      </c>
      <c r="H279" t="s">
        <v>4</v>
      </c>
      <c r="I279" t="s">
        <v>164</v>
      </c>
      <c r="J279" t="s">
        <v>2</v>
      </c>
      <c r="K279" t="s">
        <v>164</v>
      </c>
      <c r="L279" t="s">
        <v>37</v>
      </c>
      <c r="M279" s="1">
        <v>44829</v>
      </c>
      <c r="N279" t="s">
        <v>21</v>
      </c>
      <c r="O279">
        <v>315</v>
      </c>
      <c r="P279" t="s">
        <v>30</v>
      </c>
      <c r="Q279" t="s">
        <v>10</v>
      </c>
      <c r="R279" t="s">
        <v>22</v>
      </c>
      <c r="T279" t="s">
        <v>1082</v>
      </c>
      <c r="U279" t="s">
        <v>1104</v>
      </c>
      <c r="V279" s="3" t="s">
        <v>1044</v>
      </c>
      <c r="W279" t="s">
        <v>1145</v>
      </c>
      <c r="X279" s="9"/>
      <c r="Y279" s="9"/>
      <c r="Z279" t="s">
        <v>1143</v>
      </c>
    </row>
    <row r="280" spans="1:26">
      <c r="A280">
        <v>279</v>
      </c>
      <c r="B280" t="s">
        <v>23</v>
      </c>
      <c r="C280" t="s">
        <v>395</v>
      </c>
      <c r="E280" t="s">
        <v>2</v>
      </c>
      <c r="F280">
        <v>979667382</v>
      </c>
      <c r="G280" t="s">
        <v>2</v>
      </c>
      <c r="H280" t="s">
        <v>4</v>
      </c>
      <c r="I280" t="s">
        <v>164</v>
      </c>
      <c r="J280" t="s">
        <v>2</v>
      </c>
      <c r="K280" t="s">
        <v>164</v>
      </c>
      <c r="L280" t="s">
        <v>37</v>
      </c>
      <c r="M280" s="1">
        <v>44829</v>
      </c>
      <c r="N280" t="s">
        <v>21</v>
      </c>
      <c r="O280" s="16">
        <f>25*(V280/10)</f>
        <v>25</v>
      </c>
      <c r="P280" t="s">
        <v>30</v>
      </c>
      <c r="Q280" t="s">
        <v>10</v>
      </c>
      <c r="R280" t="s">
        <v>22</v>
      </c>
      <c r="T280" t="s">
        <v>1134</v>
      </c>
      <c r="U280" t="s">
        <v>1115</v>
      </c>
      <c r="V280">
        <v>10</v>
      </c>
      <c r="W280" t="s">
        <v>1137</v>
      </c>
      <c r="X280" s="9"/>
      <c r="Y280" s="9"/>
      <c r="Z280" t="s">
        <v>1131</v>
      </c>
    </row>
    <row r="281" spans="1:26">
      <c r="A281">
        <v>280</v>
      </c>
      <c r="B281" t="s">
        <v>23</v>
      </c>
      <c r="C281" t="s">
        <v>395</v>
      </c>
      <c r="E281" t="s">
        <v>2</v>
      </c>
      <c r="F281">
        <v>979667382</v>
      </c>
      <c r="G281" t="s">
        <v>2</v>
      </c>
      <c r="H281" t="s">
        <v>4</v>
      </c>
      <c r="I281" t="s">
        <v>164</v>
      </c>
      <c r="J281" t="s">
        <v>2</v>
      </c>
      <c r="K281" t="s">
        <v>164</v>
      </c>
      <c r="L281" t="s">
        <v>37</v>
      </c>
      <c r="M281" s="1">
        <v>44829</v>
      </c>
      <c r="N281" t="s">
        <v>21</v>
      </c>
      <c r="O281">
        <v>10</v>
      </c>
      <c r="P281" t="s">
        <v>52</v>
      </c>
      <c r="Q281" t="s">
        <v>10</v>
      </c>
      <c r="R281" t="s">
        <v>22</v>
      </c>
      <c r="T281" t="s">
        <v>1129</v>
      </c>
      <c r="U281" t="s">
        <v>1129</v>
      </c>
      <c r="V281">
        <v>1</v>
      </c>
      <c r="W281" t="s">
        <v>1059</v>
      </c>
      <c r="X281" s="9"/>
      <c r="Y281" s="9"/>
      <c r="Z281" t="s">
        <v>1147</v>
      </c>
    </row>
    <row r="282" spans="1:26">
      <c r="A282">
        <v>281</v>
      </c>
      <c r="B282" t="s">
        <v>0</v>
      </c>
      <c r="C282" t="s">
        <v>396</v>
      </c>
      <c r="E282" t="s">
        <v>2</v>
      </c>
      <c r="F282">
        <v>906341511</v>
      </c>
      <c r="G282" t="s">
        <v>397</v>
      </c>
      <c r="H282" t="s">
        <v>4</v>
      </c>
      <c r="I282" t="s">
        <v>364</v>
      </c>
      <c r="J282" t="s">
        <v>2</v>
      </c>
      <c r="K282" t="s">
        <v>364</v>
      </c>
      <c r="L282" t="s">
        <v>37</v>
      </c>
      <c r="M282" s="1">
        <v>44830</v>
      </c>
      <c r="N282" t="s">
        <v>21</v>
      </c>
      <c r="O282">
        <v>200</v>
      </c>
      <c r="P282" t="s">
        <v>216</v>
      </c>
      <c r="Q282" t="s">
        <v>10</v>
      </c>
      <c r="R282" t="s">
        <v>22</v>
      </c>
      <c r="T282" t="s">
        <v>1082</v>
      </c>
      <c r="U282" t="s">
        <v>1099</v>
      </c>
      <c r="V282" s="3" t="s">
        <v>1044</v>
      </c>
      <c r="W282" t="s">
        <v>1146</v>
      </c>
      <c r="X282" s="9">
        <v>10</v>
      </c>
      <c r="Y282" s="9" t="s">
        <v>1068</v>
      </c>
      <c r="Z282" t="s">
        <v>1143</v>
      </c>
    </row>
    <row r="283" spans="1:26">
      <c r="A283">
        <v>282</v>
      </c>
      <c r="B283" t="s">
        <v>12</v>
      </c>
      <c r="C283" t="s">
        <v>398</v>
      </c>
      <c r="E283" t="s">
        <v>2</v>
      </c>
      <c r="F283">
        <v>950633893</v>
      </c>
      <c r="G283" t="s">
        <v>399</v>
      </c>
      <c r="H283" t="s">
        <v>4</v>
      </c>
      <c r="J283" t="s">
        <v>2</v>
      </c>
      <c r="K283" t="s">
        <v>400</v>
      </c>
      <c r="L283" t="s">
        <v>37</v>
      </c>
      <c r="M283" s="1">
        <v>44830</v>
      </c>
      <c r="N283" t="s">
        <v>8</v>
      </c>
      <c r="O283">
        <v>200</v>
      </c>
      <c r="P283" t="s">
        <v>234</v>
      </c>
      <c r="Q283" t="s">
        <v>10</v>
      </c>
      <c r="R283" t="s">
        <v>22</v>
      </c>
      <c r="T283" t="s">
        <v>1092</v>
      </c>
      <c r="U283" t="s">
        <v>1100</v>
      </c>
      <c r="V283" s="3" t="s">
        <v>1044</v>
      </c>
      <c r="W283" t="s">
        <v>1146</v>
      </c>
      <c r="X283" s="9">
        <v>10</v>
      </c>
      <c r="Y283" s="9" t="s">
        <v>1068</v>
      </c>
      <c r="Z283" t="s">
        <v>1144</v>
      </c>
    </row>
    <row r="284" spans="1:26">
      <c r="A284">
        <v>283</v>
      </c>
      <c r="B284" t="s">
        <v>23</v>
      </c>
      <c r="C284" t="s">
        <v>401</v>
      </c>
      <c r="E284" t="s">
        <v>2</v>
      </c>
      <c r="F284">
        <v>922139681</v>
      </c>
      <c r="G284" t="s">
        <v>2</v>
      </c>
      <c r="H284" t="s">
        <v>4</v>
      </c>
      <c r="J284" t="s">
        <v>2</v>
      </c>
      <c r="K284" t="s">
        <v>402</v>
      </c>
      <c r="L284" t="s">
        <v>37</v>
      </c>
      <c r="M284" s="1">
        <v>44831</v>
      </c>
      <c r="N284" t="s">
        <v>21</v>
      </c>
      <c r="O284">
        <v>200</v>
      </c>
      <c r="P284" t="s">
        <v>30</v>
      </c>
      <c r="Q284" t="s">
        <v>10</v>
      </c>
      <c r="R284" t="s">
        <v>22</v>
      </c>
      <c r="T284" t="s">
        <v>1082</v>
      </c>
      <c r="U284" t="s">
        <v>1099</v>
      </c>
      <c r="V284" s="3" t="s">
        <v>1044</v>
      </c>
      <c r="W284" t="s">
        <v>1146</v>
      </c>
      <c r="X284" s="9">
        <v>10</v>
      </c>
      <c r="Y284" s="9" t="s">
        <v>1068</v>
      </c>
      <c r="Z284" t="s">
        <v>1143</v>
      </c>
    </row>
    <row r="285" spans="1:26">
      <c r="A285">
        <v>284</v>
      </c>
      <c r="B285" t="s">
        <v>2</v>
      </c>
      <c r="C285" t="s">
        <v>403</v>
      </c>
      <c r="E285">
        <v>45506222</v>
      </c>
      <c r="F285">
        <v>990188744</v>
      </c>
      <c r="G285" t="s">
        <v>2</v>
      </c>
      <c r="H285" t="s">
        <v>55</v>
      </c>
      <c r="J285" t="s">
        <v>29</v>
      </c>
      <c r="K285" t="s">
        <v>2</v>
      </c>
      <c r="L285" t="s">
        <v>37</v>
      </c>
      <c r="M285" s="1">
        <v>44832</v>
      </c>
      <c r="N285" t="s">
        <v>8</v>
      </c>
      <c r="O285">
        <v>350</v>
      </c>
      <c r="P285" t="s">
        <v>9</v>
      </c>
      <c r="Q285" t="s">
        <v>10</v>
      </c>
      <c r="R285" t="s">
        <v>11</v>
      </c>
      <c r="T285" t="s">
        <v>1092</v>
      </c>
      <c r="U285" t="s">
        <v>1100</v>
      </c>
      <c r="V285" s="3" t="s">
        <v>1044</v>
      </c>
      <c r="W285" t="s">
        <v>1146</v>
      </c>
      <c r="X285" s="9">
        <v>100</v>
      </c>
      <c r="Y285" s="9" t="s">
        <v>1068</v>
      </c>
      <c r="Z285" t="s">
        <v>1144</v>
      </c>
    </row>
    <row r="286" spans="1:26">
      <c r="A286">
        <v>285</v>
      </c>
      <c r="B286" t="s">
        <v>2</v>
      </c>
      <c r="C286" t="s">
        <v>404</v>
      </c>
      <c r="E286">
        <v>70545354</v>
      </c>
      <c r="F286">
        <v>941303898</v>
      </c>
      <c r="G286" t="s">
        <v>2</v>
      </c>
      <c r="H286" t="s">
        <v>827</v>
      </c>
      <c r="I286" t="s">
        <v>405</v>
      </c>
      <c r="J286" t="s">
        <v>147</v>
      </c>
      <c r="K286" t="s">
        <v>2</v>
      </c>
      <c r="L286" t="s">
        <v>37</v>
      </c>
      <c r="M286" s="1">
        <v>44833</v>
      </c>
      <c r="N286" t="s">
        <v>8</v>
      </c>
      <c r="O286">
        <v>190</v>
      </c>
      <c r="P286" t="s">
        <v>30</v>
      </c>
      <c r="Q286" t="s">
        <v>10</v>
      </c>
      <c r="R286" t="s">
        <v>22</v>
      </c>
      <c r="T286" t="s">
        <v>1082</v>
      </c>
      <c r="U286" t="s">
        <v>1099</v>
      </c>
      <c r="V286" s="3" t="s">
        <v>1044</v>
      </c>
      <c r="W286" t="s">
        <v>1146</v>
      </c>
      <c r="X286" s="9">
        <v>10</v>
      </c>
      <c r="Y286" s="9" t="s">
        <v>1068</v>
      </c>
      <c r="Z286" t="s">
        <v>1143</v>
      </c>
    </row>
    <row r="287" spans="1:26">
      <c r="A287">
        <v>286</v>
      </c>
      <c r="B287" t="s">
        <v>2</v>
      </c>
      <c r="C287" t="s">
        <v>406</v>
      </c>
      <c r="E287">
        <v>71387003</v>
      </c>
      <c r="F287">
        <v>914623324</v>
      </c>
      <c r="G287" t="s">
        <v>2</v>
      </c>
      <c r="H287" t="s">
        <v>266</v>
      </c>
      <c r="J287" t="s">
        <v>407</v>
      </c>
      <c r="K287" t="s">
        <v>408</v>
      </c>
      <c r="L287" t="s">
        <v>37</v>
      </c>
      <c r="M287" s="1">
        <v>44833</v>
      </c>
      <c r="N287" t="s">
        <v>8</v>
      </c>
      <c r="O287">
        <v>200</v>
      </c>
      <c r="P287" t="s">
        <v>409</v>
      </c>
      <c r="Q287" t="s">
        <v>10</v>
      </c>
      <c r="R287" t="s">
        <v>11</v>
      </c>
      <c r="T287" t="s">
        <v>1082</v>
      </c>
      <c r="U287" t="s">
        <v>1099</v>
      </c>
      <c r="V287" s="3" t="s">
        <v>1044</v>
      </c>
      <c r="W287" t="s">
        <v>1146</v>
      </c>
      <c r="X287" s="9">
        <v>10</v>
      </c>
      <c r="Y287" s="9" t="s">
        <v>1068</v>
      </c>
      <c r="Z287" t="s">
        <v>1143</v>
      </c>
    </row>
    <row r="288" spans="1:26">
      <c r="A288">
        <v>287</v>
      </c>
      <c r="B288" t="s">
        <v>12</v>
      </c>
      <c r="C288" t="s">
        <v>410</v>
      </c>
      <c r="E288">
        <v>20609723336</v>
      </c>
      <c r="F288">
        <v>990631412</v>
      </c>
      <c r="G288" t="s">
        <v>411</v>
      </c>
      <c r="H288" t="s">
        <v>4</v>
      </c>
      <c r="I288" t="s">
        <v>19</v>
      </c>
      <c r="J288" t="s">
        <v>2</v>
      </c>
      <c r="K288" t="s">
        <v>412</v>
      </c>
      <c r="L288" t="s">
        <v>37</v>
      </c>
      <c r="M288" s="1">
        <v>44834</v>
      </c>
      <c r="N288" t="s">
        <v>8</v>
      </c>
      <c r="O288">
        <v>480</v>
      </c>
      <c r="P288" t="s">
        <v>216</v>
      </c>
      <c r="Q288" t="s">
        <v>10</v>
      </c>
      <c r="R288" t="s">
        <v>22</v>
      </c>
      <c r="T288" t="s">
        <v>1092</v>
      </c>
      <c r="U288" t="s">
        <v>1105</v>
      </c>
      <c r="V288" s="3" t="s">
        <v>1044</v>
      </c>
      <c r="W288" t="s">
        <v>1148</v>
      </c>
      <c r="X288" s="9">
        <v>1</v>
      </c>
      <c r="Y288" s="9" t="s">
        <v>1065</v>
      </c>
      <c r="Z288" t="s">
        <v>1149</v>
      </c>
    </row>
    <row r="289" spans="1:26">
      <c r="A289">
        <v>288</v>
      </c>
      <c r="B289" t="str">
        <f t="shared" ref="B289:N289" si="35">B288</f>
        <v>FT</v>
      </c>
      <c r="C289" t="str">
        <f t="shared" si="35"/>
        <v>Luis Bernal</v>
      </c>
      <c r="E289">
        <f t="shared" si="35"/>
        <v>20609723336</v>
      </c>
      <c r="F289">
        <f t="shared" si="35"/>
        <v>990631412</v>
      </c>
      <c r="G289" t="str">
        <f t="shared" si="35"/>
        <v>FT F001-12</v>
      </c>
      <c r="H289" t="str">
        <f t="shared" si="35"/>
        <v>Lima</v>
      </c>
      <c r="I289" t="str">
        <f t="shared" si="35"/>
        <v>La Molina</v>
      </c>
      <c r="J289" t="str">
        <f t="shared" si="35"/>
        <v>-</v>
      </c>
      <c r="K289" t="str">
        <f t="shared" si="35"/>
        <v>La molina</v>
      </c>
      <c r="L289" t="str">
        <f t="shared" si="35"/>
        <v>Redes sociales</v>
      </c>
      <c r="M289" s="1">
        <f t="shared" si="35"/>
        <v>44834</v>
      </c>
      <c r="N289" t="str">
        <f t="shared" si="35"/>
        <v>BCP</v>
      </c>
      <c r="O289" s="16">
        <f>25*(V289/10)</f>
        <v>100</v>
      </c>
      <c r="P289" t="str">
        <f t="shared" ref="P289:R289" si="36">P288</f>
        <v>Polleria</v>
      </c>
      <c r="Q289" t="str">
        <f t="shared" si="36"/>
        <v>U</v>
      </c>
      <c r="R289" t="str">
        <f t="shared" si="36"/>
        <v>Sergio</v>
      </c>
      <c r="T289" t="s">
        <v>1134</v>
      </c>
      <c r="U289" t="s">
        <v>1115</v>
      </c>
      <c r="V289" s="3">
        <v>40</v>
      </c>
      <c r="W289" t="s">
        <v>1137</v>
      </c>
      <c r="X289" s="9"/>
      <c r="Y289" s="9"/>
      <c r="Z289" t="s">
        <v>1131</v>
      </c>
    </row>
    <row r="290" spans="1:26">
      <c r="A290">
        <v>289</v>
      </c>
      <c r="B290" t="s">
        <v>23</v>
      </c>
      <c r="C290" t="s">
        <v>413</v>
      </c>
      <c r="E290" t="s">
        <v>2</v>
      </c>
      <c r="F290">
        <v>955263462</v>
      </c>
      <c r="G290" t="s">
        <v>2</v>
      </c>
      <c r="H290" t="s">
        <v>4</v>
      </c>
      <c r="I290" t="s">
        <v>19</v>
      </c>
      <c r="J290" t="s">
        <v>2</v>
      </c>
      <c r="K290" t="s">
        <v>414</v>
      </c>
      <c r="L290" t="s">
        <v>37</v>
      </c>
      <c r="M290" s="1">
        <v>44838</v>
      </c>
      <c r="N290" t="s">
        <v>21</v>
      </c>
      <c r="O290">
        <v>200</v>
      </c>
      <c r="P290" t="s">
        <v>30</v>
      </c>
      <c r="Q290" t="s">
        <v>10</v>
      </c>
      <c r="R290" t="s">
        <v>11</v>
      </c>
      <c r="T290" t="s">
        <v>1133</v>
      </c>
      <c r="U290" t="s">
        <v>1115</v>
      </c>
      <c r="V290" s="3">
        <v>80</v>
      </c>
      <c r="W290" t="s">
        <v>1132</v>
      </c>
      <c r="X290" s="9" t="s">
        <v>2</v>
      </c>
      <c r="Y290" s="9" t="s">
        <v>2</v>
      </c>
      <c r="Z290" t="s">
        <v>1131</v>
      </c>
    </row>
    <row r="291" spans="1:26">
      <c r="A291">
        <v>290</v>
      </c>
      <c r="B291" t="s">
        <v>23</v>
      </c>
      <c r="C291" t="s">
        <v>415</v>
      </c>
      <c r="E291" t="s">
        <v>2</v>
      </c>
      <c r="F291">
        <v>957384083</v>
      </c>
      <c r="G291" t="s">
        <v>2</v>
      </c>
      <c r="H291" t="s">
        <v>4</v>
      </c>
      <c r="I291" t="s">
        <v>380</v>
      </c>
      <c r="J291" t="s">
        <v>2</v>
      </c>
      <c r="K291" t="s">
        <v>416</v>
      </c>
      <c r="L291" t="s">
        <v>37</v>
      </c>
      <c r="M291" s="1">
        <v>44838</v>
      </c>
      <c r="N291" t="s">
        <v>21</v>
      </c>
      <c r="O291">
        <v>330</v>
      </c>
      <c r="P291" t="s">
        <v>52</v>
      </c>
      <c r="Q291" t="s">
        <v>10</v>
      </c>
      <c r="R291" t="s">
        <v>11</v>
      </c>
      <c r="T291" t="s">
        <v>1082</v>
      </c>
      <c r="U291" t="s">
        <v>1104</v>
      </c>
      <c r="V291" s="3" t="s">
        <v>1044</v>
      </c>
      <c r="W291" t="s">
        <v>1145</v>
      </c>
      <c r="X291" s="9">
        <v>10</v>
      </c>
      <c r="Y291" s="9" t="s">
        <v>1056</v>
      </c>
      <c r="Z291" t="s">
        <v>1143</v>
      </c>
    </row>
    <row r="292" spans="1:26">
      <c r="A292">
        <v>291</v>
      </c>
      <c r="B292" t="s">
        <v>12</v>
      </c>
      <c r="C292" t="s">
        <v>417</v>
      </c>
      <c r="E292">
        <v>20609959275</v>
      </c>
      <c r="F292">
        <v>962951294</v>
      </c>
      <c r="G292" t="s">
        <v>418</v>
      </c>
      <c r="H292" t="s">
        <v>266</v>
      </c>
      <c r="J292" t="s">
        <v>29</v>
      </c>
      <c r="K292" t="s">
        <v>2</v>
      </c>
      <c r="L292" t="s">
        <v>37</v>
      </c>
      <c r="M292" s="1">
        <v>44840</v>
      </c>
      <c r="N292" t="s">
        <v>56</v>
      </c>
      <c r="O292">
        <v>330</v>
      </c>
      <c r="P292" t="s">
        <v>9</v>
      </c>
      <c r="Q292" t="s">
        <v>10</v>
      </c>
      <c r="R292" t="s">
        <v>22</v>
      </c>
      <c r="T292" t="s">
        <v>1092</v>
      </c>
      <c r="U292" t="s">
        <v>1105</v>
      </c>
      <c r="V292" s="3" t="s">
        <v>1044</v>
      </c>
      <c r="W292" t="s">
        <v>1148</v>
      </c>
      <c r="X292" s="9">
        <v>10</v>
      </c>
      <c r="Y292" s="9" t="s">
        <v>1056</v>
      </c>
      <c r="Z292" t="s">
        <v>1149</v>
      </c>
    </row>
    <row r="293" spans="1:26">
      <c r="A293">
        <v>292</v>
      </c>
      <c r="B293" t="s">
        <v>2</v>
      </c>
      <c r="C293" t="s">
        <v>419</v>
      </c>
      <c r="E293" t="s">
        <v>2</v>
      </c>
      <c r="F293">
        <v>939170886</v>
      </c>
      <c r="G293" t="s">
        <v>2</v>
      </c>
      <c r="H293" t="s">
        <v>4</v>
      </c>
      <c r="I293" t="s">
        <v>420</v>
      </c>
      <c r="J293" t="s">
        <v>2</v>
      </c>
      <c r="K293" t="s">
        <v>421</v>
      </c>
      <c r="L293" t="s">
        <v>7</v>
      </c>
      <c r="M293" s="1">
        <v>44840</v>
      </c>
      <c r="N293" t="s">
        <v>21</v>
      </c>
      <c r="O293">
        <v>330</v>
      </c>
      <c r="P293" t="s">
        <v>234</v>
      </c>
      <c r="Q293" t="s">
        <v>10</v>
      </c>
      <c r="R293" t="s">
        <v>22</v>
      </c>
      <c r="T293" t="s">
        <v>1092</v>
      </c>
      <c r="U293" t="s">
        <v>1105</v>
      </c>
      <c r="V293" s="3" t="s">
        <v>1044</v>
      </c>
      <c r="W293" t="s">
        <v>1148</v>
      </c>
      <c r="X293" s="9">
        <v>10</v>
      </c>
      <c r="Y293" s="9" t="s">
        <v>1056</v>
      </c>
      <c r="Z293" t="s">
        <v>1149</v>
      </c>
    </row>
    <row r="294" spans="1:26">
      <c r="A294">
        <v>293</v>
      </c>
      <c r="B294" t="s">
        <v>2</v>
      </c>
      <c r="C294" t="s">
        <v>422</v>
      </c>
      <c r="E294">
        <v>46910612</v>
      </c>
      <c r="F294">
        <v>918413912</v>
      </c>
      <c r="G294" t="s">
        <v>2</v>
      </c>
      <c r="H294" t="s">
        <v>423</v>
      </c>
      <c r="J294" t="s">
        <v>147</v>
      </c>
      <c r="K294" t="s">
        <v>2</v>
      </c>
      <c r="L294" t="s">
        <v>37</v>
      </c>
      <c r="M294" s="1">
        <v>44840</v>
      </c>
      <c r="N294" t="s">
        <v>38</v>
      </c>
      <c r="O294">
        <v>190</v>
      </c>
      <c r="P294" t="s">
        <v>234</v>
      </c>
      <c r="Q294" t="s">
        <v>10</v>
      </c>
      <c r="R294" t="s">
        <v>11</v>
      </c>
      <c r="T294" t="s">
        <v>1092</v>
      </c>
      <c r="U294" t="s">
        <v>1100</v>
      </c>
      <c r="V294" s="3" t="s">
        <v>1044</v>
      </c>
      <c r="W294" t="s">
        <v>1146</v>
      </c>
      <c r="X294" s="9">
        <v>10</v>
      </c>
      <c r="Y294" s="9" t="s">
        <v>1068</v>
      </c>
      <c r="Z294" t="s">
        <v>1144</v>
      </c>
    </row>
    <row r="295" spans="1:26">
      <c r="A295">
        <v>294</v>
      </c>
      <c r="B295" t="s">
        <v>23</v>
      </c>
      <c r="C295" t="s">
        <v>424</v>
      </c>
      <c r="E295" t="s">
        <v>2</v>
      </c>
      <c r="F295">
        <v>978906149</v>
      </c>
      <c r="G295" t="s">
        <v>2</v>
      </c>
      <c r="H295" t="s">
        <v>4</v>
      </c>
      <c r="I295" t="s">
        <v>90</v>
      </c>
      <c r="J295" t="s">
        <v>2</v>
      </c>
      <c r="K295" t="s">
        <v>2</v>
      </c>
      <c r="L295" t="s">
        <v>37</v>
      </c>
      <c r="M295" s="1">
        <v>44841</v>
      </c>
      <c r="N295" t="s">
        <v>21</v>
      </c>
      <c r="O295">
        <v>40</v>
      </c>
      <c r="P295" t="s">
        <v>30</v>
      </c>
      <c r="Q295" t="s">
        <v>10</v>
      </c>
      <c r="R295" t="s">
        <v>22</v>
      </c>
      <c r="T295" t="s">
        <v>1133</v>
      </c>
      <c r="U295" t="s">
        <v>1114</v>
      </c>
      <c r="V295" s="3">
        <v>20</v>
      </c>
      <c r="W295" t="s">
        <v>1132</v>
      </c>
      <c r="X295" s="9" t="s">
        <v>2</v>
      </c>
      <c r="Y295" s="9" t="s">
        <v>2</v>
      </c>
      <c r="Z295" t="s">
        <v>1131</v>
      </c>
    </row>
    <row r="296" spans="1:26">
      <c r="A296">
        <v>295</v>
      </c>
      <c r="B296" t="s">
        <v>2</v>
      </c>
      <c r="C296" t="s">
        <v>425</v>
      </c>
      <c r="E296" t="s">
        <v>2</v>
      </c>
      <c r="F296">
        <v>988247429</v>
      </c>
      <c r="G296" t="s">
        <v>2</v>
      </c>
      <c r="H296" t="s">
        <v>4</v>
      </c>
      <c r="I296" t="s">
        <v>426</v>
      </c>
      <c r="J296" t="s">
        <v>2</v>
      </c>
      <c r="K296" t="s">
        <v>426</v>
      </c>
      <c r="L296" t="s">
        <v>37</v>
      </c>
      <c r="M296" s="1">
        <v>44842</v>
      </c>
      <c r="N296" t="s">
        <v>56</v>
      </c>
      <c r="O296">
        <v>200</v>
      </c>
      <c r="P296" t="s">
        <v>30</v>
      </c>
      <c r="Q296" t="s">
        <v>10</v>
      </c>
      <c r="R296" t="s">
        <v>22</v>
      </c>
      <c r="T296" t="s">
        <v>1092</v>
      </c>
      <c r="U296" t="s">
        <v>1100</v>
      </c>
      <c r="V296" s="3" t="s">
        <v>1044</v>
      </c>
      <c r="W296" t="s">
        <v>1146</v>
      </c>
      <c r="X296" s="9">
        <v>10</v>
      </c>
      <c r="Y296" s="9" t="s">
        <v>1068</v>
      </c>
      <c r="Z296" t="s">
        <v>1144</v>
      </c>
    </row>
    <row r="297" spans="1:26">
      <c r="A297">
        <v>296</v>
      </c>
      <c r="B297" t="s">
        <v>2</v>
      </c>
      <c r="C297" t="s">
        <v>427</v>
      </c>
      <c r="E297" t="s">
        <v>2</v>
      </c>
      <c r="F297">
        <v>997364674</v>
      </c>
      <c r="G297" t="s">
        <v>2</v>
      </c>
      <c r="H297" t="s">
        <v>4</v>
      </c>
      <c r="I297" t="s">
        <v>169</v>
      </c>
      <c r="J297" t="s">
        <v>2</v>
      </c>
      <c r="K297" t="s">
        <v>428</v>
      </c>
      <c r="L297" t="s">
        <v>37</v>
      </c>
      <c r="M297" s="1">
        <v>44842</v>
      </c>
      <c r="N297" t="s">
        <v>8</v>
      </c>
      <c r="O297">
        <v>200</v>
      </c>
      <c r="P297" t="s">
        <v>30</v>
      </c>
      <c r="Q297" t="s">
        <v>10</v>
      </c>
      <c r="R297" t="s">
        <v>11</v>
      </c>
      <c r="T297" t="s">
        <v>1092</v>
      </c>
      <c r="U297" t="s">
        <v>1100</v>
      </c>
      <c r="V297" s="3" t="s">
        <v>1044</v>
      </c>
      <c r="W297" t="s">
        <v>1146</v>
      </c>
      <c r="X297" s="9">
        <v>10</v>
      </c>
      <c r="Y297" s="9" t="s">
        <v>1068</v>
      </c>
      <c r="Z297" t="s">
        <v>1144</v>
      </c>
    </row>
    <row r="298" spans="1:26">
      <c r="A298">
        <v>297</v>
      </c>
      <c r="B298" t="s">
        <v>2</v>
      </c>
      <c r="C298" t="s">
        <v>206</v>
      </c>
      <c r="E298">
        <v>42575441</v>
      </c>
      <c r="F298">
        <v>941003193</v>
      </c>
      <c r="G298" t="s">
        <v>2</v>
      </c>
      <c r="H298" t="s">
        <v>199</v>
      </c>
      <c r="J298" t="s">
        <v>29</v>
      </c>
      <c r="K298" t="s">
        <v>2</v>
      </c>
      <c r="L298" t="s">
        <v>37</v>
      </c>
      <c r="M298" s="1">
        <v>44842</v>
      </c>
      <c r="N298" t="s">
        <v>8</v>
      </c>
      <c r="O298" s="14">
        <v>325</v>
      </c>
      <c r="P298" t="s">
        <v>1076</v>
      </c>
      <c r="Q298" t="s">
        <v>10</v>
      </c>
      <c r="R298" t="s">
        <v>11</v>
      </c>
      <c r="S298">
        <v>67</v>
      </c>
      <c r="T298" t="s">
        <v>1151</v>
      </c>
      <c r="U298" t="s">
        <v>1128</v>
      </c>
      <c r="V298" s="3" t="s">
        <v>1054</v>
      </c>
      <c r="W298" t="s">
        <v>1135</v>
      </c>
      <c r="X298" s="9" t="s">
        <v>2</v>
      </c>
      <c r="Y298" s="9" t="s">
        <v>2</v>
      </c>
      <c r="Z298" t="s">
        <v>1136</v>
      </c>
    </row>
    <row r="299" spans="1:26">
      <c r="A299">
        <v>298</v>
      </c>
      <c r="B299" t="s">
        <v>2</v>
      </c>
      <c r="C299" t="s">
        <v>429</v>
      </c>
      <c r="E299">
        <v>20602073166</v>
      </c>
      <c r="F299">
        <v>919151592</v>
      </c>
      <c r="G299" t="s">
        <v>2</v>
      </c>
      <c r="H299" t="s">
        <v>4</v>
      </c>
      <c r="I299" t="s">
        <v>244</v>
      </c>
      <c r="J299" t="s">
        <v>2</v>
      </c>
      <c r="K299" t="s">
        <v>7</v>
      </c>
      <c r="L299" t="s">
        <v>7</v>
      </c>
      <c r="M299" s="1">
        <v>44842</v>
      </c>
      <c r="N299" t="s">
        <v>8</v>
      </c>
      <c r="O299">
        <v>315</v>
      </c>
      <c r="P299" t="s">
        <v>1076</v>
      </c>
      <c r="Q299" t="s">
        <v>10</v>
      </c>
      <c r="R299" t="s">
        <v>11</v>
      </c>
      <c r="T299" t="s">
        <v>1082</v>
      </c>
      <c r="U299" t="s">
        <v>1099</v>
      </c>
      <c r="V299" s="3" t="s">
        <v>1044</v>
      </c>
      <c r="W299" t="s">
        <v>1146</v>
      </c>
      <c r="X299" s="9">
        <v>10</v>
      </c>
      <c r="Y299" s="9" t="s">
        <v>1068</v>
      </c>
      <c r="Z299" t="s">
        <v>1143</v>
      </c>
    </row>
    <row r="300" spans="1:26">
      <c r="A300">
        <v>299</v>
      </c>
      <c r="B300" t="str">
        <f t="shared" ref="B300:N300" si="37">B299</f>
        <v>-</v>
      </c>
      <c r="C300" t="str">
        <f t="shared" si="37"/>
        <v>Soluciones ing. S.a.c.</v>
      </c>
      <c r="E300">
        <f t="shared" si="37"/>
        <v>20602073166</v>
      </c>
      <c r="F300">
        <f t="shared" si="37"/>
        <v>919151592</v>
      </c>
      <c r="G300" t="str">
        <f t="shared" si="37"/>
        <v>-</v>
      </c>
      <c r="H300" t="str">
        <f t="shared" si="37"/>
        <v>Lima</v>
      </c>
      <c r="I300" t="str">
        <f t="shared" si="37"/>
        <v>Comas</v>
      </c>
      <c r="J300" t="str">
        <f t="shared" si="37"/>
        <v>-</v>
      </c>
      <c r="K300" t="str">
        <f t="shared" si="37"/>
        <v>Oficina</v>
      </c>
      <c r="L300" t="str">
        <f t="shared" si="37"/>
        <v>Oficina</v>
      </c>
      <c r="M300" s="1">
        <f t="shared" si="37"/>
        <v>44842</v>
      </c>
      <c r="N300" t="str">
        <f t="shared" si="37"/>
        <v>BCP</v>
      </c>
      <c r="O300" s="14">
        <v>15</v>
      </c>
      <c r="P300" t="str">
        <f t="shared" ref="P300:R300" si="38">P299</f>
        <v>Venta comercio</v>
      </c>
      <c r="Q300" t="str">
        <f t="shared" si="38"/>
        <v>U</v>
      </c>
      <c r="R300" t="str">
        <f t="shared" si="38"/>
        <v>Rodrigo</v>
      </c>
      <c r="T300" t="s">
        <v>1134</v>
      </c>
      <c r="U300" t="s">
        <v>1116</v>
      </c>
      <c r="V300" s="3">
        <f>X299</f>
        <v>10</v>
      </c>
      <c r="W300" t="s">
        <v>1137</v>
      </c>
      <c r="X300" s="9"/>
      <c r="Y300" s="9"/>
      <c r="Z300" t="s">
        <v>1131</v>
      </c>
    </row>
    <row r="301" spans="1:26">
      <c r="A301">
        <v>300</v>
      </c>
      <c r="B301" t="s">
        <v>12</v>
      </c>
      <c r="C301" t="s">
        <v>430</v>
      </c>
      <c r="E301" t="s">
        <v>2</v>
      </c>
      <c r="F301">
        <v>952189629</v>
      </c>
      <c r="G301" t="s">
        <v>431</v>
      </c>
      <c r="H301" t="s">
        <v>4</v>
      </c>
      <c r="I301" t="s">
        <v>244</v>
      </c>
      <c r="J301" t="s">
        <v>2</v>
      </c>
      <c r="K301" t="s">
        <v>7</v>
      </c>
      <c r="L301" t="s">
        <v>7</v>
      </c>
      <c r="M301" s="1">
        <v>44842</v>
      </c>
      <c r="N301" t="s">
        <v>38</v>
      </c>
      <c r="O301">
        <v>450</v>
      </c>
      <c r="P301" t="s">
        <v>52</v>
      </c>
      <c r="Q301" t="s">
        <v>10</v>
      </c>
      <c r="R301" t="s">
        <v>11</v>
      </c>
      <c r="T301" t="s">
        <v>1097</v>
      </c>
      <c r="U301" t="s">
        <v>1102</v>
      </c>
      <c r="V301" s="3" t="s">
        <v>1044</v>
      </c>
      <c r="W301" t="s">
        <v>1145</v>
      </c>
      <c r="X301" s="9">
        <v>10</v>
      </c>
      <c r="Y301" s="9" t="s">
        <v>1056</v>
      </c>
      <c r="Z301" t="s">
        <v>1144</v>
      </c>
    </row>
    <row r="302" spans="1:26">
      <c r="A302">
        <v>301</v>
      </c>
      <c r="B302" t="str">
        <f t="shared" ref="B302:N302" si="39">B301</f>
        <v>FT</v>
      </c>
      <c r="C302" t="str">
        <f t="shared" si="39"/>
        <v>Pocho Joel Estela Ambicho</v>
      </c>
      <c r="E302" t="str">
        <f t="shared" si="39"/>
        <v>-</v>
      </c>
      <c r="F302">
        <f t="shared" si="39"/>
        <v>952189629</v>
      </c>
      <c r="G302" t="str">
        <f t="shared" si="39"/>
        <v>FT F001-11</v>
      </c>
      <c r="H302" t="str">
        <f t="shared" si="39"/>
        <v>Lima</v>
      </c>
      <c r="I302" t="str">
        <f t="shared" si="39"/>
        <v>Comas</v>
      </c>
      <c r="J302" t="str">
        <f t="shared" si="39"/>
        <v>-</v>
      </c>
      <c r="K302" t="str">
        <f t="shared" si="39"/>
        <v>Oficina</v>
      </c>
      <c r="L302" t="str">
        <f t="shared" si="39"/>
        <v>Oficina</v>
      </c>
      <c r="M302" s="1">
        <f t="shared" si="39"/>
        <v>44842</v>
      </c>
      <c r="N302" t="str">
        <f t="shared" si="39"/>
        <v>BBVA</v>
      </c>
      <c r="O302" s="16">
        <v>50</v>
      </c>
      <c r="P302" t="s">
        <v>52</v>
      </c>
      <c r="Q302" t="str">
        <f t="shared" ref="Q302:R302" si="40">Q301</f>
        <v>U</v>
      </c>
      <c r="R302" t="str">
        <f t="shared" si="40"/>
        <v>Rodrigo</v>
      </c>
      <c r="T302" t="s">
        <v>1134</v>
      </c>
      <c r="U302" t="s">
        <v>1115</v>
      </c>
      <c r="V302" s="3">
        <v>20</v>
      </c>
      <c r="W302" t="s">
        <v>1137</v>
      </c>
      <c r="X302" s="9"/>
      <c r="Y302" s="9"/>
      <c r="Z302" t="s">
        <v>1131</v>
      </c>
    </row>
    <row r="303" spans="1:26">
      <c r="A303">
        <v>302</v>
      </c>
      <c r="B303" t="s">
        <v>2</v>
      </c>
      <c r="C303" t="s">
        <v>432</v>
      </c>
      <c r="E303">
        <v>4591730</v>
      </c>
      <c r="F303">
        <v>902634901</v>
      </c>
      <c r="G303" t="s">
        <v>2</v>
      </c>
      <c r="H303" t="s">
        <v>4</v>
      </c>
      <c r="I303" t="s">
        <v>28</v>
      </c>
      <c r="J303" t="s">
        <v>29</v>
      </c>
      <c r="K303" t="s">
        <v>2</v>
      </c>
      <c r="L303" t="s">
        <v>37</v>
      </c>
      <c r="M303" s="1">
        <v>44844</v>
      </c>
      <c r="N303" t="s">
        <v>8</v>
      </c>
      <c r="O303">
        <v>200</v>
      </c>
      <c r="P303" t="s">
        <v>216</v>
      </c>
      <c r="Q303" t="s">
        <v>10</v>
      </c>
      <c r="R303" t="s">
        <v>11</v>
      </c>
      <c r="S303">
        <v>12</v>
      </c>
      <c r="T303" t="s">
        <v>1092</v>
      </c>
      <c r="U303" t="s">
        <v>1100</v>
      </c>
      <c r="V303" s="3" t="s">
        <v>1044</v>
      </c>
      <c r="W303" t="s">
        <v>1146</v>
      </c>
      <c r="X303" s="9">
        <v>10</v>
      </c>
      <c r="Y303" s="9" t="s">
        <v>1068</v>
      </c>
      <c r="Z303" t="s">
        <v>1144</v>
      </c>
    </row>
    <row r="304" spans="1:26">
      <c r="A304">
        <v>303</v>
      </c>
      <c r="B304" t="str">
        <f t="shared" ref="B304:N304" si="41">B303</f>
        <v>-</v>
      </c>
      <c r="C304" t="str">
        <f t="shared" si="41"/>
        <v>Gerardo Rios Zuluaga</v>
      </c>
      <c r="E304">
        <f t="shared" si="41"/>
        <v>4591730</v>
      </c>
      <c r="F304">
        <f t="shared" si="41"/>
        <v>902634901</v>
      </c>
      <c r="G304" t="str">
        <f t="shared" si="41"/>
        <v>-</v>
      </c>
      <c r="H304" t="str">
        <f t="shared" si="41"/>
        <v>Lima</v>
      </c>
      <c r="I304" t="str">
        <f t="shared" si="41"/>
        <v>Huacho</v>
      </c>
      <c r="J304" t="str">
        <f t="shared" si="41"/>
        <v>Shalom</v>
      </c>
      <c r="K304" t="str">
        <f t="shared" si="41"/>
        <v>-</v>
      </c>
      <c r="L304" t="str">
        <f t="shared" si="41"/>
        <v>Redes sociales</v>
      </c>
      <c r="M304" s="1">
        <f t="shared" si="41"/>
        <v>44844</v>
      </c>
      <c r="N304" t="str">
        <f t="shared" si="41"/>
        <v>BCP</v>
      </c>
      <c r="O304" s="14">
        <v>15</v>
      </c>
      <c r="P304" t="str">
        <f t="shared" ref="P304:S304" si="42">P303</f>
        <v>Polleria</v>
      </c>
      <c r="Q304" t="str">
        <f t="shared" si="42"/>
        <v>U</v>
      </c>
      <c r="R304" t="str">
        <f t="shared" si="42"/>
        <v>Rodrigo</v>
      </c>
      <c r="S304">
        <f t="shared" si="42"/>
        <v>12</v>
      </c>
      <c r="T304" t="s">
        <v>1134</v>
      </c>
      <c r="U304" t="s">
        <v>1116</v>
      </c>
      <c r="V304" s="3">
        <f>X303</f>
        <v>10</v>
      </c>
      <c r="W304" t="s">
        <v>1137</v>
      </c>
      <c r="X304" s="9"/>
      <c r="Y304" s="9"/>
      <c r="Z304" t="s">
        <v>1131</v>
      </c>
    </row>
    <row r="305" spans="1:26">
      <c r="A305">
        <v>304</v>
      </c>
      <c r="B305" t="s">
        <v>23</v>
      </c>
      <c r="C305" t="s">
        <v>433</v>
      </c>
      <c r="E305" t="s">
        <v>2</v>
      </c>
      <c r="F305">
        <v>997896505</v>
      </c>
      <c r="G305" t="s">
        <v>2</v>
      </c>
      <c r="H305" t="s">
        <v>4</v>
      </c>
      <c r="I305" t="s">
        <v>420</v>
      </c>
      <c r="J305" t="s">
        <v>2</v>
      </c>
      <c r="K305" t="s">
        <v>434</v>
      </c>
      <c r="L305" t="s">
        <v>37</v>
      </c>
      <c r="M305" s="1">
        <v>44844</v>
      </c>
      <c r="N305" t="s">
        <v>21</v>
      </c>
      <c r="O305">
        <v>200</v>
      </c>
      <c r="P305" t="s">
        <v>30</v>
      </c>
      <c r="Q305" t="s">
        <v>10</v>
      </c>
      <c r="R305" t="s">
        <v>22</v>
      </c>
      <c r="T305" t="s">
        <v>1092</v>
      </c>
      <c r="U305" t="s">
        <v>1100</v>
      </c>
      <c r="V305" s="3" t="s">
        <v>1044</v>
      </c>
      <c r="W305" t="s">
        <v>1146</v>
      </c>
      <c r="X305" s="9">
        <v>10</v>
      </c>
      <c r="Y305" s="9" t="s">
        <v>1068</v>
      </c>
      <c r="Z305" t="s">
        <v>1144</v>
      </c>
    </row>
    <row r="306" spans="1:26">
      <c r="A306">
        <v>305</v>
      </c>
      <c r="B306" t="s">
        <v>2</v>
      </c>
      <c r="C306" t="s">
        <v>435</v>
      </c>
      <c r="E306">
        <v>48116990</v>
      </c>
      <c r="F306">
        <v>970731578</v>
      </c>
      <c r="G306" t="s">
        <v>2</v>
      </c>
      <c r="H306" t="s">
        <v>768</v>
      </c>
      <c r="I306" t="s">
        <v>436</v>
      </c>
      <c r="J306" t="s">
        <v>29</v>
      </c>
      <c r="K306" t="s">
        <v>2</v>
      </c>
      <c r="L306" t="s">
        <v>37</v>
      </c>
      <c r="M306" s="1">
        <v>44844</v>
      </c>
      <c r="N306" t="s">
        <v>8</v>
      </c>
      <c r="O306">
        <v>370</v>
      </c>
      <c r="P306" t="s">
        <v>234</v>
      </c>
      <c r="Q306" t="s">
        <v>10</v>
      </c>
      <c r="R306" t="s">
        <v>11</v>
      </c>
      <c r="S306">
        <v>17</v>
      </c>
      <c r="T306" t="s">
        <v>1092</v>
      </c>
      <c r="U306" t="s">
        <v>1093</v>
      </c>
      <c r="V306" s="3">
        <v>1</v>
      </c>
      <c r="W306" t="s">
        <v>1148</v>
      </c>
      <c r="X306" s="9">
        <v>2</v>
      </c>
      <c r="Y306" s="9" t="s">
        <v>1060</v>
      </c>
      <c r="Z306" t="s">
        <v>1149</v>
      </c>
    </row>
    <row r="307" spans="1:26">
      <c r="A307">
        <v>306</v>
      </c>
      <c r="B307" t="str">
        <f t="shared" ref="B307:N307" si="43">B306</f>
        <v>-</v>
      </c>
      <c r="C307" t="str">
        <f t="shared" si="43"/>
        <v>Mayra Anggela Inocente Loayza</v>
      </c>
      <c r="E307">
        <f t="shared" si="43"/>
        <v>48116990</v>
      </c>
      <c r="F307">
        <f t="shared" si="43"/>
        <v>970731578</v>
      </c>
      <c r="G307" t="str">
        <f t="shared" si="43"/>
        <v>-</v>
      </c>
      <c r="H307" t="str">
        <f t="shared" si="43"/>
        <v>Moquegua</v>
      </c>
      <c r="I307" t="str">
        <f t="shared" si="43"/>
        <v>Ilo</v>
      </c>
      <c r="J307" t="str">
        <f t="shared" si="43"/>
        <v>Shalom</v>
      </c>
      <c r="K307" t="str">
        <f t="shared" si="43"/>
        <v>-</v>
      </c>
      <c r="L307" t="str">
        <f t="shared" si="43"/>
        <v>Redes sociales</v>
      </c>
      <c r="M307" s="1">
        <f t="shared" si="43"/>
        <v>44844</v>
      </c>
      <c r="N307" t="str">
        <f t="shared" si="43"/>
        <v>BCP</v>
      </c>
      <c r="O307" s="14">
        <v>50</v>
      </c>
      <c r="P307" s="14" t="str">
        <f t="shared" ref="P307:S307" si="44">P306</f>
        <v>Farmacia</v>
      </c>
      <c r="Q307" t="str">
        <f t="shared" si="44"/>
        <v>U</v>
      </c>
      <c r="R307" t="str">
        <f t="shared" si="44"/>
        <v>Rodrigo</v>
      </c>
      <c r="S307">
        <f t="shared" si="44"/>
        <v>17</v>
      </c>
      <c r="T307" t="s">
        <v>1151</v>
      </c>
      <c r="U307" t="s">
        <v>1124</v>
      </c>
      <c r="V307" s="3">
        <f>X306</f>
        <v>2</v>
      </c>
      <c r="W307" t="s">
        <v>1135</v>
      </c>
      <c r="X307" s="9"/>
      <c r="Y307" s="9"/>
      <c r="Z307" t="s">
        <v>1136</v>
      </c>
    </row>
    <row r="308" spans="1:26">
      <c r="A308">
        <v>307</v>
      </c>
      <c r="B308" t="s">
        <v>12</v>
      </c>
      <c r="C308" t="s">
        <v>360</v>
      </c>
      <c r="E308">
        <v>20601379377</v>
      </c>
      <c r="F308">
        <v>933784155</v>
      </c>
      <c r="G308" t="s">
        <v>437</v>
      </c>
      <c r="H308" t="s">
        <v>48</v>
      </c>
      <c r="J308" t="s">
        <v>29</v>
      </c>
      <c r="K308" t="s">
        <v>2</v>
      </c>
      <c r="L308" t="s">
        <v>37</v>
      </c>
      <c r="M308" s="1">
        <v>44844</v>
      </c>
      <c r="N308" t="s">
        <v>56</v>
      </c>
      <c r="O308" s="2">
        <v>570</v>
      </c>
      <c r="P308" t="s">
        <v>30</v>
      </c>
      <c r="Q308" t="s">
        <v>31</v>
      </c>
      <c r="R308" t="s">
        <v>11</v>
      </c>
      <c r="T308" t="s">
        <v>1092</v>
      </c>
      <c r="U308" t="s">
        <v>1101</v>
      </c>
      <c r="V308" s="3" t="s">
        <v>1047</v>
      </c>
      <c r="W308" t="s">
        <v>1148</v>
      </c>
      <c r="X308" s="9"/>
      <c r="Y308" s="9"/>
      <c r="Z308" t="s">
        <v>1149</v>
      </c>
    </row>
    <row r="309" spans="1:26">
      <c r="A309">
        <v>308</v>
      </c>
      <c r="B309" t="s">
        <v>12</v>
      </c>
      <c r="C309" t="s">
        <v>360</v>
      </c>
      <c r="E309">
        <v>20601379377</v>
      </c>
      <c r="F309">
        <v>933784155</v>
      </c>
      <c r="G309" t="s">
        <v>437</v>
      </c>
      <c r="H309" t="s">
        <v>48</v>
      </c>
      <c r="J309" t="s">
        <v>29</v>
      </c>
      <c r="K309" t="s">
        <v>2</v>
      </c>
      <c r="L309" t="s">
        <v>37</v>
      </c>
      <c r="M309" s="1">
        <v>44844</v>
      </c>
      <c r="N309" t="s">
        <v>56</v>
      </c>
      <c r="O309" s="16">
        <f>25*(V309/10)</f>
        <v>25</v>
      </c>
      <c r="P309" t="s">
        <v>30</v>
      </c>
      <c r="Q309" t="s">
        <v>31</v>
      </c>
      <c r="R309" t="s">
        <v>11</v>
      </c>
      <c r="T309" t="s">
        <v>1134</v>
      </c>
      <c r="U309" t="s">
        <v>1115</v>
      </c>
      <c r="V309">
        <v>10</v>
      </c>
      <c r="W309" t="s">
        <v>1137</v>
      </c>
      <c r="X309" s="9"/>
      <c r="Y309" s="9"/>
      <c r="Z309" t="s">
        <v>1131</v>
      </c>
    </row>
    <row r="310" spans="1:26">
      <c r="A310">
        <v>309</v>
      </c>
      <c r="B310" t="s">
        <v>12</v>
      </c>
      <c r="C310" t="s">
        <v>360</v>
      </c>
      <c r="E310">
        <v>20601379377</v>
      </c>
      <c r="F310">
        <v>933784155</v>
      </c>
      <c r="G310" t="s">
        <v>437</v>
      </c>
      <c r="H310" t="s">
        <v>48</v>
      </c>
      <c r="J310" t="s">
        <v>29</v>
      </c>
      <c r="K310" t="s">
        <v>2</v>
      </c>
      <c r="L310" t="s">
        <v>37</v>
      </c>
      <c r="M310" s="1">
        <v>44844</v>
      </c>
      <c r="N310" t="s">
        <v>56</v>
      </c>
      <c r="O310" s="2">
        <v>660</v>
      </c>
      <c r="P310" t="s">
        <v>30</v>
      </c>
      <c r="Q310" t="s">
        <v>31</v>
      </c>
      <c r="R310" t="s">
        <v>11</v>
      </c>
      <c r="T310" t="s">
        <v>1092</v>
      </c>
      <c r="U310" t="s">
        <v>1100</v>
      </c>
      <c r="V310">
        <v>3</v>
      </c>
      <c r="W310" t="s">
        <v>1146</v>
      </c>
      <c r="X310" s="9"/>
      <c r="Y310" s="9"/>
      <c r="Z310" t="s">
        <v>1144</v>
      </c>
    </row>
    <row r="311" spans="1:26">
      <c r="A311">
        <v>310</v>
      </c>
      <c r="B311" t="s">
        <v>60</v>
      </c>
      <c r="C311" t="s">
        <v>224</v>
      </c>
      <c r="E311" t="s">
        <v>2</v>
      </c>
      <c r="F311">
        <v>993400767</v>
      </c>
      <c r="G311" t="s">
        <v>438</v>
      </c>
      <c r="H311" t="s">
        <v>4</v>
      </c>
      <c r="J311" t="s">
        <v>2</v>
      </c>
      <c r="K311" t="s">
        <v>183</v>
      </c>
      <c r="L311" t="s">
        <v>7</v>
      </c>
      <c r="M311" s="1">
        <v>44845</v>
      </c>
      <c r="N311" t="s">
        <v>38</v>
      </c>
      <c r="O311">
        <v>490</v>
      </c>
      <c r="P311" t="s">
        <v>30</v>
      </c>
      <c r="Q311" t="s">
        <v>31</v>
      </c>
      <c r="R311" t="s">
        <v>11</v>
      </c>
      <c r="T311" t="s">
        <v>1092</v>
      </c>
      <c r="U311" t="s">
        <v>1105</v>
      </c>
      <c r="V311" s="3" t="s">
        <v>1044</v>
      </c>
      <c r="W311" t="s">
        <v>1148</v>
      </c>
      <c r="X311" s="9">
        <v>20</v>
      </c>
      <c r="Y311" s="9" t="s">
        <v>1083</v>
      </c>
      <c r="Z311" t="s">
        <v>1149</v>
      </c>
    </row>
    <row r="312" spans="1:26">
      <c r="A312">
        <v>311</v>
      </c>
      <c r="B312" t="str">
        <f t="shared" ref="B312:N312" si="45">B311</f>
        <v>RH</v>
      </c>
      <c r="C312" t="str">
        <f t="shared" si="45"/>
        <v>Jose Antonio Pancorbo</v>
      </c>
      <c r="E312" t="str">
        <f t="shared" si="45"/>
        <v>-</v>
      </c>
      <c r="F312">
        <f t="shared" si="45"/>
        <v>993400767</v>
      </c>
      <c r="G312" t="str">
        <f t="shared" si="45"/>
        <v>RH E001-64</v>
      </c>
      <c r="H312" t="str">
        <f t="shared" si="45"/>
        <v>Lima</v>
      </c>
      <c r="J312" t="str">
        <f t="shared" si="45"/>
        <v>-</v>
      </c>
      <c r="K312" t="str">
        <f t="shared" si="45"/>
        <v>Carabayllo</v>
      </c>
      <c r="L312" t="str">
        <f t="shared" si="45"/>
        <v>Oficina</v>
      </c>
      <c r="M312" s="1">
        <f t="shared" si="45"/>
        <v>44845</v>
      </c>
      <c r="N312" t="str">
        <f t="shared" si="45"/>
        <v>BBVA</v>
      </c>
      <c r="O312">
        <v>30</v>
      </c>
      <c r="P312" t="str">
        <f t="shared" ref="P312:R312" si="46">P311</f>
        <v>Otros</v>
      </c>
      <c r="Q312" t="str">
        <f t="shared" si="46"/>
        <v>M</v>
      </c>
      <c r="R312" t="str">
        <f t="shared" si="46"/>
        <v>Rodrigo</v>
      </c>
      <c r="T312" t="s">
        <v>1133</v>
      </c>
      <c r="U312" t="s">
        <v>1114</v>
      </c>
      <c r="V312" s="3">
        <f t="shared" ref="V312" si="47">X311</f>
        <v>20</v>
      </c>
      <c r="W312" t="s">
        <v>1132</v>
      </c>
      <c r="X312" s="9"/>
      <c r="Y312" s="9"/>
      <c r="Z312" t="s">
        <v>1131</v>
      </c>
    </row>
    <row r="313" spans="1:26">
      <c r="A313">
        <v>312</v>
      </c>
      <c r="B313" t="s">
        <v>2</v>
      </c>
      <c r="C313" t="s">
        <v>432</v>
      </c>
      <c r="E313">
        <v>4591730</v>
      </c>
      <c r="F313">
        <v>902634901</v>
      </c>
      <c r="G313" t="s">
        <v>2</v>
      </c>
      <c r="H313" t="s">
        <v>4</v>
      </c>
      <c r="I313" t="s">
        <v>28</v>
      </c>
      <c r="J313" t="s">
        <v>29</v>
      </c>
      <c r="K313" t="s">
        <v>2</v>
      </c>
      <c r="L313" t="s">
        <v>37</v>
      </c>
      <c r="M313" s="1">
        <v>44846</v>
      </c>
      <c r="N313" t="s">
        <v>56</v>
      </c>
      <c r="O313">
        <v>205</v>
      </c>
      <c r="P313" t="s">
        <v>9</v>
      </c>
      <c r="Q313" t="s">
        <v>10</v>
      </c>
      <c r="R313" t="s">
        <v>11</v>
      </c>
      <c r="S313">
        <v>12</v>
      </c>
      <c r="T313" t="s">
        <v>1092</v>
      </c>
      <c r="U313" t="s">
        <v>1100</v>
      </c>
      <c r="V313" s="3" t="s">
        <v>1044</v>
      </c>
      <c r="W313" t="s">
        <v>1146</v>
      </c>
      <c r="X313" s="9">
        <v>10</v>
      </c>
      <c r="Y313" s="9" t="s">
        <v>1068</v>
      </c>
      <c r="Z313" t="s">
        <v>1144</v>
      </c>
    </row>
    <row r="314" spans="1:26">
      <c r="A314">
        <v>313</v>
      </c>
      <c r="B314" t="str">
        <f t="shared" ref="B314:N314" si="48">B313</f>
        <v>-</v>
      </c>
      <c r="C314" t="str">
        <f t="shared" si="48"/>
        <v>Gerardo Rios Zuluaga</v>
      </c>
      <c r="E314">
        <f t="shared" si="48"/>
        <v>4591730</v>
      </c>
      <c r="F314">
        <f t="shared" si="48"/>
        <v>902634901</v>
      </c>
      <c r="G314" t="str">
        <f t="shared" si="48"/>
        <v>-</v>
      </c>
      <c r="H314" t="str">
        <f t="shared" si="48"/>
        <v>Lima</v>
      </c>
      <c r="I314" t="str">
        <f t="shared" si="48"/>
        <v>Huacho</v>
      </c>
      <c r="J314" t="str">
        <f t="shared" si="48"/>
        <v>Shalom</v>
      </c>
      <c r="K314" t="str">
        <f t="shared" si="48"/>
        <v>-</v>
      </c>
      <c r="L314" t="str">
        <f t="shared" si="48"/>
        <v>Redes sociales</v>
      </c>
      <c r="M314" s="1">
        <f t="shared" si="48"/>
        <v>44846</v>
      </c>
      <c r="N314" t="str">
        <f t="shared" si="48"/>
        <v>Interbank</v>
      </c>
      <c r="O314" s="14">
        <v>15</v>
      </c>
      <c r="P314" t="str">
        <f t="shared" ref="P314:S314" si="49">P313</f>
        <v>Restaurante</v>
      </c>
      <c r="Q314" t="str">
        <f t="shared" si="49"/>
        <v>U</v>
      </c>
      <c r="R314" t="str">
        <f t="shared" si="49"/>
        <v>Rodrigo</v>
      </c>
      <c r="S314">
        <f t="shared" si="49"/>
        <v>12</v>
      </c>
      <c r="T314" t="s">
        <v>1134</v>
      </c>
      <c r="U314" t="s">
        <v>1116</v>
      </c>
      <c r="V314" s="3">
        <f>X313</f>
        <v>10</v>
      </c>
      <c r="W314" t="s">
        <v>1137</v>
      </c>
      <c r="X314" s="9"/>
      <c r="Y314" s="9"/>
      <c r="Z314" t="s">
        <v>1131</v>
      </c>
    </row>
    <row r="315" spans="1:26">
      <c r="A315">
        <v>314</v>
      </c>
      <c r="B315" t="s">
        <v>2</v>
      </c>
      <c r="C315" t="s">
        <v>439</v>
      </c>
      <c r="E315">
        <v>20563053608</v>
      </c>
      <c r="F315">
        <v>993264050</v>
      </c>
      <c r="G315" t="s">
        <v>2</v>
      </c>
      <c r="H315" t="s">
        <v>4</v>
      </c>
      <c r="I315" t="s">
        <v>244</v>
      </c>
      <c r="J315" t="s">
        <v>2</v>
      </c>
      <c r="K315" t="s">
        <v>7</v>
      </c>
      <c r="L315" t="s">
        <v>7</v>
      </c>
      <c r="M315" s="1">
        <v>44846</v>
      </c>
      <c r="N315" t="s">
        <v>8</v>
      </c>
      <c r="O315">
        <v>190</v>
      </c>
      <c r="P315" t="s">
        <v>234</v>
      </c>
      <c r="Q315" t="s">
        <v>10</v>
      </c>
      <c r="R315" t="s">
        <v>22</v>
      </c>
      <c r="T315" t="s">
        <v>1092</v>
      </c>
      <c r="U315" t="s">
        <v>1100</v>
      </c>
      <c r="V315" s="3" t="s">
        <v>1044</v>
      </c>
      <c r="W315" t="s">
        <v>1146</v>
      </c>
      <c r="X315" s="9">
        <v>10</v>
      </c>
      <c r="Y315" s="9" t="s">
        <v>1068</v>
      </c>
      <c r="Z315" t="s">
        <v>1144</v>
      </c>
    </row>
    <row r="316" spans="1:26">
      <c r="A316">
        <v>315</v>
      </c>
      <c r="B316" t="s">
        <v>2</v>
      </c>
      <c r="C316" t="s">
        <v>440</v>
      </c>
      <c r="E316">
        <v>45733661</v>
      </c>
      <c r="F316">
        <v>940191230</v>
      </c>
      <c r="G316" t="s">
        <v>2</v>
      </c>
      <c r="H316" t="s">
        <v>4</v>
      </c>
      <c r="I316" t="s">
        <v>244</v>
      </c>
      <c r="J316" t="s">
        <v>2</v>
      </c>
      <c r="K316" t="s">
        <v>2</v>
      </c>
      <c r="L316" t="s">
        <v>37</v>
      </c>
      <c r="M316" s="1">
        <v>44847</v>
      </c>
      <c r="N316" t="s">
        <v>56</v>
      </c>
      <c r="O316">
        <v>190</v>
      </c>
      <c r="P316" t="s">
        <v>234</v>
      </c>
      <c r="Q316" t="s">
        <v>10</v>
      </c>
      <c r="R316" t="s">
        <v>11</v>
      </c>
      <c r="T316" t="s">
        <v>1092</v>
      </c>
      <c r="U316" t="s">
        <v>1100</v>
      </c>
      <c r="V316" s="3" t="s">
        <v>1044</v>
      </c>
      <c r="W316" t="s">
        <v>1146</v>
      </c>
      <c r="X316" s="9" t="s">
        <v>2</v>
      </c>
      <c r="Y316" s="9" t="s">
        <v>2</v>
      </c>
      <c r="Z316" t="s">
        <v>1144</v>
      </c>
    </row>
    <row r="317" spans="1:26">
      <c r="A317">
        <v>316</v>
      </c>
      <c r="B317" t="s">
        <v>23</v>
      </c>
      <c r="C317" t="s">
        <v>441</v>
      </c>
      <c r="E317" t="s">
        <v>2</v>
      </c>
      <c r="F317">
        <v>946480630</v>
      </c>
      <c r="G317" t="s">
        <v>2</v>
      </c>
      <c r="H317" t="s">
        <v>4</v>
      </c>
      <c r="I317" t="s">
        <v>90</v>
      </c>
      <c r="J317" t="s">
        <v>2</v>
      </c>
      <c r="K317" t="s">
        <v>155</v>
      </c>
      <c r="L317" t="s">
        <v>37</v>
      </c>
      <c r="M317" s="1">
        <v>44847</v>
      </c>
      <c r="N317" t="s">
        <v>21</v>
      </c>
      <c r="O317">
        <v>300</v>
      </c>
      <c r="P317" t="s">
        <v>30</v>
      </c>
      <c r="Q317" t="s">
        <v>10</v>
      </c>
      <c r="R317" t="s">
        <v>22</v>
      </c>
      <c r="T317" t="s">
        <v>1082</v>
      </c>
      <c r="U317" t="s">
        <v>1104</v>
      </c>
      <c r="V317" s="3" t="s">
        <v>1044</v>
      </c>
      <c r="W317" t="s">
        <v>1145</v>
      </c>
      <c r="X317" s="9">
        <v>10</v>
      </c>
      <c r="Y317" s="9" t="s">
        <v>1056</v>
      </c>
      <c r="Z317" t="s">
        <v>1143</v>
      </c>
    </row>
    <row r="318" spans="1:26">
      <c r="A318">
        <v>317</v>
      </c>
      <c r="B318" t="str">
        <f t="shared" ref="B318:N318" si="50">B317</f>
        <v>No va</v>
      </c>
      <c r="C318" t="str">
        <f t="shared" si="50"/>
        <v>Liss Diaz</v>
      </c>
      <c r="E318" t="str">
        <f t="shared" si="50"/>
        <v>-</v>
      </c>
      <c r="F318">
        <f t="shared" si="50"/>
        <v>946480630</v>
      </c>
      <c r="G318" t="str">
        <f t="shared" si="50"/>
        <v>-</v>
      </c>
      <c r="H318" t="str">
        <f t="shared" si="50"/>
        <v>Lima</v>
      </c>
      <c r="I318" t="str">
        <f t="shared" si="50"/>
        <v>La victoria</v>
      </c>
      <c r="J318" t="str">
        <f t="shared" si="50"/>
        <v>-</v>
      </c>
      <c r="K318" t="str">
        <f t="shared" si="50"/>
        <v>Gamarra</v>
      </c>
      <c r="L318" t="str">
        <f t="shared" si="50"/>
        <v>Redes sociales</v>
      </c>
      <c r="M318" s="1">
        <f t="shared" si="50"/>
        <v>44847</v>
      </c>
      <c r="N318" t="str">
        <f t="shared" si="50"/>
        <v>Efectivo</v>
      </c>
      <c r="O318" s="16">
        <v>20</v>
      </c>
      <c r="P318" t="str">
        <f t="shared" ref="P318:R318" si="51">P317</f>
        <v>Otros</v>
      </c>
      <c r="Q318" t="str">
        <f t="shared" si="51"/>
        <v>U</v>
      </c>
      <c r="R318" t="str">
        <f t="shared" si="51"/>
        <v>Sergio</v>
      </c>
      <c r="T318" t="s">
        <v>1134</v>
      </c>
      <c r="U318" t="s">
        <v>1115</v>
      </c>
      <c r="V318" s="3">
        <f t="shared" ref="V318" si="52">X317</f>
        <v>10</v>
      </c>
      <c r="W318" t="s">
        <v>1137</v>
      </c>
      <c r="X318" s="9"/>
      <c r="Y318" s="9"/>
      <c r="Z318" t="s">
        <v>1131</v>
      </c>
    </row>
    <row r="319" spans="1:26">
      <c r="A319">
        <v>318</v>
      </c>
      <c r="B319" t="s">
        <v>12</v>
      </c>
      <c r="C319" t="s">
        <v>327</v>
      </c>
      <c r="E319">
        <v>20603713738</v>
      </c>
      <c r="F319" t="s">
        <v>2</v>
      </c>
      <c r="G319" t="s">
        <v>442</v>
      </c>
      <c r="H319" t="s">
        <v>4</v>
      </c>
      <c r="I319" t="s">
        <v>58</v>
      </c>
      <c r="J319" t="s">
        <v>2</v>
      </c>
      <c r="K319" t="s">
        <v>443</v>
      </c>
      <c r="L319" t="s">
        <v>7</v>
      </c>
      <c r="M319" s="1">
        <v>44847</v>
      </c>
      <c r="N319" t="s">
        <v>8</v>
      </c>
      <c r="O319">
        <v>350</v>
      </c>
      <c r="P319" t="s">
        <v>101</v>
      </c>
      <c r="Q319" t="s">
        <v>31</v>
      </c>
      <c r="R319" t="s">
        <v>315</v>
      </c>
      <c r="T319" t="s">
        <v>1082</v>
      </c>
      <c r="U319" t="s">
        <v>1099</v>
      </c>
      <c r="V319" s="3" t="s">
        <v>1047</v>
      </c>
      <c r="W319" t="s">
        <v>1146</v>
      </c>
      <c r="X319" s="9" t="s">
        <v>2</v>
      </c>
      <c r="Y319" s="9" t="s">
        <v>2</v>
      </c>
      <c r="Z319" t="s">
        <v>1143</v>
      </c>
    </row>
    <row r="320" spans="1:26">
      <c r="A320">
        <v>319</v>
      </c>
      <c r="B320" t="s">
        <v>2</v>
      </c>
      <c r="C320" t="s">
        <v>444</v>
      </c>
      <c r="E320">
        <v>73273459</v>
      </c>
      <c r="F320" t="s">
        <v>2</v>
      </c>
      <c r="G320" t="s">
        <v>2</v>
      </c>
      <c r="H320" t="s">
        <v>423</v>
      </c>
      <c r="I320" t="s">
        <v>36</v>
      </c>
      <c r="J320" t="s">
        <v>29</v>
      </c>
      <c r="K320" t="s">
        <v>2</v>
      </c>
      <c r="L320" t="s">
        <v>37</v>
      </c>
      <c r="M320" s="1">
        <v>44848</v>
      </c>
      <c r="N320" t="s">
        <v>8</v>
      </c>
      <c r="O320">
        <v>205</v>
      </c>
      <c r="P320" t="s">
        <v>216</v>
      </c>
      <c r="Q320" t="s">
        <v>10</v>
      </c>
      <c r="R320" t="s">
        <v>22</v>
      </c>
      <c r="T320" t="s">
        <v>1092</v>
      </c>
      <c r="U320" t="s">
        <v>1100</v>
      </c>
      <c r="V320" s="3" t="s">
        <v>1044</v>
      </c>
      <c r="W320" t="s">
        <v>1146</v>
      </c>
      <c r="X320" s="9">
        <v>10</v>
      </c>
      <c r="Y320" s="9" t="s">
        <v>1068</v>
      </c>
      <c r="Z320" t="s">
        <v>1144</v>
      </c>
    </row>
    <row r="321" spans="1:26">
      <c r="A321">
        <v>320</v>
      </c>
      <c r="B321" t="str">
        <f t="shared" ref="B321:N321" si="53">B320</f>
        <v>-</v>
      </c>
      <c r="C321" t="str">
        <f t="shared" si="53"/>
        <v>Dennis Arnold Paredes Lozano</v>
      </c>
      <c r="E321">
        <f t="shared" si="53"/>
        <v>73273459</v>
      </c>
      <c r="F321" t="str">
        <f t="shared" si="53"/>
        <v>-</v>
      </c>
      <c r="G321" t="str">
        <f t="shared" si="53"/>
        <v>-</v>
      </c>
      <c r="H321" t="str">
        <f t="shared" si="53"/>
        <v>San Martin</v>
      </c>
      <c r="I321" t="str">
        <f t="shared" si="53"/>
        <v>Tarapoto</v>
      </c>
      <c r="J321" t="str">
        <f t="shared" si="53"/>
        <v>Shalom</v>
      </c>
      <c r="K321" t="str">
        <f t="shared" si="53"/>
        <v>-</v>
      </c>
      <c r="L321" t="str">
        <f t="shared" si="53"/>
        <v>Redes sociales</v>
      </c>
      <c r="M321" s="1">
        <f t="shared" si="53"/>
        <v>44848</v>
      </c>
      <c r="N321" t="str">
        <f t="shared" si="53"/>
        <v>BCP</v>
      </c>
      <c r="O321" s="14">
        <v>15</v>
      </c>
      <c r="P321" t="str">
        <f t="shared" ref="P321:R321" si="54">P320</f>
        <v>Polleria</v>
      </c>
      <c r="Q321" t="str">
        <f t="shared" si="54"/>
        <v>U</v>
      </c>
      <c r="R321" t="str">
        <f t="shared" si="54"/>
        <v>Sergio</v>
      </c>
      <c r="T321" t="s">
        <v>1134</v>
      </c>
      <c r="U321" t="s">
        <v>1116</v>
      </c>
      <c r="V321" s="3">
        <f>X320</f>
        <v>10</v>
      </c>
      <c r="W321" t="s">
        <v>1137</v>
      </c>
      <c r="X321" s="9"/>
      <c r="Y321" s="9"/>
      <c r="Z321" t="s">
        <v>1131</v>
      </c>
    </row>
    <row r="322" spans="1:26">
      <c r="A322">
        <v>321</v>
      </c>
      <c r="B322" t="s">
        <v>12</v>
      </c>
      <c r="C322" t="s">
        <v>445</v>
      </c>
      <c r="E322">
        <v>41903172</v>
      </c>
      <c r="F322">
        <v>996652816</v>
      </c>
      <c r="G322" t="s">
        <v>446</v>
      </c>
      <c r="H322" t="s">
        <v>355</v>
      </c>
      <c r="J322" t="s">
        <v>29</v>
      </c>
      <c r="K322" t="s">
        <v>2</v>
      </c>
      <c r="L322" t="s">
        <v>268</v>
      </c>
      <c r="M322" s="1">
        <v>44848</v>
      </c>
      <c r="N322" t="s">
        <v>8</v>
      </c>
      <c r="O322">
        <v>486</v>
      </c>
      <c r="P322" t="s">
        <v>30</v>
      </c>
      <c r="Q322" t="s">
        <v>31</v>
      </c>
      <c r="R322" t="s">
        <v>11</v>
      </c>
      <c r="S322">
        <v>13</v>
      </c>
      <c r="T322" t="s">
        <v>1092</v>
      </c>
      <c r="U322" t="s">
        <v>1100</v>
      </c>
      <c r="V322" s="3" t="s">
        <v>1045</v>
      </c>
      <c r="W322" t="s">
        <v>1146</v>
      </c>
      <c r="X322" s="9">
        <v>10</v>
      </c>
      <c r="Y322" s="9" t="s">
        <v>1068</v>
      </c>
      <c r="Z322" t="s">
        <v>1144</v>
      </c>
    </row>
    <row r="323" spans="1:26">
      <c r="A323">
        <v>322</v>
      </c>
      <c r="B323" t="s">
        <v>2</v>
      </c>
      <c r="C323" t="s">
        <v>447</v>
      </c>
      <c r="E323" t="s">
        <v>2</v>
      </c>
      <c r="F323">
        <v>966115890</v>
      </c>
      <c r="G323" t="s">
        <v>2</v>
      </c>
      <c r="H323" t="s">
        <v>4</v>
      </c>
      <c r="I323" t="s">
        <v>94</v>
      </c>
      <c r="J323" t="s">
        <v>2</v>
      </c>
      <c r="K323" t="s">
        <v>95</v>
      </c>
      <c r="L323" t="s">
        <v>7</v>
      </c>
      <c r="M323" s="1">
        <v>44849</v>
      </c>
      <c r="N323" t="s">
        <v>8</v>
      </c>
      <c r="O323">
        <v>185</v>
      </c>
      <c r="P323" t="s">
        <v>52</v>
      </c>
      <c r="Q323" t="s">
        <v>10</v>
      </c>
      <c r="R323" t="s">
        <v>22</v>
      </c>
      <c r="T323" t="s">
        <v>1092</v>
      </c>
      <c r="U323" t="s">
        <v>1100</v>
      </c>
      <c r="V323" s="3" t="s">
        <v>1044</v>
      </c>
      <c r="W323" t="s">
        <v>1146</v>
      </c>
      <c r="X323" s="9" t="s">
        <v>2</v>
      </c>
      <c r="Y323" s="9" t="s">
        <v>2</v>
      </c>
      <c r="Z323" t="s">
        <v>1144</v>
      </c>
    </row>
    <row r="324" spans="1:26">
      <c r="A324">
        <v>323</v>
      </c>
      <c r="B324" t="s">
        <v>0</v>
      </c>
      <c r="C324" t="s">
        <v>448</v>
      </c>
      <c r="E324">
        <v>40949137</v>
      </c>
      <c r="F324">
        <v>970416636</v>
      </c>
      <c r="G324" t="s">
        <v>449</v>
      </c>
      <c r="H324" t="s">
        <v>4</v>
      </c>
      <c r="I324" t="s">
        <v>94</v>
      </c>
      <c r="J324" t="s">
        <v>2</v>
      </c>
      <c r="K324" t="s">
        <v>450</v>
      </c>
      <c r="L324" t="s">
        <v>7</v>
      </c>
      <c r="M324" s="1">
        <v>44849</v>
      </c>
      <c r="N324" t="s">
        <v>21</v>
      </c>
      <c r="O324">
        <v>190</v>
      </c>
      <c r="P324" t="s">
        <v>451</v>
      </c>
      <c r="Q324" t="s">
        <v>10</v>
      </c>
      <c r="R324" t="s">
        <v>11</v>
      </c>
      <c r="T324" t="s">
        <v>1092</v>
      </c>
      <c r="U324" t="s">
        <v>1100</v>
      </c>
      <c r="V324" s="3" t="s">
        <v>1044</v>
      </c>
      <c r="W324" t="s">
        <v>1146</v>
      </c>
      <c r="X324" s="9">
        <v>10</v>
      </c>
      <c r="Y324" s="9" t="s">
        <v>1068</v>
      </c>
      <c r="Z324" t="s">
        <v>1144</v>
      </c>
    </row>
    <row r="325" spans="1:26">
      <c r="A325">
        <v>324</v>
      </c>
      <c r="B325" t="s">
        <v>2</v>
      </c>
      <c r="C325" t="s">
        <v>452</v>
      </c>
      <c r="E325">
        <v>45333278</v>
      </c>
      <c r="F325">
        <v>993881800</v>
      </c>
      <c r="G325" t="s">
        <v>2</v>
      </c>
      <c r="H325" t="s">
        <v>514</v>
      </c>
      <c r="I325" t="s">
        <v>74</v>
      </c>
      <c r="J325" t="s">
        <v>29</v>
      </c>
      <c r="K325" t="s">
        <v>2</v>
      </c>
      <c r="L325" t="s">
        <v>37</v>
      </c>
      <c r="M325" s="1">
        <v>44849</v>
      </c>
      <c r="N325" t="s">
        <v>8</v>
      </c>
      <c r="O325">
        <v>190</v>
      </c>
      <c r="P325" t="s">
        <v>451</v>
      </c>
      <c r="Q325" t="s">
        <v>10</v>
      </c>
      <c r="R325" t="s">
        <v>11</v>
      </c>
      <c r="T325" t="s">
        <v>1092</v>
      </c>
      <c r="U325" t="s">
        <v>1100</v>
      </c>
      <c r="V325" s="3" t="s">
        <v>1044</v>
      </c>
      <c r="W325" t="s">
        <v>1146</v>
      </c>
      <c r="X325" s="9">
        <v>10</v>
      </c>
      <c r="Y325" s="9" t="s">
        <v>1068</v>
      </c>
      <c r="Z325" t="s">
        <v>1144</v>
      </c>
    </row>
    <row r="326" spans="1:26">
      <c r="A326">
        <v>325</v>
      </c>
      <c r="B326" t="s">
        <v>60</v>
      </c>
      <c r="C326" t="s">
        <v>453</v>
      </c>
      <c r="E326" t="s">
        <v>2</v>
      </c>
      <c r="F326">
        <v>961098844</v>
      </c>
      <c r="G326" t="s">
        <v>454</v>
      </c>
      <c r="H326" t="s">
        <v>4</v>
      </c>
      <c r="I326" t="s">
        <v>90</v>
      </c>
      <c r="J326" t="s">
        <v>2</v>
      </c>
      <c r="K326" t="s">
        <v>277</v>
      </c>
      <c r="L326" t="s">
        <v>37</v>
      </c>
      <c r="M326" s="1">
        <v>44850</v>
      </c>
      <c r="N326" t="s">
        <v>8</v>
      </c>
      <c r="O326">
        <v>800</v>
      </c>
      <c r="P326" t="s">
        <v>451</v>
      </c>
      <c r="Q326" t="s">
        <v>10</v>
      </c>
      <c r="R326" t="s">
        <v>22</v>
      </c>
      <c r="T326" t="s">
        <v>1092</v>
      </c>
      <c r="U326" t="s">
        <v>1100</v>
      </c>
      <c r="V326" s="3" t="s">
        <v>1045</v>
      </c>
      <c r="W326" t="s">
        <v>1146</v>
      </c>
      <c r="X326" s="9">
        <v>30</v>
      </c>
      <c r="Y326" s="9" t="s">
        <v>1068</v>
      </c>
      <c r="Z326" t="s">
        <v>1144</v>
      </c>
    </row>
    <row r="327" spans="1:26">
      <c r="A327">
        <v>326</v>
      </c>
      <c r="B327" t="str">
        <f t="shared" ref="B327:N327" si="55">B326</f>
        <v>RH</v>
      </c>
      <c r="C327" t="str">
        <f t="shared" si="55"/>
        <v xml:space="preserve">Mirriam </v>
      </c>
      <c r="E327" t="str">
        <f t="shared" si="55"/>
        <v>-</v>
      </c>
      <c r="F327">
        <f t="shared" si="55"/>
        <v>961098844</v>
      </c>
      <c r="G327" t="str">
        <f t="shared" si="55"/>
        <v>RH E001-72</v>
      </c>
      <c r="H327" t="str">
        <f t="shared" si="55"/>
        <v>Lima</v>
      </c>
      <c r="I327" t="str">
        <f t="shared" si="55"/>
        <v>La victoria</v>
      </c>
      <c r="J327" t="str">
        <f t="shared" si="55"/>
        <v>-</v>
      </c>
      <c r="K327" t="str">
        <f t="shared" si="55"/>
        <v>Victoria</v>
      </c>
      <c r="L327" t="str">
        <f t="shared" si="55"/>
        <v>Redes sociales</v>
      </c>
      <c r="M327" s="1">
        <f t="shared" si="55"/>
        <v>44850</v>
      </c>
      <c r="N327" t="str">
        <f t="shared" si="55"/>
        <v>BCP</v>
      </c>
      <c r="O327" s="14">
        <v>40</v>
      </c>
      <c r="P327" t="str">
        <f t="shared" ref="P327:S327" si="56">P326</f>
        <v>Farmaket</v>
      </c>
      <c r="Q327" t="str">
        <f t="shared" si="56"/>
        <v>U</v>
      </c>
      <c r="R327" t="str">
        <f t="shared" si="56"/>
        <v>Sergio</v>
      </c>
      <c r="S327">
        <f t="shared" si="56"/>
        <v>0</v>
      </c>
      <c r="T327" t="s">
        <v>1134</v>
      </c>
      <c r="U327" t="s">
        <v>1116</v>
      </c>
      <c r="V327" s="3">
        <f>X326</f>
        <v>30</v>
      </c>
      <c r="W327" t="s">
        <v>1137</v>
      </c>
      <c r="X327" s="9"/>
      <c r="Y327" s="9"/>
      <c r="Z327" t="s">
        <v>1131</v>
      </c>
    </row>
    <row r="328" spans="1:26">
      <c r="A328">
        <v>327</v>
      </c>
      <c r="B328" t="s">
        <v>2</v>
      </c>
      <c r="C328" t="s">
        <v>455</v>
      </c>
      <c r="E328">
        <v>72246136</v>
      </c>
      <c r="F328">
        <v>993982500</v>
      </c>
      <c r="G328" t="s">
        <v>2</v>
      </c>
      <c r="H328" t="s">
        <v>4</v>
      </c>
      <c r="I328" t="s">
        <v>90</v>
      </c>
      <c r="J328" t="s">
        <v>29</v>
      </c>
      <c r="K328" t="s">
        <v>77</v>
      </c>
      <c r="L328" t="s">
        <v>37</v>
      </c>
      <c r="M328" s="1">
        <v>44851</v>
      </c>
      <c r="N328" t="s">
        <v>8</v>
      </c>
      <c r="O328">
        <v>190</v>
      </c>
      <c r="P328" t="s">
        <v>451</v>
      </c>
      <c r="Q328" t="s">
        <v>10</v>
      </c>
      <c r="R328" t="s">
        <v>11</v>
      </c>
      <c r="T328" t="s">
        <v>1092</v>
      </c>
      <c r="U328" t="s">
        <v>1100</v>
      </c>
      <c r="V328" s="3" t="s">
        <v>1044</v>
      </c>
      <c r="W328" t="s">
        <v>1146</v>
      </c>
      <c r="X328" s="9">
        <v>10</v>
      </c>
      <c r="Y328" s="9" t="s">
        <v>1068</v>
      </c>
      <c r="Z328" t="s">
        <v>1144</v>
      </c>
    </row>
    <row r="329" spans="1:26">
      <c r="A329">
        <v>328</v>
      </c>
      <c r="B329" t="s">
        <v>23</v>
      </c>
      <c r="C329" t="s">
        <v>456</v>
      </c>
      <c r="E329">
        <v>46158044</v>
      </c>
      <c r="F329">
        <v>933523081</v>
      </c>
      <c r="G329" t="s">
        <v>2</v>
      </c>
      <c r="H329" t="s">
        <v>4</v>
      </c>
      <c r="I329" t="s">
        <v>58</v>
      </c>
      <c r="J329" t="s">
        <v>2</v>
      </c>
      <c r="K329" t="s">
        <v>58</v>
      </c>
      <c r="L329" t="s">
        <v>7</v>
      </c>
      <c r="M329" s="1">
        <v>44851</v>
      </c>
      <c r="N329" t="s">
        <v>21</v>
      </c>
      <c r="O329">
        <v>200</v>
      </c>
      <c r="P329" t="s">
        <v>451</v>
      </c>
      <c r="Q329" t="s">
        <v>10</v>
      </c>
      <c r="R329" t="s">
        <v>11</v>
      </c>
      <c r="T329" t="s">
        <v>1092</v>
      </c>
      <c r="U329" t="s">
        <v>1100</v>
      </c>
      <c r="V329" s="3" t="s">
        <v>1044</v>
      </c>
      <c r="W329" t="s">
        <v>1146</v>
      </c>
      <c r="X329" s="9">
        <v>10</v>
      </c>
      <c r="Y329" s="9" t="s">
        <v>1068</v>
      </c>
      <c r="Z329" t="s">
        <v>1144</v>
      </c>
    </row>
    <row r="330" spans="1:26">
      <c r="A330">
        <v>329</v>
      </c>
      <c r="B330" t="s">
        <v>12</v>
      </c>
      <c r="C330" t="s">
        <v>457</v>
      </c>
      <c r="E330">
        <v>16532762</v>
      </c>
      <c r="F330">
        <v>996936691</v>
      </c>
      <c r="G330" t="s">
        <v>458</v>
      </c>
      <c r="H330" t="s">
        <v>229</v>
      </c>
      <c r="J330" t="s">
        <v>29</v>
      </c>
      <c r="K330" t="s">
        <v>2</v>
      </c>
      <c r="L330" t="s">
        <v>37</v>
      </c>
      <c r="M330" s="1">
        <v>44851</v>
      </c>
      <c r="N330" t="s">
        <v>56</v>
      </c>
      <c r="O330">
        <v>440</v>
      </c>
      <c r="P330" t="s">
        <v>9</v>
      </c>
      <c r="Q330" t="s">
        <v>10</v>
      </c>
      <c r="R330" t="s">
        <v>22</v>
      </c>
      <c r="T330" t="s">
        <v>1092</v>
      </c>
      <c r="U330" t="s">
        <v>1101</v>
      </c>
      <c r="V330" s="3" t="s">
        <v>1044</v>
      </c>
      <c r="W330" t="s">
        <v>1146</v>
      </c>
      <c r="X330" s="9">
        <v>20</v>
      </c>
      <c r="Y330" s="9" t="s">
        <v>1068</v>
      </c>
      <c r="Z330" t="s">
        <v>1143</v>
      </c>
    </row>
    <row r="331" spans="1:26">
      <c r="A331">
        <v>330</v>
      </c>
      <c r="B331" t="str">
        <f t="shared" ref="B331:N331" si="57">B330</f>
        <v>FT</v>
      </c>
      <c r="C331" t="str">
        <f t="shared" si="57"/>
        <v>Violeta Ventura Pisfil</v>
      </c>
      <c r="E331">
        <f t="shared" si="57"/>
        <v>16532762</v>
      </c>
      <c r="F331">
        <f t="shared" si="57"/>
        <v>996936691</v>
      </c>
      <c r="G331" t="str">
        <f t="shared" si="57"/>
        <v>FT F001-16</v>
      </c>
      <c r="H331" t="str">
        <f t="shared" si="57"/>
        <v>Chiclayo</v>
      </c>
      <c r="J331" t="str">
        <f t="shared" si="57"/>
        <v>Shalom</v>
      </c>
      <c r="K331" t="str">
        <f t="shared" si="57"/>
        <v>-</v>
      </c>
      <c r="L331" t="str">
        <f t="shared" si="57"/>
        <v>Redes sociales</v>
      </c>
      <c r="M331" s="1">
        <f t="shared" si="57"/>
        <v>44851</v>
      </c>
      <c r="N331" t="str">
        <f t="shared" si="57"/>
        <v>Interbank</v>
      </c>
      <c r="O331" s="14">
        <v>50</v>
      </c>
      <c r="P331" t="str">
        <f t="shared" ref="P331:R331" si="58">P330</f>
        <v>Restaurante</v>
      </c>
      <c r="Q331" t="str">
        <f t="shared" si="58"/>
        <v>U</v>
      </c>
      <c r="R331" t="str">
        <f t="shared" si="58"/>
        <v>Sergio</v>
      </c>
      <c r="T331" t="s">
        <v>1134</v>
      </c>
      <c r="U331" t="s">
        <v>1116</v>
      </c>
      <c r="V331" s="3">
        <f>X330</f>
        <v>20</v>
      </c>
      <c r="W331" t="s">
        <v>1137</v>
      </c>
      <c r="X331" s="9"/>
      <c r="Y331" s="9"/>
      <c r="Z331" t="s">
        <v>1131</v>
      </c>
    </row>
    <row r="332" spans="1:26">
      <c r="A332">
        <v>331</v>
      </c>
      <c r="B332" t="s">
        <v>12</v>
      </c>
      <c r="C332" t="s">
        <v>459</v>
      </c>
      <c r="E332">
        <v>20608590341</v>
      </c>
      <c r="F332">
        <v>926503337</v>
      </c>
      <c r="G332" t="s">
        <v>460</v>
      </c>
      <c r="H332" t="s">
        <v>4</v>
      </c>
      <c r="I332" t="s">
        <v>144</v>
      </c>
      <c r="J332" t="s">
        <v>2</v>
      </c>
      <c r="K332" t="s">
        <v>461</v>
      </c>
      <c r="L332" t="s">
        <v>37</v>
      </c>
      <c r="M332" s="1">
        <v>44851</v>
      </c>
      <c r="N332" t="s">
        <v>21</v>
      </c>
      <c r="O332">
        <v>195</v>
      </c>
      <c r="P332" t="s">
        <v>30</v>
      </c>
      <c r="Q332" t="s">
        <v>10</v>
      </c>
      <c r="R332" t="s">
        <v>22</v>
      </c>
      <c r="T332" t="s">
        <v>1092</v>
      </c>
      <c r="U332" t="s">
        <v>1100</v>
      </c>
      <c r="V332" s="3" t="s">
        <v>1044</v>
      </c>
      <c r="W332" t="s">
        <v>1146</v>
      </c>
      <c r="X332" s="9">
        <v>10</v>
      </c>
      <c r="Y332" s="9" t="s">
        <v>1068</v>
      </c>
      <c r="Z332" t="s">
        <v>1144</v>
      </c>
    </row>
    <row r="333" spans="1:26">
      <c r="A333">
        <v>332</v>
      </c>
      <c r="B333" t="s">
        <v>2</v>
      </c>
      <c r="C333" t="s">
        <v>462</v>
      </c>
      <c r="E333">
        <v>40877164</v>
      </c>
      <c r="F333">
        <v>989496430</v>
      </c>
      <c r="G333" t="s">
        <v>2</v>
      </c>
      <c r="H333" t="s">
        <v>1042</v>
      </c>
      <c r="I333" t="s">
        <v>335</v>
      </c>
      <c r="J333" t="s">
        <v>463</v>
      </c>
      <c r="K333" t="s">
        <v>280</v>
      </c>
      <c r="L333" t="s">
        <v>7</v>
      </c>
      <c r="M333" s="1">
        <v>44852</v>
      </c>
      <c r="N333" t="s">
        <v>8</v>
      </c>
      <c r="O333">
        <v>190</v>
      </c>
      <c r="P333" t="s">
        <v>52</v>
      </c>
      <c r="Q333" t="s">
        <v>10</v>
      </c>
      <c r="R333" t="s">
        <v>11</v>
      </c>
      <c r="T333" t="s">
        <v>1092</v>
      </c>
      <c r="U333" t="s">
        <v>1100</v>
      </c>
      <c r="V333" s="3" t="s">
        <v>1044</v>
      </c>
      <c r="W333" t="s">
        <v>1146</v>
      </c>
      <c r="X333" s="9">
        <v>10</v>
      </c>
      <c r="Y333" s="9" t="s">
        <v>1068</v>
      </c>
      <c r="Z333" t="s">
        <v>1144</v>
      </c>
    </row>
    <row r="334" spans="1:26">
      <c r="A334">
        <v>333</v>
      </c>
      <c r="B334" t="s">
        <v>2</v>
      </c>
      <c r="C334" t="s">
        <v>464</v>
      </c>
      <c r="E334">
        <v>72893463</v>
      </c>
      <c r="F334">
        <v>921611882</v>
      </c>
      <c r="G334" t="s">
        <v>2</v>
      </c>
      <c r="H334" t="s">
        <v>973</v>
      </c>
      <c r="J334" t="s">
        <v>29</v>
      </c>
      <c r="K334" t="s">
        <v>2</v>
      </c>
      <c r="L334" t="s">
        <v>37</v>
      </c>
      <c r="M334" s="1">
        <v>44852</v>
      </c>
      <c r="N334" t="s">
        <v>8</v>
      </c>
      <c r="O334">
        <v>190</v>
      </c>
      <c r="P334" t="s">
        <v>52</v>
      </c>
      <c r="Q334" t="s">
        <v>10</v>
      </c>
      <c r="R334" t="s">
        <v>11</v>
      </c>
      <c r="S334">
        <v>12</v>
      </c>
      <c r="T334" t="s">
        <v>1092</v>
      </c>
      <c r="U334" t="s">
        <v>1100</v>
      </c>
      <c r="V334" s="3" t="s">
        <v>1044</v>
      </c>
      <c r="W334" t="s">
        <v>1146</v>
      </c>
      <c r="X334" s="9">
        <v>10</v>
      </c>
      <c r="Y334" s="9" t="s">
        <v>1068</v>
      </c>
      <c r="Z334" t="s">
        <v>1144</v>
      </c>
    </row>
    <row r="335" spans="1:26">
      <c r="A335">
        <v>334</v>
      </c>
      <c r="B335" t="s">
        <v>60</v>
      </c>
      <c r="C335" t="s">
        <v>465</v>
      </c>
      <c r="E335">
        <v>45972862</v>
      </c>
      <c r="F335">
        <v>989606641</v>
      </c>
      <c r="G335" t="s">
        <v>466</v>
      </c>
      <c r="H335" t="s">
        <v>355</v>
      </c>
      <c r="J335" t="s">
        <v>29</v>
      </c>
      <c r="K335" t="s">
        <v>2</v>
      </c>
      <c r="L335" t="s">
        <v>37</v>
      </c>
      <c r="M335" s="1">
        <v>44853</v>
      </c>
      <c r="N335" t="s">
        <v>56</v>
      </c>
      <c r="O335">
        <v>350</v>
      </c>
      <c r="P335" t="s">
        <v>216</v>
      </c>
      <c r="Q335" t="s">
        <v>10</v>
      </c>
      <c r="R335" t="s">
        <v>11</v>
      </c>
      <c r="T335" t="s">
        <v>1082</v>
      </c>
      <c r="U335" t="s">
        <v>1104</v>
      </c>
      <c r="V335" s="3" t="s">
        <v>1044</v>
      </c>
      <c r="W335" t="s">
        <v>1145</v>
      </c>
      <c r="X335" s="9">
        <v>10</v>
      </c>
      <c r="Y335" s="9" t="s">
        <v>1056</v>
      </c>
      <c r="Z335" t="s">
        <v>1143</v>
      </c>
    </row>
    <row r="336" spans="1:26">
      <c r="A336">
        <v>335</v>
      </c>
      <c r="B336" t="str">
        <f t="shared" ref="B336:N336" si="59">B335</f>
        <v>RH</v>
      </c>
      <c r="C336" t="str">
        <f t="shared" si="59"/>
        <v>Miguel Angel Quezada Alayo</v>
      </c>
      <c r="E336">
        <f t="shared" si="59"/>
        <v>45972862</v>
      </c>
      <c r="F336">
        <f t="shared" si="59"/>
        <v>989606641</v>
      </c>
      <c r="G336" t="str">
        <f t="shared" si="59"/>
        <v>RH E001-71</v>
      </c>
      <c r="H336" t="str">
        <f t="shared" si="59"/>
        <v>Trujillo</v>
      </c>
      <c r="J336" t="str">
        <f t="shared" si="59"/>
        <v>Shalom</v>
      </c>
      <c r="K336" t="str">
        <f t="shared" si="59"/>
        <v>-</v>
      </c>
      <c r="L336" t="str">
        <f t="shared" si="59"/>
        <v>Redes sociales</v>
      </c>
      <c r="M336" s="1">
        <f t="shared" si="59"/>
        <v>44853</v>
      </c>
      <c r="N336" t="str">
        <f t="shared" si="59"/>
        <v>Interbank</v>
      </c>
      <c r="O336" s="16">
        <v>125</v>
      </c>
      <c r="P336" t="str">
        <f t="shared" ref="P336:R336" si="60">P335</f>
        <v>Polleria</v>
      </c>
      <c r="Q336" t="str">
        <f t="shared" si="60"/>
        <v>U</v>
      </c>
      <c r="R336" t="str">
        <f t="shared" si="60"/>
        <v>Rodrigo</v>
      </c>
      <c r="T336" t="s">
        <v>1134</v>
      </c>
      <c r="U336" t="s">
        <v>1115</v>
      </c>
      <c r="V336" s="3">
        <v>40</v>
      </c>
      <c r="W336" t="s">
        <v>1137</v>
      </c>
      <c r="X336" s="9"/>
      <c r="Y336" s="9"/>
      <c r="Z336" t="s">
        <v>1131</v>
      </c>
    </row>
    <row r="337" spans="1:26">
      <c r="A337">
        <v>336</v>
      </c>
      <c r="B337" t="s">
        <v>60</v>
      </c>
      <c r="C337" t="s">
        <v>467</v>
      </c>
      <c r="E337" t="s">
        <v>2</v>
      </c>
      <c r="F337">
        <v>972821863</v>
      </c>
      <c r="G337" t="s">
        <v>468</v>
      </c>
      <c r="H337" t="s">
        <v>4</v>
      </c>
      <c r="I337" t="s">
        <v>90</v>
      </c>
      <c r="J337" t="s">
        <v>2</v>
      </c>
      <c r="K337" t="s">
        <v>400</v>
      </c>
      <c r="L337" t="s">
        <v>37</v>
      </c>
      <c r="M337" s="1">
        <v>44853</v>
      </c>
      <c r="N337" t="s">
        <v>8</v>
      </c>
      <c r="O337" s="5">
        <v>455</v>
      </c>
      <c r="P337" t="s">
        <v>30</v>
      </c>
      <c r="Q337" t="s">
        <v>10</v>
      </c>
      <c r="R337" t="s">
        <v>22</v>
      </c>
      <c r="T337" t="s">
        <v>1092</v>
      </c>
      <c r="U337" t="s">
        <v>1093</v>
      </c>
      <c r="V337" s="3">
        <v>1</v>
      </c>
      <c r="W337" t="s">
        <v>1148</v>
      </c>
      <c r="X337" s="9">
        <v>1</v>
      </c>
      <c r="Y337" s="9" t="s">
        <v>1062</v>
      </c>
      <c r="Z337" t="s">
        <v>1149</v>
      </c>
    </row>
    <row r="338" spans="1:26">
      <c r="A338">
        <v>337</v>
      </c>
      <c r="B338" t="str">
        <f t="shared" ref="B338:N338" si="61">B337</f>
        <v>RH</v>
      </c>
      <c r="C338" t="str">
        <f t="shared" si="61"/>
        <v>Jose Luis Meza Samaniego</v>
      </c>
      <c r="E338" t="str">
        <f t="shared" si="61"/>
        <v>-</v>
      </c>
      <c r="F338">
        <f t="shared" si="61"/>
        <v>972821863</v>
      </c>
      <c r="G338" t="str">
        <f t="shared" si="61"/>
        <v>RH E001-11</v>
      </c>
      <c r="H338" t="str">
        <f t="shared" si="61"/>
        <v>Lima</v>
      </c>
      <c r="I338" t="str">
        <f t="shared" si="61"/>
        <v>La victoria</v>
      </c>
      <c r="J338" t="str">
        <f t="shared" si="61"/>
        <v>-</v>
      </c>
      <c r="K338" t="str">
        <f t="shared" si="61"/>
        <v>San Luis</v>
      </c>
      <c r="L338" t="str">
        <f t="shared" si="61"/>
        <v>Redes sociales</v>
      </c>
      <c r="M338" s="1">
        <f t="shared" si="61"/>
        <v>44853</v>
      </c>
      <c r="N338" t="str">
        <f t="shared" si="61"/>
        <v>BCP</v>
      </c>
      <c r="O338" s="17">
        <v>50</v>
      </c>
      <c r="P338" t="str">
        <f t="shared" ref="P338:R338" si="62">P337</f>
        <v>Otros</v>
      </c>
      <c r="Q338" t="str">
        <f t="shared" si="62"/>
        <v>U</v>
      </c>
      <c r="R338" t="str">
        <f t="shared" si="62"/>
        <v>Sergio</v>
      </c>
      <c r="T338" t="s">
        <v>1151</v>
      </c>
      <c r="U338" t="s">
        <v>1128</v>
      </c>
      <c r="V338" s="3">
        <v>2</v>
      </c>
      <c r="W338" t="s">
        <v>1135</v>
      </c>
      <c r="X338" s="9"/>
      <c r="Y338" s="9"/>
      <c r="Z338" t="s">
        <v>1136</v>
      </c>
    </row>
    <row r="339" spans="1:26">
      <c r="A339">
        <v>338</v>
      </c>
      <c r="B339" t="s">
        <v>2</v>
      </c>
      <c r="C339" t="s">
        <v>469</v>
      </c>
      <c r="E339" t="s">
        <v>2</v>
      </c>
      <c r="F339">
        <v>915163985</v>
      </c>
      <c r="G339" t="s">
        <v>2</v>
      </c>
      <c r="H339" t="s">
        <v>4</v>
      </c>
      <c r="I339" t="s">
        <v>90</v>
      </c>
      <c r="J339" t="s">
        <v>2</v>
      </c>
      <c r="K339" t="s">
        <v>400</v>
      </c>
      <c r="L339" t="s">
        <v>37</v>
      </c>
      <c r="M339" s="1">
        <v>44854</v>
      </c>
      <c r="N339" t="s">
        <v>8</v>
      </c>
      <c r="O339">
        <v>340</v>
      </c>
      <c r="P339" t="s">
        <v>234</v>
      </c>
      <c r="Q339" t="s">
        <v>10</v>
      </c>
      <c r="R339" t="s">
        <v>22</v>
      </c>
      <c r="T339" t="s">
        <v>1082</v>
      </c>
      <c r="U339" t="s">
        <v>1104</v>
      </c>
      <c r="V339" s="3" t="s">
        <v>1044</v>
      </c>
      <c r="W339" t="s">
        <v>1145</v>
      </c>
      <c r="X339" s="9">
        <v>10</v>
      </c>
      <c r="Y339" s="9" t="s">
        <v>1056</v>
      </c>
      <c r="Z339" t="s">
        <v>1143</v>
      </c>
    </row>
    <row r="340" spans="1:26">
      <c r="A340">
        <v>339</v>
      </c>
      <c r="B340" t="str">
        <f t="shared" ref="B340:N340" si="63">B339</f>
        <v>-</v>
      </c>
      <c r="C340" t="str">
        <f t="shared" si="63"/>
        <v>Yasmin Sadith Casachagua Peralta</v>
      </c>
      <c r="E340" t="str">
        <f t="shared" si="63"/>
        <v>-</v>
      </c>
      <c r="F340">
        <f t="shared" si="63"/>
        <v>915163985</v>
      </c>
      <c r="G340" t="str">
        <f t="shared" si="63"/>
        <v>-</v>
      </c>
      <c r="H340" t="str">
        <f t="shared" si="63"/>
        <v>Lima</v>
      </c>
      <c r="I340" t="str">
        <f t="shared" si="63"/>
        <v>La victoria</v>
      </c>
      <c r="J340" t="str">
        <f t="shared" si="63"/>
        <v>-</v>
      </c>
      <c r="K340" t="str">
        <f t="shared" si="63"/>
        <v>San Luis</v>
      </c>
      <c r="L340" t="str">
        <f t="shared" si="63"/>
        <v>Redes sociales</v>
      </c>
      <c r="M340" s="1">
        <f t="shared" si="63"/>
        <v>44854</v>
      </c>
      <c r="N340" t="str">
        <f t="shared" si="63"/>
        <v>BCP</v>
      </c>
      <c r="O340" s="16">
        <v>10</v>
      </c>
      <c r="P340" t="str">
        <f t="shared" ref="P340:R340" si="64">P339</f>
        <v>Farmacia</v>
      </c>
      <c r="Q340" t="str">
        <f t="shared" si="64"/>
        <v>U</v>
      </c>
      <c r="R340" t="str">
        <f t="shared" si="64"/>
        <v>Sergio</v>
      </c>
      <c r="T340" t="s">
        <v>1134</v>
      </c>
      <c r="U340" t="s">
        <v>1115</v>
      </c>
      <c r="V340" s="3">
        <v>5</v>
      </c>
      <c r="W340" t="s">
        <v>1137</v>
      </c>
      <c r="X340" s="9"/>
      <c r="Y340" s="9"/>
      <c r="Z340" t="s">
        <v>1131</v>
      </c>
    </row>
    <row r="341" spans="1:26">
      <c r="A341">
        <v>340</v>
      </c>
      <c r="B341" t="s">
        <v>2</v>
      </c>
      <c r="C341" t="s">
        <v>470</v>
      </c>
      <c r="E341">
        <v>47878040</v>
      </c>
      <c r="F341">
        <v>962950305</v>
      </c>
      <c r="G341" t="s">
        <v>2</v>
      </c>
      <c r="H341" t="s">
        <v>55</v>
      </c>
      <c r="J341" t="s">
        <v>29</v>
      </c>
      <c r="K341" t="s">
        <v>2</v>
      </c>
      <c r="L341" t="s">
        <v>37</v>
      </c>
      <c r="M341" s="1">
        <v>44854</v>
      </c>
      <c r="N341" t="s">
        <v>8</v>
      </c>
      <c r="O341" s="14">
        <v>20</v>
      </c>
      <c r="P341" t="s">
        <v>30</v>
      </c>
      <c r="Q341" t="s">
        <v>10</v>
      </c>
      <c r="R341" t="s">
        <v>22</v>
      </c>
      <c r="S341">
        <v>10</v>
      </c>
      <c r="T341" t="s">
        <v>1151</v>
      </c>
      <c r="U341" t="s">
        <v>1128</v>
      </c>
      <c r="V341" s="3" t="s">
        <v>1044</v>
      </c>
      <c r="W341" t="s">
        <v>1135</v>
      </c>
      <c r="X341" s="9">
        <v>1</v>
      </c>
      <c r="Y341" s="9" t="s">
        <v>1061</v>
      </c>
      <c r="Z341" t="s">
        <v>1136</v>
      </c>
    </row>
    <row r="342" spans="1:26">
      <c r="A342">
        <v>341</v>
      </c>
      <c r="B342" t="str">
        <f t="shared" ref="B342:N342" si="65">B341</f>
        <v>-</v>
      </c>
      <c r="C342" t="str">
        <f t="shared" si="65"/>
        <v>Yhonatan Usacani Del Solar Mamani</v>
      </c>
      <c r="E342">
        <f t="shared" si="65"/>
        <v>47878040</v>
      </c>
      <c r="F342">
        <f t="shared" si="65"/>
        <v>962950305</v>
      </c>
      <c r="G342" t="str">
        <f t="shared" si="65"/>
        <v>-</v>
      </c>
      <c r="H342" t="str">
        <f t="shared" si="65"/>
        <v>Tacna</v>
      </c>
      <c r="J342" t="str">
        <f t="shared" si="65"/>
        <v>Shalom</v>
      </c>
      <c r="K342" t="str">
        <f t="shared" si="65"/>
        <v>-</v>
      </c>
      <c r="L342" t="str">
        <f t="shared" si="65"/>
        <v>Redes sociales</v>
      </c>
      <c r="M342" s="1">
        <f t="shared" si="65"/>
        <v>44854</v>
      </c>
      <c r="N342" t="str">
        <f t="shared" si="65"/>
        <v>BCP</v>
      </c>
      <c r="O342" s="14">
        <v>25</v>
      </c>
      <c r="P342" t="str">
        <f t="shared" ref="P342:R342" si="66">P341</f>
        <v>Otros</v>
      </c>
      <c r="Q342" t="str">
        <f t="shared" si="66"/>
        <v>U</v>
      </c>
      <c r="R342" t="str">
        <f t="shared" si="66"/>
        <v>Sergio</v>
      </c>
      <c r="T342" t="s">
        <v>1151</v>
      </c>
      <c r="U342" t="s">
        <v>1120</v>
      </c>
      <c r="V342" s="3">
        <f t="shared" ref="V342" si="67">X341</f>
        <v>1</v>
      </c>
      <c r="W342" t="s">
        <v>1135</v>
      </c>
      <c r="X342" s="9"/>
      <c r="Y342" s="9"/>
      <c r="Z342" t="s">
        <v>1136</v>
      </c>
    </row>
    <row r="343" spans="1:26">
      <c r="A343">
        <v>342</v>
      </c>
      <c r="B343" t="s">
        <v>12</v>
      </c>
      <c r="C343" t="s">
        <v>471</v>
      </c>
      <c r="E343">
        <v>10426470204</v>
      </c>
      <c r="F343">
        <v>932363247</v>
      </c>
      <c r="G343" t="s">
        <v>472</v>
      </c>
      <c r="H343" t="s">
        <v>4</v>
      </c>
      <c r="I343" t="s">
        <v>90</v>
      </c>
      <c r="J343" t="s">
        <v>2</v>
      </c>
      <c r="K343" t="s">
        <v>155</v>
      </c>
      <c r="L343" t="s">
        <v>37</v>
      </c>
      <c r="M343" s="1">
        <v>44854</v>
      </c>
      <c r="N343" t="s">
        <v>21</v>
      </c>
      <c r="O343">
        <v>335</v>
      </c>
      <c r="P343" t="s">
        <v>234</v>
      </c>
      <c r="Q343" t="s">
        <v>10</v>
      </c>
      <c r="R343" t="s">
        <v>22</v>
      </c>
      <c r="T343" t="s">
        <v>1082</v>
      </c>
      <c r="U343" t="s">
        <v>1104</v>
      </c>
      <c r="V343" s="3" t="s">
        <v>1044</v>
      </c>
      <c r="W343" t="s">
        <v>1145</v>
      </c>
      <c r="X343" s="9">
        <v>10</v>
      </c>
      <c r="Y343" s="9" t="s">
        <v>1056</v>
      </c>
      <c r="Z343" t="s">
        <v>1143</v>
      </c>
    </row>
    <row r="344" spans="1:26">
      <c r="A344">
        <v>343</v>
      </c>
      <c r="B344" t="str">
        <f t="shared" ref="B344:N344" si="68">B343</f>
        <v>FT</v>
      </c>
      <c r="C344" t="str">
        <f t="shared" si="68"/>
        <v>Uruchi Chipana Pedro Antonio</v>
      </c>
      <c r="E344">
        <f t="shared" si="68"/>
        <v>10426470204</v>
      </c>
      <c r="F344">
        <f t="shared" si="68"/>
        <v>932363247</v>
      </c>
      <c r="G344" t="str">
        <f t="shared" si="68"/>
        <v>FT F001-17</v>
      </c>
      <c r="H344" t="str">
        <f t="shared" si="68"/>
        <v>Lima</v>
      </c>
      <c r="I344" t="str">
        <f t="shared" si="68"/>
        <v>La victoria</v>
      </c>
      <c r="J344" t="str">
        <f t="shared" si="68"/>
        <v>-</v>
      </c>
      <c r="K344" t="str">
        <f t="shared" si="68"/>
        <v>Gamarra</v>
      </c>
      <c r="L344" t="str">
        <f t="shared" si="68"/>
        <v>Redes sociales</v>
      </c>
      <c r="M344" s="1">
        <f t="shared" si="68"/>
        <v>44854</v>
      </c>
      <c r="N344" t="str">
        <f t="shared" si="68"/>
        <v>Efectivo</v>
      </c>
      <c r="O344" s="16">
        <v>5</v>
      </c>
      <c r="P344" t="str">
        <f t="shared" ref="P344:R344" si="69">P343</f>
        <v>Farmacia</v>
      </c>
      <c r="Q344" t="str">
        <f t="shared" si="69"/>
        <v>U</v>
      </c>
      <c r="R344" t="str">
        <f t="shared" si="69"/>
        <v>Sergio</v>
      </c>
      <c r="T344" t="s">
        <v>1134</v>
      </c>
      <c r="U344" t="s">
        <v>1115</v>
      </c>
      <c r="V344" s="3">
        <v>2</v>
      </c>
      <c r="W344" t="s">
        <v>1137</v>
      </c>
      <c r="X344" s="9"/>
      <c r="Y344" s="9"/>
      <c r="Z344" t="s">
        <v>1131</v>
      </c>
    </row>
    <row r="345" spans="1:26">
      <c r="A345">
        <v>344</v>
      </c>
      <c r="B345" t="s">
        <v>2</v>
      </c>
      <c r="C345" t="s">
        <v>473</v>
      </c>
      <c r="E345">
        <v>41983226</v>
      </c>
      <c r="F345">
        <v>984218815</v>
      </c>
      <c r="G345" t="s">
        <v>2</v>
      </c>
      <c r="H345" t="s">
        <v>89</v>
      </c>
      <c r="I345" t="s">
        <v>474</v>
      </c>
      <c r="J345" t="s">
        <v>140</v>
      </c>
      <c r="K345" t="s">
        <v>2</v>
      </c>
      <c r="L345" t="s">
        <v>37</v>
      </c>
      <c r="M345" s="1">
        <v>44855</v>
      </c>
      <c r="N345" t="s">
        <v>56</v>
      </c>
      <c r="O345">
        <v>305</v>
      </c>
      <c r="P345" t="s">
        <v>234</v>
      </c>
      <c r="Q345" t="s">
        <v>10</v>
      </c>
      <c r="R345" t="s">
        <v>11</v>
      </c>
      <c r="T345" t="s">
        <v>1092</v>
      </c>
      <c r="U345" t="s">
        <v>1101</v>
      </c>
      <c r="V345" s="3" t="s">
        <v>1044</v>
      </c>
      <c r="W345" t="s">
        <v>1146</v>
      </c>
      <c r="X345" s="9">
        <v>20</v>
      </c>
      <c r="Y345" s="9" t="s">
        <v>1068</v>
      </c>
      <c r="Z345" t="s">
        <v>1144</v>
      </c>
    </row>
    <row r="346" spans="1:26">
      <c r="A346">
        <v>345</v>
      </c>
      <c r="B346" t="str">
        <f t="shared" ref="B346:N346" si="70">B345</f>
        <v>-</v>
      </c>
      <c r="C346" t="str">
        <f t="shared" si="70"/>
        <v>Campos Carmen Genaro Leonel</v>
      </c>
      <c r="E346">
        <f t="shared" si="70"/>
        <v>41983226</v>
      </c>
      <c r="F346">
        <f t="shared" si="70"/>
        <v>984218815</v>
      </c>
      <c r="G346" t="str">
        <f t="shared" si="70"/>
        <v>-</v>
      </c>
      <c r="H346" t="str">
        <f t="shared" si="70"/>
        <v>Ayacucho</v>
      </c>
      <c r="I346" t="str">
        <f t="shared" si="70"/>
        <v>Huamanga</v>
      </c>
      <c r="J346" t="str">
        <f t="shared" si="70"/>
        <v>Olva Courier</v>
      </c>
      <c r="K346" t="str">
        <f t="shared" si="70"/>
        <v>-</v>
      </c>
      <c r="L346" t="str">
        <f t="shared" si="70"/>
        <v>Redes sociales</v>
      </c>
      <c r="M346" s="1">
        <f t="shared" si="70"/>
        <v>44855</v>
      </c>
      <c r="N346" t="str">
        <f t="shared" si="70"/>
        <v>Interbank</v>
      </c>
      <c r="O346" s="14">
        <v>25</v>
      </c>
      <c r="P346" t="str">
        <f t="shared" ref="P346:R346" si="71">P345</f>
        <v>Farmacia</v>
      </c>
      <c r="Q346" t="str">
        <f t="shared" si="71"/>
        <v>U</v>
      </c>
      <c r="R346" t="str">
        <f t="shared" si="71"/>
        <v>Rodrigo</v>
      </c>
      <c r="T346" t="s">
        <v>1134</v>
      </c>
      <c r="U346" t="s">
        <v>1116</v>
      </c>
      <c r="V346" s="3">
        <f>X345</f>
        <v>20</v>
      </c>
      <c r="W346" t="s">
        <v>1137</v>
      </c>
      <c r="X346" s="9"/>
      <c r="Y346" s="9"/>
      <c r="Z346" t="s">
        <v>1131</v>
      </c>
    </row>
    <row r="347" spans="1:26">
      <c r="A347">
        <v>346</v>
      </c>
      <c r="B347" t="s">
        <v>2</v>
      </c>
      <c r="C347" t="s">
        <v>475</v>
      </c>
      <c r="E347">
        <v>74161057</v>
      </c>
      <c r="F347">
        <v>953922794</v>
      </c>
      <c r="G347" t="s">
        <v>2</v>
      </c>
      <c r="H347" t="s">
        <v>89</v>
      </c>
      <c r="I347" t="s">
        <v>474</v>
      </c>
      <c r="J347" t="s">
        <v>19</v>
      </c>
      <c r="K347" t="s">
        <v>2</v>
      </c>
      <c r="L347" t="s">
        <v>37</v>
      </c>
      <c r="M347" s="1">
        <v>44855</v>
      </c>
      <c r="N347" t="s">
        <v>8</v>
      </c>
      <c r="O347">
        <v>190</v>
      </c>
      <c r="P347" t="s">
        <v>234</v>
      </c>
      <c r="Q347" t="s">
        <v>10</v>
      </c>
      <c r="R347" t="s">
        <v>11</v>
      </c>
      <c r="S347">
        <v>10</v>
      </c>
      <c r="T347" t="s">
        <v>1082</v>
      </c>
      <c r="U347" t="s">
        <v>1099</v>
      </c>
      <c r="V347" s="3" t="s">
        <v>1044</v>
      </c>
      <c r="W347" t="s">
        <v>1146</v>
      </c>
      <c r="X347" s="9">
        <v>20</v>
      </c>
      <c r="Y347" s="9" t="s">
        <v>1068</v>
      </c>
      <c r="Z347" t="s">
        <v>1144</v>
      </c>
    </row>
    <row r="348" spans="1:26">
      <c r="A348">
        <v>347</v>
      </c>
      <c r="B348" t="str">
        <f t="shared" ref="B348:N348" si="72">B347</f>
        <v>-</v>
      </c>
      <c r="C348" t="str">
        <f t="shared" si="72"/>
        <v>Yuri Andres Tucta Ore</v>
      </c>
      <c r="E348">
        <f t="shared" si="72"/>
        <v>74161057</v>
      </c>
      <c r="F348">
        <f t="shared" si="72"/>
        <v>953922794</v>
      </c>
      <c r="G348" t="str">
        <f t="shared" si="72"/>
        <v>-</v>
      </c>
      <c r="H348" t="str">
        <f t="shared" si="72"/>
        <v>Ayacucho</v>
      </c>
      <c r="I348" t="str">
        <f t="shared" si="72"/>
        <v>Huamanga</v>
      </c>
      <c r="J348" t="str">
        <f t="shared" si="72"/>
        <v>La Molina</v>
      </c>
      <c r="K348" t="str">
        <f t="shared" si="72"/>
        <v>-</v>
      </c>
      <c r="L348" t="str">
        <f t="shared" si="72"/>
        <v>Redes sociales</v>
      </c>
      <c r="M348" s="1">
        <f t="shared" si="72"/>
        <v>44855</v>
      </c>
      <c r="N348" t="str">
        <f t="shared" si="72"/>
        <v>BCP</v>
      </c>
      <c r="O348">
        <v>25</v>
      </c>
      <c r="P348" t="str">
        <f t="shared" ref="P348:R348" si="73">P347</f>
        <v>Farmacia</v>
      </c>
      <c r="Q348" t="str">
        <f t="shared" si="73"/>
        <v>U</v>
      </c>
      <c r="R348" t="str">
        <f t="shared" si="73"/>
        <v>Rodrigo</v>
      </c>
      <c r="T348" t="s">
        <v>1134</v>
      </c>
      <c r="U348" t="s">
        <v>1116</v>
      </c>
      <c r="V348" s="3">
        <v>20</v>
      </c>
      <c r="W348" t="s">
        <v>1137</v>
      </c>
      <c r="X348" s="9"/>
      <c r="Y348" s="9"/>
      <c r="Z348" t="s">
        <v>1131</v>
      </c>
    </row>
    <row r="349" spans="1:26">
      <c r="A349">
        <v>348</v>
      </c>
      <c r="B349" t="s">
        <v>2</v>
      </c>
      <c r="C349" t="s">
        <v>476</v>
      </c>
      <c r="E349">
        <v>44337588</v>
      </c>
      <c r="F349">
        <v>966928393</v>
      </c>
      <c r="G349" t="s">
        <v>2</v>
      </c>
      <c r="H349" t="s">
        <v>973</v>
      </c>
      <c r="J349" t="s">
        <v>147</v>
      </c>
      <c r="K349" t="s">
        <v>2</v>
      </c>
      <c r="L349" t="s">
        <v>37</v>
      </c>
      <c r="M349" s="1">
        <v>44855</v>
      </c>
      <c r="N349" t="s">
        <v>8</v>
      </c>
      <c r="O349">
        <v>180</v>
      </c>
      <c r="P349" t="s">
        <v>234</v>
      </c>
      <c r="Q349" t="s">
        <v>10</v>
      </c>
      <c r="R349" t="s">
        <v>11</v>
      </c>
      <c r="S349">
        <v>23</v>
      </c>
      <c r="T349" t="s">
        <v>1092</v>
      </c>
      <c r="U349" t="s">
        <v>1100</v>
      </c>
      <c r="V349" s="3" t="s">
        <v>1044</v>
      </c>
      <c r="W349" t="s">
        <v>1146</v>
      </c>
      <c r="X349" s="9">
        <v>10</v>
      </c>
      <c r="Y349" s="9" t="s">
        <v>1068</v>
      </c>
      <c r="Z349" t="s">
        <v>1144</v>
      </c>
    </row>
    <row r="350" spans="1:26">
      <c r="A350">
        <v>349</v>
      </c>
      <c r="B350" t="str">
        <f t="shared" ref="B350:N350" si="74">B349</f>
        <v>-</v>
      </c>
      <c r="C350" t="str">
        <f t="shared" si="74"/>
        <v>Jorge Antonio Benavente Curasi</v>
      </c>
      <c r="E350">
        <f t="shared" si="74"/>
        <v>44337588</v>
      </c>
      <c r="F350">
        <f t="shared" si="74"/>
        <v>966928393</v>
      </c>
      <c r="G350" t="str">
        <f t="shared" si="74"/>
        <v>-</v>
      </c>
      <c r="H350" t="str">
        <f t="shared" si="74"/>
        <v>Cuzco</v>
      </c>
      <c r="J350" t="str">
        <f t="shared" si="74"/>
        <v>Marvisur</v>
      </c>
      <c r="K350" t="str">
        <f t="shared" si="74"/>
        <v>-</v>
      </c>
      <c r="L350" t="str">
        <f t="shared" si="74"/>
        <v>Redes sociales</v>
      </c>
      <c r="M350" s="1">
        <f t="shared" si="74"/>
        <v>44855</v>
      </c>
      <c r="N350" t="str">
        <f t="shared" si="74"/>
        <v>BCP</v>
      </c>
      <c r="O350" s="14">
        <v>10</v>
      </c>
      <c r="P350" t="str">
        <f t="shared" ref="P350:R350" si="75">P349</f>
        <v>Farmacia</v>
      </c>
      <c r="Q350" t="str">
        <f t="shared" si="75"/>
        <v>U</v>
      </c>
      <c r="R350" t="str">
        <f t="shared" si="75"/>
        <v>Rodrigo</v>
      </c>
      <c r="T350" t="s">
        <v>1134</v>
      </c>
      <c r="U350" t="s">
        <v>1116</v>
      </c>
      <c r="V350" s="3">
        <f>X349</f>
        <v>10</v>
      </c>
      <c r="W350" t="s">
        <v>1137</v>
      </c>
      <c r="X350" s="9"/>
      <c r="Y350" s="9"/>
      <c r="Z350" t="s">
        <v>1131</v>
      </c>
    </row>
    <row r="351" spans="1:26">
      <c r="A351">
        <v>350</v>
      </c>
      <c r="B351" t="s">
        <v>2</v>
      </c>
      <c r="C351" t="s">
        <v>477</v>
      </c>
      <c r="E351" t="s">
        <v>2</v>
      </c>
      <c r="F351">
        <v>931584790</v>
      </c>
      <c r="G351" t="s">
        <v>2</v>
      </c>
      <c r="H351" t="s">
        <v>4</v>
      </c>
      <c r="I351" t="s">
        <v>478</v>
      </c>
      <c r="J351" t="s">
        <v>2</v>
      </c>
      <c r="K351" t="s">
        <v>478</v>
      </c>
      <c r="L351" t="s">
        <v>37</v>
      </c>
      <c r="M351" s="1">
        <v>44855</v>
      </c>
      <c r="N351" t="s">
        <v>8</v>
      </c>
      <c r="O351">
        <v>185</v>
      </c>
      <c r="P351" t="s">
        <v>216</v>
      </c>
      <c r="Q351" t="s">
        <v>10</v>
      </c>
      <c r="R351" t="s">
        <v>22</v>
      </c>
      <c r="T351" t="s">
        <v>1092</v>
      </c>
      <c r="U351" t="s">
        <v>1100</v>
      </c>
      <c r="V351" s="3" t="s">
        <v>1044</v>
      </c>
      <c r="W351" t="s">
        <v>1146</v>
      </c>
      <c r="X351" s="9">
        <v>10</v>
      </c>
      <c r="Y351" s="9" t="s">
        <v>1068</v>
      </c>
      <c r="Z351" t="s">
        <v>1144</v>
      </c>
    </row>
    <row r="352" spans="1:26">
      <c r="A352">
        <v>351</v>
      </c>
      <c r="B352" t="str">
        <f t="shared" ref="B352:N352" si="76">B351</f>
        <v>-</v>
      </c>
      <c r="C352" t="str">
        <f t="shared" si="76"/>
        <v>Galois Chauca Quispe</v>
      </c>
      <c r="E352" t="str">
        <f t="shared" si="76"/>
        <v>-</v>
      </c>
      <c r="F352">
        <f t="shared" si="76"/>
        <v>931584790</v>
      </c>
      <c r="G352" t="str">
        <f t="shared" si="76"/>
        <v>-</v>
      </c>
      <c r="H352" t="str">
        <f t="shared" si="76"/>
        <v>Lima</v>
      </c>
      <c r="I352" t="str">
        <f t="shared" si="76"/>
        <v>Pueblo Libre</v>
      </c>
      <c r="J352" t="str">
        <f t="shared" si="76"/>
        <v>-</v>
      </c>
      <c r="K352" t="str">
        <f t="shared" si="76"/>
        <v>Pueblo Libre</v>
      </c>
      <c r="L352" t="str">
        <f t="shared" si="76"/>
        <v>Redes sociales</v>
      </c>
      <c r="M352" s="1">
        <f t="shared" si="76"/>
        <v>44855</v>
      </c>
      <c r="N352" t="str">
        <f t="shared" si="76"/>
        <v>BCP</v>
      </c>
      <c r="O352" s="14">
        <v>15</v>
      </c>
      <c r="P352" t="str">
        <f t="shared" ref="P352:R352" si="77">P351</f>
        <v>Polleria</v>
      </c>
      <c r="Q352" t="str">
        <f t="shared" si="77"/>
        <v>U</v>
      </c>
      <c r="R352" t="str">
        <f t="shared" si="77"/>
        <v>Sergio</v>
      </c>
      <c r="T352" t="s">
        <v>1134</v>
      </c>
      <c r="U352" t="s">
        <v>1116</v>
      </c>
      <c r="V352" s="3">
        <f>X351</f>
        <v>10</v>
      </c>
      <c r="W352" t="s">
        <v>1137</v>
      </c>
      <c r="X352" s="9"/>
      <c r="Y352" s="9"/>
      <c r="Z352" t="s">
        <v>1131</v>
      </c>
    </row>
    <row r="353" spans="1:26">
      <c r="A353">
        <v>352</v>
      </c>
      <c r="B353" t="s">
        <v>12</v>
      </c>
      <c r="C353" t="s">
        <v>479</v>
      </c>
      <c r="E353">
        <v>20609072416</v>
      </c>
      <c r="F353">
        <v>925989479</v>
      </c>
      <c r="G353" t="s">
        <v>480</v>
      </c>
      <c r="H353" t="s">
        <v>423</v>
      </c>
      <c r="I353" t="s">
        <v>481</v>
      </c>
      <c r="J353" t="s">
        <v>482</v>
      </c>
      <c r="K353" t="s">
        <v>2</v>
      </c>
      <c r="L353" t="s">
        <v>268</v>
      </c>
      <c r="M353" s="1">
        <v>44855</v>
      </c>
      <c r="N353" t="s">
        <v>8</v>
      </c>
      <c r="O353">
        <v>290</v>
      </c>
      <c r="P353" t="s">
        <v>234</v>
      </c>
      <c r="Q353" t="s">
        <v>10</v>
      </c>
      <c r="R353" t="s">
        <v>11</v>
      </c>
      <c r="S353">
        <v>20</v>
      </c>
      <c r="T353" t="s">
        <v>1082</v>
      </c>
      <c r="U353" t="s">
        <v>1104</v>
      </c>
      <c r="V353" s="3" t="s">
        <v>1044</v>
      </c>
      <c r="W353" t="s">
        <v>1145</v>
      </c>
      <c r="X353" s="9">
        <v>10</v>
      </c>
      <c r="Y353" s="9" t="s">
        <v>1056</v>
      </c>
      <c r="Z353" t="s">
        <v>1143</v>
      </c>
    </row>
    <row r="354" spans="1:26">
      <c r="A354">
        <v>353</v>
      </c>
      <c r="B354" t="str">
        <f t="shared" ref="B354:N354" si="78">B353</f>
        <v>FT</v>
      </c>
      <c r="C354" t="str">
        <f t="shared" si="78"/>
        <v>Joel Ayre Perez</v>
      </c>
      <c r="E354">
        <f t="shared" si="78"/>
        <v>20609072416</v>
      </c>
      <c r="F354">
        <f t="shared" si="78"/>
        <v>925989479</v>
      </c>
      <c r="G354" t="str">
        <f t="shared" si="78"/>
        <v>FT F001-18</v>
      </c>
      <c r="H354" t="str">
        <f t="shared" si="78"/>
        <v>San Martin</v>
      </c>
      <c r="I354" t="str">
        <f t="shared" si="78"/>
        <v>Chanchamayo</v>
      </c>
      <c r="J354" t="str">
        <f t="shared" si="78"/>
        <v>Lobato</v>
      </c>
      <c r="K354" t="str">
        <f t="shared" si="78"/>
        <v>-</v>
      </c>
      <c r="L354" t="str">
        <f t="shared" si="78"/>
        <v>Aplicativo Web</v>
      </c>
      <c r="M354" s="1">
        <f t="shared" si="78"/>
        <v>44855</v>
      </c>
      <c r="N354" t="str">
        <f t="shared" si="78"/>
        <v>BCP</v>
      </c>
      <c r="O354" s="16">
        <v>10</v>
      </c>
      <c r="P354" t="str">
        <f t="shared" ref="P354:R354" si="79">P353</f>
        <v>Farmacia</v>
      </c>
      <c r="Q354" t="str">
        <f t="shared" si="79"/>
        <v>U</v>
      </c>
      <c r="R354" t="str">
        <f t="shared" si="79"/>
        <v>Rodrigo</v>
      </c>
      <c r="T354" t="s">
        <v>1134</v>
      </c>
      <c r="U354" t="s">
        <v>1115</v>
      </c>
      <c r="V354" s="3">
        <v>5</v>
      </c>
      <c r="W354" t="s">
        <v>1137</v>
      </c>
      <c r="X354" s="9"/>
      <c r="Y354" s="9"/>
      <c r="Z354" t="s">
        <v>1131</v>
      </c>
    </row>
    <row r="355" spans="1:26">
      <c r="A355">
        <v>354</v>
      </c>
      <c r="B355" t="s">
        <v>12</v>
      </c>
      <c r="C355" t="s">
        <v>483</v>
      </c>
      <c r="E355">
        <v>46241071</v>
      </c>
      <c r="F355">
        <v>987790289</v>
      </c>
      <c r="G355" t="s">
        <v>484</v>
      </c>
      <c r="H355" t="s">
        <v>199</v>
      </c>
      <c r="J355" t="s">
        <v>485</v>
      </c>
      <c r="K355" t="s">
        <v>2</v>
      </c>
      <c r="L355" t="s">
        <v>268</v>
      </c>
      <c r="M355" s="1">
        <v>44857</v>
      </c>
      <c r="N355" t="s">
        <v>8</v>
      </c>
      <c r="O355">
        <v>340</v>
      </c>
      <c r="P355" t="s">
        <v>30</v>
      </c>
      <c r="Q355" t="s">
        <v>10</v>
      </c>
      <c r="R355" t="s">
        <v>11</v>
      </c>
      <c r="T355" t="s">
        <v>1092</v>
      </c>
      <c r="U355" t="s">
        <v>1100</v>
      </c>
      <c r="V355" s="3" t="s">
        <v>1044</v>
      </c>
      <c r="W355" t="s">
        <v>1146</v>
      </c>
      <c r="X355" s="9">
        <v>5</v>
      </c>
      <c r="Y355" s="9" t="s">
        <v>1068</v>
      </c>
      <c r="Z355" t="s">
        <v>1144</v>
      </c>
    </row>
    <row r="356" spans="1:26">
      <c r="A356">
        <v>355</v>
      </c>
      <c r="B356" t="s">
        <v>12</v>
      </c>
      <c r="C356" t="s">
        <v>486</v>
      </c>
      <c r="E356">
        <v>41494171</v>
      </c>
      <c r="F356">
        <v>984607059</v>
      </c>
      <c r="G356" t="s">
        <v>487</v>
      </c>
      <c r="H356" t="s">
        <v>973</v>
      </c>
      <c r="J356" t="s">
        <v>29</v>
      </c>
      <c r="K356" t="s">
        <v>2</v>
      </c>
      <c r="L356" t="s">
        <v>268</v>
      </c>
      <c r="M356" s="1">
        <v>44858</v>
      </c>
      <c r="N356" t="s">
        <v>8</v>
      </c>
      <c r="O356" s="2">
        <v>1000</v>
      </c>
      <c r="P356" t="s">
        <v>1076</v>
      </c>
      <c r="Q356" t="s">
        <v>10</v>
      </c>
      <c r="R356" t="s">
        <v>11</v>
      </c>
      <c r="S356">
        <v>12</v>
      </c>
      <c r="T356" t="s">
        <v>1097</v>
      </c>
      <c r="U356" t="s">
        <v>1102</v>
      </c>
      <c r="V356" s="3" t="s">
        <v>1048</v>
      </c>
      <c r="W356" t="s">
        <v>1145</v>
      </c>
      <c r="X356" s="9" t="s">
        <v>2</v>
      </c>
      <c r="Y356" s="9" t="s">
        <v>2</v>
      </c>
      <c r="Z356" t="s">
        <v>1144</v>
      </c>
    </row>
    <row r="357" spans="1:26">
      <c r="A357">
        <v>356</v>
      </c>
      <c r="B357" t="s">
        <v>60</v>
      </c>
      <c r="C357" t="s">
        <v>488</v>
      </c>
      <c r="E357" t="s">
        <v>2</v>
      </c>
      <c r="F357">
        <v>946131660</v>
      </c>
      <c r="G357" t="s">
        <v>489</v>
      </c>
      <c r="H357" t="s">
        <v>4</v>
      </c>
      <c r="J357" t="s">
        <v>2</v>
      </c>
      <c r="K357" t="s">
        <v>490</v>
      </c>
      <c r="L357" t="s">
        <v>37</v>
      </c>
      <c r="M357" s="1">
        <v>44859</v>
      </c>
      <c r="N357" t="s">
        <v>491</v>
      </c>
      <c r="O357">
        <v>400</v>
      </c>
      <c r="P357" t="s">
        <v>9</v>
      </c>
      <c r="Q357" t="s">
        <v>10</v>
      </c>
      <c r="R357" t="s">
        <v>22</v>
      </c>
      <c r="T357" t="s">
        <v>1097</v>
      </c>
      <c r="U357" t="s">
        <v>1098</v>
      </c>
      <c r="V357" s="3" t="s">
        <v>1044</v>
      </c>
      <c r="W357" t="s">
        <v>1150</v>
      </c>
      <c r="X357" s="9">
        <v>4</v>
      </c>
      <c r="Y357" s="9" t="s">
        <v>1057</v>
      </c>
      <c r="Z357" t="s">
        <v>1149</v>
      </c>
    </row>
    <row r="358" spans="1:26">
      <c r="A358">
        <v>357</v>
      </c>
      <c r="B358" t="str">
        <f t="shared" ref="B358:N358" si="80">B357</f>
        <v>RH</v>
      </c>
      <c r="C358" t="str">
        <f t="shared" si="80"/>
        <v>Liliana Ramirez Alanya</v>
      </c>
      <c r="E358" t="str">
        <f t="shared" si="80"/>
        <v>-</v>
      </c>
      <c r="F358">
        <f t="shared" si="80"/>
        <v>946131660</v>
      </c>
      <c r="G358" t="str">
        <f t="shared" si="80"/>
        <v>RH E001-70</v>
      </c>
      <c r="H358" t="str">
        <f t="shared" si="80"/>
        <v>Lima</v>
      </c>
      <c r="J358" t="str">
        <f t="shared" si="80"/>
        <v>-</v>
      </c>
      <c r="K358" t="str">
        <f t="shared" si="80"/>
        <v>Barrios Altos</v>
      </c>
      <c r="L358" t="str">
        <f t="shared" si="80"/>
        <v>Redes sociales</v>
      </c>
      <c r="M358" s="1">
        <f t="shared" si="80"/>
        <v>44859</v>
      </c>
      <c r="N358" t="str">
        <f t="shared" si="80"/>
        <v xml:space="preserve">Interbank </v>
      </c>
      <c r="O358" s="14">
        <v>100</v>
      </c>
      <c r="P358" t="str">
        <f t="shared" ref="P358:R358" si="81">P357</f>
        <v>Restaurante</v>
      </c>
      <c r="Q358" t="str">
        <f t="shared" si="81"/>
        <v>U</v>
      </c>
      <c r="R358" t="str">
        <f t="shared" si="81"/>
        <v>Sergio</v>
      </c>
      <c r="T358" t="s">
        <v>1151</v>
      </c>
      <c r="U358" t="s">
        <v>1127</v>
      </c>
      <c r="V358" s="3">
        <f t="shared" ref="V358" si="82">X357</f>
        <v>4</v>
      </c>
      <c r="W358" t="s">
        <v>1135</v>
      </c>
      <c r="X358" s="9"/>
      <c r="Y358" s="9"/>
      <c r="Z358" t="s">
        <v>1136</v>
      </c>
    </row>
    <row r="359" spans="1:26">
      <c r="A359">
        <v>358</v>
      </c>
      <c r="B359" t="s">
        <v>2</v>
      </c>
      <c r="C359" t="s">
        <v>492</v>
      </c>
      <c r="E359" t="s">
        <v>2</v>
      </c>
      <c r="F359">
        <v>960613712</v>
      </c>
      <c r="G359" t="s">
        <v>2</v>
      </c>
      <c r="H359" t="s">
        <v>4</v>
      </c>
      <c r="J359" t="s">
        <v>2</v>
      </c>
      <c r="K359" t="s">
        <v>383</v>
      </c>
      <c r="L359" t="s">
        <v>37</v>
      </c>
      <c r="M359" s="1">
        <v>44859</v>
      </c>
      <c r="N359" t="s">
        <v>8</v>
      </c>
      <c r="O359">
        <v>170</v>
      </c>
      <c r="P359" t="s">
        <v>234</v>
      </c>
      <c r="Q359" t="s">
        <v>10</v>
      </c>
      <c r="R359" t="s">
        <v>11</v>
      </c>
      <c r="T359" t="s">
        <v>1092</v>
      </c>
      <c r="U359" t="s">
        <v>1100</v>
      </c>
      <c r="V359" s="3" t="s">
        <v>1044</v>
      </c>
      <c r="W359" t="s">
        <v>1146</v>
      </c>
      <c r="X359" s="9">
        <v>10</v>
      </c>
      <c r="Y359" s="9" t="s">
        <v>1068</v>
      </c>
      <c r="Z359" t="s">
        <v>1144</v>
      </c>
    </row>
    <row r="360" spans="1:26">
      <c r="A360">
        <v>359</v>
      </c>
      <c r="B360" t="s">
        <v>23</v>
      </c>
      <c r="C360" t="s">
        <v>493</v>
      </c>
      <c r="E360">
        <v>10101613246</v>
      </c>
      <c r="F360">
        <v>941569887</v>
      </c>
      <c r="G360" t="s">
        <v>2</v>
      </c>
      <c r="H360" t="s">
        <v>4</v>
      </c>
      <c r="J360" t="s">
        <v>2</v>
      </c>
      <c r="K360" t="s">
        <v>494</v>
      </c>
      <c r="L360" t="s">
        <v>7</v>
      </c>
      <c r="M360" s="1">
        <v>44861</v>
      </c>
      <c r="N360" t="s">
        <v>21</v>
      </c>
      <c r="O360">
        <v>300</v>
      </c>
      <c r="P360" t="s">
        <v>30</v>
      </c>
      <c r="Q360" t="s">
        <v>10</v>
      </c>
      <c r="R360" t="s">
        <v>22</v>
      </c>
      <c r="T360" t="s">
        <v>1097</v>
      </c>
      <c r="U360" t="s">
        <v>1102</v>
      </c>
      <c r="V360" s="3" t="s">
        <v>1044</v>
      </c>
      <c r="W360" t="s">
        <v>1145</v>
      </c>
      <c r="X360" s="9">
        <v>30</v>
      </c>
      <c r="Y360" s="9" t="s">
        <v>1056</v>
      </c>
      <c r="Z360" t="s">
        <v>1144</v>
      </c>
    </row>
    <row r="361" spans="1:26">
      <c r="A361">
        <v>360</v>
      </c>
      <c r="B361" t="s">
        <v>23</v>
      </c>
      <c r="C361" t="s">
        <v>384</v>
      </c>
      <c r="E361" t="s">
        <v>2</v>
      </c>
      <c r="F361">
        <v>993104850</v>
      </c>
      <c r="G361" t="s">
        <v>2</v>
      </c>
      <c r="H361" t="s">
        <v>4</v>
      </c>
      <c r="J361" t="s">
        <v>2</v>
      </c>
      <c r="K361" t="s">
        <v>495</v>
      </c>
      <c r="L361" t="s">
        <v>37</v>
      </c>
      <c r="M361" s="1">
        <v>44861</v>
      </c>
      <c r="N361" t="s">
        <v>21</v>
      </c>
      <c r="O361">
        <v>600</v>
      </c>
      <c r="P361" t="s">
        <v>216</v>
      </c>
      <c r="Q361" t="s">
        <v>10</v>
      </c>
      <c r="R361" t="s">
        <v>22</v>
      </c>
      <c r="T361" t="s">
        <v>1092</v>
      </c>
      <c r="U361" t="s">
        <v>1105</v>
      </c>
      <c r="V361" s="3" t="s">
        <v>1047</v>
      </c>
      <c r="W361" t="s">
        <v>1148</v>
      </c>
      <c r="X361" s="9">
        <v>20</v>
      </c>
      <c r="Y361" s="9" t="s">
        <v>1056</v>
      </c>
      <c r="Z361" t="s">
        <v>1149</v>
      </c>
    </row>
    <row r="362" spans="1:26">
      <c r="A362">
        <v>361</v>
      </c>
      <c r="B362" t="s">
        <v>12</v>
      </c>
      <c r="C362" t="s">
        <v>498</v>
      </c>
      <c r="E362">
        <v>20607770281</v>
      </c>
      <c r="F362">
        <v>969352048</v>
      </c>
      <c r="G362" t="s">
        <v>499</v>
      </c>
      <c r="H362" t="s">
        <v>4</v>
      </c>
      <c r="J362" t="s">
        <v>2</v>
      </c>
      <c r="K362" t="s">
        <v>169</v>
      </c>
      <c r="L362" t="s">
        <v>37</v>
      </c>
      <c r="M362" s="1">
        <v>44862</v>
      </c>
      <c r="N362" t="s">
        <v>8</v>
      </c>
      <c r="O362">
        <v>350</v>
      </c>
      <c r="P362" t="s">
        <v>30</v>
      </c>
      <c r="Q362" t="s">
        <v>10</v>
      </c>
      <c r="R362" t="s">
        <v>11</v>
      </c>
      <c r="T362" t="s">
        <v>1097</v>
      </c>
      <c r="U362" t="s">
        <v>1102</v>
      </c>
      <c r="V362" s="3" t="s">
        <v>1044</v>
      </c>
      <c r="W362" t="s">
        <v>1145</v>
      </c>
      <c r="X362" s="9">
        <v>10</v>
      </c>
      <c r="Y362" s="9" t="s">
        <v>1056</v>
      </c>
      <c r="Z362" t="s">
        <v>1144</v>
      </c>
    </row>
    <row r="363" spans="1:26">
      <c r="A363">
        <v>362</v>
      </c>
      <c r="B363" t="s">
        <v>12</v>
      </c>
      <c r="C363" t="s">
        <v>496</v>
      </c>
      <c r="E363">
        <v>20601314038</v>
      </c>
      <c r="F363">
        <v>993399745</v>
      </c>
      <c r="G363" t="s">
        <v>500</v>
      </c>
      <c r="H363" t="s">
        <v>4</v>
      </c>
      <c r="J363" t="s">
        <v>2</v>
      </c>
      <c r="K363" t="s">
        <v>497</v>
      </c>
      <c r="L363" t="s">
        <v>7</v>
      </c>
      <c r="M363" s="1">
        <v>44863</v>
      </c>
      <c r="N363" t="s">
        <v>8</v>
      </c>
      <c r="O363">
        <v>365</v>
      </c>
      <c r="P363" t="s">
        <v>30</v>
      </c>
      <c r="Q363" t="s">
        <v>10</v>
      </c>
      <c r="R363" t="s">
        <v>22</v>
      </c>
      <c r="T363" t="s">
        <v>1092</v>
      </c>
      <c r="U363" t="s">
        <v>1095</v>
      </c>
      <c r="V363" s="3">
        <v>1</v>
      </c>
      <c r="W363" t="s">
        <v>1145</v>
      </c>
      <c r="X363" s="9">
        <v>1</v>
      </c>
      <c r="Y363" s="9" t="s">
        <v>1057</v>
      </c>
      <c r="Z363" t="s">
        <v>1143</v>
      </c>
    </row>
    <row r="364" spans="1:26">
      <c r="A364">
        <v>363</v>
      </c>
      <c r="B364" t="str">
        <f t="shared" ref="B364:N364" si="83">B363</f>
        <v>FT</v>
      </c>
      <c r="C364" t="str">
        <f t="shared" si="83"/>
        <v>R &amp; N BOTICA ODONTHOMARKET E.I.R.L.</v>
      </c>
      <c r="E364">
        <f t="shared" si="83"/>
        <v>20601314038</v>
      </c>
      <c r="F364">
        <f t="shared" si="83"/>
        <v>993399745</v>
      </c>
      <c r="G364" t="str">
        <f t="shared" si="83"/>
        <v>FT F001-22</v>
      </c>
      <c r="H364" t="str">
        <f t="shared" si="83"/>
        <v>Lima</v>
      </c>
      <c r="J364" t="str">
        <f t="shared" si="83"/>
        <v>-</v>
      </c>
      <c r="K364" t="str">
        <f t="shared" si="83"/>
        <v>Hospital Cayetano Herredia</v>
      </c>
      <c r="L364" t="str">
        <f t="shared" si="83"/>
        <v>Oficina</v>
      </c>
      <c r="M364" s="1">
        <f t="shared" si="83"/>
        <v>44863</v>
      </c>
      <c r="N364" t="str">
        <f t="shared" si="83"/>
        <v>BCP</v>
      </c>
      <c r="O364" s="14">
        <v>25</v>
      </c>
      <c r="P364" t="str">
        <f t="shared" ref="P364:R364" si="84">P363</f>
        <v>Otros</v>
      </c>
      <c r="Q364" t="str">
        <f t="shared" si="84"/>
        <v>U</v>
      </c>
      <c r="R364" t="str">
        <f t="shared" si="84"/>
        <v>Sergio</v>
      </c>
      <c r="T364" t="s">
        <v>1151</v>
      </c>
      <c r="U364" t="s">
        <v>1127</v>
      </c>
      <c r="V364" s="3">
        <f t="shared" ref="V364" si="85">X363</f>
        <v>1</v>
      </c>
      <c r="W364" t="s">
        <v>1135</v>
      </c>
      <c r="X364" s="9"/>
      <c r="Y364" s="9"/>
      <c r="Z364" t="s">
        <v>1136</v>
      </c>
    </row>
    <row r="365" spans="1:26">
      <c r="A365">
        <v>364</v>
      </c>
      <c r="B365" t="s">
        <v>23</v>
      </c>
      <c r="C365" t="s">
        <v>501</v>
      </c>
      <c r="E365" t="s">
        <v>2</v>
      </c>
      <c r="F365">
        <v>940205170</v>
      </c>
      <c r="G365" t="s">
        <v>2</v>
      </c>
      <c r="H365" t="s">
        <v>4</v>
      </c>
      <c r="J365" t="s">
        <v>2</v>
      </c>
      <c r="K365" t="s">
        <v>155</v>
      </c>
      <c r="L365" t="s">
        <v>37</v>
      </c>
      <c r="M365" s="1">
        <v>44865</v>
      </c>
      <c r="N365" t="s">
        <v>21</v>
      </c>
      <c r="O365">
        <v>300</v>
      </c>
      <c r="P365" t="s">
        <v>234</v>
      </c>
      <c r="Q365" t="s">
        <v>10</v>
      </c>
      <c r="R365" t="s">
        <v>22</v>
      </c>
      <c r="T365" t="s">
        <v>1097</v>
      </c>
      <c r="U365" t="s">
        <v>1102</v>
      </c>
      <c r="V365" s="3" t="s">
        <v>1044</v>
      </c>
      <c r="W365" t="s">
        <v>1145</v>
      </c>
      <c r="X365" s="9">
        <v>10</v>
      </c>
      <c r="Y365" s="9" t="s">
        <v>1056</v>
      </c>
      <c r="Z365" t="s">
        <v>1144</v>
      </c>
    </row>
    <row r="366" spans="1:26">
      <c r="A366">
        <v>365</v>
      </c>
      <c r="B366" t="s">
        <v>12</v>
      </c>
      <c r="C366" t="s">
        <v>502</v>
      </c>
      <c r="E366" t="s">
        <v>2</v>
      </c>
      <c r="F366">
        <v>966002270</v>
      </c>
      <c r="G366" t="s">
        <v>503</v>
      </c>
      <c r="H366" t="s">
        <v>65</v>
      </c>
      <c r="J366" t="s">
        <v>29</v>
      </c>
      <c r="K366" t="s">
        <v>2</v>
      </c>
      <c r="L366" t="s">
        <v>268</v>
      </c>
      <c r="M366" s="1">
        <v>44865</v>
      </c>
      <c r="N366" t="s">
        <v>8</v>
      </c>
      <c r="O366">
        <v>310</v>
      </c>
      <c r="P366" t="s">
        <v>234</v>
      </c>
      <c r="Q366" t="s">
        <v>10</v>
      </c>
      <c r="R366" t="s">
        <v>22</v>
      </c>
      <c r="T366" t="s">
        <v>1097</v>
      </c>
      <c r="U366" t="s">
        <v>1102</v>
      </c>
      <c r="V366" s="3" t="s">
        <v>1044</v>
      </c>
      <c r="W366" t="s">
        <v>1145</v>
      </c>
      <c r="X366" s="9">
        <v>10</v>
      </c>
      <c r="Y366" s="9" t="s">
        <v>1056</v>
      </c>
      <c r="Z366" t="s">
        <v>1144</v>
      </c>
    </row>
    <row r="367" spans="1:26">
      <c r="A367">
        <v>366</v>
      </c>
      <c r="B367" t="str">
        <f t="shared" ref="B367:N367" si="86">B366</f>
        <v>FT</v>
      </c>
      <c r="C367" t="str">
        <f t="shared" si="86"/>
        <v>Renson Michel Sayre Mochcco</v>
      </c>
      <c r="E367" t="str">
        <f t="shared" si="86"/>
        <v>-</v>
      </c>
      <c r="F367">
        <f t="shared" si="86"/>
        <v>966002270</v>
      </c>
      <c r="G367" t="str">
        <f t="shared" si="86"/>
        <v>FT F001-24</v>
      </c>
      <c r="H367" t="str">
        <f t="shared" si="86"/>
        <v>Ica</v>
      </c>
      <c r="J367" t="str">
        <f t="shared" si="86"/>
        <v>Shalom</v>
      </c>
      <c r="K367" t="str">
        <f t="shared" si="86"/>
        <v>-</v>
      </c>
      <c r="L367" t="str">
        <f t="shared" si="86"/>
        <v>Aplicativo Web</v>
      </c>
      <c r="M367" s="1">
        <f t="shared" si="86"/>
        <v>44865</v>
      </c>
      <c r="N367" t="str">
        <f t="shared" si="86"/>
        <v>BCP</v>
      </c>
      <c r="O367" s="16">
        <f>25*(V367/10)</f>
        <v>25</v>
      </c>
      <c r="P367" t="str">
        <f t="shared" ref="P367:R367" si="87">P366</f>
        <v>Farmacia</v>
      </c>
      <c r="Q367" t="str">
        <f t="shared" si="87"/>
        <v>U</v>
      </c>
      <c r="R367" t="str">
        <f t="shared" si="87"/>
        <v>Sergio</v>
      </c>
      <c r="T367" t="s">
        <v>1134</v>
      </c>
      <c r="U367" t="s">
        <v>1115</v>
      </c>
      <c r="V367" s="3">
        <f t="shared" ref="V367" si="88">X366</f>
        <v>10</v>
      </c>
      <c r="W367" t="s">
        <v>1137</v>
      </c>
      <c r="X367" s="9"/>
      <c r="Y367" s="9"/>
      <c r="Z367" t="s">
        <v>1131</v>
      </c>
    </row>
    <row r="368" spans="1:26">
      <c r="A368">
        <v>367</v>
      </c>
      <c r="B368" t="s">
        <v>23</v>
      </c>
      <c r="C368" t="s">
        <v>17</v>
      </c>
      <c r="E368" t="s">
        <v>2</v>
      </c>
      <c r="F368">
        <v>945881998</v>
      </c>
      <c r="G368" t="s">
        <v>2</v>
      </c>
      <c r="H368" t="s">
        <v>4</v>
      </c>
      <c r="J368" t="s">
        <v>2</v>
      </c>
      <c r="K368" t="s">
        <v>504</v>
      </c>
      <c r="L368" t="s">
        <v>37</v>
      </c>
      <c r="M368" s="1">
        <v>44866</v>
      </c>
      <c r="N368" t="s">
        <v>21</v>
      </c>
      <c r="O368">
        <v>300</v>
      </c>
      <c r="P368" t="s">
        <v>234</v>
      </c>
      <c r="Q368" t="s">
        <v>10</v>
      </c>
      <c r="R368" t="s">
        <v>22</v>
      </c>
      <c r="T368" t="s">
        <v>1097</v>
      </c>
      <c r="U368" t="s">
        <v>1102</v>
      </c>
      <c r="V368" s="3" t="s">
        <v>1044</v>
      </c>
      <c r="W368" t="s">
        <v>1145</v>
      </c>
      <c r="X368" s="9">
        <v>10</v>
      </c>
      <c r="Y368" s="9" t="s">
        <v>1056</v>
      </c>
      <c r="Z368" t="s">
        <v>1144</v>
      </c>
    </row>
    <row r="369" spans="1:26">
      <c r="A369">
        <v>368</v>
      </c>
      <c r="B369" t="s">
        <v>2</v>
      </c>
      <c r="C369" t="s">
        <v>505</v>
      </c>
      <c r="E369">
        <v>60074649</v>
      </c>
      <c r="F369">
        <v>902529388</v>
      </c>
      <c r="G369" t="s">
        <v>2</v>
      </c>
      <c r="H369" t="s">
        <v>65</v>
      </c>
      <c r="J369" t="s">
        <v>29</v>
      </c>
      <c r="K369" t="s">
        <v>2</v>
      </c>
      <c r="L369" t="s">
        <v>268</v>
      </c>
      <c r="M369" s="1">
        <v>44867</v>
      </c>
      <c r="N369" t="s">
        <v>8</v>
      </c>
      <c r="O369">
        <v>190</v>
      </c>
      <c r="P369" t="s">
        <v>234</v>
      </c>
      <c r="Q369" t="s">
        <v>10</v>
      </c>
      <c r="R369" t="s">
        <v>11</v>
      </c>
      <c r="S369">
        <v>12</v>
      </c>
      <c r="T369" t="s">
        <v>1092</v>
      </c>
      <c r="U369" t="s">
        <v>1100</v>
      </c>
      <c r="V369" s="3" t="s">
        <v>1044</v>
      </c>
      <c r="W369" t="s">
        <v>1146</v>
      </c>
      <c r="X369" s="9">
        <v>10</v>
      </c>
      <c r="Y369" s="9" t="s">
        <v>1068</v>
      </c>
      <c r="Z369" t="s">
        <v>1144</v>
      </c>
    </row>
    <row r="370" spans="1:26">
      <c r="A370">
        <v>369</v>
      </c>
      <c r="B370" t="s">
        <v>2</v>
      </c>
      <c r="C370" t="s">
        <v>506</v>
      </c>
      <c r="E370">
        <v>42948298</v>
      </c>
      <c r="F370">
        <v>981669583</v>
      </c>
      <c r="G370" t="s">
        <v>2</v>
      </c>
      <c r="H370" t="s">
        <v>507</v>
      </c>
      <c r="J370" t="s">
        <v>140</v>
      </c>
      <c r="K370" t="s">
        <v>2</v>
      </c>
      <c r="L370" t="s">
        <v>268</v>
      </c>
      <c r="M370" s="1">
        <v>44867</v>
      </c>
      <c r="N370" t="s">
        <v>8</v>
      </c>
      <c r="O370">
        <v>200</v>
      </c>
      <c r="P370" t="s">
        <v>30</v>
      </c>
      <c r="Q370" t="s">
        <v>10</v>
      </c>
      <c r="R370" t="s">
        <v>11</v>
      </c>
      <c r="T370" t="s">
        <v>1092</v>
      </c>
      <c r="U370" t="s">
        <v>1100</v>
      </c>
      <c r="V370" s="3" t="s">
        <v>1044</v>
      </c>
      <c r="W370" t="s">
        <v>1146</v>
      </c>
      <c r="X370" s="9">
        <v>10</v>
      </c>
      <c r="Y370" s="9" t="s">
        <v>1068</v>
      </c>
      <c r="Z370" t="s">
        <v>1144</v>
      </c>
    </row>
    <row r="371" spans="1:26">
      <c r="A371">
        <v>370</v>
      </c>
      <c r="B371" t="s">
        <v>12</v>
      </c>
      <c r="C371" t="s">
        <v>508</v>
      </c>
      <c r="E371">
        <v>20548788774</v>
      </c>
      <c r="F371">
        <v>913004278</v>
      </c>
      <c r="G371" t="s">
        <v>509</v>
      </c>
      <c r="H371" t="s">
        <v>4</v>
      </c>
      <c r="J371" t="s">
        <v>2</v>
      </c>
      <c r="K371" t="s">
        <v>510</v>
      </c>
      <c r="L371" t="s">
        <v>37</v>
      </c>
      <c r="M371" s="1">
        <v>44867</v>
      </c>
      <c r="N371" t="s">
        <v>8</v>
      </c>
      <c r="O371">
        <v>390</v>
      </c>
      <c r="P371" t="s">
        <v>1076</v>
      </c>
      <c r="Q371" t="s">
        <v>10</v>
      </c>
      <c r="R371" t="s">
        <v>22</v>
      </c>
      <c r="T371" t="s">
        <v>1092</v>
      </c>
      <c r="U371" t="s">
        <v>1100</v>
      </c>
      <c r="V371" s="3" t="s">
        <v>1047</v>
      </c>
      <c r="W371" t="s">
        <v>1146</v>
      </c>
      <c r="X371" s="9" t="s">
        <v>2</v>
      </c>
      <c r="Y371" s="9" t="s">
        <v>2</v>
      </c>
      <c r="Z371" t="s">
        <v>1144</v>
      </c>
    </row>
    <row r="372" spans="1:26">
      <c r="A372">
        <v>371</v>
      </c>
      <c r="B372" t="s">
        <v>2</v>
      </c>
      <c r="C372" t="s">
        <v>511</v>
      </c>
      <c r="E372">
        <v>47728669</v>
      </c>
      <c r="F372">
        <v>943456808</v>
      </c>
      <c r="G372" t="s">
        <v>2</v>
      </c>
      <c r="H372" t="s">
        <v>355</v>
      </c>
      <c r="J372" t="s">
        <v>512</v>
      </c>
      <c r="K372" t="s">
        <v>2</v>
      </c>
      <c r="L372" t="s">
        <v>268</v>
      </c>
      <c r="M372" s="1">
        <v>44872</v>
      </c>
      <c r="N372" t="s">
        <v>8</v>
      </c>
      <c r="O372">
        <v>210</v>
      </c>
      <c r="P372" t="s">
        <v>30</v>
      </c>
      <c r="Q372" t="s">
        <v>10</v>
      </c>
      <c r="R372" t="s">
        <v>11</v>
      </c>
      <c r="S372">
        <v>10</v>
      </c>
      <c r="T372" t="s">
        <v>1092</v>
      </c>
      <c r="U372" t="s">
        <v>1100</v>
      </c>
      <c r="V372" s="3" t="s">
        <v>1044</v>
      </c>
      <c r="W372" t="s">
        <v>1146</v>
      </c>
      <c r="X372" s="9">
        <v>10</v>
      </c>
      <c r="Y372" s="9" t="s">
        <v>1068</v>
      </c>
      <c r="Z372" t="s">
        <v>1144</v>
      </c>
    </row>
    <row r="373" spans="1:26">
      <c r="A373">
        <v>372</v>
      </c>
      <c r="B373" t="str">
        <f t="shared" ref="B373:N373" si="89">B372</f>
        <v>-</v>
      </c>
      <c r="C373" t="str">
        <f t="shared" si="89"/>
        <v xml:space="preserve">Santiago Medina </v>
      </c>
      <c r="E373">
        <f t="shared" si="89"/>
        <v>47728669</v>
      </c>
      <c r="F373">
        <f t="shared" si="89"/>
        <v>943456808</v>
      </c>
      <c r="G373" t="str">
        <f t="shared" si="89"/>
        <v>-</v>
      </c>
      <c r="H373" t="str">
        <f t="shared" si="89"/>
        <v>Trujillo</v>
      </c>
      <c r="J373" t="str">
        <f t="shared" si="89"/>
        <v>E.T.L. HINOSTROZA EIRL</v>
      </c>
      <c r="K373" t="str">
        <f t="shared" si="89"/>
        <v>-</v>
      </c>
      <c r="L373" t="str">
        <f t="shared" si="89"/>
        <v>Aplicativo Web</v>
      </c>
      <c r="M373" s="1">
        <f t="shared" si="89"/>
        <v>44872</v>
      </c>
      <c r="N373" t="str">
        <f t="shared" si="89"/>
        <v>BCP</v>
      </c>
      <c r="O373" s="14">
        <v>15</v>
      </c>
      <c r="P373" t="str">
        <f t="shared" ref="P373:S373" si="90">P372</f>
        <v>Otros</v>
      </c>
      <c r="Q373" t="str">
        <f t="shared" si="90"/>
        <v>U</v>
      </c>
      <c r="R373" t="str">
        <f t="shared" si="90"/>
        <v>Rodrigo</v>
      </c>
      <c r="S373">
        <f t="shared" si="90"/>
        <v>10</v>
      </c>
      <c r="T373" t="s">
        <v>1134</v>
      </c>
      <c r="U373" t="s">
        <v>1116</v>
      </c>
      <c r="V373" s="3">
        <f>X372</f>
        <v>10</v>
      </c>
      <c r="W373" t="s">
        <v>1137</v>
      </c>
      <c r="X373" s="9"/>
      <c r="Y373" s="9"/>
      <c r="Z373" t="s">
        <v>1131</v>
      </c>
    </row>
    <row r="374" spans="1:26">
      <c r="A374">
        <v>373</v>
      </c>
      <c r="B374" t="s">
        <v>2</v>
      </c>
      <c r="C374" t="s">
        <v>513</v>
      </c>
      <c r="E374">
        <v>46177909</v>
      </c>
      <c r="F374">
        <v>990497375</v>
      </c>
      <c r="G374" t="s">
        <v>2</v>
      </c>
      <c r="H374" t="s">
        <v>514</v>
      </c>
      <c r="I374" t="s">
        <v>74</v>
      </c>
      <c r="J374" t="s">
        <v>29</v>
      </c>
      <c r="K374" t="s">
        <v>2</v>
      </c>
      <c r="L374" t="s">
        <v>268</v>
      </c>
      <c r="M374" s="1">
        <v>44872</v>
      </c>
      <c r="N374" t="s">
        <v>8</v>
      </c>
      <c r="O374">
        <v>190</v>
      </c>
      <c r="P374" t="s">
        <v>216</v>
      </c>
      <c r="Q374" t="s">
        <v>10</v>
      </c>
      <c r="R374" t="s">
        <v>22</v>
      </c>
      <c r="S374">
        <v>12</v>
      </c>
      <c r="T374" t="s">
        <v>1082</v>
      </c>
      <c r="U374" t="s">
        <v>1099</v>
      </c>
      <c r="V374" s="3" t="s">
        <v>1044</v>
      </c>
      <c r="W374" t="s">
        <v>1146</v>
      </c>
      <c r="X374" s="9">
        <v>10</v>
      </c>
      <c r="Y374" s="9" t="s">
        <v>1068</v>
      </c>
      <c r="Z374" t="s">
        <v>1143</v>
      </c>
    </row>
    <row r="375" spans="1:26">
      <c r="A375">
        <v>374</v>
      </c>
      <c r="B375" t="s">
        <v>23</v>
      </c>
      <c r="C375" t="s">
        <v>515</v>
      </c>
      <c r="E375" t="s">
        <v>2</v>
      </c>
      <c r="F375">
        <v>924027175</v>
      </c>
      <c r="G375" t="s">
        <v>2</v>
      </c>
      <c r="H375" t="s">
        <v>4</v>
      </c>
      <c r="J375" t="s">
        <v>2</v>
      </c>
      <c r="K375" t="s">
        <v>252</v>
      </c>
      <c r="L375" t="s">
        <v>7</v>
      </c>
      <c r="M375" s="1">
        <v>44873</v>
      </c>
      <c r="N375" t="s">
        <v>21</v>
      </c>
      <c r="O375">
        <v>190</v>
      </c>
      <c r="P375" t="s">
        <v>234</v>
      </c>
      <c r="Q375" t="s">
        <v>10</v>
      </c>
      <c r="R375" t="s">
        <v>11</v>
      </c>
      <c r="T375" t="s">
        <v>1082</v>
      </c>
      <c r="U375" t="s">
        <v>1099</v>
      </c>
      <c r="V375" s="3" t="s">
        <v>1044</v>
      </c>
      <c r="W375" t="s">
        <v>1146</v>
      </c>
      <c r="X375" s="9">
        <v>10</v>
      </c>
      <c r="Y375" s="9" t="s">
        <v>1068</v>
      </c>
      <c r="Z375" t="s">
        <v>1143</v>
      </c>
    </row>
    <row r="376" spans="1:26">
      <c r="A376">
        <v>375</v>
      </c>
      <c r="B376" t="s">
        <v>12</v>
      </c>
      <c r="C376" t="s">
        <v>516</v>
      </c>
      <c r="E376">
        <v>2661292</v>
      </c>
      <c r="F376">
        <v>951709984</v>
      </c>
      <c r="G376" t="s">
        <v>517</v>
      </c>
      <c r="H376" t="s">
        <v>514</v>
      </c>
      <c r="I376" t="s">
        <v>74</v>
      </c>
      <c r="J376" t="s">
        <v>518</v>
      </c>
      <c r="K376" t="s">
        <v>2</v>
      </c>
      <c r="L376" t="s">
        <v>268</v>
      </c>
      <c r="M376" s="1">
        <v>44874</v>
      </c>
      <c r="N376" t="s">
        <v>8</v>
      </c>
      <c r="O376">
        <v>200</v>
      </c>
      <c r="P376" t="s">
        <v>30</v>
      </c>
      <c r="Q376" t="s">
        <v>10</v>
      </c>
      <c r="R376" t="s">
        <v>11</v>
      </c>
      <c r="S376">
        <v>13</v>
      </c>
      <c r="T376" t="s">
        <v>1082</v>
      </c>
      <c r="U376" t="s">
        <v>1099</v>
      </c>
      <c r="V376" s="3" t="s">
        <v>1044</v>
      </c>
      <c r="W376" t="s">
        <v>1146</v>
      </c>
      <c r="X376" s="9">
        <v>10</v>
      </c>
      <c r="Y376" s="9" t="s">
        <v>1068</v>
      </c>
      <c r="Z376" t="s">
        <v>1143</v>
      </c>
    </row>
    <row r="377" spans="1:26" ht="14.4" customHeight="1">
      <c r="A377">
        <v>376</v>
      </c>
      <c r="B377" t="s">
        <v>60</v>
      </c>
      <c r="C377" t="s">
        <v>519</v>
      </c>
      <c r="E377">
        <v>25218943</v>
      </c>
      <c r="F377">
        <v>952357357</v>
      </c>
      <c r="G377" t="s">
        <v>520</v>
      </c>
      <c r="H377" t="s">
        <v>973</v>
      </c>
      <c r="J377" t="s">
        <v>147</v>
      </c>
      <c r="K377" t="s">
        <v>2</v>
      </c>
      <c r="L377" t="s">
        <v>268</v>
      </c>
      <c r="M377" s="1">
        <v>44875</v>
      </c>
      <c r="N377" t="s">
        <v>8</v>
      </c>
      <c r="O377">
        <f>610-O378-O379</f>
        <v>450</v>
      </c>
      <c r="P377" t="s">
        <v>1076</v>
      </c>
      <c r="Q377" t="s">
        <v>10</v>
      </c>
      <c r="R377" t="s">
        <v>22</v>
      </c>
      <c r="T377" t="s">
        <v>1092</v>
      </c>
      <c r="U377" t="s">
        <v>1105</v>
      </c>
      <c r="V377" s="3" t="s">
        <v>1044</v>
      </c>
      <c r="W377" t="s">
        <v>1148</v>
      </c>
      <c r="X377" s="9"/>
      <c r="Y377" s="9"/>
      <c r="Z377" t="s">
        <v>1149</v>
      </c>
    </row>
    <row r="378" spans="1:26" ht="14.4" customHeight="1">
      <c r="A378">
        <v>377</v>
      </c>
      <c r="B378" t="s">
        <v>60</v>
      </c>
      <c r="C378" t="s">
        <v>519</v>
      </c>
      <c r="E378">
        <v>25218943</v>
      </c>
      <c r="F378">
        <v>952357357</v>
      </c>
      <c r="G378" t="s">
        <v>520</v>
      </c>
      <c r="H378" t="s">
        <v>973</v>
      </c>
      <c r="J378" t="s">
        <v>147</v>
      </c>
      <c r="K378" t="s">
        <v>2</v>
      </c>
      <c r="L378" t="s">
        <v>268</v>
      </c>
      <c r="M378" s="1">
        <v>44875</v>
      </c>
      <c r="N378" t="s">
        <v>8</v>
      </c>
      <c r="O378" s="14">
        <v>60</v>
      </c>
      <c r="P378" t="s">
        <v>1076</v>
      </c>
      <c r="Q378" t="s">
        <v>10</v>
      </c>
      <c r="R378" t="s">
        <v>22</v>
      </c>
      <c r="T378" t="s">
        <v>1133</v>
      </c>
      <c r="U378" t="s">
        <v>1114</v>
      </c>
      <c r="V378">
        <v>20</v>
      </c>
      <c r="W378" t="s">
        <v>1132</v>
      </c>
      <c r="X378" s="9"/>
      <c r="Y378" s="9"/>
      <c r="Z378" t="s">
        <v>1131</v>
      </c>
    </row>
    <row r="379" spans="1:26">
      <c r="A379">
        <v>378</v>
      </c>
      <c r="B379" t="s">
        <v>60</v>
      </c>
      <c r="C379" t="s">
        <v>519</v>
      </c>
      <c r="E379">
        <v>25218943</v>
      </c>
      <c r="F379">
        <v>952357357</v>
      </c>
      <c r="G379" t="s">
        <v>520</v>
      </c>
      <c r="H379" t="s">
        <v>973</v>
      </c>
      <c r="J379" t="s">
        <v>147</v>
      </c>
      <c r="K379" t="s">
        <v>2</v>
      </c>
      <c r="L379" t="s">
        <v>268</v>
      </c>
      <c r="M379" s="1">
        <v>44875</v>
      </c>
      <c r="N379" t="s">
        <v>8</v>
      </c>
      <c r="O379" s="14">
        <v>100</v>
      </c>
      <c r="P379" t="s">
        <v>1076</v>
      </c>
      <c r="Q379" t="s">
        <v>10</v>
      </c>
      <c r="R379" t="s">
        <v>22</v>
      </c>
      <c r="T379" t="s">
        <v>1151</v>
      </c>
      <c r="U379" t="s">
        <v>1127</v>
      </c>
      <c r="V379">
        <v>4</v>
      </c>
      <c r="W379" t="s">
        <v>1135</v>
      </c>
      <c r="X379" s="9"/>
      <c r="Y379" s="9"/>
      <c r="Z379" t="s">
        <v>1136</v>
      </c>
    </row>
    <row r="380" spans="1:26">
      <c r="A380">
        <v>379</v>
      </c>
      <c r="B380" t="s">
        <v>2</v>
      </c>
      <c r="C380" t="s">
        <v>521</v>
      </c>
      <c r="E380">
        <v>45232163</v>
      </c>
      <c r="F380">
        <v>991826503</v>
      </c>
      <c r="G380" t="s">
        <v>2</v>
      </c>
      <c r="H380" t="s">
        <v>266</v>
      </c>
      <c r="J380" t="s">
        <v>29</v>
      </c>
      <c r="K380" t="s">
        <v>2</v>
      </c>
      <c r="L380" t="s">
        <v>268</v>
      </c>
      <c r="M380" s="1">
        <v>44875</v>
      </c>
      <c r="N380" t="s">
        <v>8</v>
      </c>
      <c r="O380">
        <v>190</v>
      </c>
      <c r="P380" t="s">
        <v>52</v>
      </c>
      <c r="Q380" t="s">
        <v>10</v>
      </c>
      <c r="R380" t="s">
        <v>22</v>
      </c>
      <c r="T380" t="s">
        <v>1082</v>
      </c>
      <c r="U380" t="s">
        <v>1099</v>
      </c>
      <c r="V380" s="3" t="s">
        <v>1044</v>
      </c>
      <c r="W380" t="s">
        <v>1146</v>
      </c>
      <c r="X380" s="9">
        <v>10</v>
      </c>
      <c r="Y380" s="9" t="s">
        <v>1068</v>
      </c>
      <c r="Z380" t="s">
        <v>1143</v>
      </c>
    </row>
    <row r="381" spans="1:26">
      <c r="A381">
        <v>380</v>
      </c>
      <c r="B381" t="s">
        <v>12</v>
      </c>
      <c r="C381" t="s">
        <v>522</v>
      </c>
      <c r="D381">
        <v>10439601201</v>
      </c>
      <c r="E381">
        <v>43960120</v>
      </c>
      <c r="F381">
        <v>991844209</v>
      </c>
      <c r="G381" t="s">
        <v>523</v>
      </c>
      <c r="H381" t="s">
        <v>4</v>
      </c>
      <c r="J381" t="s">
        <v>2</v>
      </c>
      <c r="K381" t="s">
        <v>524</v>
      </c>
      <c r="L381" t="s">
        <v>37</v>
      </c>
      <c r="M381" s="1">
        <v>44875</v>
      </c>
      <c r="N381" t="s">
        <v>8</v>
      </c>
      <c r="O381">
        <v>450</v>
      </c>
      <c r="P381" t="s">
        <v>30</v>
      </c>
      <c r="Q381" t="s">
        <v>10</v>
      </c>
      <c r="R381" t="s">
        <v>11</v>
      </c>
      <c r="T381" t="s">
        <v>1092</v>
      </c>
      <c r="U381" t="s">
        <v>1093</v>
      </c>
      <c r="V381" s="3">
        <v>1</v>
      </c>
      <c r="W381" t="s">
        <v>1148</v>
      </c>
      <c r="X381" s="9">
        <v>10</v>
      </c>
      <c r="Y381" s="9" t="s">
        <v>1083</v>
      </c>
      <c r="Z381" t="s">
        <v>1149</v>
      </c>
    </row>
    <row r="382" spans="1:26">
      <c r="A382">
        <v>381</v>
      </c>
      <c r="B382" t="str">
        <f t="shared" ref="B382:N382" si="91">B381</f>
        <v>FT</v>
      </c>
      <c r="C382" t="str">
        <f t="shared" si="91"/>
        <v>Rubi Santos</v>
      </c>
      <c r="D382">
        <f t="shared" si="91"/>
        <v>10439601201</v>
      </c>
      <c r="E382">
        <f t="shared" si="91"/>
        <v>43960120</v>
      </c>
      <c r="F382">
        <f t="shared" si="91"/>
        <v>991844209</v>
      </c>
      <c r="G382" t="str">
        <f t="shared" si="91"/>
        <v>FT F001-27</v>
      </c>
      <c r="H382" t="str">
        <f t="shared" si="91"/>
        <v>Lima</v>
      </c>
      <c r="J382" t="str">
        <f t="shared" si="91"/>
        <v>-</v>
      </c>
      <c r="K382" t="str">
        <f t="shared" si="91"/>
        <v>Mercado unicachi de pro</v>
      </c>
      <c r="L382" t="str">
        <f t="shared" si="91"/>
        <v>Redes sociales</v>
      </c>
      <c r="M382" s="1">
        <f t="shared" si="91"/>
        <v>44875</v>
      </c>
      <c r="N382" t="str">
        <f t="shared" si="91"/>
        <v>BCP</v>
      </c>
      <c r="O382" s="14">
        <v>70</v>
      </c>
      <c r="P382" t="str">
        <f t="shared" ref="P382:R382" si="92">P381</f>
        <v>Otros</v>
      </c>
      <c r="Q382" t="str">
        <f t="shared" si="92"/>
        <v>U</v>
      </c>
      <c r="R382" t="str">
        <f t="shared" si="92"/>
        <v>Rodrigo</v>
      </c>
      <c r="T382" t="s">
        <v>1133</v>
      </c>
      <c r="U382" t="s">
        <v>1114</v>
      </c>
      <c r="V382" s="3">
        <v>30</v>
      </c>
      <c r="W382" t="s">
        <v>1132</v>
      </c>
      <c r="X382" s="9"/>
      <c r="Y382" s="9"/>
      <c r="Z382" t="s">
        <v>1131</v>
      </c>
    </row>
    <row r="383" spans="1:26">
      <c r="A383">
        <v>382</v>
      </c>
      <c r="B383" t="s">
        <v>12</v>
      </c>
      <c r="C383" t="s">
        <v>340</v>
      </c>
      <c r="E383">
        <v>20606086459</v>
      </c>
      <c r="F383">
        <v>913004278</v>
      </c>
      <c r="G383" t="s">
        <v>525</v>
      </c>
      <c r="H383" t="s">
        <v>4</v>
      </c>
      <c r="J383" t="s">
        <v>2</v>
      </c>
      <c r="K383" t="s">
        <v>329</v>
      </c>
      <c r="L383" t="s">
        <v>37</v>
      </c>
      <c r="M383" s="1">
        <v>44875</v>
      </c>
      <c r="N383" t="s">
        <v>8</v>
      </c>
      <c r="O383" s="2">
        <v>1925</v>
      </c>
      <c r="P383" t="s">
        <v>1076</v>
      </c>
      <c r="Q383" t="s">
        <v>31</v>
      </c>
      <c r="R383" t="s">
        <v>22</v>
      </c>
      <c r="T383" t="s">
        <v>1082</v>
      </c>
      <c r="U383" t="s">
        <v>1099</v>
      </c>
      <c r="V383" s="3" t="s">
        <v>1055</v>
      </c>
      <c r="W383" t="s">
        <v>1146</v>
      </c>
      <c r="X383" s="9" t="s">
        <v>2</v>
      </c>
      <c r="Y383" s="9" t="s">
        <v>2</v>
      </c>
      <c r="Z383" t="s">
        <v>1143</v>
      </c>
    </row>
    <row r="384" spans="1:26">
      <c r="A384">
        <v>383</v>
      </c>
      <c r="B384" t="s">
        <v>12</v>
      </c>
      <c r="C384" t="s">
        <v>526</v>
      </c>
      <c r="E384">
        <v>10075987019</v>
      </c>
      <c r="F384">
        <v>939505831</v>
      </c>
      <c r="G384" t="s">
        <v>527</v>
      </c>
      <c r="H384" t="s">
        <v>4</v>
      </c>
      <c r="J384" t="s">
        <v>2</v>
      </c>
      <c r="K384" t="s">
        <v>528</v>
      </c>
      <c r="L384" t="s">
        <v>37</v>
      </c>
      <c r="M384" s="1">
        <v>44876</v>
      </c>
      <c r="N384" t="s">
        <v>56</v>
      </c>
      <c r="O384">
        <v>300</v>
      </c>
      <c r="P384" t="s">
        <v>9</v>
      </c>
      <c r="Q384" t="s">
        <v>10</v>
      </c>
      <c r="R384" t="s">
        <v>11</v>
      </c>
      <c r="T384" t="s">
        <v>1092</v>
      </c>
      <c r="U384" t="s">
        <v>1100</v>
      </c>
      <c r="V384" s="3" t="s">
        <v>1044</v>
      </c>
      <c r="W384" t="s">
        <v>1146</v>
      </c>
      <c r="X384" s="9"/>
      <c r="Y384" s="9"/>
      <c r="Z384" t="s">
        <v>1144</v>
      </c>
    </row>
    <row r="385" spans="1:26">
      <c r="A385">
        <v>384</v>
      </c>
      <c r="B385" t="str">
        <f t="shared" ref="B385:N385" si="93">B384</f>
        <v>FT</v>
      </c>
      <c r="C385" t="str">
        <f t="shared" si="93"/>
        <v>Julio Salinas</v>
      </c>
      <c r="E385">
        <f t="shared" si="93"/>
        <v>10075987019</v>
      </c>
      <c r="F385">
        <f t="shared" si="93"/>
        <v>939505831</v>
      </c>
      <c r="G385" t="str">
        <f t="shared" si="93"/>
        <v>FT F001-29</v>
      </c>
      <c r="H385" t="str">
        <f t="shared" si="93"/>
        <v>Lima</v>
      </c>
      <c r="J385" t="str">
        <f t="shared" si="93"/>
        <v>-</v>
      </c>
      <c r="K385" t="str">
        <f t="shared" si="93"/>
        <v>Lince el punto arequipeño</v>
      </c>
      <c r="L385" t="str">
        <f t="shared" si="93"/>
        <v>Redes sociales</v>
      </c>
      <c r="M385" s="1">
        <f t="shared" si="93"/>
        <v>44876</v>
      </c>
      <c r="N385" t="str">
        <f t="shared" si="93"/>
        <v>Interbank</v>
      </c>
      <c r="O385">
        <v>400</v>
      </c>
      <c r="P385" t="str">
        <f t="shared" ref="P385:R385" si="94">P384</f>
        <v>Restaurante</v>
      </c>
      <c r="Q385" t="str">
        <f t="shared" si="94"/>
        <v>U</v>
      </c>
      <c r="R385" t="str">
        <f t="shared" si="94"/>
        <v>Rodrigo</v>
      </c>
      <c r="T385" t="s">
        <v>1092</v>
      </c>
      <c r="U385" t="s">
        <v>1101</v>
      </c>
      <c r="V385" s="3">
        <v>1</v>
      </c>
      <c r="W385" t="s">
        <v>1146</v>
      </c>
      <c r="X385" s="9"/>
      <c r="Y385" s="9"/>
      <c r="Z385" t="s">
        <v>1143</v>
      </c>
    </row>
    <row r="386" spans="1:26">
      <c r="A386">
        <v>385</v>
      </c>
      <c r="B386" t="s">
        <v>2</v>
      </c>
      <c r="C386" t="s">
        <v>529</v>
      </c>
      <c r="E386" t="s">
        <v>2</v>
      </c>
      <c r="F386">
        <v>965393879</v>
      </c>
      <c r="G386" t="s">
        <v>2</v>
      </c>
      <c r="H386" t="s">
        <v>4</v>
      </c>
      <c r="J386" t="s">
        <v>2</v>
      </c>
      <c r="K386" t="s">
        <v>2</v>
      </c>
      <c r="L386" t="s">
        <v>268</v>
      </c>
      <c r="M386" s="1">
        <v>44877</v>
      </c>
      <c r="N386" t="s">
        <v>8</v>
      </c>
      <c r="O386">
        <v>190</v>
      </c>
      <c r="P386" t="s">
        <v>30</v>
      </c>
      <c r="Q386" t="s">
        <v>10</v>
      </c>
      <c r="R386" t="s">
        <v>11</v>
      </c>
      <c r="T386" t="s">
        <v>1082</v>
      </c>
      <c r="U386" t="s">
        <v>1099</v>
      </c>
      <c r="V386" s="3" t="s">
        <v>1044</v>
      </c>
      <c r="W386" t="s">
        <v>1146</v>
      </c>
      <c r="X386" s="9">
        <v>10</v>
      </c>
      <c r="Y386" s="9" t="s">
        <v>1068</v>
      </c>
      <c r="Z386" t="s">
        <v>1143</v>
      </c>
    </row>
    <row r="387" spans="1:26">
      <c r="A387">
        <v>386</v>
      </c>
      <c r="B387" t="s">
        <v>2</v>
      </c>
      <c r="C387" t="s">
        <v>326</v>
      </c>
      <c r="E387" t="s">
        <v>2</v>
      </c>
      <c r="F387">
        <v>987150308</v>
      </c>
      <c r="G387" t="s">
        <v>2</v>
      </c>
      <c r="H387" t="s">
        <v>4</v>
      </c>
      <c r="J387" t="s">
        <v>2</v>
      </c>
      <c r="K387" t="s">
        <v>183</v>
      </c>
      <c r="L387" t="s">
        <v>7</v>
      </c>
      <c r="M387" s="1">
        <v>44878</v>
      </c>
      <c r="N387" t="s">
        <v>8</v>
      </c>
      <c r="O387">
        <v>200</v>
      </c>
      <c r="P387" t="s">
        <v>1076</v>
      </c>
      <c r="Q387" t="s">
        <v>10</v>
      </c>
      <c r="R387" t="s">
        <v>315</v>
      </c>
      <c r="T387" t="s">
        <v>1108</v>
      </c>
      <c r="U387" t="s">
        <v>1108</v>
      </c>
      <c r="V387" s="3">
        <v>1</v>
      </c>
      <c r="W387" t="s">
        <v>1139</v>
      </c>
      <c r="X387" s="9" t="s">
        <v>2</v>
      </c>
      <c r="Y387" s="9" t="s">
        <v>2</v>
      </c>
      <c r="Z387" t="s">
        <v>1138</v>
      </c>
    </row>
    <row r="388" spans="1:26">
      <c r="A388">
        <v>387</v>
      </c>
      <c r="B388" t="s">
        <v>60</v>
      </c>
      <c r="C388" t="s">
        <v>530</v>
      </c>
      <c r="E388" t="s">
        <v>2</v>
      </c>
      <c r="F388">
        <v>997208605</v>
      </c>
      <c r="G388" t="s">
        <v>531</v>
      </c>
      <c r="H388" t="s">
        <v>4</v>
      </c>
      <c r="J388" t="s">
        <v>2</v>
      </c>
      <c r="K388" t="s">
        <v>532</v>
      </c>
      <c r="L388" t="s">
        <v>37</v>
      </c>
      <c r="M388" s="1">
        <v>44879</v>
      </c>
      <c r="N388" t="s">
        <v>8</v>
      </c>
      <c r="O388" s="5">
        <v>400</v>
      </c>
      <c r="P388" t="s">
        <v>30</v>
      </c>
      <c r="Q388" t="s">
        <v>10</v>
      </c>
      <c r="R388" t="s">
        <v>11</v>
      </c>
      <c r="T388" t="s">
        <v>1092</v>
      </c>
      <c r="U388" t="s">
        <v>1105</v>
      </c>
      <c r="V388" s="3" t="s">
        <v>1044</v>
      </c>
      <c r="W388" t="s">
        <v>1148</v>
      </c>
      <c r="X388" s="9"/>
      <c r="Y388" s="9"/>
      <c r="Z388" t="s">
        <v>1149</v>
      </c>
    </row>
    <row r="389" spans="1:26">
      <c r="A389">
        <v>388</v>
      </c>
      <c r="B389" t="s">
        <v>60</v>
      </c>
      <c r="C389" t="s">
        <v>530</v>
      </c>
      <c r="E389" t="s">
        <v>2</v>
      </c>
      <c r="F389">
        <v>997208605</v>
      </c>
      <c r="G389" t="s">
        <v>531</v>
      </c>
      <c r="H389" t="s">
        <v>4</v>
      </c>
      <c r="J389" t="s">
        <v>2</v>
      </c>
      <c r="K389" t="s">
        <v>532</v>
      </c>
      <c r="L389" t="s">
        <v>37</v>
      </c>
      <c r="M389" s="1">
        <v>44879</v>
      </c>
      <c r="N389" t="s">
        <v>8</v>
      </c>
      <c r="O389" s="5">
        <v>270</v>
      </c>
      <c r="P389" t="s">
        <v>30</v>
      </c>
      <c r="Q389" t="s">
        <v>10</v>
      </c>
      <c r="R389" t="s">
        <v>11</v>
      </c>
      <c r="T389" t="s">
        <v>1108</v>
      </c>
      <c r="U389" t="s">
        <v>1108</v>
      </c>
      <c r="V389">
        <v>1</v>
      </c>
      <c r="W389" t="s">
        <v>1139</v>
      </c>
      <c r="X389" s="9"/>
      <c r="Y389" s="9"/>
      <c r="Z389" t="s">
        <v>1138</v>
      </c>
    </row>
    <row r="390" spans="1:26">
      <c r="A390">
        <v>389</v>
      </c>
      <c r="B390" t="s">
        <v>60</v>
      </c>
      <c r="C390" t="s">
        <v>530</v>
      </c>
      <c r="E390" t="s">
        <v>2</v>
      </c>
      <c r="F390">
        <v>997208605</v>
      </c>
      <c r="G390" t="s">
        <v>531</v>
      </c>
      <c r="H390" t="s">
        <v>4</v>
      </c>
      <c r="J390" t="s">
        <v>2</v>
      </c>
      <c r="K390" t="s">
        <v>532</v>
      </c>
      <c r="L390" t="s">
        <v>37</v>
      </c>
      <c r="M390" s="1">
        <v>44879</v>
      </c>
      <c r="N390" t="s">
        <v>8</v>
      </c>
      <c r="O390" s="5">
        <v>210</v>
      </c>
      <c r="P390" t="s">
        <v>30</v>
      </c>
      <c r="Q390" t="s">
        <v>10</v>
      </c>
      <c r="R390" t="s">
        <v>11</v>
      </c>
      <c r="T390" t="s">
        <v>1082</v>
      </c>
      <c r="U390" t="s">
        <v>1099</v>
      </c>
      <c r="V390" s="3" t="s">
        <v>1044</v>
      </c>
      <c r="W390" t="s">
        <v>1146</v>
      </c>
      <c r="X390" s="9"/>
      <c r="Y390" s="9"/>
      <c r="Z390" t="s">
        <v>1143</v>
      </c>
    </row>
    <row r="391" spans="1:26">
      <c r="A391">
        <v>390</v>
      </c>
      <c r="B391" t="s">
        <v>2</v>
      </c>
      <c r="C391" t="s">
        <v>533</v>
      </c>
      <c r="E391" t="s">
        <v>2</v>
      </c>
      <c r="F391">
        <v>929082332</v>
      </c>
      <c r="G391" t="s">
        <v>2</v>
      </c>
      <c r="H391" t="s">
        <v>266</v>
      </c>
      <c r="J391" t="s">
        <v>147</v>
      </c>
      <c r="K391" t="s">
        <v>2</v>
      </c>
      <c r="L391" t="s">
        <v>268</v>
      </c>
      <c r="M391" s="1">
        <v>44879</v>
      </c>
      <c r="N391" t="s">
        <v>38</v>
      </c>
      <c r="O391">
        <v>320</v>
      </c>
      <c r="P391" t="s">
        <v>234</v>
      </c>
      <c r="Q391" t="s">
        <v>10</v>
      </c>
      <c r="R391" t="s">
        <v>22</v>
      </c>
      <c r="T391" t="s">
        <v>1092</v>
      </c>
      <c r="U391" t="s">
        <v>1101</v>
      </c>
      <c r="V391" s="3" t="s">
        <v>1044</v>
      </c>
      <c r="W391" t="s">
        <v>1146</v>
      </c>
      <c r="X391" s="9">
        <v>10</v>
      </c>
      <c r="Y391" s="9" t="s">
        <v>1056</v>
      </c>
      <c r="Z391" t="s">
        <v>1143</v>
      </c>
    </row>
    <row r="392" spans="1:26">
      <c r="A392">
        <v>391</v>
      </c>
      <c r="B392" t="s">
        <v>2</v>
      </c>
      <c r="C392" t="s">
        <v>534</v>
      </c>
      <c r="E392">
        <v>70463879</v>
      </c>
      <c r="F392">
        <v>931557863</v>
      </c>
      <c r="G392" t="s">
        <v>2</v>
      </c>
      <c r="H392" t="s">
        <v>423</v>
      </c>
      <c r="I392" t="s">
        <v>36</v>
      </c>
      <c r="J392" t="s">
        <v>140</v>
      </c>
      <c r="K392" t="s">
        <v>2</v>
      </c>
      <c r="L392" t="s">
        <v>268</v>
      </c>
      <c r="M392" s="1">
        <v>44880</v>
      </c>
      <c r="N392" t="s">
        <v>56</v>
      </c>
      <c r="O392">
        <v>320</v>
      </c>
      <c r="P392" t="s">
        <v>234</v>
      </c>
      <c r="Q392" t="s">
        <v>10</v>
      </c>
      <c r="R392" t="s">
        <v>22</v>
      </c>
      <c r="S392">
        <v>16</v>
      </c>
      <c r="T392" t="s">
        <v>1092</v>
      </c>
      <c r="U392" t="s">
        <v>1095</v>
      </c>
      <c r="V392" s="3">
        <v>1</v>
      </c>
      <c r="W392" t="s">
        <v>1145</v>
      </c>
      <c r="X392" s="9">
        <v>10</v>
      </c>
      <c r="Y392" s="9" t="s">
        <v>1056</v>
      </c>
      <c r="Z392" t="s">
        <v>1143</v>
      </c>
    </row>
    <row r="393" spans="1:26">
      <c r="A393">
        <v>392</v>
      </c>
      <c r="B393" t="s">
        <v>2</v>
      </c>
      <c r="C393" t="s">
        <v>535</v>
      </c>
      <c r="E393">
        <v>41201962</v>
      </c>
      <c r="F393">
        <v>900038812</v>
      </c>
      <c r="G393" t="s">
        <v>2</v>
      </c>
      <c r="H393" t="s">
        <v>423</v>
      </c>
      <c r="J393" t="s">
        <v>536</v>
      </c>
      <c r="K393" t="s">
        <v>2</v>
      </c>
      <c r="L393" t="s">
        <v>268</v>
      </c>
      <c r="M393" s="1">
        <v>44880</v>
      </c>
      <c r="N393" t="s">
        <v>56</v>
      </c>
      <c r="O393">
        <v>200</v>
      </c>
      <c r="P393" t="s">
        <v>216</v>
      </c>
      <c r="Q393" t="s">
        <v>10</v>
      </c>
      <c r="R393" t="s">
        <v>22</v>
      </c>
      <c r="S393">
        <v>15</v>
      </c>
      <c r="T393" t="s">
        <v>1092</v>
      </c>
      <c r="U393" t="s">
        <v>1100</v>
      </c>
      <c r="V393" s="3" t="s">
        <v>1044</v>
      </c>
      <c r="W393" t="s">
        <v>1146</v>
      </c>
      <c r="X393" s="9">
        <v>10</v>
      </c>
      <c r="Y393" s="9" t="s">
        <v>1068</v>
      </c>
      <c r="Z393" t="s">
        <v>1144</v>
      </c>
    </row>
    <row r="394" spans="1:26">
      <c r="A394">
        <v>393</v>
      </c>
      <c r="B394" t="s">
        <v>23</v>
      </c>
      <c r="C394" t="s">
        <v>537</v>
      </c>
      <c r="E394" t="s">
        <v>2</v>
      </c>
      <c r="F394">
        <v>975565646</v>
      </c>
      <c r="G394" t="s">
        <v>2</v>
      </c>
      <c r="H394" t="s">
        <v>4</v>
      </c>
      <c r="J394" t="s">
        <v>2</v>
      </c>
      <c r="K394" t="s">
        <v>538</v>
      </c>
      <c r="L394" t="s">
        <v>37</v>
      </c>
      <c r="M394" s="1">
        <v>44881</v>
      </c>
      <c r="N394" t="s">
        <v>21</v>
      </c>
      <c r="O394">
        <v>325</v>
      </c>
      <c r="P394" t="s">
        <v>1076</v>
      </c>
      <c r="Q394" t="s">
        <v>10</v>
      </c>
      <c r="R394" t="s">
        <v>22</v>
      </c>
      <c r="T394" t="s">
        <v>1092</v>
      </c>
      <c r="U394" t="s">
        <v>1101</v>
      </c>
      <c r="V394" s="3" t="s">
        <v>1044</v>
      </c>
      <c r="W394" t="s">
        <v>1146</v>
      </c>
      <c r="X394" s="9">
        <v>20</v>
      </c>
      <c r="Y394" s="9" t="s">
        <v>1056</v>
      </c>
      <c r="Z394" t="s">
        <v>1143</v>
      </c>
    </row>
    <row r="395" spans="1:26">
      <c r="A395">
        <v>394</v>
      </c>
      <c r="B395" t="str">
        <f t="shared" ref="B395:N395" si="95">B394</f>
        <v>No va</v>
      </c>
      <c r="C395" t="str">
        <f t="shared" si="95"/>
        <v>Jose</v>
      </c>
      <c r="E395" t="str">
        <f t="shared" si="95"/>
        <v>-</v>
      </c>
      <c r="F395">
        <f t="shared" si="95"/>
        <v>975565646</v>
      </c>
      <c r="G395" t="str">
        <f t="shared" si="95"/>
        <v>-</v>
      </c>
      <c r="H395" t="str">
        <f t="shared" si="95"/>
        <v>Lima</v>
      </c>
      <c r="J395" t="str">
        <f t="shared" si="95"/>
        <v>-</v>
      </c>
      <c r="K395" t="str">
        <f t="shared" si="95"/>
        <v>Huaycan</v>
      </c>
      <c r="L395" t="str">
        <f t="shared" si="95"/>
        <v>Redes sociales</v>
      </c>
      <c r="M395" s="1">
        <f t="shared" si="95"/>
        <v>44881</v>
      </c>
      <c r="N395" t="str">
        <f t="shared" si="95"/>
        <v>Efectivo</v>
      </c>
      <c r="O395" s="16">
        <f>25*(V395/10)</f>
        <v>75</v>
      </c>
      <c r="P395" t="str">
        <f t="shared" ref="P395:R395" si="96">P394</f>
        <v>Venta comercio</v>
      </c>
      <c r="Q395" t="str">
        <f t="shared" si="96"/>
        <v>U</v>
      </c>
      <c r="R395" t="str">
        <f t="shared" si="96"/>
        <v>Sergio</v>
      </c>
      <c r="T395" t="s">
        <v>1134</v>
      </c>
      <c r="U395" t="s">
        <v>1115</v>
      </c>
      <c r="V395" s="3">
        <v>30</v>
      </c>
      <c r="W395" t="s">
        <v>1137</v>
      </c>
      <c r="X395" s="9"/>
      <c r="Y395" s="9"/>
      <c r="Z395" t="s">
        <v>1131</v>
      </c>
    </row>
    <row r="396" spans="1:26">
      <c r="A396">
        <v>395</v>
      </c>
      <c r="B396" t="s">
        <v>2</v>
      </c>
      <c r="C396" t="s">
        <v>539</v>
      </c>
      <c r="E396" t="s">
        <v>2</v>
      </c>
      <c r="F396">
        <v>986990002</v>
      </c>
      <c r="G396" t="s">
        <v>2</v>
      </c>
      <c r="H396" t="s">
        <v>4</v>
      </c>
      <c r="J396" t="s">
        <v>2</v>
      </c>
      <c r="K396" t="s">
        <v>540</v>
      </c>
      <c r="L396" t="s">
        <v>37</v>
      </c>
      <c r="M396" s="1">
        <v>44881</v>
      </c>
      <c r="N396" t="s">
        <v>8</v>
      </c>
      <c r="O396">
        <v>190</v>
      </c>
      <c r="P396" t="s">
        <v>541</v>
      </c>
      <c r="Q396" t="s">
        <v>10</v>
      </c>
      <c r="R396" t="s">
        <v>11</v>
      </c>
      <c r="T396" t="s">
        <v>1082</v>
      </c>
      <c r="U396" t="s">
        <v>1099</v>
      </c>
      <c r="V396" s="3" t="s">
        <v>1044</v>
      </c>
      <c r="W396" t="s">
        <v>1146</v>
      </c>
      <c r="X396" s="9">
        <v>10</v>
      </c>
      <c r="Y396" s="9" t="s">
        <v>1068</v>
      </c>
      <c r="Z396" t="s">
        <v>1143</v>
      </c>
    </row>
    <row r="397" spans="1:26">
      <c r="A397">
        <v>396</v>
      </c>
      <c r="B397" t="s">
        <v>12</v>
      </c>
      <c r="C397" t="s">
        <v>542</v>
      </c>
      <c r="E397">
        <v>74201265</v>
      </c>
      <c r="F397">
        <v>922475825</v>
      </c>
      <c r="G397" t="s">
        <v>543</v>
      </c>
      <c r="H397" t="s">
        <v>514</v>
      </c>
      <c r="I397" t="s">
        <v>74</v>
      </c>
      <c r="J397" t="s">
        <v>29</v>
      </c>
      <c r="K397" t="s">
        <v>2</v>
      </c>
      <c r="L397" t="s">
        <v>268</v>
      </c>
      <c r="M397" s="1">
        <v>44881</v>
      </c>
      <c r="N397" t="s">
        <v>38</v>
      </c>
      <c r="O397" s="5">
        <v>490</v>
      </c>
      <c r="P397" t="s">
        <v>30</v>
      </c>
      <c r="Q397" t="s">
        <v>10</v>
      </c>
      <c r="R397" t="s">
        <v>11</v>
      </c>
      <c r="S397">
        <v>42</v>
      </c>
      <c r="T397" t="s">
        <v>1092</v>
      </c>
      <c r="U397" t="s">
        <v>1105</v>
      </c>
      <c r="V397" s="3" t="s">
        <v>1044</v>
      </c>
      <c r="W397" t="s">
        <v>1148</v>
      </c>
      <c r="X397" s="9">
        <v>1</v>
      </c>
      <c r="Y397" s="9" t="s">
        <v>1074</v>
      </c>
      <c r="Z397" t="s">
        <v>1149</v>
      </c>
    </row>
    <row r="398" spans="1:26">
      <c r="A398">
        <v>397</v>
      </c>
      <c r="B398" t="str">
        <f t="shared" ref="B398:N398" si="97">B397</f>
        <v>FT</v>
      </c>
      <c r="C398" t="str">
        <f t="shared" si="97"/>
        <v>Jose Brayn Omar Medina Castillo</v>
      </c>
      <c r="E398">
        <f t="shared" si="97"/>
        <v>74201265</v>
      </c>
      <c r="F398">
        <f t="shared" si="97"/>
        <v>922475825</v>
      </c>
      <c r="G398" t="str">
        <f t="shared" si="97"/>
        <v>FT F001-30</v>
      </c>
      <c r="H398" t="str">
        <f t="shared" si="97"/>
        <v>Piura</v>
      </c>
      <c r="I398" t="s">
        <v>74</v>
      </c>
      <c r="J398" t="str">
        <f t="shared" si="97"/>
        <v>Shalom</v>
      </c>
      <c r="K398" t="str">
        <f t="shared" si="97"/>
        <v>-</v>
      </c>
      <c r="L398" t="str">
        <f t="shared" si="97"/>
        <v>Aplicativo Web</v>
      </c>
      <c r="M398" s="1">
        <f t="shared" si="97"/>
        <v>44881</v>
      </c>
      <c r="N398" t="str">
        <f t="shared" si="97"/>
        <v>BBVA</v>
      </c>
      <c r="O398" s="5">
        <v>275</v>
      </c>
      <c r="P398" t="str">
        <f t="shared" ref="P398:T398" si="98">P397</f>
        <v>Otros</v>
      </c>
      <c r="Q398" t="str">
        <f t="shared" si="98"/>
        <v>U</v>
      </c>
      <c r="R398" t="str">
        <f t="shared" si="98"/>
        <v>Rodrigo</v>
      </c>
      <c r="S398">
        <f t="shared" si="98"/>
        <v>42</v>
      </c>
      <c r="T398" t="str">
        <f t="shared" si="98"/>
        <v>Xprinter</v>
      </c>
      <c r="U398" t="s">
        <v>1106</v>
      </c>
      <c r="V398" s="3">
        <f>X397</f>
        <v>1</v>
      </c>
      <c r="W398" t="s">
        <v>1139</v>
      </c>
      <c r="X398" s="9"/>
      <c r="Y398" s="9"/>
      <c r="Z398" t="s">
        <v>1138</v>
      </c>
    </row>
    <row r="399" spans="1:26">
      <c r="A399">
        <v>398</v>
      </c>
      <c r="B399" t="s">
        <v>12</v>
      </c>
      <c r="C399" t="s">
        <v>544</v>
      </c>
      <c r="E399">
        <v>71116865</v>
      </c>
      <c r="F399">
        <v>958247712</v>
      </c>
      <c r="G399" t="s">
        <v>545</v>
      </c>
      <c r="H399" t="s">
        <v>546</v>
      </c>
      <c r="J399" t="s">
        <v>29</v>
      </c>
      <c r="K399" t="s">
        <v>2</v>
      </c>
      <c r="L399" t="s">
        <v>268</v>
      </c>
      <c r="M399" s="1">
        <v>44881</v>
      </c>
      <c r="N399" t="s">
        <v>38</v>
      </c>
      <c r="O399">
        <v>425</v>
      </c>
      <c r="P399" t="s">
        <v>30</v>
      </c>
      <c r="Q399" t="s">
        <v>10</v>
      </c>
      <c r="R399" t="s">
        <v>22</v>
      </c>
      <c r="S399">
        <v>12</v>
      </c>
      <c r="T399" t="s">
        <v>1092</v>
      </c>
      <c r="U399" t="s">
        <v>1095</v>
      </c>
      <c r="V399" s="3">
        <v>1</v>
      </c>
      <c r="W399" t="s">
        <v>1145</v>
      </c>
      <c r="X399" s="9">
        <v>1</v>
      </c>
      <c r="Y399" s="9" t="s">
        <v>1070</v>
      </c>
      <c r="Z399" t="s">
        <v>1143</v>
      </c>
    </row>
    <row r="400" spans="1:26">
      <c r="A400">
        <v>399</v>
      </c>
      <c r="B400" t="str">
        <f t="shared" ref="B400:N400" si="99">B399</f>
        <v>FT</v>
      </c>
      <c r="C400" t="str">
        <f t="shared" si="99"/>
        <v>Edwin Cruz Trelles</v>
      </c>
      <c r="E400">
        <f t="shared" si="99"/>
        <v>71116865</v>
      </c>
      <c r="F400">
        <f t="shared" si="99"/>
        <v>958247712</v>
      </c>
      <c r="G400" t="str">
        <f t="shared" si="99"/>
        <v>FT F001-32</v>
      </c>
      <c r="H400" t="str">
        <f t="shared" si="99"/>
        <v xml:space="preserve">Arequipa </v>
      </c>
      <c r="J400" t="str">
        <f t="shared" si="99"/>
        <v>Shalom</v>
      </c>
      <c r="K400" t="str">
        <f t="shared" si="99"/>
        <v>-</v>
      </c>
      <c r="L400" t="str">
        <f t="shared" si="99"/>
        <v>Aplicativo Web</v>
      </c>
      <c r="M400" s="1">
        <f t="shared" si="99"/>
        <v>44881</v>
      </c>
      <c r="N400" t="str">
        <f t="shared" si="99"/>
        <v>BBVA</v>
      </c>
      <c r="O400" s="14">
        <v>25</v>
      </c>
      <c r="P400" t="str">
        <f t="shared" ref="P400:S400" si="100">P399</f>
        <v>Otros</v>
      </c>
      <c r="Q400" t="str">
        <f t="shared" si="100"/>
        <v>U</v>
      </c>
      <c r="R400" t="str">
        <f t="shared" si="100"/>
        <v>Sergio</v>
      </c>
      <c r="S400">
        <f t="shared" si="100"/>
        <v>12</v>
      </c>
      <c r="T400" t="s">
        <v>1151</v>
      </c>
      <c r="U400" t="s">
        <v>1122</v>
      </c>
      <c r="V400" s="3">
        <f>X399</f>
        <v>1</v>
      </c>
      <c r="W400" t="s">
        <v>1135</v>
      </c>
      <c r="X400" s="9"/>
      <c r="Y400" s="9"/>
      <c r="Z400" t="s">
        <v>1136</v>
      </c>
    </row>
    <row r="401" spans="1:26">
      <c r="A401">
        <v>400</v>
      </c>
      <c r="B401" t="s">
        <v>12</v>
      </c>
      <c r="C401" t="s">
        <v>61</v>
      </c>
      <c r="E401">
        <v>20605746811</v>
      </c>
      <c r="F401">
        <v>924119193</v>
      </c>
      <c r="G401" t="s">
        <v>545</v>
      </c>
      <c r="H401" t="s">
        <v>4</v>
      </c>
      <c r="I401" t="s">
        <v>547</v>
      </c>
      <c r="J401" t="s">
        <v>2</v>
      </c>
      <c r="K401" t="s">
        <v>548</v>
      </c>
      <c r="L401" t="s">
        <v>37</v>
      </c>
      <c r="M401" s="1">
        <v>44882</v>
      </c>
      <c r="N401" t="s">
        <v>21</v>
      </c>
      <c r="O401">
        <v>205</v>
      </c>
      <c r="P401" t="s">
        <v>234</v>
      </c>
      <c r="Q401" t="s">
        <v>10</v>
      </c>
      <c r="R401" t="s">
        <v>22</v>
      </c>
      <c r="T401" t="s">
        <v>1082</v>
      </c>
      <c r="U401" t="s">
        <v>1099</v>
      </c>
      <c r="V401" s="3" t="s">
        <v>1044</v>
      </c>
      <c r="W401" t="s">
        <v>1146</v>
      </c>
      <c r="X401" s="9">
        <v>10</v>
      </c>
      <c r="Y401" s="9" t="s">
        <v>1068</v>
      </c>
      <c r="Z401" t="s">
        <v>1143</v>
      </c>
    </row>
    <row r="402" spans="1:26">
      <c r="A402">
        <v>401</v>
      </c>
      <c r="B402" t="str">
        <f t="shared" ref="B402:N402" si="101">B401</f>
        <v>FT</v>
      </c>
      <c r="C402" t="str">
        <f t="shared" si="101"/>
        <v>Anthony</v>
      </c>
      <c r="E402">
        <f t="shared" si="101"/>
        <v>20605746811</v>
      </c>
      <c r="F402">
        <f t="shared" si="101"/>
        <v>924119193</v>
      </c>
      <c r="G402" t="str">
        <f t="shared" si="101"/>
        <v>FT F001-32</v>
      </c>
      <c r="H402" t="str">
        <f t="shared" si="101"/>
        <v>Lima</v>
      </c>
      <c r="I402" t="str">
        <f t="shared" si="101"/>
        <v>San Isidro</v>
      </c>
      <c r="J402" t="str">
        <f t="shared" si="101"/>
        <v>-</v>
      </c>
      <c r="K402" t="str">
        <f t="shared" si="101"/>
        <v>Av. Brazil</v>
      </c>
      <c r="L402" t="str">
        <f t="shared" si="101"/>
        <v>Redes sociales</v>
      </c>
      <c r="M402" s="1">
        <f t="shared" si="101"/>
        <v>44882</v>
      </c>
      <c r="N402" t="str">
        <f t="shared" si="101"/>
        <v>Efectivo</v>
      </c>
      <c r="O402" s="14">
        <v>15</v>
      </c>
      <c r="P402" t="str">
        <f t="shared" ref="P402:S402" si="102">P401</f>
        <v>Farmacia</v>
      </c>
      <c r="Q402" t="str">
        <f t="shared" si="102"/>
        <v>U</v>
      </c>
      <c r="R402" t="str">
        <f t="shared" si="102"/>
        <v>Sergio</v>
      </c>
      <c r="S402">
        <f t="shared" si="102"/>
        <v>0</v>
      </c>
      <c r="T402" t="s">
        <v>1134</v>
      </c>
      <c r="U402" t="s">
        <v>1116</v>
      </c>
      <c r="V402" s="3">
        <f>X401</f>
        <v>10</v>
      </c>
      <c r="W402" t="s">
        <v>1137</v>
      </c>
      <c r="X402" s="9"/>
      <c r="Y402" s="9"/>
      <c r="Z402" t="s">
        <v>1131</v>
      </c>
    </row>
    <row r="403" spans="1:26">
      <c r="A403">
        <v>402</v>
      </c>
      <c r="B403" t="s">
        <v>12</v>
      </c>
      <c r="C403" t="s">
        <v>549</v>
      </c>
      <c r="E403">
        <v>20609331977</v>
      </c>
      <c r="F403">
        <v>981006108</v>
      </c>
      <c r="G403" t="s">
        <v>550</v>
      </c>
      <c r="H403" t="s">
        <v>4</v>
      </c>
      <c r="I403" t="s">
        <v>547</v>
      </c>
      <c r="J403" t="s">
        <v>2</v>
      </c>
      <c r="K403" t="s">
        <v>547</v>
      </c>
      <c r="L403" t="s">
        <v>37</v>
      </c>
      <c r="M403" s="1">
        <v>44883</v>
      </c>
      <c r="N403" t="s">
        <v>8</v>
      </c>
      <c r="O403">
        <v>420</v>
      </c>
      <c r="P403" t="s">
        <v>30</v>
      </c>
      <c r="Q403" t="s">
        <v>10</v>
      </c>
      <c r="R403" t="s">
        <v>22</v>
      </c>
      <c r="S403" t="s">
        <v>2</v>
      </c>
      <c r="T403" t="s">
        <v>1092</v>
      </c>
      <c r="U403" t="s">
        <v>1105</v>
      </c>
      <c r="V403" s="3" t="s">
        <v>1044</v>
      </c>
      <c r="W403" t="s">
        <v>1148</v>
      </c>
      <c r="X403" s="9">
        <v>10</v>
      </c>
      <c r="Y403" s="9" t="s">
        <v>1056</v>
      </c>
      <c r="Z403" t="s">
        <v>1149</v>
      </c>
    </row>
    <row r="404" spans="1:26">
      <c r="A404">
        <v>403</v>
      </c>
      <c r="B404" t="str">
        <f t="shared" ref="B404:N404" si="103">B403</f>
        <v>FT</v>
      </c>
      <c r="C404" t="str">
        <f t="shared" si="103"/>
        <v>Mauricio</v>
      </c>
      <c r="E404">
        <f t="shared" si="103"/>
        <v>20609331977</v>
      </c>
      <c r="F404">
        <f t="shared" si="103"/>
        <v>981006108</v>
      </c>
      <c r="G404" t="str">
        <f t="shared" si="103"/>
        <v>FT F001-33</v>
      </c>
      <c r="H404" t="str">
        <f t="shared" si="103"/>
        <v>Lima</v>
      </c>
      <c r="I404" t="str">
        <f t="shared" si="103"/>
        <v>San Isidro</v>
      </c>
      <c r="J404" t="str">
        <f t="shared" si="103"/>
        <v>-</v>
      </c>
      <c r="K404" t="str">
        <f t="shared" si="103"/>
        <v>San Isidro</v>
      </c>
      <c r="L404" t="str">
        <f t="shared" si="103"/>
        <v>Redes sociales</v>
      </c>
      <c r="M404" s="1">
        <f t="shared" si="103"/>
        <v>44883</v>
      </c>
      <c r="N404" t="str">
        <f t="shared" si="103"/>
        <v>BCP</v>
      </c>
      <c r="O404" s="16">
        <v>100</v>
      </c>
      <c r="P404" t="str">
        <f t="shared" ref="P404:S404" si="104">P403</f>
        <v>Otros</v>
      </c>
      <c r="Q404" t="str">
        <f t="shared" si="104"/>
        <v>U</v>
      </c>
      <c r="R404" t="str">
        <f t="shared" si="104"/>
        <v>Sergio</v>
      </c>
      <c r="S404" t="str">
        <f t="shared" si="104"/>
        <v>-</v>
      </c>
      <c r="T404" t="s">
        <v>1134</v>
      </c>
      <c r="U404" t="s">
        <v>1115</v>
      </c>
      <c r="V404" s="3">
        <v>40</v>
      </c>
      <c r="W404" t="s">
        <v>1137</v>
      </c>
      <c r="X404" s="9"/>
      <c r="Y404" s="9"/>
      <c r="Z404" t="s">
        <v>1131</v>
      </c>
    </row>
    <row r="405" spans="1:26">
      <c r="A405">
        <v>404</v>
      </c>
      <c r="B405" t="s">
        <v>2</v>
      </c>
      <c r="C405" t="s">
        <v>551</v>
      </c>
      <c r="E405">
        <v>44626904</v>
      </c>
      <c r="F405">
        <v>940444622</v>
      </c>
      <c r="G405" t="s">
        <v>2</v>
      </c>
      <c r="H405" t="s">
        <v>552</v>
      </c>
      <c r="J405" t="s">
        <v>29</v>
      </c>
      <c r="K405" t="s">
        <v>2</v>
      </c>
      <c r="L405" t="s">
        <v>268</v>
      </c>
      <c r="M405" s="1">
        <v>44884</v>
      </c>
      <c r="N405" t="s">
        <v>8</v>
      </c>
      <c r="O405">
        <v>185</v>
      </c>
      <c r="P405" t="s">
        <v>234</v>
      </c>
      <c r="Q405" t="s">
        <v>10</v>
      </c>
      <c r="R405" t="s">
        <v>22</v>
      </c>
      <c r="T405" t="s">
        <v>1082</v>
      </c>
      <c r="U405" t="s">
        <v>1099</v>
      </c>
      <c r="V405" s="3" t="s">
        <v>1044</v>
      </c>
      <c r="W405" t="s">
        <v>1146</v>
      </c>
      <c r="X405" s="9">
        <v>10</v>
      </c>
      <c r="Y405" s="9" t="s">
        <v>1068</v>
      </c>
      <c r="Z405" t="s">
        <v>1143</v>
      </c>
    </row>
    <row r="406" spans="1:26">
      <c r="A406">
        <v>405</v>
      </c>
      <c r="B406" t="str">
        <f t="shared" ref="B406:N406" si="105">B405</f>
        <v>-</v>
      </c>
      <c r="C406" t="str">
        <f t="shared" si="105"/>
        <v>Andrea Catherine Alvarado Farias</v>
      </c>
      <c r="E406">
        <f t="shared" si="105"/>
        <v>44626904</v>
      </c>
      <c r="F406">
        <f t="shared" si="105"/>
        <v>940444622</v>
      </c>
      <c r="G406" t="str">
        <f t="shared" si="105"/>
        <v>-</v>
      </c>
      <c r="H406" t="str">
        <f t="shared" si="105"/>
        <v>Tumbes</v>
      </c>
      <c r="J406" t="str">
        <f t="shared" si="105"/>
        <v>Shalom</v>
      </c>
      <c r="K406" t="str">
        <f t="shared" si="105"/>
        <v>-</v>
      </c>
      <c r="L406" t="str">
        <f t="shared" si="105"/>
        <v>Aplicativo Web</v>
      </c>
      <c r="M406" s="1">
        <f t="shared" si="105"/>
        <v>44884</v>
      </c>
      <c r="N406" t="str">
        <f t="shared" si="105"/>
        <v>BCP</v>
      </c>
      <c r="O406" s="14">
        <v>15</v>
      </c>
      <c r="P406" t="str">
        <f t="shared" ref="P406:S406" si="106">P405</f>
        <v>Farmacia</v>
      </c>
      <c r="Q406" t="str">
        <f t="shared" si="106"/>
        <v>U</v>
      </c>
      <c r="R406" t="str">
        <f t="shared" si="106"/>
        <v>Sergio</v>
      </c>
      <c r="S406">
        <f t="shared" si="106"/>
        <v>0</v>
      </c>
      <c r="T406" t="s">
        <v>1134</v>
      </c>
      <c r="U406" t="s">
        <v>1116</v>
      </c>
      <c r="V406" s="3">
        <f>X405</f>
        <v>10</v>
      </c>
      <c r="W406" t="s">
        <v>1137</v>
      </c>
      <c r="X406" s="9"/>
      <c r="Y406" s="9"/>
      <c r="Z406" t="s">
        <v>1131</v>
      </c>
    </row>
    <row r="407" spans="1:26" s="19" customFormat="1">
      <c r="A407">
        <v>406</v>
      </c>
      <c r="B407" s="19" t="s">
        <v>23</v>
      </c>
      <c r="C407" s="19" t="s">
        <v>392</v>
      </c>
      <c r="E407" s="19" t="s">
        <v>2</v>
      </c>
      <c r="F407" s="19">
        <v>959269812</v>
      </c>
      <c r="G407" s="19" t="s">
        <v>2</v>
      </c>
      <c r="H407" s="19" t="s">
        <v>4</v>
      </c>
      <c r="I407" s="19" t="s">
        <v>144</v>
      </c>
      <c r="J407" s="19" t="s">
        <v>2</v>
      </c>
      <c r="K407" s="19" t="s">
        <v>144</v>
      </c>
      <c r="L407" s="19" t="s">
        <v>37</v>
      </c>
      <c r="M407" s="33">
        <v>44885</v>
      </c>
      <c r="N407" s="19" t="s">
        <v>21</v>
      </c>
      <c r="O407" s="30">
        <v>50</v>
      </c>
      <c r="P407" s="19" t="s">
        <v>216</v>
      </c>
      <c r="Q407" s="19" t="s">
        <v>10</v>
      </c>
      <c r="R407" s="19" t="s">
        <v>11</v>
      </c>
      <c r="S407" s="19" t="s">
        <v>2</v>
      </c>
      <c r="T407" s="19" t="s">
        <v>1134</v>
      </c>
      <c r="U407" s="19" t="s">
        <v>1115</v>
      </c>
      <c r="V407" s="34">
        <v>10</v>
      </c>
      <c r="W407" s="19" t="s">
        <v>1137</v>
      </c>
      <c r="X407" s="19" t="s">
        <v>2</v>
      </c>
      <c r="Y407" s="19" t="s">
        <v>2</v>
      </c>
      <c r="Z407" s="19" t="s">
        <v>1131</v>
      </c>
    </row>
    <row r="408" spans="1:26">
      <c r="A408">
        <v>407</v>
      </c>
      <c r="B408" t="s">
        <v>2</v>
      </c>
      <c r="C408" t="s">
        <v>553</v>
      </c>
      <c r="E408">
        <v>72402332</v>
      </c>
      <c r="F408">
        <v>931104497</v>
      </c>
      <c r="G408" t="s">
        <v>2</v>
      </c>
      <c r="H408" t="s">
        <v>514</v>
      </c>
      <c r="I408" t="s">
        <v>74</v>
      </c>
      <c r="J408" t="s">
        <v>29</v>
      </c>
      <c r="K408" t="s">
        <v>2</v>
      </c>
      <c r="L408" t="s">
        <v>268</v>
      </c>
      <c r="M408" s="1">
        <v>44886</v>
      </c>
      <c r="N408" t="s">
        <v>8</v>
      </c>
      <c r="O408">
        <v>180</v>
      </c>
      <c r="P408" t="s">
        <v>1076</v>
      </c>
      <c r="Q408" t="s">
        <v>10</v>
      </c>
      <c r="R408" t="s">
        <v>22</v>
      </c>
      <c r="T408" t="s">
        <v>1082</v>
      </c>
      <c r="U408" t="s">
        <v>1099</v>
      </c>
      <c r="V408" s="3" t="s">
        <v>1044</v>
      </c>
      <c r="W408" t="s">
        <v>1146</v>
      </c>
      <c r="X408" s="9" t="s">
        <v>2</v>
      </c>
      <c r="Y408" s="9" t="s">
        <v>2</v>
      </c>
      <c r="Z408" t="s">
        <v>1143</v>
      </c>
    </row>
    <row r="409" spans="1:26">
      <c r="A409">
        <v>408</v>
      </c>
      <c r="B409" t="s">
        <v>12</v>
      </c>
      <c r="C409" t="s">
        <v>554</v>
      </c>
      <c r="E409">
        <v>10081337468</v>
      </c>
      <c r="F409">
        <v>944553300</v>
      </c>
      <c r="G409" t="s">
        <v>555</v>
      </c>
      <c r="H409" t="s">
        <v>4</v>
      </c>
      <c r="I409" t="s">
        <v>420</v>
      </c>
      <c r="J409" t="s">
        <v>2</v>
      </c>
      <c r="K409" t="s">
        <v>556</v>
      </c>
      <c r="L409" t="s">
        <v>37</v>
      </c>
      <c r="M409" s="1">
        <v>44886</v>
      </c>
      <c r="N409" t="s">
        <v>21</v>
      </c>
      <c r="O409">
        <v>360</v>
      </c>
      <c r="P409" t="s">
        <v>30</v>
      </c>
      <c r="Q409" t="s">
        <v>10</v>
      </c>
      <c r="R409" t="s">
        <v>11</v>
      </c>
      <c r="T409" t="s">
        <v>1133</v>
      </c>
      <c r="U409" t="s">
        <v>1115</v>
      </c>
      <c r="V409" s="3">
        <v>40</v>
      </c>
      <c r="W409" t="s">
        <v>1132</v>
      </c>
      <c r="X409" s="9" t="s">
        <v>2</v>
      </c>
      <c r="Y409" s="9" t="s">
        <v>2</v>
      </c>
      <c r="Z409" t="s">
        <v>1131</v>
      </c>
    </row>
    <row r="410" spans="1:26">
      <c r="A410">
        <v>409</v>
      </c>
      <c r="B410" t="s">
        <v>12</v>
      </c>
      <c r="C410" t="s">
        <v>557</v>
      </c>
      <c r="E410">
        <v>20600137094</v>
      </c>
      <c r="F410">
        <v>986618181</v>
      </c>
      <c r="G410" t="s">
        <v>558</v>
      </c>
      <c r="H410" t="s">
        <v>4</v>
      </c>
      <c r="I410" t="s">
        <v>244</v>
      </c>
      <c r="J410" t="s">
        <v>2</v>
      </c>
      <c r="K410" t="s">
        <v>7</v>
      </c>
      <c r="L410" t="s">
        <v>7</v>
      </c>
      <c r="M410" s="1">
        <v>44887</v>
      </c>
      <c r="N410" t="s">
        <v>8</v>
      </c>
      <c r="O410">
        <v>430</v>
      </c>
      <c r="P410" t="s">
        <v>30</v>
      </c>
      <c r="Q410" t="s">
        <v>10</v>
      </c>
      <c r="R410" t="s">
        <v>11</v>
      </c>
      <c r="T410" t="s">
        <v>1097</v>
      </c>
      <c r="U410" t="s">
        <v>1103</v>
      </c>
      <c r="V410" s="3" t="s">
        <v>1044</v>
      </c>
      <c r="W410" t="s">
        <v>1145</v>
      </c>
      <c r="X410" s="9">
        <v>10</v>
      </c>
      <c r="Y410" s="9" t="s">
        <v>1056</v>
      </c>
      <c r="Z410" t="s">
        <v>1143</v>
      </c>
    </row>
    <row r="411" spans="1:26">
      <c r="A411">
        <v>410</v>
      </c>
      <c r="B411" t="s">
        <v>12</v>
      </c>
      <c r="C411" t="s">
        <v>559</v>
      </c>
      <c r="E411">
        <v>20553732647</v>
      </c>
      <c r="F411">
        <v>918346106</v>
      </c>
      <c r="G411" t="s">
        <v>560</v>
      </c>
      <c r="H411" t="s">
        <v>4</v>
      </c>
      <c r="I411" t="s">
        <v>420</v>
      </c>
      <c r="J411" t="s">
        <v>420</v>
      </c>
      <c r="K411" t="s">
        <v>420</v>
      </c>
      <c r="L411" t="s">
        <v>37</v>
      </c>
      <c r="M411" s="1">
        <v>44887</v>
      </c>
      <c r="N411" t="s">
        <v>8</v>
      </c>
      <c r="O411">
        <v>330</v>
      </c>
      <c r="P411" t="s">
        <v>541</v>
      </c>
      <c r="Q411" t="s">
        <v>10</v>
      </c>
      <c r="R411" t="s">
        <v>11</v>
      </c>
      <c r="T411" t="s">
        <v>1092</v>
      </c>
      <c r="U411" t="s">
        <v>1101</v>
      </c>
      <c r="V411" s="3" t="s">
        <v>1044</v>
      </c>
      <c r="W411" t="s">
        <v>1146</v>
      </c>
      <c r="X411" s="9" t="s">
        <v>2</v>
      </c>
      <c r="Y411" s="9" t="s">
        <v>2</v>
      </c>
      <c r="Z411" t="s">
        <v>1143</v>
      </c>
    </row>
    <row r="412" spans="1:26">
      <c r="A412">
        <v>411</v>
      </c>
      <c r="B412" t="s">
        <v>12</v>
      </c>
      <c r="C412" t="s">
        <v>360</v>
      </c>
      <c r="D412">
        <v>20601379377</v>
      </c>
      <c r="E412">
        <v>46047067</v>
      </c>
      <c r="F412">
        <v>933784155</v>
      </c>
      <c r="G412" t="s">
        <v>561</v>
      </c>
      <c r="H412" t="s">
        <v>48</v>
      </c>
      <c r="J412" t="s">
        <v>29</v>
      </c>
      <c r="K412" t="s">
        <v>2</v>
      </c>
      <c r="L412" t="s">
        <v>268</v>
      </c>
      <c r="M412" s="1">
        <v>44887</v>
      </c>
      <c r="N412" t="s">
        <v>56</v>
      </c>
      <c r="O412">
        <v>500</v>
      </c>
      <c r="P412" t="s">
        <v>234</v>
      </c>
      <c r="Q412" t="s">
        <v>31</v>
      </c>
      <c r="R412" t="s">
        <v>11</v>
      </c>
      <c r="T412" t="s">
        <v>1082</v>
      </c>
      <c r="U412" t="s">
        <v>1099</v>
      </c>
      <c r="V412" s="3" t="s">
        <v>1047</v>
      </c>
      <c r="W412" t="s">
        <v>1146</v>
      </c>
      <c r="X412" s="9" t="s">
        <v>2</v>
      </c>
      <c r="Y412" s="9" t="s">
        <v>2</v>
      </c>
      <c r="Z412" t="s">
        <v>1143</v>
      </c>
    </row>
    <row r="413" spans="1:26">
      <c r="A413">
        <v>412</v>
      </c>
      <c r="B413" t="s">
        <v>12</v>
      </c>
      <c r="C413" t="s">
        <v>562</v>
      </c>
      <c r="D413">
        <v>10182201222</v>
      </c>
      <c r="E413">
        <v>18220122</v>
      </c>
      <c r="F413">
        <v>949703013</v>
      </c>
      <c r="G413" t="s">
        <v>563</v>
      </c>
      <c r="H413" t="s">
        <v>355</v>
      </c>
      <c r="J413" t="s">
        <v>2</v>
      </c>
      <c r="K413" t="s">
        <v>2</v>
      </c>
      <c r="L413" t="s">
        <v>268</v>
      </c>
      <c r="M413" s="1">
        <v>44888</v>
      </c>
      <c r="N413" t="s">
        <v>8</v>
      </c>
      <c r="O413">
        <v>515</v>
      </c>
      <c r="P413" t="s">
        <v>52</v>
      </c>
      <c r="Q413" t="s">
        <v>10</v>
      </c>
      <c r="R413" t="s">
        <v>22</v>
      </c>
      <c r="S413" t="s">
        <v>2</v>
      </c>
      <c r="T413" t="s">
        <v>1092</v>
      </c>
      <c r="U413" t="s">
        <v>1105</v>
      </c>
      <c r="V413" s="3" t="s">
        <v>1044</v>
      </c>
      <c r="W413" t="s">
        <v>1148</v>
      </c>
      <c r="X413" s="9">
        <v>10</v>
      </c>
      <c r="Y413" s="9" t="s">
        <v>1056</v>
      </c>
      <c r="Z413" t="s">
        <v>1149</v>
      </c>
    </row>
    <row r="414" spans="1:26">
      <c r="A414">
        <v>413</v>
      </c>
      <c r="B414" t="s">
        <v>23</v>
      </c>
      <c r="C414" t="s">
        <v>564</v>
      </c>
      <c r="E414" t="s">
        <v>2</v>
      </c>
      <c r="F414">
        <v>917003298</v>
      </c>
      <c r="G414" t="s">
        <v>2</v>
      </c>
      <c r="H414" t="s">
        <v>4</v>
      </c>
      <c r="I414" t="s">
        <v>364</v>
      </c>
      <c r="J414" t="s">
        <v>2</v>
      </c>
      <c r="K414" t="s">
        <v>565</v>
      </c>
      <c r="L414" t="s">
        <v>37</v>
      </c>
      <c r="M414" s="1">
        <v>44889</v>
      </c>
      <c r="N414" t="s">
        <v>21</v>
      </c>
      <c r="O414">
        <v>200</v>
      </c>
      <c r="P414" t="s">
        <v>1076</v>
      </c>
      <c r="Q414" t="s">
        <v>10</v>
      </c>
      <c r="R414" t="s">
        <v>11</v>
      </c>
      <c r="S414" t="s">
        <v>2</v>
      </c>
      <c r="T414" t="s">
        <v>1092</v>
      </c>
      <c r="U414" t="s">
        <v>1100</v>
      </c>
      <c r="V414" s="3" t="s">
        <v>1044</v>
      </c>
      <c r="W414" t="s">
        <v>1146</v>
      </c>
      <c r="X414" s="9" t="s">
        <v>2</v>
      </c>
      <c r="Y414" s="9" t="s">
        <v>2</v>
      </c>
      <c r="Z414" t="s">
        <v>1144</v>
      </c>
    </row>
    <row r="415" spans="1:26">
      <c r="A415">
        <v>414</v>
      </c>
      <c r="B415" t="s">
        <v>60</v>
      </c>
      <c r="C415" t="s">
        <v>566</v>
      </c>
      <c r="E415" t="s">
        <v>2</v>
      </c>
      <c r="F415">
        <v>986930346</v>
      </c>
      <c r="G415" t="s">
        <v>567</v>
      </c>
      <c r="H415" t="s">
        <v>4</v>
      </c>
      <c r="I415" t="s">
        <v>364</v>
      </c>
      <c r="J415" t="s">
        <v>2</v>
      </c>
      <c r="K415" t="s">
        <v>364</v>
      </c>
      <c r="L415" t="s">
        <v>37</v>
      </c>
      <c r="M415" s="1">
        <v>44892</v>
      </c>
      <c r="N415" t="s">
        <v>8</v>
      </c>
      <c r="O415">
        <v>330</v>
      </c>
      <c r="P415" t="s">
        <v>541</v>
      </c>
      <c r="Q415" t="s">
        <v>10</v>
      </c>
      <c r="R415" t="s">
        <v>11</v>
      </c>
      <c r="T415" t="s">
        <v>1092</v>
      </c>
      <c r="U415" t="s">
        <v>1101</v>
      </c>
      <c r="V415" s="3" t="s">
        <v>1044</v>
      </c>
      <c r="W415" t="s">
        <v>1146</v>
      </c>
      <c r="X415" s="9" t="s">
        <v>2</v>
      </c>
      <c r="Y415" s="9" t="s">
        <v>2</v>
      </c>
      <c r="Z415" t="s">
        <v>1143</v>
      </c>
    </row>
    <row r="416" spans="1:26">
      <c r="A416">
        <v>415</v>
      </c>
      <c r="B416" t="s">
        <v>23</v>
      </c>
      <c r="C416" t="s">
        <v>568</v>
      </c>
      <c r="E416" t="s">
        <v>2</v>
      </c>
      <c r="F416">
        <v>970651377</v>
      </c>
      <c r="G416" t="s">
        <v>2</v>
      </c>
      <c r="H416" t="s">
        <v>4</v>
      </c>
      <c r="I416" t="s">
        <v>569</v>
      </c>
      <c r="J416" t="s">
        <v>2</v>
      </c>
      <c r="K416" t="s">
        <v>569</v>
      </c>
      <c r="L416" t="s">
        <v>37</v>
      </c>
      <c r="M416" s="1">
        <v>44893</v>
      </c>
      <c r="N416" t="s">
        <v>21</v>
      </c>
      <c r="O416">
        <v>330</v>
      </c>
      <c r="P416" t="s">
        <v>134</v>
      </c>
      <c r="Q416" t="s">
        <v>10</v>
      </c>
      <c r="R416" t="s">
        <v>22</v>
      </c>
      <c r="T416" t="s">
        <v>1092</v>
      </c>
      <c r="U416" t="s">
        <v>1101</v>
      </c>
      <c r="V416" s="3" t="s">
        <v>1044</v>
      </c>
      <c r="W416" t="s">
        <v>1146</v>
      </c>
      <c r="X416" s="9">
        <v>10</v>
      </c>
      <c r="Y416" s="9" t="s">
        <v>1056</v>
      </c>
      <c r="Z416" t="s">
        <v>1143</v>
      </c>
    </row>
    <row r="417" spans="1:26">
      <c r="A417">
        <v>416</v>
      </c>
      <c r="B417" t="s">
        <v>12</v>
      </c>
      <c r="C417" t="s">
        <v>570</v>
      </c>
      <c r="E417">
        <v>44143269</v>
      </c>
      <c r="F417">
        <v>959379078</v>
      </c>
      <c r="G417" t="s">
        <v>571</v>
      </c>
      <c r="H417" t="s">
        <v>199</v>
      </c>
      <c r="J417" t="s">
        <v>572</v>
      </c>
      <c r="K417" t="s">
        <v>2</v>
      </c>
      <c r="L417" t="s">
        <v>37</v>
      </c>
      <c r="M417" s="1">
        <v>44893</v>
      </c>
      <c r="N417" t="s">
        <v>8</v>
      </c>
      <c r="O417">
        <v>510</v>
      </c>
      <c r="P417" t="s">
        <v>30</v>
      </c>
      <c r="Q417" t="s">
        <v>10</v>
      </c>
      <c r="R417" t="s">
        <v>11</v>
      </c>
      <c r="S417" t="s">
        <v>2</v>
      </c>
      <c r="T417" t="s">
        <v>1092</v>
      </c>
      <c r="U417" t="s">
        <v>1100</v>
      </c>
      <c r="V417" s="3" t="s">
        <v>1045</v>
      </c>
      <c r="W417" t="s">
        <v>1146</v>
      </c>
      <c r="X417" s="9" t="s">
        <v>2</v>
      </c>
      <c r="Y417" s="9" t="s">
        <v>2</v>
      </c>
      <c r="Z417" t="s">
        <v>1144</v>
      </c>
    </row>
    <row r="418" spans="1:26">
      <c r="A418">
        <v>417</v>
      </c>
      <c r="B418" t="s">
        <v>12</v>
      </c>
      <c r="C418" t="s">
        <v>360</v>
      </c>
      <c r="D418">
        <v>20601379377</v>
      </c>
      <c r="E418">
        <v>46047067</v>
      </c>
      <c r="F418">
        <v>933784155</v>
      </c>
      <c r="G418" t="s">
        <v>573</v>
      </c>
      <c r="H418" t="s">
        <v>48</v>
      </c>
      <c r="J418" t="s">
        <v>29</v>
      </c>
      <c r="K418" t="s">
        <v>2</v>
      </c>
      <c r="L418" t="s">
        <v>268</v>
      </c>
      <c r="M418" s="1">
        <v>44893</v>
      </c>
      <c r="N418" t="s">
        <v>56</v>
      </c>
      <c r="O418" s="2">
        <f>1430-O419</f>
        <v>230</v>
      </c>
      <c r="P418" t="s">
        <v>30</v>
      </c>
      <c r="Q418" t="s">
        <v>31</v>
      </c>
      <c r="R418" t="s">
        <v>11</v>
      </c>
      <c r="T418" t="s">
        <v>1082</v>
      </c>
      <c r="U418" t="s">
        <v>1099</v>
      </c>
      <c r="V418" s="3">
        <v>1</v>
      </c>
      <c r="W418" t="s">
        <v>1146</v>
      </c>
      <c r="X418" s="9"/>
      <c r="Y418" s="9"/>
      <c r="Z418" t="s">
        <v>1143</v>
      </c>
    </row>
    <row r="419" spans="1:26">
      <c r="A419">
        <v>418</v>
      </c>
      <c r="B419" t="s">
        <v>12</v>
      </c>
      <c r="C419" t="s">
        <v>360</v>
      </c>
      <c r="D419">
        <v>20601379377</v>
      </c>
      <c r="E419">
        <v>46047067</v>
      </c>
      <c r="F419">
        <v>933784155</v>
      </c>
      <c r="G419" t="s">
        <v>573</v>
      </c>
      <c r="H419" t="s">
        <v>48</v>
      </c>
      <c r="J419" t="s">
        <v>29</v>
      </c>
      <c r="K419" t="s">
        <v>2</v>
      </c>
      <c r="L419" t="s">
        <v>268</v>
      </c>
      <c r="M419" s="1">
        <v>44893</v>
      </c>
      <c r="N419" t="s">
        <v>56</v>
      </c>
      <c r="O419" s="16">
        <v>1200</v>
      </c>
      <c r="P419" t="s">
        <v>30</v>
      </c>
      <c r="Q419" t="s">
        <v>31</v>
      </c>
      <c r="R419" t="s">
        <v>11</v>
      </c>
      <c r="S419" t="s">
        <v>2</v>
      </c>
      <c r="T419" t="s">
        <v>1092</v>
      </c>
      <c r="U419" t="s">
        <v>1105</v>
      </c>
      <c r="V419">
        <v>3</v>
      </c>
      <c r="W419" t="s">
        <v>1148</v>
      </c>
      <c r="X419" s="9"/>
      <c r="Y419" s="9"/>
      <c r="Z419" t="s">
        <v>1149</v>
      </c>
    </row>
    <row r="420" spans="1:26">
      <c r="A420">
        <v>419</v>
      </c>
      <c r="B420" t="s">
        <v>23</v>
      </c>
      <c r="C420" t="s">
        <v>384</v>
      </c>
      <c r="E420" t="s">
        <v>2</v>
      </c>
      <c r="F420">
        <v>993104850</v>
      </c>
      <c r="G420" t="s">
        <v>2</v>
      </c>
      <c r="H420" t="s">
        <v>4</v>
      </c>
      <c r="J420" t="s">
        <v>2</v>
      </c>
      <c r="K420" t="s">
        <v>495</v>
      </c>
      <c r="L420" t="s">
        <v>268</v>
      </c>
      <c r="M420" s="1">
        <v>44895</v>
      </c>
      <c r="N420" t="s">
        <v>21</v>
      </c>
      <c r="O420">
        <v>790</v>
      </c>
      <c r="P420" t="s">
        <v>30</v>
      </c>
      <c r="Q420" t="s">
        <v>10</v>
      </c>
      <c r="R420" t="s">
        <v>22</v>
      </c>
      <c r="T420" t="s">
        <v>1082</v>
      </c>
      <c r="U420" t="s">
        <v>1104</v>
      </c>
      <c r="V420" s="3" t="s">
        <v>1045</v>
      </c>
      <c r="W420" t="s">
        <v>1145</v>
      </c>
      <c r="X420" s="9">
        <v>30</v>
      </c>
      <c r="Y420" s="9" t="s">
        <v>1056</v>
      </c>
      <c r="Z420" t="s">
        <v>1143</v>
      </c>
    </row>
    <row r="421" spans="1:26">
      <c r="A421">
        <v>420</v>
      </c>
      <c r="B421" t="str">
        <f t="shared" ref="B421:N421" si="107">B420</f>
        <v>No va</v>
      </c>
      <c r="C421" t="str">
        <f t="shared" si="107"/>
        <v xml:space="preserve">Beatriz </v>
      </c>
      <c r="E421" t="str">
        <f t="shared" si="107"/>
        <v>-</v>
      </c>
      <c r="F421">
        <f t="shared" si="107"/>
        <v>993104850</v>
      </c>
      <c r="G421" t="str">
        <f t="shared" si="107"/>
        <v>-</v>
      </c>
      <c r="H421" t="str">
        <f t="shared" si="107"/>
        <v>Lima</v>
      </c>
      <c r="J421" t="str">
        <f t="shared" si="107"/>
        <v>-</v>
      </c>
      <c r="K421" t="str">
        <f t="shared" si="107"/>
        <v>Jiron Cusco Centro de Lima</v>
      </c>
      <c r="L421" t="str">
        <f t="shared" si="107"/>
        <v>Aplicativo Web</v>
      </c>
      <c r="M421" s="1">
        <f t="shared" si="107"/>
        <v>44895</v>
      </c>
      <c r="N421" t="str">
        <f t="shared" si="107"/>
        <v>Efectivo</v>
      </c>
      <c r="O421" s="16">
        <v>50</v>
      </c>
      <c r="P421" t="str">
        <f t="shared" ref="P421:S421" si="108">P420</f>
        <v>Otros</v>
      </c>
      <c r="Q421" t="str">
        <f t="shared" si="108"/>
        <v>U</v>
      </c>
      <c r="R421" t="str">
        <f t="shared" si="108"/>
        <v>Sergio</v>
      </c>
      <c r="S421">
        <f t="shared" si="108"/>
        <v>0</v>
      </c>
      <c r="T421" t="s">
        <v>1134</v>
      </c>
      <c r="U421" t="s">
        <v>1115</v>
      </c>
      <c r="V421" s="3">
        <v>20</v>
      </c>
      <c r="W421" t="s">
        <v>1137</v>
      </c>
      <c r="X421" s="9"/>
      <c r="Y421" s="9"/>
      <c r="Z421" t="s">
        <v>1131</v>
      </c>
    </row>
    <row r="422" spans="1:26">
      <c r="A422">
        <v>421</v>
      </c>
      <c r="B422" t="s">
        <v>12</v>
      </c>
      <c r="C422" t="s">
        <v>340</v>
      </c>
      <c r="E422">
        <v>20606086459</v>
      </c>
      <c r="F422" t="s">
        <v>2</v>
      </c>
      <c r="G422" t="s">
        <v>574</v>
      </c>
      <c r="H422" t="s">
        <v>4</v>
      </c>
      <c r="I422" t="s">
        <v>329</v>
      </c>
      <c r="J422" t="s">
        <v>2</v>
      </c>
      <c r="K422" t="s">
        <v>329</v>
      </c>
      <c r="L422" t="s">
        <v>268</v>
      </c>
      <c r="M422" s="1">
        <v>44895</v>
      </c>
      <c r="N422" t="s">
        <v>8</v>
      </c>
      <c r="O422" s="2">
        <v>1925</v>
      </c>
      <c r="P422" t="s">
        <v>30</v>
      </c>
      <c r="Q422" t="s">
        <v>31</v>
      </c>
      <c r="R422" t="s">
        <v>22</v>
      </c>
      <c r="S422" t="s">
        <v>2</v>
      </c>
      <c r="T422" t="s">
        <v>1092</v>
      </c>
      <c r="U422" t="s">
        <v>1100</v>
      </c>
      <c r="V422" s="3" t="s">
        <v>1055</v>
      </c>
      <c r="W422" t="s">
        <v>1146</v>
      </c>
      <c r="X422" s="9" t="s">
        <v>2</v>
      </c>
      <c r="Y422" s="9" t="s">
        <v>2</v>
      </c>
      <c r="Z422" t="s">
        <v>1144</v>
      </c>
    </row>
    <row r="423" spans="1:26">
      <c r="A423">
        <v>422</v>
      </c>
      <c r="B423" t="s">
        <v>60</v>
      </c>
      <c r="C423" t="s">
        <v>575</v>
      </c>
      <c r="E423" t="s">
        <v>2</v>
      </c>
      <c r="F423">
        <v>992476748</v>
      </c>
      <c r="G423" t="s">
        <v>576</v>
      </c>
      <c r="H423" t="s">
        <v>4</v>
      </c>
      <c r="I423" t="s">
        <v>383</v>
      </c>
      <c r="J423" t="s">
        <v>2</v>
      </c>
      <c r="K423" t="s">
        <v>383</v>
      </c>
      <c r="L423" t="s">
        <v>268</v>
      </c>
      <c r="M423" s="1">
        <v>44896</v>
      </c>
      <c r="N423" t="s">
        <v>8</v>
      </c>
      <c r="O423">
        <v>410</v>
      </c>
      <c r="P423" t="s">
        <v>541</v>
      </c>
      <c r="Q423" t="s">
        <v>10</v>
      </c>
      <c r="R423" t="s">
        <v>22</v>
      </c>
      <c r="S423" t="s">
        <v>2</v>
      </c>
      <c r="T423" t="s">
        <v>1092</v>
      </c>
      <c r="U423" t="s">
        <v>1105</v>
      </c>
      <c r="V423" s="3" t="s">
        <v>1044</v>
      </c>
      <c r="W423" t="s">
        <v>1148</v>
      </c>
      <c r="X423" s="9">
        <v>10</v>
      </c>
      <c r="Y423" s="9" t="s">
        <v>1056</v>
      </c>
      <c r="Z423" t="s">
        <v>1149</v>
      </c>
    </row>
    <row r="424" spans="1:26">
      <c r="A424">
        <v>423</v>
      </c>
      <c r="B424" t="str">
        <f t="shared" ref="B424:N424" si="109">B423</f>
        <v>RH</v>
      </c>
      <c r="C424" t="str">
        <f t="shared" si="109"/>
        <v>Evelyn</v>
      </c>
      <c r="E424" t="str">
        <f t="shared" si="109"/>
        <v>-</v>
      </c>
      <c r="F424">
        <f t="shared" si="109"/>
        <v>992476748</v>
      </c>
      <c r="G424" t="str">
        <f t="shared" si="109"/>
        <v>RH E001-65</v>
      </c>
      <c r="H424" t="str">
        <f t="shared" si="109"/>
        <v>Lima</v>
      </c>
      <c r="I424" t="str">
        <f t="shared" si="109"/>
        <v>Villa Maria del Triunfo</v>
      </c>
      <c r="J424" t="str">
        <f t="shared" si="109"/>
        <v>-</v>
      </c>
      <c r="K424" t="str">
        <f t="shared" si="109"/>
        <v>Villa Maria del Triunfo</v>
      </c>
      <c r="L424" t="str">
        <f t="shared" si="109"/>
        <v>Aplicativo Web</v>
      </c>
      <c r="M424" s="1">
        <f t="shared" si="109"/>
        <v>44896</v>
      </c>
      <c r="N424" t="str">
        <f t="shared" si="109"/>
        <v>BCP</v>
      </c>
      <c r="O424" s="16">
        <v>165</v>
      </c>
      <c r="P424" t="str">
        <f t="shared" ref="P424:S424" si="110">P423</f>
        <v>Salón de Belleza</v>
      </c>
      <c r="Q424" t="str">
        <f t="shared" si="110"/>
        <v>U</v>
      </c>
      <c r="R424" t="str">
        <f t="shared" si="110"/>
        <v>Sergio</v>
      </c>
      <c r="S424" t="str">
        <f t="shared" si="110"/>
        <v>-</v>
      </c>
      <c r="T424" t="s">
        <v>1134</v>
      </c>
      <c r="U424" t="s">
        <v>1115</v>
      </c>
      <c r="V424" s="3">
        <v>65</v>
      </c>
      <c r="W424" t="s">
        <v>1137</v>
      </c>
      <c r="X424" s="9"/>
      <c r="Y424" s="9"/>
      <c r="Z424" t="s">
        <v>1131</v>
      </c>
    </row>
    <row r="425" spans="1:26">
      <c r="A425">
        <v>424</v>
      </c>
      <c r="B425" t="s">
        <v>2</v>
      </c>
      <c r="C425" t="s">
        <v>577</v>
      </c>
      <c r="E425" t="s">
        <v>2</v>
      </c>
      <c r="F425">
        <v>997974554</v>
      </c>
      <c r="G425" t="s">
        <v>2</v>
      </c>
      <c r="H425" t="s">
        <v>4</v>
      </c>
      <c r="I425" t="s">
        <v>547</v>
      </c>
      <c r="J425" t="s">
        <v>2</v>
      </c>
      <c r="K425" t="s">
        <v>578</v>
      </c>
      <c r="L425" t="s">
        <v>268</v>
      </c>
      <c r="M425" s="1">
        <v>44896</v>
      </c>
      <c r="N425" t="s">
        <v>8</v>
      </c>
      <c r="O425">
        <v>180</v>
      </c>
      <c r="P425" t="s">
        <v>9</v>
      </c>
      <c r="Q425" t="s">
        <v>10</v>
      </c>
      <c r="R425" t="s">
        <v>11</v>
      </c>
      <c r="T425" t="s">
        <v>1082</v>
      </c>
      <c r="U425" t="s">
        <v>1099</v>
      </c>
      <c r="V425" s="3" t="s">
        <v>1044</v>
      </c>
      <c r="W425" t="s">
        <v>1146</v>
      </c>
      <c r="X425" s="9">
        <v>10</v>
      </c>
      <c r="Y425" s="9" t="s">
        <v>1068</v>
      </c>
      <c r="Z425" t="s">
        <v>1143</v>
      </c>
    </row>
    <row r="426" spans="1:26">
      <c r="A426">
        <v>425</v>
      </c>
      <c r="B426" t="s">
        <v>2</v>
      </c>
      <c r="C426" t="s">
        <v>579</v>
      </c>
      <c r="E426" t="s">
        <v>2</v>
      </c>
      <c r="F426">
        <v>989150267</v>
      </c>
      <c r="G426" t="s">
        <v>2</v>
      </c>
      <c r="H426" t="s">
        <v>4</v>
      </c>
      <c r="I426" t="s">
        <v>90</v>
      </c>
      <c r="J426" t="s">
        <v>2</v>
      </c>
      <c r="K426" t="s">
        <v>580</v>
      </c>
      <c r="L426" t="s">
        <v>37</v>
      </c>
      <c r="M426" s="1">
        <v>44896</v>
      </c>
      <c r="N426" t="s">
        <v>8</v>
      </c>
      <c r="O426">
        <v>320</v>
      </c>
      <c r="P426" t="s">
        <v>9</v>
      </c>
      <c r="Q426" t="s">
        <v>10</v>
      </c>
      <c r="R426" t="s">
        <v>11</v>
      </c>
      <c r="T426" t="s">
        <v>1082</v>
      </c>
      <c r="U426" t="s">
        <v>1104</v>
      </c>
      <c r="V426" s="3" t="s">
        <v>1044</v>
      </c>
      <c r="W426" t="s">
        <v>1145</v>
      </c>
      <c r="X426" s="9">
        <v>10</v>
      </c>
      <c r="Y426" s="9" t="s">
        <v>1056</v>
      </c>
      <c r="Z426" t="s">
        <v>1143</v>
      </c>
    </row>
    <row r="427" spans="1:26">
      <c r="A427">
        <v>426</v>
      </c>
      <c r="B427" t="str">
        <f t="shared" ref="B427:N427" si="111">B426</f>
        <v>-</v>
      </c>
      <c r="C427" t="str">
        <f t="shared" si="111"/>
        <v>Elizabeth</v>
      </c>
      <c r="E427" t="str">
        <f t="shared" si="111"/>
        <v>-</v>
      </c>
      <c r="F427">
        <f t="shared" si="111"/>
        <v>989150267</v>
      </c>
      <c r="G427" t="str">
        <f t="shared" si="111"/>
        <v>-</v>
      </c>
      <c r="H427" t="str">
        <f t="shared" si="111"/>
        <v>Lima</v>
      </c>
      <c r="I427" t="str">
        <f t="shared" si="111"/>
        <v>La victoria</v>
      </c>
      <c r="J427" t="str">
        <f t="shared" si="111"/>
        <v>-</v>
      </c>
      <c r="K427" t="str">
        <f t="shared" si="111"/>
        <v>Gamarra Galeria Guizado av gamarra</v>
      </c>
      <c r="L427" t="str">
        <f t="shared" si="111"/>
        <v>Redes sociales</v>
      </c>
      <c r="M427" s="1">
        <f t="shared" si="111"/>
        <v>44896</v>
      </c>
      <c r="N427" t="str">
        <f t="shared" si="111"/>
        <v>BCP</v>
      </c>
      <c r="O427" s="16">
        <v>10</v>
      </c>
      <c r="P427" t="str">
        <f t="shared" ref="P427:S427" si="112">P426</f>
        <v>Restaurante</v>
      </c>
      <c r="Q427" t="str">
        <f t="shared" si="112"/>
        <v>U</v>
      </c>
      <c r="R427" t="str">
        <f t="shared" si="112"/>
        <v>Rodrigo</v>
      </c>
      <c r="S427">
        <f t="shared" si="112"/>
        <v>0</v>
      </c>
      <c r="T427" t="s">
        <v>1134</v>
      </c>
      <c r="U427" t="s">
        <v>1115</v>
      </c>
      <c r="V427" s="3">
        <v>5</v>
      </c>
      <c r="W427" t="s">
        <v>1137</v>
      </c>
      <c r="X427" s="9"/>
      <c r="Y427" s="9"/>
      <c r="Z427" t="s">
        <v>1131</v>
      </c>
    </row>
    <row r="428" spans="1:26">
      <c r="A428">
        <v>427</v>
      </c>
      <c r="B428" t="s">
        <v>23</v>
      </c>
      <c r="C428" t="s">
        <v>393</v>
      </c>
      <c r="E428" t="s">
        <v>2</v>
      </c>
      <c r="F428">
        <v>955440204</v>
      </c>
      <c r="G428" t="s">
        <v>2</v>
      </c>
      <c r="H428" t="s">
        <v>4</v>
      </c>
      <c r="I428" t="s">
        <v>144</v>
      </c>
      <c r="J428" t="s">
        <v>2</v>
      </c>
      <c r="K428" t="s">
        <v>144</v>
      </c>
      <c r="L428" t="s">
        <v>268</v>
      </c>
      <c r="M428" s="1">
        <v>44897</v>
      </c>
      <c r="N428" t="s">
        <v>21</v>
      </c>
      <c r="O428">
        <v>35</v>
      </c>
      <c r="P428" t="s">
        <v>30</v>
      </c>
      <c r="Q428" t="s">
        <v>10</v>
      </c>
      <c r="R428" t="s">
        <v>22</v>
      </c>
      <c r="S428" t="s">
        <v>2</v>
      </c>
      <c r="T428" t="s">
        <v>1134</v>
      </c>
      <c r="U428" t="s">
        <v>1121</v>
      </c>
      <c r="V428" s="3">
        <v>10</v>
      </c>
      <c r="W428" t="s">
        <v>1137</v>
      </c>
      <c r="X428" s="9" t="s">
        <v>2</v>
      </c>
      <c r="Y428" s="9" t="s">
        <v>2</v>
      </c>
      <c r="Z428" t="s">
        <v>1131</v>
      </c>
    </row>
    <row r="429" spans="1:26">
      <c r="A429">
        <v>428</v>
      </c>
      <c r="B429" t="s">
        <v>60</v>
      </c>
      <c r="C429" t="s">
        <v>581</v>
      </c>
      <c r="E429">
        <v>75072160</v>
      </c>
      <c r="F429">
        <v>960624525</v>
      </c>
      <c r="G429" t="s">
        <v>582</v>
      </c>
      <c r="H429" t="s">
        <v>514</v>
      </c>
      <c r="I429" t="s">
        <v>51</v>
      </c>
      <c r="J429" t="s">
        <v>29</v>
      </c>
      <c r="K429" t="s">
        <v>2</v>
      </c>
      <c r="L429" t="s">
        <v>268</v>
      </c>
      <c r="M429" s="1">
        <v>44897</v>
      </c>
      <c r="N429" t="s">
        <v>56</v>
      </c>
      <c r="O429">
        <v>320</v>
      </c>
      <c r="P429" t="s">
        <v>234</v>
      </c>
      <c r="Q429" t="s">
        <v>10</v>
      </c>
      <c r="R429" t="s">
        <v>22</v>
      </c>
      <c r="T429" t="s">
        <v>1082</v>
      </c>
      <c r="U429" t="s">
        <v>1104</v>
      </c>
      <c r="V429" s="3">
        <v>1</v>
      </c>
      <c r="W429" t="s">
        <v>1145</v>
      </c>
      <c r="X429" s="9">
        <v>80</v>
      </c>
      <c r="Y429" s="9" t="s">
        <v>1065</v>
      </c>
      <c r="Z429" t="s">
        <v>1143</v>
      </c>
    </row>
    <row r="430" spans="1:26">
      <c r="A430">
        <v>429</v>
      </c>
      <c r="B430" t="str">
        <f t="shared" ref="B430:N430" si="113">B429</f>
        <v>RH</v>
      </c>
      <c r="C430" t="str">
        <f t="shared" si="113"/>
        <v>Angie Viviana Enriquez Estrada</v>
      </c>
      <c r="E430">
        <f t="shared" si="113"/>
        <v>75072160</v>
      </c>
      <c r="F430">
        <f t="shared" si="113"/>
        <v>960624525</v>
      </c>
      <c r="G430" t="str">
        <f t="shared" si="113"/>
        <v>RH E001-66</v>
      </c>
      <c r="H430" t="str">
        <f t="shared" si="113"/>
        <v>Piura</v>
      </c>
      <c r="I430" t="str">
        <f t="shared" si="113"/>
        <v>Sullana</v>
      </c>
      <c r="J430" t="str">
        <f t="shared" si="113"/>
        <v>Shalom</v>
      </c>
      <c r="K430" t="str">
        <f t="shared" si="113"/>
        <v>-</v>
      </c>
      <c r="L430" t="str">
        <f t="shared" si="113"/>
        <v>Aplicativo Web</v>
      </c>
      <c r="M430" s="1">
        <f t="shared" si="113"/>
        <v>44897</v>
      </c>
      <c r="N430" t="str">
        <f t="shared" si="113"/>
        <v>Interbank</v>
      </c>
      <c r="O430" s="16">
        <v>160</v>
      </c>
      <c r="P430" t="str">
        <f t="shared" ref="P430:S430" si="114">P429</f>
        <v>Farmacia</v>
      </c>
      <c r="Q430" t="str">
        <f t="shared" si="114"/>
        <v>U</v>
      </c>
      <c r="R430" t="str">
        <f t="shared" si="114"/>
        <v>Sergio</v>
      </c>
      <c r="S430">
        <f t="shared" si="114"/>
        <v>0</v>
      </c>
      <c r="T430" t="s">
        <v>1134</v>
      </c>
      <c r="U430" t="s">
        <v>1115</v>
      </c>
      <c r="V430" s="3">
        <v>80</v>
      </c>
      <c r="W430" t="s">
        <v>1137</v>
      </c>
      <c r="X430" s="9"/>
      <c r="Y430" s="9"/>
      <c r="Z430" t="s">
        <v>1131</v>
      </c>
    </row>
    <row r="431" spans="1:26">
      <c r="A431">
        <v>430</v>
      </c>
      <c r="B431" t="s">
        <v>23</v>
      </c>
      <c r="C431" t="s">
        <v>583</v>
      </c>
      <c r="E431" t="s">
        <v>2</v>
      </c>
      <c r="F431">
        <v>965815272</v>
      </c>
      <c r="G431" t="s">
        <v>2</v>
      </c>
      <c r="H431" t="s">
        <v>4</v>
      </c>
      <c r="I431" t="s">
        <v>90</v>
      </c>
      <c r="J431" t="s">
        <v>2</v>
      </c>
      <c r="K431" t="s">
        <v>155</v>
      </c>
      <c r="L431" t="s">
        <v>268</v>
      </c>
      <c r="M431" s="1">
        <v>44897</v>
      </c>
      <c r="N431" t="s">
        <v>21</v>
      </c>
      <c r="O431">
        <v>220</v>
      </c>
      <c r="P431" t="s">
        <v>30</v>
      </c>
      <c r="Q431" t="s">
        <v>10</v>
      </c>
      <c r="R431" t="s">
        <v>22</v>
      </c>
      <c r="S431" t="s">
        <v>2</v>
      </c>
      <c r="T431" t="s">
        <v>1092</v>
      </c>
      <c r="U431" t="s">
        <v>1100</v>
      </c>
      <c r="V431" s="3" t="s">
        <v>1044</v>
      </c>
      <c r="W431" t="s">
        <v>1146</v>
      </c>
      <c r="X431" s="9">
        <v>10</v>
      </c>
      <c r="Y431" s="9" t="s">
        <v>1069</v>
      </c>
      <c r="Z431" t="s">
        <v>1144</v>
      </c>
    </row>
    <row r="432" spans="1:26">
      <c r="A432">
        <v>431</v>
      </c>
      <c r="B432" t="str">
        <f t="shared" ref="B432:N432" si="115">B431</f>
        <v>No va</v>
      </c>
      <c r="C432" t="str">
        <f t="shared" si="115"/>
        <v xml:space="preserve">Diana </v>
      </c>
      <c r="E432" t="str">
        <f t="shared" si="115"/>
        <v>-</v>
      </c>
      <c r="F432">
        <f t="shared" si="115"/>
        <v>965815272</v>
      </c>
      <c r="G432" t="str">
        <f t="shared" si="115"/>
        <v>-</v>
      </c>
      <c r="H432" t="str">
        <f t="shared" si="115"/>
        <v>Lima</v>
      </c>
      <c r="I432" t="str">
        <f t="shared" si="115"/>
        <v>La victoria</v>
      </c>
      <c r="J432" t="str">
        <f t="shared" si="115"/>
        <v>-</v>
      </c>
      <c r="K432" t="str">
        <f t="shared" si="115"/>
        <v>Gamarra</v>
      </c>
      <c r="L432" t="str">
        <f t="shared" si="115"/>
        <v>Aplicativo Web</v>
      </c>
      <c r="M432" s="1">
        <f t="shared" si="115"/>
        <v>44897</v>
      </c>
      <c r="N432" t="str">
        <f t="shared" si="115"/>
        <v>Efectivo</v>
      </c>
      <c r="O432" s="14">
        <v>20</v>
      </c>
      <c r="P432" t="str">
        <f t="shared" ref="P432:S432" si="116">P431</f>
        <v>Otros</v>
      </c>
      <c r="Q432" t="str">
        <f t="shared" si="116"/>
        <v>U</v>
      </c>
      <c r="R432" t="str">
        <f t="shared" si="116"/>
        <v>Sergio</v>
      </c>
      <c r="S432" t="str">
        <f t="shared" si="116"/>
        <v>-</v>
      </c>
      <c r="T432" t="s">
        <v>1134</v>
      </c>
      <c r="U432" t="s">
        <v>1121</v>
      </c>
      <c r="V432" s="3">
        <f t="shared" ref="V432" si="117">X431</f>
        <v>10</v>
      </c>
      <c r="W432" t="s">
        <v>1137</v>
      </c>
      <c r="X432" s="9"/>
      <c r="Y432" s="9"/>
      <c r="Z432" t="s">
        <v>1131</v>
      </c>
    </row>
    <row r="433" spans="1:26">
      <c r="A433">
        <v>432</v>
      </c>
      <c r="B433" t="s">
        <v>2</v>
      </c>
      <c r="C433" t="s">
        <v>584</v>
      </c>
      <c r="E433" t="s">
        <v>2</v>
      </c>
      <c r="F433">
        <v>993109460</v>
      </c>
      <c r="G433" t="s">
        <v>2</v>
      </c>
      <c r="H433" t="s">
        <v>814</v>
      </c>
      <c r="I433" t="s">
        <v>585</v>
      </c>
      <c r="J433" t="s">
        <v>29</v>
      </c>
      <c r="K433" t="s">
        <v>2</v>
      </c>
      <c r="L433" t="s">
        <v>268</v>
      </c>
      <c r="M433" s="1">
        <v>44901</v>
      </c>
      <c r="N433" t="s">
        <v>8</v>
      </c>
      <c r="O433">
        <v>200</v>
      </c>
      <c r="P433" t="s">
        <v>234</v>
      </c>
      <c r="Q433" t="s">
        <v>10</v>
      </c>
      <c r="R433" t="s">
        <v>22</v>
      </c>
      <c r="S433" t="s">
        <v>2</v>
      </c>
      <c r="T433" t="s">
        <v>1092</v>
      </c>
      <c r="U433" t="s">
        <v>1100</v>
      </c>
      <c r="V433" s="3" t="s">
        <v>1044</v>
      </c>
      <c r="W433" t="s">
        <v>1146</v>
      </c>
      <c r="X433" s="9">
        <v>10</v>
      </c>
      <c r="Y433" s="9" t="s">
        <v>1069</v>
      </c>
      <c r="Z433" t="s">
        <v>1144</v>
      </c>
    </row>
    <row r="434" spans="1:26">
      <c r="A434">
        <v>433</v>
      </c>
      <c r="B434" t="str">
        <f t="shared" ref="B434:N434" si="118">B433</f>
        <v>-</v>
      </c>
      <c r="C434" t="str">
        <f t="shared" si="118"/>
        <v>Julio Anibal Moncada</v>
      </c>
      <c r="E434" t="str">
        <f t="shared" si="118"/>
        <v>-</v>
      </c>
      <c r="F434">
        <f t="shared" si="118"/>
        <v>993109460</v>
      </c>
      <c r="G434" t="str">
        <f t="shared" si="118"/>
        <v>-</v>
      </c>
      <c r="H434" t="str">
        <f t="shared" si="118"/>
        <v>La Libertad</v>
      </c>
      <c r="I434" t="str">
        <f t="shared" si="118"/>
        <v>Pacasmayo</v>
      </c>
      <c r="J434" t="str">
        <f t="shared" si="118"/>
        <v>Shalom</v>
      </c>
      <c r="K434" t="str">
        <f t="shared" si="118"/>
        <v>-</v>
      </c>
      <c r="L434" t="str">
        <f t="shared" si="118"/>
        <v>Aplicativo Web</v>
      </c>
      <c r="M434" s="1">
        <f t="shared" si="118"/>
        <v>44901</v>
      </c>
      <c r="N434" t="str">
        <f t="shared" si="118"/>
        <v>BCP</v>
      </c>
      <c r="O434" s="14">
        <v>20</v>
      </c>
      <c r="P434" t="str">
        <f t="shared" ref="P434:S434" si="119">P433</f>
        <v>Farmacia</v>
      </c>
      <c r="Q434" t="str">
        <f t="shared" si="119"/>
        <v>U</v>
      </c>
      <c r="R434" t="str">
        <f t="shared" si="119"/>
        <v>Sergio</v>
      </c>
      <c r="S434" t="str">
        <f t="shared" si="119"/>
        <v>-</v>
      </c>
      <c r="T434" t="s">
        <v>1134</v>
      </c>
      <c r="U434" t="s">
        <v>1121</v>
      </c>
      <c r="V434" s="3">
        <f t="shared" ref="V434" si="120">X433</f>
        <v>10</v>
      </c>
      <c r="W434" t="s">
        <v>1137</v>
      </c>
      <c r="X434" s="9"/>
      <c r="Y434" s="9"/>
      <c r="Z434" t="s">
        <v>1131</v>
      </c>
    </row>
    <row r="435" spans="1:26">
      <c r="A435">
        <v>434</v>
      </c>
      <c r="B435" t="s">
        <v>12</v>
      </c>
      <c r="C435" t="s">
        <v>340</v>
      </c>
      <c r="E435">
        <v>20606086459</v>
      </c>
      <c r="F435" t="s">
        <v>2</v>
      </c>
      <c r="G435" t="s">
        <v>586</v>
      </c>
      <c r="H435" t="s">
        <v>4</v>
      </c>
      <c r="I435" t="s">
        <v>329</v>
      </c>
      <c r="J435" t="s">
        <v>2</v>
      </c>
      <c r="K435" t="s">
        <v>329</v>
      </c>
      <c r="L435" t="s">
        <v>268</v>
      </c>
      <c r="M435" s="1">
        <v>44901</v>
      </c>
      <c r="N435" t="s">
        <v>8</v>
      </c>
      <c r="O435">
        <v>350</v>
      </c>
      <c r="P435" t="s">
        <v>234</v>
      </c>
      <c r="Q435" t="s">
        <v>31</v>
      </c>
      <c r="R435" t="s">
        <v>22</v>
      </c>
      <c r="S435" t="s">
        <v>2</v>
      </c>
      <c r="T435" t="s">
        <v>1092</v>
      </c>
      <c r="U435" t="s">
        <v>1100</v>
      </c>
      <c r="V435" s="3" t="s">
        <v>1047</v>
      </c>
      <c r="W435" t="s">
        <v>1146</v>
      </c>
      <c r="X435" s="9" t="s">
        <v>2</v>
      </c>
      <c r="Y435" s="9" t="s">
        <v>2</v>
      </c>
      <c r="Z435" t="s">
        <v>1144</v>
      </c>
    </row>
    <row r="436" spans="1:26">
      <c r="A436">
        <v>435</v>
      </c>
      <c r="B436" t="s">
        <v>2</v>
      </c>
      <c r="C436" t="s">
        <v>542</v>
      </c>
      <c r="E436">
        <v>74201265</v>
      </c>
      <c r="F436">
        <v>922475825</v>
      </c>
      <c r="G436" t="s">
        <v>2</v>
      </c>
      <c r="H436" t="s">
        <v>514</v>
      </c>
      <c r="I436" t="s">
        <v>74</v>
      </c>
      <c r="J436" t="s">
        <v>147</v>
      </c>
      <c r="K436" t="s">
        <v>2</v>
      </c>
      <c r="L436" t="s">
        <v>268</v>
      </c>
      <c r="M436" s="1">
        <v>44902</v>
      </c>
      <c r="N436" t="s">
        <v>8</v>
      </c>
      <c r="O436" s="14">
        <v>75</v>
      </c>
      <c r="P436" t="s">
        <v>30</v>
      </c>
      <c r="Q436" t="s">
        <v>10</v>
      </c>
      <c r="R436" t="s">
        <v>11</v>
      </c>
      <c r="S436">
        <v>42</v>
      </c>
      <c r="T436" t="s">
        <v>1151</v>
      </c>
      <c r="U436" t="s">
        <v>1124</v>
      </c>
      <c r="V436" s="3">
        <v>3</v>
      </c>
      <c r="W436" t="s">
        <v>1135</v>
      </c>
      <c r="X436" s="9">
        <v>1</v>
      </c>
      <c r="Y436" s="9" t="s">
        <v>1057</v>
      </c>
      <c r="Z436" t="s">
        <v>1136</v>
      </c>
    </row>
    <row r="437" spans="1:26">
      <c r="A437">
        <v>436</v>
      </c>
      <c r="B437" t="str">
        <f t="shared" ref="B437:N437" si="121">B436</f>
        <v>-</v>
      </c>
      <c r="C437" t="str">
        <f t="shared" si="121"/>
        <v>Jose Brayn Omar Medina Castillo</v>
      </c>
      <c r="E437">
        <f t="shared" si="121"/>
        <v>74201265</v>
      </c>
      <c r="F437">
        <f t="shared" si="121"/>
        <v>922475825</v>
      </c>
      <c r="G437" t="str">
        <f t="shared" si="121"/>
        <v>-</v>
      </c>
      <c r="H437" t="str">
        <f t="shared" si="121"/>
        <v>Piura</v>
      </c>
      <c r="I437" t="s">
        <v>74</v>
      </c>
      <c r="J437" t="str">
        <f t="shared" si="121"/>
        <v>Marvisur</v>
      </c>
      <c r="K437" t="str">
        <f t="shared" si="121"/>
        <v>-</v>
      </c>
      <c r="L437" t="str">
        <f t="shared" si="121"/>
        <v>Aplicativo Web</v>
      </c>
      <c r="M437" s="1">
        <f t="shared" si="121"/>
        <v>44902</v>
      </c>
      <c r="N437" t="str">
        <f t="shared" si="121"/>
        <v>BCP</v>
      </c>
      <c r="O437" s="14">
        <v>25</v>
      </c>
      <c r="P437" t="str">
        <f t="shared" ref="P437:R437" si="122">P436</f>
        <v>Otros</v>
      </c>
      <c r="Q437" t="str">
        <f t="shared" si="122"/>
        <v>U</v>
      </c>
      <c r="R437" t="str">
        <f t="shared" si="122"/>
        <v>Rodrigo</v>
      </c>
      <c r="T437" t="s">
        <v>1151</v>
      </c>
      <c r="U437" t="s">
        <v>1127</v>
      </c>
      <c r="V437" s="3">
        <f t="shared" ref="V437" si="123">X436</f>
        <v>1</v>
      </c>
      <c r="W437" t="s">
        <v>1135</v>
      </c>
      <c r="X437" s="9"/>
      <c r="Y437" s="9"/>
      <c r="Z437" t="s">
        <v>1136</v>
      </c>
    </row>
    <row r="438" spans="1:26">
      <c r="A438">
        <v>437</v>
      </c>
      <c r="B438" t="s">
        <v>12</v>
      </c>
      <c r="C438" t="s">
        <v>587</v>
      </c>
      <c r="D438">
        <v>10429261916</v>
      </c>
      <c r="E438">
        <v>41494782</v>
      </c>
      <c r="F438">
        <v>951070224</v>
      </c>
      <c r="G438" t="s">
        <v>588</v>
      </c>
      <c r="H438" t="s">
        <v>48</v>
      </c>
      <c r="J438" t="s">
        <v>29</v>
      </c>
      <c r="K438" t="s">
        <v>2</v>
      </c>
      <c r="L438" t="s">
        <v>37</v>
      </c>
      <c r="M438" s="1">
        <v>44902</v>
      </c>
      <c r="N438" t="s">
        <v>8</v>
      </c>
      <c r="O438">
        <v>300</v>
      </c>
      <c r="P438" t="s">
        <v>9</v>
      </c>
      <c r="Q438" t="s">
        <v>10</v>
      </c>
      <c r="R438" t="s">
        <v>11</v>
      </c>
      <c r="T438" t="s">
        <v>1082</v>
      </c>
      <c r="U438" t="s">
        <v>1104</v>
      </c>
      <c r="V438" s="3" t="s">
        <v>1044</v>
      </c>
      <c r="W438" t="s">
        <v>1145</v>
      </c>
      <c r="X438" s="9">
        <v>10</v>
      </c>
      <c r="Y438" s="9" t="s">
        <v>1065</v>
      </c>
      <c r="Z438" t="s">
        <v>1143</v>
      </c>
    </row>
    <row r="439" spans="1:26">
      <c r="A439">
        <v>438</v>
      </c>
      <c r="B439" t="s">
        <v>2</v>
      </c>
      <c r="C439" t="s">
        <v>589</v>
      </c>
      <c r="E439">
        <v>48357413</v>
      </c>
      <c r="F439">
        <v>948624123</v>
      </c>
      <c r="G439" t="s">
        <v>2</v>
      </c>
      <c r="H439" t="s">
        <v>423</v>
      </c>
      <c r="J439" t="s">
        <v>147</v>
      </c>
      <c r="K439" t="s">
        <v>2</v>
      </c>
      <c r="L439" t="s">
        <v>268</v>
      </c>
      <c r="M439" s="1">
        <v>44903</v>
      </c>
      <c r="N439" t="s">
        <v>56</v>
      </c>
      <c r="O439">
        <v>420</v>
      </c>
      <c r="P439" t="s">
        <v>30</v>
      </c>
      <c r="Q439" t="s">
        <v>10</v>
      </c>
      <c r="R439" t="s">
        <v>22</v>
      </c>
      <c r="T439" t="s">
        <v>1092</v>
      </c>
      <c r="U439" t="s">
        <v>1105</v>
      </c>
      <c r="V439" s="3" t="s">
        <v>1044</v>
      </c>
      <c r="W439" t="s">
        <v>1148</v>
      </c>
      <c r="X439" s="9">
        <v>5</v>
      </c>
      <c r="Y439" s="9" t="s">
        <v>1057</v>
      </c>
      <c r="Z439" t="s">
        <v>1149</v>
      </c>
    </row>
    <row r="440" spans="1:26">
      <c r="A440">
        <v>439</v>
      </c>
      <c r="B440" t="str">
        <f t="shared" ref="B440:N440" si="124">B439</f>
        <v>-</v>
      </c>
      <c r="C440" t="str">
        <f t="shared" si="124"/>
        <v>Julio Cesar Mori Gonzales</v>
      </c>
      <c r="E440">
        <f t="shared" si="124"/>
        <v>48357413</v>
      </c>
      <c r="F440">
        <f t="shared" si="124"/>
        <v>948624123</v>
      </c>
      <c r="G440" t="str">
        <f t="shared" si="124"/>
        <v>-</v>
      </c>
      <c r="H440" t="str">
        <f t="shared" si="124"/>
        <v>San Martin</v>
      </c>
      <c r="J440" t="str">
        <f t="shared" si="124"/>
        <v>Marvisur</v>
      </c>
      <c r="K440" t="str">
        <f t="shared" si="124"/>
        <v>-</v>
      </c>
      <c r="L440" t="str">
        <f t="shared" si="124"/>
        <v>Aplicativo Web</v>
      </c>
      <c r="M440" s="1">
        <f t="shared" si="124"/>
        <v>44903</v>
      </c>
      <c r="N440" t="str">
        <f t="shared" si="124"/>
        <v>Interbank</v>
      </c>
      <c r="O440" s="14">
        <v>180</v>
      </c>
      <c r="P440" t="str">
        <f t="shared" ref="P440:R440" si="125">P439</f>
        <v>Otros</v>
      </c>
      <c r="Q440" t="str">
        <f t="shared" si="125"/>
        <v>U</v>
      </c>
      <c r="R440" t="str">
        <f t="shared" si="125"/>
        <v>Sergio</v>
      </c>
      <c r="T440" t="s">
        <v>1151</v>
      </c>
      <c r="U440" t="s">
        <v>1127</v>
      </c>
      <c r="V440" s="3">
        <f t="shared" ref="V440" si="126">X439</f>
        <v>5</v>
      </c>
      <c r="W440" t="s">
        <v>1135</v>
      </c>
      <c r="X440" s="9"/>
      <c r="Y440" s="9"/>
      <c r="Z440" t="s">
        <v>1136</v>
      </c>
    </row>
    <row r="441" spans="1:26">
      <c r="A441">
        <v>440</v>
      </c>
      <c r="B441" t="s">
        <v>12</v>
      </c>
      <c r="C441" t="s">
        <v>590</v>
      </c>
      <c r="D441">
        <v>20606965571</v>
      </c>
      <c r="E441" t="s">
        <v>2</v>
      </c>
      <c r="F441">
        <v>940192389</v>
      </c>
      <c r="G441" t="s">
        <v>591</v>
      </c>
      <c r="H441" t="s">
        <v>4</v>
      </c>
      <c r="I441" t="s">
        <v>547</v>
      </c>
      <c r="J441" t="s">
        <v>2</v>
      </c>
      <c r="K441" t="s">
        <v>547</v>
      </c>
      <c r="L441" t="s">
        <v>268</v>
      </c>
      <c r="M441" s="1">
        <v>44905</v>
      </c>
      <c r="N441" t="s">
        <v>8</v>
      </c>
      <c r="O441">
        <v>220</v>
      </c>
      <c r="P441" t="s">
        <v>30</v>
      </c>
      <c r="Q441" t="s">
        <v>10</v>
      </c>
      <c r="R441" t="s">
        <v>22</v>
      </c>
      <c r="T441" t="s">
        <v>1092</v>
      </c>
      <c r="U441" t="s">
        <v>1100</v>
      </c>
      <c r="V441" s="3" t="s">
        <v>1044</v>
      </c>
      <c r="W441" t="s">
        <v>1146</v>
      </c>
      <c r="X441" s="9" t="s">
        <v>2</v>
      </c>
      <c r="Y441" s="9" t="s">
        <v>2</v>
      </c>
      <c r="Z441" t="s">
        <v>1144</v>
      </c>
    </row>
    <row r="442" spans="1:26">
      <c r="A442">
        <v>441</v>
      </c>
      <c r="B442" t="s">
        <v>2</v>
      </c>
      <c r="C442" t="s">
        <v>592</v>
      </c>
      <c r="E442" t="s">
        <v>2</v>
      </c>
      <c r="F442">
        <v>993400767</v>
      </c>
      <c r="G442" t="s">
        <v>2</v>
      </c>
      <c r="H442" t="s">
        <v>4</v>
      </c>
      <c r="I442" t="s">
        <v>169</v>
      </c>
      <c r="J442" t="s">
        <v>2</v>
      </c>
      <c r="K442" t="s">
        <v>593</v>
      </c>
      <c r="L442" t="s">
        <v>268</v>
      </c>
      <c r="M442" s="1">
        <v>44907</v>
      </c>
      <c r="N442" t="s">
        <v>8</v>
      </c>
      <c r="O442">
        <v>360</v>
      </c>
      <c r="P442" t="s">
        <v>9</v>
      </c>
      <c r="Q442" t="s">
        <v>31</v>
      </c>
      <c r="R442" t="s">
        <v>11</v>
      </c>
      <c r="T442" t="s">
        <v>1092</v>
      </c>
      <c r="U442" t="s">
        <v>1100</v>
      </c>
      <c r="V442" s="3" t="s">
        <v>1047</v>
      </c>
      <c r="W442" t="s">
        <v>1146</v>
      </c>
      <c r="X442" s="9">
        <v>30</v>
      </c>
      <c r="Y442" s="9" t="s">
        <v>1068</v>
      </c>
      <c r="Z442" t="s">
        <v>1144</v>
      </c>
    </row>
    <row r="443" spans="1:26">
      <c r="A443">
        <v>442</v>
      </c>
      <c r="B443" t="str">
        <f t="shared" ref="B443:N443" si="127">B442</f>
        <v>-</v>
      </c>
      <c r="C443" t="str">
        <f t="shared" si="127"/>
        <v>Claudia</v>
      </c>
      <c r="E443" t="str">
        <f t="shared" si="127"/>
        <v>-</v>
      </c>
      <c r="F443">
        <f t="shared" si="127"/>
        <v>993400767</v>
      </c>
      <c r="G443" t="str">
        <f t="shared" si="127"/>
        <v>-</v>
      </c>
      <c r="H443" t="str">
        <f t="shared" si="127"/>
        <v>Lima</v>
      </c>
      <c r="I443" t="str">
        <f t="shared" si="127"/>
        <v>Surco</v>
      </c>
      <c r="J443" t="str">
        <f t="shared" si="127"/>
        <v>-</v>
      </c>
      <c r="K443" t="str">
        <f t="shared" si="127"/>
        <v>Santiago de Surco</v>
      </c>
      <c r="L443" t="str">
        <f t="shared" si="127"/>
        <v>Aplicativo Web</v>
      </c>
      <c r="M443" s="1">
        <f t="shared" si="127"/>
        <v>44907</v>
      </c>
      <c r="N443" t="str">
        <f t="shared" si="127"/>
        <v>BCP</v>
      </c>
      <c r="O443" s="14">
        <v>10</v>
      </c>
      <c r="P443" t="str">
        <f t="shared" ref="P443:R443" si="128">P442</f>
        <v>Restaurante</v>
      </c>
      <c r="Q443" t="str">
        <f t="shared" si="128"/>
        <v>M</v>
      </c>
      <c r="R443" t="str">
        <f t="shared" si="128"/>
        <v>Rodrigo</v>
      </c>
      <c r="T443" t="s">
        <v>1134</v>
      </c>
      <c r="U443" t="s">
        <v>1116</v>
      </c>
      <c r="V443" s="3">
        <v>5</v>
      </c>
      <c r="W443" t="s">
        <v>1137</v>
      </c>
      <c r="X443" s="9"/>
      <c r="Y443" s="9"/>
      <c r="Z443" t="s">
        <v>1131</v>
      </c>
    </row>
    <row r="444" spans="1:26">
      <c r="A444">
        <v>443</v>
      </c>
      <c r="B444" t="s">
        <v>12</v>
      </c>
      <c r="C444" t="s">
        <v>594</v>
      </c>
      <c r="D444">
        <v>20603952406</v>
      </c>
      <c r="E444" t="s">
        <v>2</v>
      </c>
      <c r="F444">
        <v>995737871</v>
      </c>
      <c r="G444" t="s">
        <v>595</v>
      </c>
      <c r="H444" t="s">
        <v>4</v>
      </c>
      <c r="I444" t="s">
        <v>183</v>
      </c>
      <c r="J444" t="s">
        <v>2</v>
      </c>
      <c r="K444" t="s">
        <v>596</v>
      </c>
      <c r="L444" t="s">
        <v>268</v>
      </c>
      <c r="M444" s="1">
        <v>44907</v>
      </c>
      <c r="N444" t="s">
        <v>21</v>
      </c>
      <c r="O444" s="2">
        <f>580-O445-O446</f>
        <v>450</v>
      </c>
      <c r="P444" t="s">
        <v>9</v>
      </c>
      <c r="Q444" t="s">
        <v>10</v>
      </c>
      <c r="R444" t="s">
        <v>22</v>
      </c>
      <c r="T444" t="s">
        <v>1092</v>
      </c>
      <c r="U444" t="s">
        <v>1105</v>
      </c>
      <c r="V444" s="3" t="s">
        <v>1044</v>
      </c>
      <c r="W444" t="s">
        <v>1148</v>
      </c>
      <c r="Z444" t="s">
        <v>1149</v>
      </c>
    </row>
    <row r="445" spans="1:26">
      <c r="A445">
        <v>444</v>
      </c>
      <c r="B445" t="s">
        <v>12</v>
      </c>
      <c r="C445" t="s">
        <v>594</v>
      </c>
      <c r="D445">
        <v>20603952406</v>
      </c>
      <c r="E445" t="s">
        <v>2</v>
      </c>
      <c r="F445">
        <v>995737871</v>
      </c>
      <c r="G445" t="s">
        <v>595</v>
      </c>
      <c r="H445" t="s">
        <v>4</v>
      </c>
      <c r="I445" t="s">
        <v>183</v>
      </c>
      <c r="J445" t="s">
        <v>2</v>
      </c>
      <c r="K445" t="s">
        <v>596</v>
      </c>
      <c r="L445" t="s">
        <v>268</v>
      </c>
      <c r="M445" s="1">
        <v>44907</v>
      </c>
      <c r="N445" t="s">
        <v>21</v>
      </c>
      <c r="O445" s="16">
        <v>50</v>
      </c>
      <c r="P445" t="s">
        <v>9</v>
      </c>
      <c r="Q445" t="s">
        <v>10</v>
      </c>
      <c r="R445" t="s">
        <v>22</v>
      </c>
      <c r="T445" t="s">
        <v>1134</v>
      </c>
      <c r="U445" t="s">
        <v>1115</v>
      </c>
      <c r="V445">
        <v>20</v>
      </c>
      <c r="W445" t="s">
        <v>1137</v>
      </c>
      <c r="Z445" t="s">
        <v>1131</v>
      </c>
    </row>
    <row r="446" spans="1:26">
      <c r="A446">
        <v>445</v>
      </c>
      <c r="B446" t="s">
        <v>12</v>
      </c>
      <c r="C446" t="s">
        <v>594</v>
      </c>
      <c r="D446">
        <v>20603952406</v>
      </c>
      <c r="E446" t="s">
        <v>2</v>
      </c>
      <c r="F446">
        <v>995737871</v>
      </c>
      <c r="G446" t="s">
        <v>595</v>
      </c>
      <c r="H446" t="s">
        <v>4</v>
      </c>
      <c r="I446" t="s">
        <v>183</v>
      </c>
      <c r="J446" t="s">
        <v>2</v>
      </c>
      <c r="K446" t="s">
        <v>596</v>
      </c>
      <c r="L446" t="s">
        <v>268</v>
      </c>
      <c r="M446" s="1">
        <v>44907</v>
      </c>
      <c r="N446" t="s">
        <v>21</v>
      </c>
      <c r="O446" s="14">
        <v>80</v>
      </c>
      <c r="P446" t="s">
        <v>9</v>
      </c>
      <c r="Q446" t="s">
        <v>10</v>
      </c>
      <c r="R446" t="s">
        <v>22</v>
      </c>
      <c r="T446" t="s">
        <v>1151</v>
      </c>
      <c r="U446" t="s">
        <v>1127</v>
      </c>
      <c r="V446">
        <v>3</v>
      </c>
      <c r="W446" t="s">
        <v>1135</v>
      </c>
      <c r="Z446" t="s">
        <v>1136</v>
      </c>
    </row>
    <row r="447" spans="1:26">
      <c r="A447">
        <v>446</v>
      </c>
      <c r="B447" t="s">
        <v>12</v>
      </c>
      <c r="C447" t="s">
        <v>597</v>
      </c>
      <c r="D447">
        <v>20600049837</v>
      </c>
      <c r="E447" t="s">
        <v>2</v>
      </c>
      <c r="F447">
        <v>991031485</v>
      </c>
      <c r="G447" t="s">
        <v>598</v>
      </c>
      <c r="H447" t="s">
        <v>4</v>
      </c>
      <c r="I447" t="s">
        <v>478</v>
      </c>
      <c r="J447" t="s">
        <v>2</v>
      </c>
      <c r="K447" t="s">
        <v>478</v>
      </c>
      <c r="L447" t="s">
        <v>268</v>
      </c>
      <c r="M447" s="1">
        <v>44907</v>
      </c>
      <c r="N447" t="s">
        <v>56</v>
      </c>
      <c r="O447">
        <v>430</v>
      </c>
      <c r="P447" t="s">
        <v>541</v>
      </c>
      <c r="Q447" t="s">
        <v>10</v>
      </c>
      <c r="R447" t="s">
        <v>22</v>
      </c>
      <c r="T447" t="s">
        <v>1092</v>
      </c>
      <c r="U447" t="s">
        <v>1095</v>
      </c>
      <c r="V447" s="3">
        <v>1</v>
      </c>
      <c r="W447" t="s">
        <v>1145</v>
      </c>
      <c r="X447" t="s">
        <v>2</v>
      </c>
      <c r="Y447" t="s">
        <v>2</v>
      </c>
      <c r="Z447" t="s">
        <v>1143</v>
      </c>
    </row>
    <row r="448" spans="1:26">
      <c r="A448">
        <v>447</v>
      </c>
      <c r="B448" t="s">
        <v>12</v>
      </c>
      <c r="C448" t="s">
        <v>340</v>
      </c>
      <c r="E448">
        <v>20606086459</v>
      </c>
      <c r="F448" t="s">
        <v>2</v>
      </c>
      <c r="G448" t="s">
        <v>599</v>
      </c>
      <c r="H448" t="s">
        <v>4</v>
      </c>
      <c r="J448" t="s">
        <v>2</v>
      </c>
      <c r="K448" t="s">
        <v>329</v>
      </c>
      <c r="L448" t="s">
        <v>37</v>
      </c>
      <c r="M448" s="1">
        <v>44908</v>
      </c>
      <c r="N448" t="s">
        <v>8</v>
      </c>
      <c r="O448" s="2">
        <v>1050</v>
      </c>
      <c r="P448" t="s">
        <v>101</v>
      </c>
      <c r="Q448" t="s">
        <v>31</v>
      </c>
      <c r="R448" t="s">
        <v>315</v>
      </c>
      <c r="T448" t="s">
        <v>1092</v>
      </c>
      <c r="U448" t="s">
        <v>1100</v>
      </c>
      <c r="V448" s="3" t="s">
        <v>1050</v>
      </c>
      <c r="W448" t="s">
        <v>1146</v>
      </c>
      <c r="X448" t="s">
        <v>2</v>
      </c>
      <c r="Y448" t="s">
        <v>2</v>
      </c>
      <c r="Z448" t="s">
        <v>1144</v>
      </c>
    </row>
    <row r="449" spans="1:26" s="18" customFormat="1">
      <c r="A449">
        <v>448</v>
      </c>
      <c r="B449" s="18" t="s">
        <v>12</v>
      </c>
      <c r="C449" s="18" t="s">
        <v>559</v>
      </c>
      <c r="E449" s="18">
        <v>20553732647</v>
      </c>
      <c r="F449" s="18">
        <v>918346106</v>
      </c>
      <c r="G449" s="18" t="s">
        <v>600</v>
      </c>
      <c r="H449" s="18" t="s">
        <v>4</v>
      </c>
      <c r="I449" s="18" t="s">
        <v>420</v>
      </c>
      <c r="J449" s="18" t="s">
        <v>2</v>
      </c>
      <c r="K449" s="18" t="s">
        <v>420</v>
      </c>
      <c r="L449" s="18" t="s">
        <v>37</v>
      </c>
      <c r="M449" s="21">
        <v>44908</v>
      </c>
      <c r="N449" s="18" t="s">
        <v>8</v>
      </c>
      <c r="O449" s="25">
        <v>400</v>
      </c>
      <c r="P449" s="18" t="s">
        <v>52</v>
      </c>
      <c r="Q449" s="18" t="s">
        <v>10</v>
      </c>
      <c r="R449" s="18" t="s">
        <v>11</v>
      </c>
      <c r="T449" s="18" t="s">
        <v>1092</v>
      </c>
      <c r="U449" s="18" t="s">
        <v>1105</v>
      </c>
      <c r="V449" s="23" t="s">
        <v>1044</v>
      </c>
      <c r="W449" s="18" t="s">
        <v>1148</v>
      </c>
      <c r="Z449" s="18" t="s">
        <v>1149</v>
      </c>
    </row>
    <row r="450" spans="1:26" s="18" customFormat="1">
      <c r="A450">
        <v>449</v>
      </c>
      <c r="B450" s="18" t="s">
        <v>12</v>
      </c>
      <c r="C450" s="18" t="s">
        <v>559</v>
      </c>
      <c r="E450" s="18">
        <v>20553732647</v>
      </c>
      <c r="F450" s="18">
        <v>918346106</v>
      </c>
      <c r="G450" s="18" t="s">
        <v>600</v>
      </c>
      <c r="H450" s="18" t="s">
        <v>4</v>
      </c>
      <c r="I450" s="18" t="s">
        <v>420</v>
      </c>
      <c r="J450" s="18" t="s">
        <v>2</v>
      </c>
      <c r="K450" s="18" t="s">
        <v>420</v>
      </c>
      <c r="L450" s="18" t="s">
        <v>37</v>
      </c>
      <c r="M450" s="21">
        <v>44908</v>
      </c>
      <c r="N450" s="18" t="s">
        <v>8</v>
      </c>
      <c r="O450" s="24">
        <v>255</v>
      </c>
      <c r="P450" s="18" t="s">
        <v>52</v>
      </c>
      <c r="Q450" s="18" t="s">
        <v>10</v>
      </c>
      <c r="R450" s="18" t="s">
        <v>11</v>
      </c>
      <c r="T450" s="18" t="s">
        <v>1107</v>
      </c>
      <c r="U450" s="18" t="s">
        <v>1107</v>
      </c>
      <c r="V450" s="18">
        <v>1</v>
      </c>
      <c r="W450" s="18" t="s">
        <v>1140</v>
      </c>
      <c r="Z450" s="18" t="s">
        <v>1138</v>
      </c>
    </row>
    <row r="451" spans="1:26" s="18" customFormat="1">
      <c r="A451">
        <v>450</v>
      </c>
      <c r="B451" s="18" t="s">
        <v>12</v>
      </c>
      <c r="C451" s="18" t="s">
        <v>559</v>
      </c>
      <c r="E451" s="18">
        <v>20553732647</v>
      </c>
      <c r="F451" s="18">
        <v>918346106</v>
      </c>
      <c r="G451" s="18" t="s">
        <v>600</v>
      </c>
      <c r="H451" s="18" t="s">
        <v>4</v>
      </c>
      <c r="I451" s="18" t="s">
        <v>420</v>
      </c>
      <c r="J451" s="18" t="s">
        <v>2</v>
      </c>
      <c r="K451" s="18" t="s">
        <v>420</v>
      </c>
      <c r="L451" s="18" t="s">
        <v>37</v>
      </c>
      <c r="M451" s="21">
        <v>44909</v>
      </c>
      <c r="N451" s="18" t="s">
        <v>8</v>
      </c>
      <c r="O451" s="25">
        <f>1225-O452-O453-O454</f>
        <v>470</v>
      </c>
      <c r="P451" s="18" t="s">
        <v>30</v>
      </c>
      <c r="Q451" s="18" t="s">
        <v>10</v>
      </c>
      <c r="R451" s="18" t="s">
        <v>11</v>
      </c>
      <c r="T451" s="18" t="s">
        <v>1092</v>
      </c>
      <c r="U451" s="18" t="s">
        <v>1105</v>
      </c>
      <c r="V451" s="23" t="s">
        <v>1044</v>
      </c>
      <c r="W451" s="18" t="s">
        <v>1148</v>
      </c>
      <c r="Z451" s="18" t="s">
        <v>1149</v>
      </c>
    </row>
    <row r="452" spans="1:26" s="18" customFormat="1">
      <c r="A452">
        <v>451</v>
      </c>
      <c r="B452" s="18" t="s">
        <v>12</v>
      </c>
      <c r="C452" s="18" t="s">
        <v>559</v>
      </c>
      <c r="E452" s="18">
        <v>20553732647</v>
      </c>
      <c r="F452" s="18">
        <v>918346106</v>
      </c>
      <c r="G452" s="18" t="s">
        <v>600</v>
      </c>
      <c r="H452" s="18" t="s">
        <v>4</v>
      </c>
      <c r="I452" s="18" t="s">
        <v>420</v>
      </c>
      <c r="J452" s="18" t="s">
        <v>2</v>
      </c>
      <c r="K452" s="18" t="s">
        <v>420</v>
      </c>
      <c r="L452" s="18" t="s">
        <v>37</v>
      </c>
      <c r="M452" s="21">
        <v>44909</v>
      </c>
      <c r="N452" s="18" t="s">
        <v>8</v>
      </c>
      <c r="O452" s="24">
        <v>350</v>
      </c>
      <c r="P452" s="18" t="s">
        <v>30</v>
      </c>
      <c r="Q452" s="18" t="s">
        <v>10</v>
      </c>
      <c r="R452" s="18" t="s">
        <v>11</v>
      </c>
      <c r="T452" s="18" t="s">
        <v>1108</v>
      </c>
      <c r="U452" s="18" t="s">
        <v>1108</v>
      </c>
      <c r="V452" s="18">
        <v>1</v>
      </c>
      <c r="W452" s="18" t="s">
        <v>1139</v>
      </c>
      <c r="Z452" s="18" t="s">
        <v>1138</v>
      </c>
    </row>
    <row r="453" spans="1:26" s="18" customFormat="1">
      <c r="A453">
        <v>452</v>
      </c>
      <c r="B453" s="18" t="s">
        <v>12</v>
      </c>
      <c r="C453" s="18" t="s">
        <v>559</v>
      </c>
      <c r="E453" s="18">
        <v>20553732647</v>
      </c>
      <c r="F453" s="18">
        <v>918346106</v>
      </c>
      <c r="G453" s="18" t="s">
        <v>600</v>
      </c>
      <c r="H453" s="18" t="s">
        <v>4</v>
      </c>
      <c r="I453" s="18" t="s">
        <v>420</v>
      </c>
      <c r="J453" s="18" t="s">
        <v>2</v>
      </c>
      <c r="K453" s="18" t="s">
        <v>420</v>
      </c>
      <c r="L453" s="18" t="s">
        <v>37</v>
      </c>
      <c r="M453" s="21">
        <v>44909</v>
      </c>
      <c r="N453" s="18" t="s">
        <v>8</v>
      </c>
      <c r="O453" s="19">
        <v>25</v>
      </c>
      <c r="P453" s="18" t="s">
        <v>30</v>
      </c>
      <c r="Q453" s="18" t="s">
        <v>10</v>
      </c>
      <c r="R453" s="18" t="s">
        <v>11</v>
      </c>
      <c r="T453" s="18" t="s">
        <v>1133</v>
      </c>
      <c r="U453" s="18" t="s">
        <v>1114</v>
      </c>
      <c r="V453" s="18">
        <v>10</v>
      </c>
      <c r="W453" s="18" t="s">
        <v>1132</v>
      </c>
      <c r="Z453" s="18" t="s">
        <v>1131</v>
      </c>
    </row>
    <row r="454" spans="1:26" s="18" customFormat="1">
      <c r="A454">
        <v>453</v>
      </c>
      <c r="B454" s="18" t="s">
        <v>12</v>
      </c>
      <c r="C454" s="18" t="s">
        <v>559</v>
      </c>
      <c r="E454" s="18">
        <v>20553732647</v>
      </c>
      <c r="F454" s="18">
        <v>918346106</v>
      </c>
      <c r="G454" s="18" t="s">
        <v>600</v>
      </c>
      <c r="H454" s="18" t="s">
        <v>4</v>
      </c>
      <c r="I454" s="18" t="s">
        <v>420</v>
      </c>
      <c r="J454" s="18" t="s">
        <v>2</v>
      </c>
      <c r="K454" s="18" t="s">
        <v>420</v>
      </c>
      <c r="L454" s="18" t="s">
        <v>37</v>
      </c>
      <c r="M454" s="21">
        <v>44909</v>
      </c>
      <c r="N454" s="18" t="s">
        <v>8</v>
      </c>
      <c r="O454" s="30">
        <f>19*20</f>
        <v>380</v>
      </c>
      <c r="P454" s="18" t="s">
        <v>30</v>
      </c>
      <c r="Q454" s="18" t="s">
        <v>10</v>
      </c>
      <c r="R454" s="18" t="s">
        <v>11</v>
      </c>
      <c r="T454" s="18" t="s">
        <v>1151</v>
      </c>
      <c r="U454" s="18" t="s">
        <v>1127</v>
      </c>
      <c r="V454" s="18">
        <v>19</v>
      </c>
      <c r="W454" s="18" t="s">
        <v>1135</v>
      </c>
      <c r="X454" s="29"/>
      <c r="Y454" s="29"/>
      <c r="Z454" s="18" t="s">
        <v>1136</v>
      </c>
    </row>
    <row r="455" spans="1:26">
      <c r="A455">
        <v>454</v>
      </c>
      <c r="B455" t="s">
        <v>12</v>
      </c>
      <c r="C455" t="s">
        <v>601</v>
      </c>
      <c r="E455">
        <v>20610075691</v>
      </c>
      <c r="F455" t="s">
        <v>2</v>
      </c>
      <c r="G455" t="s">
        <v>602</v>
      </c>
      <c r="H455" t="s">
        <v>4</v>
      </c>
      <c r="I455" t="s">
        <v>420</v>
      </c>
      <c r="J455" t="s">
        <v>2</v>
      </c>
      <c r="K455" t="s">
        <v>420</v>
      </c>
      <c r="L455" t="s">
        <v>37</v>
      </c>
      <c r="M455" s="1">
        <v>44909</v>
      </c>
      <c r="N455" t="s">
        <v>21</v>
      </c>
      <c r="O455">
        <v>340</v>
      </c>
      <c r="P455" t="s">
        <v>234</v>
      </c>
      <c r="Q455" t="s">
        <v>10</v>
      </c>
      <c r="R455" t="s">
        <v>22</v>
      </c>
      <c r="T455" t="s">
        <v>1082</v>
      </c>
      <c r="U455" t="s">
        <v>1104</v>
      </c>
      <c r="V455" s="3" t="s">
        <v>1044</v>
      </c>
      <c r="W455" t="s">
        <v>1145</v>
      </c>
      <c r="X455" s="9">
        <v>20</v>
      </c>
      <c r="Y455" s="9" t="s">
        <v>1056</v>
      </c>
      <c r="Z455" t="s">
        <v>1143</v>
      </c>
    </row>
    <row r="456" spans="1:26">
      <c r="A456">
        <v>455</v>
      </c>
      <c r="B456" t="str">
        <f t="shared" ref="B456:R456" si="129">B455</f>
        <v>FT</v>
      </c>
      <c r="C456" t="str">
        <f t="shared" si="129"/>
        <v>LIZZY'S &amp; XOANA'S FASHION EIRL</v>
      </c>
      <c r="E456">
        <f t="shared" si="129"/>
        <v>20610075691</v>
      </c>
      <c r="F456" t="str">
        <f t="shared" si="129"/>
        <v>-</v>
      </c>
      <c r="G456" t="str">
        <f t="shared" si="129"/>
        <v>FT F001-49</v>
      </c>
      <c r="H456" t="str">
        <f t="shared" si="129"/>
        <v>Lima</v>
      </c>
      <c r="I456" t="str">
        <f t="shared" si="129"/>
        <v>Centro de Lima</v>
      </c>
      <c r="J456" t="str">
        <f t="shared" si="129"/>
        <v>-</v>
      </c>
      <c r="K456" t="str">
        <f t="shared" si="129"/>
        <v>Centro de Lima</v>
      </c>
      <c r="L456" t="str">
        <f t="shared" si="129"/>
        <v>Redes sociales</v>
      </c>
      <c r="M456" s="1">
        <f t="shared" si="129"/>
        <v>44909</v>
      </c>
      <c r="N456" t="str">
        <f t="shared" si="129"/>
        <v>Efectivo</v>
      </c>
      <c r="O456" s="16">
        <f>25*(V456/10)</f>
        <v>50</v>
      </c>
      <c r="P456" t="str">
        <f t="shared" si="129"/>
        <v>Farmacia</v>
      </c>
      <c r="Q456" t="str">
        <f t="shared" si="129"/>
        <v>U</v>
      </c>
      <c r="R456" t="str">
        <f t="shared" si="129"/>
        <v>Sergio</v>
      </c>
      <c r="T456" t="s">
        <v>1134</v>
      </c>
      <c r="U456" t="s">
        <v>1115</v>
      </c>
      <c r="V456" s="3">
        <f t="shared" ref="V456" si="130">X455</f>
        <v>20</v>
      </c>
      <c r="W456" t="s">
        <v>1137</v>
      </c>
      <c r="X456" s="9"/>
      <c r="Y456" s="9"/>
      <c r="Z456" t="s">
        <v>1131</v>
      </c>
    </row>
    <row r="457" spans="1:26">
      <c r="A457">
        <v>456</v>
      </c>
      <c r="B457" t="s">
        <v>12</v>
      </c>
      <c r="C457" t="s">
        <v>603</v>
      </c>
      <c r="D457">
        <v>10153844297</v>
      </c>
      <c r="E457">
        <v>15384429</v>
      </c>
      <c r="F457">
        <v>955274572</v>
      </c>
      <c r="G457" t="s">
        <v>604</v>
      </c>
      <c r="H457" t="s">
        <v>65</v>
      </c>
      <c r="J457" t="s">
        <v>29</v>
      </c>
      <c r="K457" t="s">
        <v>2</v>
      </c>
      <c r="L457" t="s">
        <v>37</v>
      </c>
      <c r="M457" s="1">
        <v>44909</v>
      </c>
      <c r="N457" t="s">
        <v>8</v>
      </c>
      <c r="O457">
        <v>330</v>
      </c>
      <c r="P457" t="s">
        <v>30</v>
      </c>
      <c r="Q457" t="s">
        <v>10</v>
      </c>
      <c r="R457" t="s">
        <v>11</v>
      </c>
      <c r="T457" t="s">
        <v>1092</v>
      </c>
      <c r="U457" t="s">
        <v>1101</v>
      </c>
      <c r="V457" s="3" t="s">
        <v>1044</v>
      </c>
      <c r="W457" t="s">
        <v>1146</v>
      </c>
      <c r="X457" s="9">
        <v>10</v>
      </c>
      <c r="Y457" s="9" t="s">
        <v>1056</v>
      </c>
      <c r="Z457" t="s">
        <v>1143</v>
      </c>
    </row>
    <row r="458" spans="1:26">
      <c r="A458">
        <v>457</v>
      </c>
      <c r="B458" t="s">
        <v>2</v>
      </c>
      <c r="C458" t="s">
        <v>605</v>
      </c>
      <c r="E458" t="s">
        <v>2</v>
      </c>
      <c r="F458" t="s">
        <v>2</v>
      </c>
      <c r="G458" t="s">
        <v>2</v>
      </c>
      <c r="H458" t="s">
        <v>4</v>
      </c>
      <c r="I458" t="s">
        <v>420</v>
      </c>
      <c r="J458" t="s">
        <v>2</v>
      </c>
      <c r="K458" t="s">
        <v>420</v>
      </c>
      <c r="L458" t="s">
        <v>37</v>
      </c>
      <c r="M458" s="1">
        <v>44910</v>
      </c>
      <c r="N458" t="s">
        <v>8</v>
      </c>
      <c r="O458">
        <v>230</v>
      </c>
      <c r="P458" t="s">
        <v>234</v>
      </c>
      <c r="Q458" t="s">
        <v>10</v>
      </c>
      <c r="R458" t="s">
        <v>22</v>
      </c>
      <c r="T458" t="s">
        <v>1092</v>
      </c>
      <c r="U458" t="s">
        <v>1100</v>
      </c>
      <c r="V458" s="3" t="s">
        <v>1044</v>
      </c>
      <c r="W458" t="s">
        <v>1146</v>
      </c>
      <c r="X458" s="9">
        <v>10</v>
      </c>
      <c r="Y458" s="9" t="s">
        <v>1068</v>
      </c>
      <c r="Z458" t="s">
        <v>1144</v>
      </c>
    </row>
    <row r="459" spans="1:26">
      <c r="A459">
        <v>458</v>
      </c>
      <c r="B459" t="str">
        <f t="shared" ref="B459:R459" si="131">B458</f>
        <v>-</v>
      </c>
      <c r="C459" t="str">
        <f t="shared" si="131"/>
        <v>Jose Apaza</v>
      </c>
      <c r="E459" t="str">
        <f t="shared" si="131"/>
        <v>-</v>
      </c>
      <c r="F459" t="str">
        <f t="shared" si="131"/>
        <v>-</v>
      </c>
      <c r="G459" t="str">
        <f t="shared" si="131"/>
        <v>-</v>
      </c>
      <c r="H459" t="str">
        <f t="shared" si="131"/>
        <v>Lima</v>
      </c>
      <c r="I459" t="str">
        <f t="shared" si="131"/>
        <v>Centro de Lima</v>
      </c>
      <c r="J459" t="str">
        <f t="shared" si="131"/>
        <v>-</v>
      </c>
      <c r="K459" t="str">
        <f t="shared" si="131"/>
        <v>Centro de Lima</v>
      </c>
      <c r="L459" t="str">
        <f t="shared" si="131"/>
        <v>Redes sociales</v>
      </c>
      <c r="M459" s="1">
        <f t="shared" si="131"/>
        <v>44910</v>
      </c>
      <c r="N459" t="str">
        <f t="shared" si="131"/>
        <v>BCP</v>
      </c>
      <c r="O459" s="14">
        <v>15</v>
      </c>
      <c r="P459" t="str">
        <f t="shared" si="131"/>
        <v>Farmacia</v>
      </c>
      <c r="Q459" t="str">
        <f t="shared" si="131"/>
        <v>U</v>
      </c>
      <c r="R459" t="str">
        <f t="shared" si="131"/>
        <v>Sergio</v>
      </c>
      <c r="T459" t="s">
        <v>1134</v>
      </c>
      <c r="U459" t="s">
        <v>1116</v>
      </c>
      <c r="V459" s="3">
        <f>X458</f>
        <v>10</v>
      </c>
      <c r="W459" t="s">
        <v>1137</v>
      </c>
      <c r="X459" s="9"/>
      <c r="Y459" s="9"/>
      <c r="Z459" t="s">
        <v>1131</v>
      </c>
    </row>
    <row r="460" spans="1:26">
      <c r="A460">
        <v>459</v>
      </c>
      <c r="B460" t="s">
        <v>12</v>
      </c>
      <c r="C460" t="s">
        <v>340</v>
      </c>
      <c r="E460">
        <v>20606086459</v>
      </c>
      <c r="F460">
        <v>913004278</v>
      </c>
      <c r="G460" t="s">
        <v>606</v>
      </c>
      <c r="H460" t="s">
        <v>4</v>
      </c>
      <c r="I460" t="s">
        <v>329</v>
      </c>
      <c r="J460" t="s">
        <v>2</v>
      </c>
      <c r="K460" t="s">
        <v>329</v>
      </c>
      <c r="L460" t="s">
        <v>37</v>
      </c>
      <c r="M460" s="1">
        <v>44910</v>
      </c>
      <c r="N460" t="s">
        <v>8</v>
      </c>
      <c r="O460">
        <v>350</v>
      </c>
      <c r="P460" t="s">
        <v>30</v>
      </c>
      <c r="Q460" t="s">
        <v>31</v>
      </c>
      <c r="R460" t="s">
        <v>22</v>
      </c>
      <c r="T460" t="s">
        <v>1092</v>
      </c>
      <c r="U460" t="s">
        <v>1100</v>
      </c>
      <c r="V460" s="3" t="s">
        <v>1047</v>
      </c>
      <c r="W460" t="s">
        <v>1146</v>
      </c>
      <c r="X460" s="9" t="s">
        <v>2</v>
      </c>
      <c r="Y460" s="9" t="s">
        <v>2</v>
      </c>
      <c r="Z460" t="s">
        <v>1144</v>
      </c>
    </row>
    <row r="461" spans="1:26">
      <c r="A461">
        <v>460</v>
      </c>
      <c r="B461" t="s">
        <v>2</v>
      </c>
      <c r="C461" t="s">
        <v>607</v>
      </c>
      <c r="E461" t="s">
        <v>2</v>
      </c>
      <c r="F461">
        <v>947230452</v>
      </c>
      <c r="G461" t="s">
        <v>2</v>
      </c>
      <c r="H461" t="s">
        <v>4</v>
      </c>
      <c r="I461" t="s">
        <v>90</v>
      </c>
      <c r="J461" t="s">
        <v>2</v>
      </c>
      <c r="K461" t="s">
        <v>608</v>
      </c>
      <c r="L461" t="s">
        <v>37</v>
      </c>
      <c r="M461" s="1">
        <v>44911</v>
      </c>
      <c r="N461" t="s">
        <v>8</v>
      </c>
      <c r="O461">
        <v>300</v>
      </c>
      <c r="P461" t="s">
        <v>52</v>
      </c>
      <c r="Q461" t="s">
        <v>10</v>
      </c>
      <c r="R461" t="s">
        <v>11</v>
      </c>
      <c r="T461" t="s">
        <v>1082</v>
      </c>
      <c r="U461" t="s">
        <v>1104</v>
      </c>
      <c r="V461" s="3" t="s">
        <v>1044</v>
      </c>
      <c r="W461" t="s">
        <v>1145</v>
      </c>
      <c r="X461" s="9">
        <v>10</v>
      </c>
      <c r="Y461" s="9" t="s">
        <v>1056</v>
      </c>
      <c r="Z461" t="s">
        <v>1143</v>
      </c>
    </row>
    <row r="462" spans="1:26">
      <c r="A462">
        <v>461</v>
      </c>
      <c r="B462" t="s">
        <v>2</v>
      </c>
      <c r="C462" t="s">
        <v>609</v>
      </c>
      <c r="E462" t="s">
        <v>2</v>
      </c>
      <c r="F462">
        <v>918149852</v>
      </c>
      <c r="G462" t="s">
        <v>2</v>
      </c>
      <c r="H462" t="s">
        <v>4</v>
      </c>
      <c r="I462" t="s">
        <v>144</v>
      </c>
      <c r="J462" t="s">
        <v>2</v>
      </c>
      <c r="K462" t="s">
        <v>144</v>
      </c>
      <c r="L462" t="s">
        <v>37</v>
      </c>
      <c r="M462" s="1">
        <v>44914</v>
      </c>
      <c r="N462" t="s">
        <v>8</v>
      </c>
      <c r="O462">
        <v>460</v>
      </c>
      <c r="P462" t="s">
        <v>610</v>
      </c>
      <c r="Q462" t="s">
        <v>10</v>
      </c>
      <c r="R462" t="s">
        <v>22</v>
      </c>
      <c r="T462" t="s">
        <v>1092</v>
      </c>
      <c r="U462" t="s">
        <v>1094</v>
      </c>
      <c r="V462" s="3" t="s">
        <v>1044</v>
      </c>
      <c r="W462" t="s">
        <v>1148</v>
      </c>
      <c r="X462" s="9">
        <v>20</v>
      </c>
      <c r="Y462" s="9" t="s">
        <v>1056</v>
      </c>
      <c r="Z462" t="s">
        <v>1149</v>
      </c>
    </row>
    <row r="463" spans="1:26">
      <c r="A463">
        <v>462</v>
      </c>
      <c r="B463" t="str">
        <f t="shared" ref="B463:R463" si="132">B462</f>
        <v>-</v>
      </c>
      <c r="C463" t="str">
        <f t="shared" si="132"/>
        <v>Juan Cordova</v>
      </c>
      <c r="E463" t="str">
        <f t="shared" si="132"/>
        <v>-</v>
      </c>
      <c r="F463">
        <f t="shared" si="132"/>
        <v>918149852</v>
      </c>
      <c r="G463" t="str">
        <f t="shared" si="132"/>
        <v>-</v>
      </c>
      <c r="H463" t="str">
        <f t="shared" si="132"/>
        <v>Lima</v>
      </c>
      <c r="I463" t="str">
        <f t="shared" si="132"/>
        <v>Ate</v>
      </c>
      <c r="J463" t="str">
        <f t="shared" si="132"/>
        <v>-</v>
      </c>
      <c r="K463" t="str">
        <f t="shared" si="132"/>
        <v>Ate</v>
      </c>
      <c r="L463" t="str">
        <f t="shared" si="132"/>
        <v>Redes sociales</v>
      </c>
      <c r="M463" s="1">
        <f t="shared" si="132"/>
        <v>44914</v>
      </c>
      <c r="N463" t="str">
        <f t="shared" si="132"/>
        <v>BCP</v>
      </c>
      <c r="O463" s="16">
        <f>25*(V463/10)</f>
        <v>100</v>
      </c>
      <c r="P463" t="str">
        <f t="shared" si="132"/>
        <v>Cevicheria</v>
      </c>
      <c r="Q463" t="str">
        <f t="shared" si="132"/>
        <v>U</v>
      </c>
      <c r="R463" t="str">
        <f t="shared" si="132"/>
        <v>Sergio</v>
      </c>
      <c r="T463" t="s">
        <v>1134</v>
      </c>
      <c r="U463" t="s">
        <v>1115</v>
      </c>
      <c r="V463" s="3">
        <v>40</v>
      </c>
      <c r="W463" t="s">
        <v>1137</v>
      </c>
      <c r="X463" s="9"/>
      <c r="Y463" s="9"/>
      <c r="Z463" t="s">
        <v>1131</v>
      </c>
    </row>
    <row r="464" spans="1:26">
      <c r="A464">
        <v>463</v>
      </c>
      <c r="B464" t="s">
        <v>2</v>
      </c>
      <c r="C464" t="s">
        <v>611</v>
      </c>
      <c r="E464">
        <v>44651426</v>
      </c>
      <c r="F464">
        <v>979669353</v>
      </c>
      <c r="G464" t="s">
        <v>2</v>
      </c>
      <c r="H464" t="s">
        <v>846</v>
      </c>
      <c r="I464" t="s">
        <v>612</v>
      </c>
      <c r="J464" t="s">
        <v>613</v>
      </c>
      <c r="K464" t="s">
        <v>2</v>
      </c>
      <c r="L464" t="s">
        <v>268</v>
      </c>
      <c r="M464" s="1">
        <v>44914</v>
      </c>
      <c r="N464" t="s">
        <v>8</v>
      </c>
      <c r="O464">
        <v>550</v>
      </c>
      <c r="P464" t="s">
        <v>30</v>
      </c>
      <c r="Q464" t="s">
        <v>10</v>
      </c>
      <c r="R464" t="s">
        <v>22</v>
      </c>
      <c r="T464" t="s">
        <v>1092</v>
      </c>
      <c r="U464" t="s">
        <v>1094</v>
      </c>
      <c r="V464" s="3" t="s">
        <v>1044</v>
      </c>
      <c r="W464" t="s">
        <v>1148</v>
      </c>
      <c r="X464" s="9">
        <v>20</v>
      </c>
      <c r="Y464" s="9" t="s">
        <v>1056</v>
      </c>
      <c r="Z464" t="s">
        <v>1149</v>
      </c>
    </row>
    <row r="465" spans="1:26">
      <c r="A465">
        <v>464</v>
      </c>
      <c r="B465" t="s">
        <v>2</v>
      </c>
      <c r="C465" t="s">
        <v>614</v>
      </c>
      <c r="E465" t="s">
        <v>2</v>
      </c>
      <c r="F465">
        <v>968585010</v>
      </c>
      <c r="G465" t="s">
        <v>2</v>
      </c>
      <c r="H465" t="s">
        <v>355</v>
      </c>
      <c r="J465" t="s">
        <v>29</v>
      </c>
      <c r="K465" t="s">
        <v>2</v>
      </c>
      <c r="L465" t="s">
        <v>268</v>
      </c>
      <c r="M465" s="1">
        <v>44915</v>
      </c>
      <c r="N465" t="s">
        <v>8</v>
      </c>
      <c r="O465">
        <v>350</v>
      </c>
      <c r="P465" t="s">
        <v>30</v>
      </c>
      <c r="Q465" t="s">
        <v>10</v>
      </c>
      <c r="R465" t="s">
        <v>22</v>
      </c>
      <c r="T465" t="s">
        <v>1092</v>
      </c>
      <c r="U465" t="s">
        <v>1101</v>
      </c>
      <c r="V465" s="3" t="s">
        <v>1044</v>
      </c>
      <c r="W465" t="s">
        <v>1146</v>
      </c>
      <c r="X465" s="9" t="s">
        <v>2</v>
      </c>
      <c r="Y465" s="9" t="s">
        <v>2</v>
      </c>
      <c r="Z465" t="s">
        <v>1143</v>
      </c>
    </row>
    <row r="466" spans="1:26">
      <c r="A466">
        <v>465</v>
      </c>
      <c r="B466" t="s">
        <v>2</v>
      </c>
      <c r="C466" t="s">
        <v>615</v>
      </c>
      <c r="E466" t="s">
        <v>2</v>
      </c>
      <c r="F466">
        <v>980519707</v>
      </c>
      <c r="G466" t="s">
        <v>2</v>
      </c>
      <c r="H466" t="s">
        <v>355</v>
      </c>
      <c r="J466" t="s">
        <v>616</v>
      </c>
      <c r="K466" t="s">
        <v>2</v>
      </c>
      <c r="L466" t="s">
        <v>268</v>
      </c>
      <c r="M466" s="1">
        <v>44915</v>
      </c>
      <c r="N466" t="s">
        <v>56</v>
      </c>
      <c r="O466">
        <v>430</v>
      </c>
      <c r="P466" t="s">
        <v>9</v>
      </c>
      <c r="Q466" t="s">
        <v>10</v>
      </c>
      <c r="R466" t="s">
        <v>22</v>
      </c>
      <c r="T466" t="s">
        <v>1092</v>
      </c>
      <c r="U466" t="s">
        <v>1095</v>
      </c>
      <c r="V466" s="3">
        <v>1</v>
      </c>
      <c r="W466" t="s">
        <v>1145</v>
      </c>
      <c r="X466" s="9" t="s">
        <v>2</v>
      </c>
      <c r="Y466" s="9" t="s">
        <v>2</v>
      </c>
      <c r="Z466" t="s">
        <v>1143</v>
      </c>
    </row>
    <row r="467" spans="1:26">
      <c r="A467">
        <v>466</v>
      </c>
      <c r="B467" t="s">
        <v>2</v>
      </c>
      <c r="C467" t="s">
        <v>617</v>
      </c>
      <c r="E467" t="s">
        <v>2</v>
      </c>
      <c r="F467">
        <v>987598101</v>
      </c>
      <c r="G467" t="s">
        <v>2</v>
      </c>
      <c r="H467" t="s">
        <v>4</v>
      </c>
      <c r="I467" t="s">
        <v>618</v>
      </c>
      <c r="J467" t="s">
        <v>2</v>
      </c>
      <c r="K467" t="s">
        <v>618</v>
      </c>
      <c r="L467" t="s">
        <v>37</v>
      </c>
      <c r="M467" s="1">
        <v>44916</v>
      </c>
      <c r="N467" t="s">
        <v>8</v>
      </c>
      <c r="O467">
        <v>450</v>
      </c>
      <c r="P467" t="s">
        <v>30</v>
      </c>
      <c r="Q467" t="s">
        <v>10</v>
      </c>
      <c r="R467" t="s">
        <v>22</v>
      </c>
      <c r="T467" t="s">
        <v>1092</v>
      </c>
      <c r="U467" t="s">
        <v>1093</v>
      </c>
      <c r="V467" s="3">
        <v>1</v>
      </c>
      <c r="W467" t="s">
        <v>1148</v>
      </c>
      <c r="X467" s="9">
        <v>10</v>
      </c>
      <c r="Y467" s="9" t="s">
        <v>1083</v>
      </c>
      <c r="Z467" t="s">
        <v>1149</v>
      </c>
    </row>
    <row r="468" spans="1:26">
      <c r="A468">
        <v>467</v>
      </c>
      <c r="B468" t="str">
        <f t="shared" ref="B468:R468" si="133">B467</f>
        <v>-</v>
      </c>
      <c r="C468" t="str">
        <f t="shared" si="133"/>
        <v>Coco</v>
      </c>
      <c r="E468" t="str">
        <f t="shared" si="133"/>
        <v>-</v>
      </c>
      <c r="F468">
        <f t="shared" si="133"/>
        <v>987598101</v>
      </c>
      <c r="G468" t="str">
        <f t="shared" si="133"/>
        <v>-</v>
      </c>
      <c r="H468" t="str">
        <f t="shared" si="133"/>
        <v>Lima</v>
      </c>
      <c r="I468" t="str">
        <f t="shared" si="133"/>
        <v>Jesus Maria</v>
      </c>
      <c r="J468" t="str">
        <f t="shared" si="133"/>
        <v>-</v>
      </c>
      <c r="K468" t="str">
        <f t="shared" si="133"/>
        <v>Jesus Maria</v>
      </c>
      <c r="L468" t="str">
        <f t="shared" si="133"/>
        <v>Redes sociales</v>
      </c>
      <c r="M468" s="1">
        <f t="shared" si="133"/>
        <v>44916</v>
      </c>
      <c r="N468" t="str">
        <f t="shared" si="133"/>
        <v>BCP</v>
      </c>
      <c r="O468" s="14">
        <v>80</v>
      </c>
      <c r="P468" t="str">
        <f t="shared" si="133"/>
        <v>Otros</v>
      </c>
      <c r="Q468" t="str">
        <f t="shared" si="133"/>
        <v>U</v>
      </c>
      <c r="R468" t="str">
        <f t="shared" si="133"/>
        <v>Sergio</v>
      </c>
      <c r="T468" t="s">
        <v>1133</v>
      </c>
      <c r="U468" t="s">
        <v>1114</v>
      </c>
      <c r="V468" s="3">
        <v>20</v>
      </c>
      <c r="W468" t="s">
        <v>1132</v>
      </c>
      <c r="X468" s="9"/>
      <c r="Y468" s="9"/>
      <c r="Z468" t="s">
        <v>1131</v>
      </c>
    </row>
    <row r="469" spans="1:26">
      <c r="A469">
        <v>468</v>
      </c>
      <c r="B469" t="s">
        <v>2</v>
      </c>
      <c r="C469" t="s">
        <v>619</v>
      </c>
      <c r="E469" t="s">
        <v>2</v>
      </c>
      <c r="F469">
        <v>966308617</v>
      </c>
      <c r="G469" t="s">
        <v>2</v>
      </c>
      <c r="H469" t="s">
        <v>4</v>
      </c>
      <c r="I469" t="s">
        <v>63</v>
      </c>
      <c r="J469" t="s">
        <v>2</v>
      </c>
      <c r="K469" t="s">
        <v>620</v>
      </c>
      <c r="L469" t="s">
        <v>37</v>
      </c>
      <c r="M469" s="1">
        <v>44916</v>
      </c>
      <c r="N469" t="s">
        <v>8</v>
      </c>
      <c r="O469">
        <v>300</v>
      </c>
      <c r="P469" t="s">
        <v>9</v>
      </c>
      <c r="Q469" t="s">
        <v>10</v>
      </c>
      <c r="R469" t="s">
        <v>22</v>
      </c>
      <c r="T469" t="s">
        <v>1082</v>
      </c>
      <c r="U469" t="s">
        <v>1104</v>
      </c>
      <c r="V469" s="3" t="s">
        <v>1044</v>
      </c>
      <c r="W469" t="s">
        <v>1145</v>
      </c>
      <c r="Z469" t="s">
        <v>1143</v>
      </c>
    </row>
    <row r="470" spans="1:26">
      <c r="A470">
        <v>469</v>
      </c>
      <c r="B470" t="s">
        <v>2</v>
      </c>
      <c r="C470" t="s">
        <v>619</v>
      </c>
      <c r="E470" t="s">
        <v>2</v>
      </c>
      <c r="F470">
        <v>966308617</v>
      </c>
      <c r="G470" t="s">
        <v>2</v>
      </c>
      <c r="H470" t="s">
        <v>4</v>
      </c>
      <c r="I470" t="s">
        <v>63</v>
      </c>
      <c r="J470" t="s">
        <v>2</v>
      </c>
      <c r="K470" t="s">
        <v>620</v>
      </c>
      <c r="L470" t="s">
        <v>37</v>
      </c>
      <c r="M470" s="1">
        <v>44916</v>
      </c>
      <c r="N470" t="s">
        <v>8</v>
      </c>
      <c r="O470" s="14">
        <v>150</v>
      </c>
      <c r="P470" t="s">
        <v>9</v>
      </c>
      <c r="Q470" t="s">
        <v>10</v>
      </c>
      <c r="R470" t="s">
        <v>22</v>
      </c>
      <c r="T470" t="s">
        <v>1133</v>
      </c>
      <c r="U470" t="s">
        <v>1115</v>
      </c>
      <c r="V470">
        <v>50</v>
      </c>
      <c r="W470" t="s">
        <v>1132</v>
      </c>
      <c r="Z470" t="s">
        <v>1131</v>
      </c>
    </row>
    <row r="471" spans="1:26">
      <c r="A471">
        <v>470</v>
      </c>
      <c r="B471" t="s">
        <v>2</v>
      </c>
      <c r="C471" t="s">
        <v>621</v>
      </c>
      <c r="E471" t="s">
        <v>2</v>
      </c>
      <c r="F471">
        <v>949713566</v>
      </c>
      <c r="G471" t="s">
        <v>2</v>
      </c>
      <c r="H471" t="s">
        <v>89</v>
      </c>
      <c r="J471" t="s">
        <v>29</v>
      </c>
      <c r="K471" t="s">
        <v>2</v>
      </c>
      <c r="L471" t="s">
        <v>37</v>
      </c>
      <c r="M471" s="1">
        <v>44916</v>
      </c>
      <c r="N471" t="s">
        <v>38</v>
      </c>
      <c r="O471">
        <v>220</v>
      </c>
      <c r="P471" t="s">
        <v>30</v>
      </c>
      <c r="Q471" t="s">
        <v>10</v>
      </c>
      <c r="R471" t="s">
        <v>22</v>
      </c>
      <c r="T471" t="s">
        <v>1092</v>
      </c>
      <c r="U471" t="s">
        <v>1101</v>
      </c>
      <c r="V471" s="3" t="s">
        <v>1044</v>
      </c>
      <c r="W471" t="s">
        <v>1146</v>
      </c>
      <c r="X471" t="s">
        <v>2</v>
      </c>
      <c r="Y471" t="s">
        <v>2</v>
      </c>
      <c r="Z471" t="s">
        <v>1143</v>
      </c>
    </row>
    <row r="472" spans="1:26">
      <c r="A472">
        <v>471</v>
      </c>
      <c r="B472" t="s">
        <v>12</v>
      </c>
      <c r="C472" t="s">
        <v>340</v>
      </c>
      <c r="E472">
        <v>20606086459</v>
      </c>
      <c r="F472">
        <v>913004278</v>
      </c>
      <c r="G472" t="s">
        <v>622</v>
      </c>
      <c r="H472" t="s">
        <v>4</v>
      </c>
      <c r="I472" t="s">
        <v>329</v>
      </c>
      <c r="J472" t="s">
        <v>2</v>
      </c>
      <c r="K472" t="s">
        <v>329</v>
      </c>
      <c r="L472" t="s">
        <v>37</v>
      </c>
      <c r="M472" s="1">
        <v>44916</v>
      </c>
      <c r="N472" t="s">
        <v>8</v>
      </c>
      <c r="O472">
        <v>875</v>
      </c>
      <c r="P472" t="s">
        <v>101</v>
      </c>
      <c r="Q472" t="s">
        <v>31</v>
      </c>
      <c r="R472" t="s">
        <v>315</v>
      </c>
      <c r="T472" t="s">
        <v>1082</v>
      </c>
      <c r="U472" t="s">
        <v>1099</v>
      </c>
      <c r="V472" s="3" t="s">
        <v>1046</v>
      </c>
      <c r="W472" t="s">
        <v>1146</v>
      </c>
      <c r="X472" t="s">
        <v>2</v>
      </c>
      <c r="Y472" t="s">
        <v>2</v>
      </c>
      <c r="Z472" t="s">
        <v>1143</v>
      </c>
    </row>
    <row r="473" spans="1:26">
      <c r="A473">
        <v>472</v>
      </c>
      <c r="B473" t="s">
        <v>2</v>
      </c>
      <c r="C473" t="s">
        <v>623</v>
      </c>
      <c r="E473" t="s">
        <v>2</v>
      </c>
      <c r="F473">
        <v>933323959</v>
      </c>
      <c r="G473" t="s">
        <v>2</v>
      </c>
      <c r="H473" t="s">
        <v>4</v>
      </c>
      <c r="I473" t="s">
        <v>420</v>
      </c>
      <c r="J473" t="s">
        <v>2</v>
      </c>
      <c r="K473" t="s">
        <v>624</v>
      </c>
      <c r="L473" t="s">
        <v>37</v>
      </c>
      <c r="M473" s="1">
        <v>44918</v>
      </c>
      <c r="N473" t="s">
        <v>8</v>
      </c>
      <c r="O473">
        <v>410</v>
      </c>
      <c r="P473" t="s">
        <v>30</v>
      </c>
      <c r="Q473" t="s">
        <v>10</v>
      </c>
      <c r="R473" t="s">
        <v>22</v>
      </c>
      <c r="T473" t="s">
        <v>1092</v>
      </c>
      <c r="U473" t="s">
        <v>1105</v>
      </c>
      <c r="V473" s="3" t="s">
        <v>1044</v>
      </c>
      <c r="W473" t="s">
        <v>1148</v>
      </c>
      <c r="Z473" t="s">
        <v>1149</v>
      </c>
    </row>
    <row r="474" spans="1:26">
      <c r="A474">
        <v>473</v>
      </c>
      <c r="B474" t="s">
        <v>2</v>
      </c>
      <c r="C474" t="s">
        <v>623</v>
      </c>
      <c r="E474" t="s">
        <v>2</v>
      </c>
      <c r="F474">
        <v>933323959</v>
      </c>
      <c r="G474" t="s">
        <v>2</v>
      </c>
      <c r="H474" t="s">
        <v>4</v>
      </c>
      <c r="I474" t="s">
        <v>420</v>
      </c>
      <c r="J474" t="s">
        <v>2</v>
      </c>
      <c r="K474" t="s">
        <v>624</v>
      </c>
      <c r="L474" t="s">
        <v>37</v>
      </c>
      <c r="M474" s="1">
        <v>44918</v>
      </c>
      <c r="N474" t="s">
        <v>8</v>
      </c>
      <c r="O474" s="14">
        <v>240</v>
      </c>
      <c r="P474" t="s">
        <v>30</v>
      </c>
      <c r="Q474" t="s">
        <v>10</v>
      </c>
      <c r="R474" t="s">
        <v>22</v>
      </c>
      <c r="T474" t="s">
        <v>1119</v>
      </c>
      <c r="U474" s="12" t="s">
        <v>1142</v>
      </c>
      <c r="V474">
        <v>1</v>
      </c>
      <c r="W474" t="s">
        <v>1066</v>
      </c>
      <c r="Z474" t="s">
        <v>1141</v>
      </c>
    </row>
    <row r="475" spans="1:26">
      <c r="A475">
        <v>474</v>
      </c>
      <c r="B475" t="s">
        <v>2</v>
      </c>
      <c r="C475" t="s">
        <v>623</v>
      </c>
      <c r="E475" t="s">
        <v>2</v>
      </c>
      <c r="F475">
        <v>933323959</v>
      </c>
      <c r="G475" t="s">
        <v>2</v>
      </c>
      <c r="H475" t="s">
        <v>4</v>
      </c>
      <c r="I475" t="s">
        <v>420</v>
      </c>
      <c r="J475" t="s">
        <v>2</v>
      </c>
      <c r="K475" t="s">
        <v>624</v>
      </c>
      <c r="L475" t="s">
        <v>37</v>
      </c>
      <c r="M475" s="1">
        <v>44918</v>
      </c>
      <c r="N475" t="s">
        <v>8</v>
      </c>
      <c r="O475" s="14">
        <v>40</v>
      </c>
      <c r="P475" t="s">
        <v>30</v>
      </c>
      <c r="Q475" t="s">
        <v>10</v>
      </c>
      <c r="R475" t="s">
        <v>22</v>
      </c>
      <c r="T475" t="s">
        <v>1073</v>
      </c>
      <c r="U475" t="s">
        <v>1125</v>
      </c>
      <c r="V475">
        <v>4</v>
      </c>
      <c r="W475" t="s">
        <v>1063</v>
      </c>
      <c r="Z475" t="s">
        <v>1141</v>
      </c>
    </row>
    <row r="476" spans="1:26">
      <c r="A476">
        <v>475</v>
      </c>
      <c r="B476" t="s">
        <v>12</v>
      </c>
      <c r="C476" t="s">
        <v>625</v>
      </c>
      <c r="E476">
        <v>42670644</v>
      </c>
      <c r="F476">
        <v>975561007</v>
      </c>
      <c r="G476" t="s">
        <v>626</v>
      </c>
      <c r="H476" t="s">
        <v>846</v>
      </c>
      <c r="I476" t="s">
        <v>612</v>
      </c>
      <c r="J476" t="s">
        <v>29</v>
      </c>
      <c r="K476" t="s">
        <v>2</v>
      </c>
      <c r="L476" t="s">
        <v>268</v>
      </c>
      <c r="M476" s="1">
        <v>44921</v>
      </c>
      <c r="N476" t="s">
        <v>8</v>
      </c>
      <c r="O476">
        <v>355</v>
      </c>
      <c r="P476" t="s">
        <v>52</v>
      </c>
      <c r="Q476" t="s">
        <v>10</v>
      </c>
      <c r="R476" t="s">
        <v>22</v>
      </c>
      <c r="T476" t="s">
        <v>1092</v>
      </c>
      <c r="U476" t="s">
        <v>1096</v>
      </c>
      <c r="V476" s="3">
        <v>1</v>
      </c>
      <c r="W476" t="s">
        <v>1148</v>
      </c>
      <c r="X476" s="9">
        <v>10</v>
      </c>
      <c r="Y476" s="9" t="s">
        <v>1065</v>
      </c>
      <c r="Z476" t="s">
        <v>1149</v>
      </c>
    </row>
    <row r="477" spans="1:26">
      <c r="A477">
        <v>476</v>
      </c>
      <c r="B477" t="str">
        <f t="shared" ref="B477:R477" si="134">B476</f>
        <v>FT</v>
      </c>
      <c r="C477" t="str">
        <f t="shared" si="134"/>
        <v>Rusbel</v>
      </c>
      <c r="E477">
        <f t="shared" si="134"/>
        <v>42670644</v>
      </c>
      <c r="F477">
        <f t="shared" si="134"/>
        <v>975561007</v>
      </c>
      <c r="G477" t="str">
        <f t="shared" si="134"/>
        <v>FT F001-54</v>
      </c>
      <c r="H477" t="str">
        <f t="shared" si="134"/>
        <v>Ancash</v>
      </c>
      <c r="I477" t="str">
        <f t="shared" si="134"/>
        <v>Huaraz</v>
      </c>
      <c r="J477" t="str">
        <f t="shared" si="134"/>
        <v>Shalom</v>
      </c>
      <c r="K477" t="str">
        <f t="shared" si="134"/>
        <v>-</v>
      </c>
      <c r="L477" t="str">
        <f t="shared" si="134"/>
        <v>Aplicativo Web</v>
      </c>
      <c r="M477" s="1">
        <f t="shared" si="134"/>
        <v>44921</v>
      </c>
      <c r="N477" t="str">
        <f t="shared" si="134"/>
        <v>BCP</v>
      </c>
      <c r="O477" s="16">
        <f>25*(V477/10)</f>
        <v>25</v>
      </c>
      <c r="P477" t="s">
        <v>52</v>
      </c>
      <c r="Q477" t="str">
        <f t="shared" si="134"/>
        <v>U</v>
      </c>
      <c r="R477" t="str">
        <f t="shared" si="134"/>
        <v>Sergio</v>
      </c>
      <c r="T477" t="s">
        <v>1134</v>
      </c>
      <c r="U477" t="s">
        <v>1115</v>
      </c>
      <c r="V477" s="3">
        <f t="shared" ref="V477" si="135">X476</f>
        <v>10</v>
      </c>
      <c r="W477" t="s">
        <v>1137</v>
      </c>
      <c r="X477" s="9"/>
      <c r="Y477" s="9"/>
      <c r="Z477" t="s">
        <v>1131</v>
      </c>
    </row>
    <row r="478" spans="1:26">
      <c r="A478">
        <v>477</v>
      </c>
      <c r="B478" t="s">
        <v>2</v>
      </c>
      <c r="C478" t="s">
        <v>579</v>
      </c>
      <c r="E478">
        <v>42070525</v>
      </c>
      <c r="F478">
        <v>900188955</v>
      </c>
      <c r="G478" t="s">
        <v>2</v>
      </c>
      <c r="H478" t="s">
        <v>266</v>
      </c>
      <c r="J478" t="s">
        <v>147</v>
      </c>
      <c r="K478" t="s">
        <v>2</v>
      </c>
      <c r="L478" t="s">
        <v>268</v>
      </c>
      <c r="M478" s="1">
        <v>44922</v>
      </c>
      <c r="N478" t="s">
        <v>8</v>
      </c>
      <c r="O478">
        <v>490</v>
      </c>
      <c r="P478" t="s">
        <v>30</v>
      </c>
      <c r="Q478" t="s">
        <v>10</v>
      </c>
      <c r="R478" t="s">
        <v>22</v>
      </c>
      <c r="T478" t="s">
        <v>1092</v>
      </c>
      <c r="U478" t="s">
        <v>1105</v>
      </c>
      <c r="V478" s="3" t="s">
        <v>1044</v>
      </c>
      <c r="W478" t="s">
        <v>1148</v>
      </c>
      <c r="X478" s="9">
        <v>80</v>
      </c>
      <c r="Y478" s="9" t="s">
        <v>1064</v>
      </c>
      <c r="Z478" t="s">
        <v>1149</v>
      </c>
    </row>
    <row r="479" spans="1:26">
      <c r="A479">
        <v>478</v>
      </c>
      <c r="B479" t="str">
        <f t="shared" ref="B479:R479" si="136">B478</f>
        <v>-</v>
      </c>
      <c r="C479" t="str">
        <f t="shared" si="136"/>
        <v>Elizabeth</v>
      </c>
      <c r="E479">
        <f t="shared" si="136"/>
        <v>42070525</v>
      </c>
      <c r="F479">
        <f t="shared" si="136"/>
        <v>900188955</v>
      </c>
      <c r="G479" t="str">
        <f t="shared" si="136"/>
        <v>-</v>
      </c>
      <c r="H479" t="str">
        <f t="shared" si="136"/>
        <v>Huancayo</v>
      </c>
      <c r="J479" t="str">
        <f t="shared" si="136"/>
        <v>Marvisur</v>
      </c>
      <c r="K479" t="str">
        <f t="shared" si="136"/>
        <v>-</v>
      </c>
      <c r="L479" t="str">
        <f t="shared" si="136"/>
        <v>Aplicativo Web</v>
      </c>
      <c r="M479" s="1">
        <f t="shared" si="136"/>
        <v>44922</v>
      </c>
      <c r="N479" t="str">
        <f t="shared" si="136"/>
        <v>BCP</v>
      </c>
      <c r="O479" s="14">
        <v>10</v>
      </c>
      <c r="P479" t="str">
        <f t="shared" si="136"/>
        <v>Otros</v>
      </c>
      <c r="Q479" t="str">
        <f t="shared" si="136"/>
        <v>U</v>
      </c>
      <c r="R479" t="str">
        <f t="shared" si="136"/>
        <v>Sergio</v>
      </c>
      <c r="T479" t="s">
        <v>1133</v>
      </c>
      <c r="U479" t="s">
        <v>1115</v>
      </c>
      <c r="V479" s="3">
        <v>8</v>
      </c>
      <c r="W479" t="s">
        <v>1132</v>
      </c>
      <c r="X479" s="9"/>
      <c r="Y479" s="9"/>
      <c r="Z479" t="s">
        <v>1131</v>
      </c>
    </row>
    <row r="480" spans="1:26">
      <c r="A480">
        <v>479</v>
      </c>
      <c r="B480" t="s">
        <v>12</v>
      </c>
      <c r="C480" t="s">
        <v>627</v>
      </c>
      <c r="D480">
        <v>10451605009</v>
      </c>
      <c r="E480">
        <v>45160500</v>
      </c>
      <c r="F480">
        <v>937588805</v>
      </c>
      <c r="G480" t="s">
        <v>628</v>
      </c>
      <c r="H480" t="s">
        <v>514</v>
      </c>
      <c r="I480" t="s">
        <v>51</v>
      </c>
      <c r="J480" t="s">
        <v>29</v>
      </c>
      <c r="K480" t="s">
        <v>2</v>
      </c>
      <c r="L480" t="s">
        <v>268</v>
      </c>
      <c r="M480" s="1">
        <v>44922</v>
      </c>
      <c r="N480" t="s">
        <v>56</v>
      </c>
      <c r="O480">
        <v>620</v>
      </c>
      <c r="P480" t="s">
        <v>9</v>
      </c>
      <c r="Q480" t="s">
        <v>10</v>
      </c>
      <c r="R480" t="s">
        <v>11</v>
      </c>
      <c r="T480" t="s">
        <v>1092</v>
      </c>
      <c r="U480" t="s">
        <v>1093</v>
      </c>
      <c r="V480" s="3">
        <v>1</v>
      </c>
      <c r="W480" t="s">
        <v>1148</v>
      </c>
      <c r="X480" s="9">
        <v>1</v>
      </c>
      <c r="Y480" s="9" t="s">
        <v>1066</v>
      </c>
      <c r="Z480" t="s">
        <v>1149</v>
      </c>
    </row>
    <row r="481" spans="1:26">
      <c r="A481">
        <v>480</v>
      </c>
      <c r="B481" t="s">
        <v>2</v>
      </c>
      <c r="C481" t="s">
        <v>629</v>
      </c>
      <c r="E481">
        <v>7355689</v>
      </c>
      <c r="F481">
        <v>992484937</v>
      </c>
      <c r="G481" t="s">
        <v>2</v>
      </c>
      <c r="H481" t="s">
        <v>4</v>
      </c>
      <c r="I481" t="s">
        <v>90</v>
      </c>
      <c r="J481" t="s">
        <v>2</v>
      </c>
      <c r="K481" t="s">
        <v>90</v>
      </c>
      <c r="L481" t="s">
        <v>37</v>
      </c>
      <c r="M481" s="1">
        <v>44923</v>
      </c>
      <c r="N481" t="s">
        <v>21</v>
      </c>
      <c r="O481">
        <v>220</v>
      </c>
      <c r="P481" t="s">
        <v>30</v>
      </c>
      <c r="Q481" t="s">
        <v>10</v>
      </c>
      <c r="R481" t="s">
        <v>22</v>
      </c>
      <c r="T481" t="s">
        <v>1092</v>
      </c>
      <c r="U481" t="s">
        <v>1100</v>
      </c>
      <c r="V481" s="3" t="s">
        <v>1044</v>
      </c>
      <c r="W481" t="s">
        <v>1146</v>
      </c>
      <c r="X481" s="9" t="s">
        <v>2</v>
      </c>
      <c r="Y481" s="9" t="s">
        <v>2</v>
      </c>
      <c r="Z481" t="s">
        <v>1144</v>
      </c>
    </row>
    <row r="482" spans="1:26">
      <c r="A482">
        <v>481</v>
      </c>
      <c r="B482" t="s">
        <v>2</v>
      </c>
      <c r="C482" t="s">
        <v>547</v>
      </c>
      <c r="E482" t="s">
        <v>2</v>
      </c>
      <c r="F482">
        <v>994507131</v>
      </c>
      <c r="G482" t="s">
        <v>2</v>
      </c>
      <c r="H482" t="s">
        <v>4</v>
      </c>
      <c r="I482" t="s">
        <v>547</v>
      </c>
      <c r="J482" t="s">
        <v>2</v>
      </c>
      <c r="K482" t="s">
        <v>547</v>
      </c>
      <c r="L482" t="s">
        <v>37</v>
      </c>
      <c r="M482" s="1">
        <v>44924</v>
      </c>
      <c r="N482" t="s">
        <v>8</v>
      </c>
      <c r="O482">
        <v>330</v>
      </c>
      <c r="P482" t="s">
        <v>30</v>
      </c>
      <c r="Q482" t="s">
        <v>10</v>
      </c>
      <c r="R482" t="s">
        <v>22</v>
      </c>
      <c r="T482" t="s">
        <v>1082</v>
      </c>
      <c r="U482" t="s">
        <v>1104</v>
      </c>
      <c r="V482" s="3" t="s">
        <v>1044</v>
      </c>
      <c r="W482" t="s">
        <v>1145</v>
      </c>
      <c r="X482" s="9">
        <v>10</v>
      </c>
      <c r="Y482" s="9" t="s">
        <v>1065</v>
      </c>
      <c r="Z482" t="s">
        <v>1143</v>
      </c>
    </row>
    <row r="483" spans="1:26">
      <c r="A483">
        <v>482</v>
      </c>
      <c r="B483" t="str">
        <f t="shared" ref="B483:R483" si="137">B482</f>
        <v>-</v>
      </c>
      <c r="C483" t="str">
        <f t="shared" si="137"/>
        <v>San Isidro</v>
      </c>
      <c r="E483" t="str">
        <f t="shared" si="137"/>
        <v>-</v>
      </c>
      <c r="F483">
        <f t="shared" si="137"/>
        <v>994507131</v>
      </c>
      <c r="G483" t="str">
        <f t="shared" si="137"/>
        <v>-</v>
      </c>
      <c r="H483" t="str">
        <f t="shared" si="137"/>
        <v>Lima</v>
      </c>
      <c r="I483" t="str">
        <f t="shared" si="137"/>
        <v>San Isidro</v>
      </c>
      <c r="J483" t="str">
        <f t="shared" si="137"/>
        <v>-</v>
      </c>
      <c r="K483" t="str">
        <f t="shared" si="137"/>
        <v>San Isidro</v>
      </c>
      <c r="L483" t="str">
        <f t="shared" si="137"/>
        <v>Redes sociales</v>
      </c>
      <c r="M483" s="1">
        <f t="shared" si="137"/>
        <v>44924</v>
      </c>
      <c r="N483" t="str">
        <f t="shared" si="137"/>
        <v>BCP</v>
      </c>
      <c r="O483" s="16">
        <f>25*(V483/10)</f>
        <v>25</v>
      </c>
      <c r="P483" t="str">
        <f t="shared" si="137"/>
        <v>Otros</v>
      </c>
      <c r="Q483" t="str">
        <f t="shared" si="137"/>
        <v>U</v>
      </c>
      <c r="R483" t="str">
        <f t="shared" si="137"/>
        <v>Sergio</v>
      </c>
      <c r="T483" t="s">
        <v>1134</v>
      </c>
      <c r="U483" t="s">
        <v>1115</v>
      </c>
      <c r="V483" s="3">
        <f t="shared" ref="V483" si="138">X482</f>
        <v>10</v>
      </c>
      <c r="W483" t="s">
        <v>1137</v>
      </c>
      <c r="X483" s="9"/>
      <c r="Y483" s="9"/>
      <c r="Z483" t="s">
        <v>1131</v>
      </c>
    </row>
    <row r="484" spans="1:26">
      <c r="A484">
        <v>483</v>
      </c>
      <c r="B484" t="s">
        <v>12</v>
      </c>
      <c r="C484" t="s">
        <v>630</v>
      </c>
      <c r="D484">
        <v>20609165198</v>
      </c>
      <c r="E484">
        <v>42721036</v>
      </c>
      <c r="F484">
        <v>958357604</v>
      </c>
      <c r="G484" t="s">
        <v>631</v>
      </c>
      <c r="H484" t="s">
        <v>65</v>
      </c>
      <c r="I484" t="s">
        <v>1088</v>
      </c>
      <c r="J484" t="s">
        <v>29</v>
      </c>
      <c r="K484" t="s">
        <v>2</v>
      </c>
      <c r="L484" t="s">
        <v>268</v>
      </c>
      <c r="M484" s="1">
        <v>44924</v>
      </c>
      <c r="N484" t="s">
        <v>8</v>
      </c>
      <c r="O484">
        <v>460</v>
      </c>
      <c r="P484" t="s">
        <v>541</v>
      </c>
      <c r="Q484" t="s">
        <v>10</v>
      </c>
      <c r="R484" t="s">
        <v>11</v>
      </c>
      <c r="T484" t="s">
        <v>1092</v>
      </c>
      <c r="U484" t="s">
        <v>1093</v>
      </c>
      <c r="V484" s="3">
        <v>1</v>
      </c>
      <c r="W484" t="s">
        <v>1148</v>
      </c>
      <c r="X484" s="9">
        <v>20</v>
      </c>
      <c r="Y484" s="9" t="s">
        <v>1083</v>
      </c>
      <c r="Z484" t="s">
        <v>1149</v>
      </c>
    </row>
    <row r="485" spans="1:26">
      <c r="A485">
        <v>484</v>
      </c>
      <c r="B485" t="str">
        <f t="shared" ref="B485:R485" si="139">B484</f>
        <v>FT</v>
      </c>
      <c r="C485" t="str">
        <f t="shared" si="139"/>
        <v>Valdeon Mango James Jhon</v>
      </c>
      <c r="D485">
        <f t="shared" si="139"/>
        <v>20609165198</v>
      </c>
      <c r="E485">
        <f t="shared" si="139"/>
        <v>42721036</v>
      </c>
      <c r="F485">
        <f t="shared" si="139"/>
        <v>958357604</v>
      </c>
      <c r="G485" t="str">
        <f t="shared" si="139"/>
        <v>FT F001-53</v>
      </c>
      <c r="H485" t="str">
        <f t="shared" si="139"/>
        <v>Ica</v>
      </c>
      <c r="I485" t="str">
        <f t="shared" si="139"/>
        <v>Nazca</v>
      </c>
      <c r="J485" t="str">
        <f t="shared" si="139"/>
        <v>Shalom</v>
      </c>
      <c r="K485" t="str">
        <f t="shared" si="139"/>
        <v>-</v>
      </c>
      <c r="L485" t="str">
        <f t="shared" si="139"/>
        <v>Aplicativo Web</v>
      </c>
      <c r="M485" s="1">
        <f t="shared" si="139"/>
        <v>44924</v>
      </c>
      <c r="N485" t="str">
        <f t="shared" si="139"/>
        <v>BCP</v>
      </c>
      <c r="O485" s="14">
        <v>50</v>
      </c>
      <c r="P485" t="str">
        <f t="shared" si="139"/>
        <v>Salón de Belleza</v>
      </c>
      <c r="Q485" t="str">
        <f t="shared" si="139"/>
        <v>U</v>
      </c>
      <c r="R485" t="str">
        <f t="shared" si="139"/>
        <v>Rodrigo</v>
      </c>
      <c r="T485" t="s">
        <v>1133</v>
      </c>
      <c r="U485" t="s">
        <v>1114</v>
      </c>
      <c r="V485" s="3">
        <f t="shared" ref="V485" si="140">X484</f>
        <v>20</v>
      </c>
      <c r="W485" t="s">
        <v>1132</v>
      </c>
      <c r="X485" s="9"/>
      <c r="Y485" s="9"/>
      <c r="Z485" t="s">
        <v>1131</v>
      </c>
    </row>
    <row r="486" spans="1:26">
      <c r="A486">
        <v>485</v>
      </c>
      <c r="B486" t="s">
        <v>2</v>
      </c>
      <c r="C486" t="s">
        <v>632</v>
      </c>
      <c r="E486">
        <v>71585559</v>
      </c>
      <c r="F486">
        <v>963499445</v>
      </c>
      <c r="G486" t="s">
        <v>2</v>
      </c>
      <c r="H486" t="s">
        <v>423</v>
      </c>
      <c r="J486" t="s">
        <v>29</v>
      </c>
      <c r="K486" t="s">
        <v>2</v>
      </c>
      <c r="L486" t="s">
        <v>268</v>
      </c>
      <c r="M486" s="1">
        <v>44925</v>
      </c>
      <c r="N486" t="s">
        <v>8</v>
      </c>
      <c r="O486">
        <f>620-O487</f>
        <v>470</v>
      </c>
      <c r="P486" t="s">
        <v>30</v>
      </c>
      <c r="Q486" t="s">
        <v>10</v>
      </c>
      <c r="R486" t="s">
        <v>22</v>
      </c>
      <c r="T486" t="s">
        <v>1092</v>
      </c>
      <c r="U486" t="s">
        <v>1093</v>
      </c>
      <c r="V486" s="3">
        <v>1</v>
      </c>
      <c r="W486" t="s">
        <v>1148</v>
      </c>
      <c r="X486" s="10">
        <v>5</v>
      </c>
      <c r="Y486" s="9" t="s">
        <v>1083</v>
      </c>
      <c r="Z486" t="s">
        <v>1149</v>
      </c>
    </row>
    <row r="487" spans="1:26">
      <c r="A487">
        <v>486</v>
      </c>
      <c r="B487" t="str">
        <f t="shared" ref="B487:R487" si="141">B486</f>
        <v>-</v>
      </c>
      <c r="C487" t="str">
        <f t="shared" si="141"/>
        <v>Jackelyn</v>
      </c>
      <c r="E487">
        <f t="shared" si="141"/>
        <v>71585559</v>
      </c>
      <c r="F487">
        <f t="shared" si="141"/>
        <v>963499445</v>
      </c>
      <c r="G487" t="str">
        <f t="shared" si="141"/>
        <v>-</v>
      </c>
      <c r="H487" t="str">
        <f t="shared" si="141"/>
        <v>San Martin</v>
      </c>
      <c r="J487" t="str">
        <f t="shared" si="141"/>
        <v>Shalom</v>
      </c>
      <c r="K487" t="str">
        <f t="shared" si="141"/>
        <v>-</v>
      </c>
      <c r="L487" t="str">
        <f t="shared" si="141"/>
        <v>Aplicativo Web</v>
      </c>
      <c r="M487" s="1">
        <f t="shared" si="141"/>
        <v>44925</v>
      </c>
      <c r="N487" t="str">
        <f t="shared" si="141"/>
        <v>BCP</v>
      </c>
      <c r="O487" s="14">
        <v>150</v>
      </c>
      <c r="P487" t="str">
        <f t="shared" si="141"/>
        <v>Otros</v>
      </c>
      <c r="Q487" t="str">
        <f t="shared" si="141"/>
        <v>U</v>
      </c>
      <c r="R487" t="str">
        <f t="shared" si="141"/>
        <v>Sergio</v>
      </c>
      <c r="T487" t="s">
        <v>1133</v>
      </c>
      <c r="U487" t="s">
        <v>1114</v>
      </c>
      <c r="V487" s="3">
        <v>50</v>
      </c>
      <c r="W487" t="s">
        <v>1132</v>
      </c>
      <c r="X487" s="10"/>
      <c r="Y487" s="9"/>
      <c r="Z487" t="s">
        <v>1131</v>
      </c>
    </row>
    <row r="488" spans="1:26">
      <c r="A488">
        <v>487</v>
      </c>
      <c r="B488" t="s">
        <v>2</v>
      </c>
      <c r="C488" t="s">
        <v>633</v>
      </c>
      <c r="E488" t="s">
        <v>2</v>
      </c>
      <c r="F488">
        <v>943369304</v>
      </c>
      <c r="G488" t="s">
        <v>2</v>
      </c>
      <c r="H488" t="s">
        <v>4</v>
      </c>
      <c r="I488" t="s">
        <v>94</v>
      </c>
      <c r="J488" t="s">
        <v>2</v>
      </c>
      <c r="K488" t="s">
        <v>634</v>
      </c>
      <c r="L488" t="s">
        <v>268</v>
      </c>
      <c r="M488" s="1">
        <v>44928</v>
      </c>
      <c r="N488" t="s">
        <v>21</v>
      </c>
      <c r="O488">
        <v>500</v>
      </c>
      <c r="P488" t="s">
        <v>541</v>
      </c>
      <c r="Q488" t="s">
        <v>10</v>
      </c>
      <c r="R488" t="s">
        <v>22</v>
      </c>
      <c r="T488" t="s">
        <v>1092</v>
      </c>
      <c r="U488" t="s">
        <v>1094</v>
      </c>
      <c r="V488" s="3" t="s">
        <v>1044</v>
      </c>
      <c r="W488" t="s">
        <v>1148</v>
      </c>
      <c r="X488" s="9">
        <v>20</v>
      </c>
      <c r="Y488" s="9" t="s">
        <v>1083</v>
      </c>
      <c r="Z488" t="s">
        <v>1149</v>
      </c>
    </row>
    <row r="489" spans="1:26">
      <c r="A489">
        <v>488</v>
      </c>
      <c r="B489" t="str">
        <f t="shared" ref="B489:R489" si="142">B488</f>
        <v>-</v>
      </c>
      <c r="C489" t="str">
        <f t="shared" si="142"/>
        <v>Soe Calexi</v>
      </c>
      <c r="E489" t="str">
        <f t="shared" si="142"/>
        <v>-</v>
      </c>
      <c r="F489">
        <f t="shared" si="142"/>
        <v>943369304</v>
      </c>
      <c r="G489" t="str">
        <f t="shared" si="142"/>
        <v>-</v>
      </c>
      <c r="H489" t="str">
        <f t="shared" si="142"/>
        <v>Lima</v>
      </c>
      <c r="I489" t="str">
        <f t="shared" si="142"/>
        <v>Puente piedra</v>
      </c>
      <c r="J489" t="str">
        <f t="shared" si="142"/>
        <v>-</v>
      </c>
      <c r="K489" t="str">
        <f t="shared" si="142"/>
        <v>Puente Piedra-Carabayllo</v>
      </c>
      <c r="L489" t="str">
        <f t="shared" si="142"/>
        <v>Aplicativo Web</v>
      </c>
      <c r="M489" s="1">
        <f t="shared" si="142"/>
        <v>44928</v>
      </c>
      <c r="N489" t="str">
        <f t="shared" si="142"/>
        <v>Efectivo</v>
      </c>
      <c r="O489" s="14">
        <v>60</v>
      </c>
      <c r="P489" t="str">
        <f t="shared" si="142"/>
        <v>Salón de Belleza</v>
      </c>
      <c r="Q489" t="str">
        <f t="shared" si="142"/>
        <v>U</v>
      </c>
      <c r="R489" t="str">
        <f t="shared" si="142"/>
        <v>Sergio</v>
      </c>
      <c r="T489" t="s">
        <v>1133</v>
      </c>
      <c r="U489" t="s">
        <v>1114</v>
      </c>
      <c r="V489" s="3">
        <f t="shared" ref="V489" si="143">X488</f>
        <v>20</v>
      </c>
      <c r="W489" t="s">
        <v>1132</v>
      </c>
      <c r="X489" s="9"/>
      <c r="Y489" s="9"/>
      <c r="Z489" t="s">
        <v>1131</v>
      </c>
    </row>
    <row r="490" spans="1:26">
      <c r="A490">
        <v>489</v>
      </c>
      <c r="B490" t="s">
        <v>2</v>
      </c>
      <c r="C490" t="s">
        <v>635</v>
      </c>
      <c r="E490">
        <v>70826336</v>
      </c>
      <c r="F490">
        <v>953700811</v>
      </c>
      <c r="G490" t="s">
        <v>2</v>
      </c>
      <c r="H490" t="s">
        <v>552</v>
      </c>
      <c r="J490" t="s">
        <v>29</v>
      </c>
      <c r="K490" t="s">
        <v>2</v>
      </c>
      <c r="L490" t="s">
        <v>268</v>
      </c>
      <c r="M490" s="1">
        <v>44930</v>
      </c>
      <c r="N490" t="s">
        <v>8</v>
      </c>
      <c r="O490">
        <v>530</v>
      </c>
      <c r="P490" t="s">
        <v>30</v>
      </c>
      <c r="Q490" t="s">
        <v>10</v>
      </c>
      <c r="R490" t="s">
        <v>22</v>
      </c>
      <c r="T490" t="s">
        <v>1092</v>
      </c>
      <c r="U490" t="s">
        <v>1093</v>
      </c>
      <c r="V490" s="3">
        <v>1</v>
      </c>
      <c r="W490" t="s">
        <v>1148</v>
      </c>
      <c r="X490" s="9">
        <v>20</v>
      </c>
      <c r="Y490" s="9" t="s">
        <v>1083</v>
      </c>
      <c r="Z490" t="s">
        <v>1149</v>
      </c>
    </row>
    <row r="491" spans="1:26">
      <c r="A491">
        <v>490</v>
      </c>
      <c r="B491" t="s">
        <v>2</v>
      </c>
      <c r="C491" t="s">
        <v>636</v>
      </c>
      <c r="E491" t="s">
        <v>2</v>
      </c>
      <c r="F491">
        <v>961455891</v>
      </c>
      <c r="G491" t="s">
        <v>2</v>
      </c>
      <c r="H491" t="s">
        <v>4</v>
      </c>
      <c r="I491" t="s">
        <v>383</v>
      </c>
      <c r="J491" t="s">
        <v>2</v>
      </c>
      <c r="K491" t="s">
        <v>383</v>
      </c>
      <c r="L491" t="s">
        <v>37</v>
      </c>
      <c r="M491" s="1">
        <v>44933</v>
      </c>
      <c r="N491" t="s">
        <v>8</v>
      </c>
      <c r="O491">
        <f>840-O492-O493</f>
        <v>520</v>
      </c>
      <c r="P491" t="s">
        <v>9</v>
      </c>
      <c r="Q491" t="s">
        <v>10</v>
      </c>
      <c r="R491" t="s">
        <v>22</v>
      </c>
      <c r="T491" t="s">
        <v>1097</v>
      </c>
      <c r="U491" t="s">
        <v>1102</v>
      </c>
      <c r="V491" s="3" t="s">
        <v>1044</v>
      </c>
      <c r="W491" t="s">
        <v>1145</v>
      </c>
      <c r="X491" s="9"/>
      <c r="Y491" s="9"/>
      <c r="Z491" t="s">
        <v>1144</v>
      </c>
    </row>
    <row r="492" spans="1:26">
      <c r="A492">
        <v>491</v>
      </c>
      <c r="B492" t="s">
        <v>2</v>
      </c>
      <c r="C492" t="s">
        <v>636</v>
      </c>
      <c r="E492" t="s">
        <v>2</v>
      </c>
      <c r="F492">
        <v>961455891</v>
      </c>
      <c r="G492" t="s">
        <v>2</v>
      </c>
      <c r="H492" t="s">
        <v>4</v>
      </c>
      <c r="I492" t="s">
        <v>383</v>
      </c>
      <c r="J492" t="s">
        <v>2</v>
      </c>
      <c r="K492" t="s">
        <v>383</v>
      </c>
      <c r="L492" t="s">
        <v>37</v>
      </c>
      <c r="M492" s="1">
        <v>44933</v>
      </c>
      <c r="N492" t="s">
        <v>8</v>
      </c>
      <c r="O492">
        <v>80</v>
      </c>
      <c r="P492" t="s">
        <v>9</v>
      </c>
      <c r="Q492" t="s">
        <v>10</v>
      </c>
      <c r="R492" t="s">
        <v>22</v>
      </c>
      <c r="T492" t="s">
        <v>1133</v>
      </c>
      <c r="U492" t="s">
        <v>1115</v>
      </c>
      <c r="V492">
        <v>30</v>
      </c>
      <c r="W492" t="s">
        <v>1132</v>
      </c>
      <c r="X492" s="9"/>
      <c r="Y492" s="9"/>
      <c r="Z492" t="s">
        <v>1131</v>
      </c>
    </row>
    <row r="493" spans="1:26">
      <c r="A493">
        <v>492</v>
      </c>
      <c r="B493" t="s">
        <v>2</v>
      </c>
      <c r="C493" t="s">
        <v>636</v>
      </c>
      <c r="E493" t="s">
        <v>2</v>
      </c>
      <c r="F493">
        <v>961455891</v>
      </c>
      <c r="G493" t="s">
        <v>2</v>
      </c>
      <c r="H493" t="s">
        <v>4</v>
      </c>
      <c r="I493" t="s">
        <v>383</v>
      </c>
      <c r="J493" t="s">
        <v>2</v>
      </c>
      <c r="K493" t="s">
        <v>383</v>
      </c>
      <c r="L493" t="s">
        <v>37</v>
      </c>
      <c r="M493" s="1">
        <v>44933</v>
      </c>
      <c r="N493" t="s">
        <v>8</v>
      </c>
      <c r="O493" s="14">
        <v>240</v>
      </c>
      <c r="P493" t="s">
        <v>9</v>
      </c>
      <c r="Q493" t="s">
        <v>10</v>
      </c>
      <c r="R493" t="s">
        <v>22</v>
      </c>
      <c r="T493" t="s">
        <v>1151</v>
      </c>
      <c r="U493" t="s">
        <v>1127</v>
      </c>
      <c r="V493">
        <v>8</v>
      </c>
      <c r="W493" t="s">
        <v>1135</v>
      </c>
      <c r="X493" s="9"/>
      <c r="Y493" s="9"/>
      <c r="Z493" t="s">
        <v>1136</v>
      </c>
    </row>
    <row r="494" spans="1:26">
      <c r="A494">
        <v>493</v>
      </c>
      <c r="B494" t="s">
        <v>12</v>
      </c>
      <c r="C494" t="s">
        <v>637</v>
      </c>
      <c r="E494">
        <v>45752997</v>
      </c>
      <c r="F494">
        <v>968231634</v>
      </c>
      <c r="G494" t="s">
        <v>638</v>
      </c>
      <c r="H494" t="s">
        <v>514</v>
      </c>
      <c r="I494" t="s">
        <v>51</v>
      </c>
      <c r="J494" t="s">
        <v>29</v>
      </c>
      <c r="K494" t="s">
        <v>2</v>
      </c>
      <c r="L494" t="s">
        <v>268</v>
      </c>
      <c r="M494" s="1">
        <v>44933</v>
      </c>
      <c r="N494" t="s">
        <v>8</v>
      </c>
      <c r="O494">
        <v>380</v>
      </c>
      <c r="P494" t="s">
        <v>9</v>
      </c>
      <c r="Q494" t="s">
        <v>10</v>
      </c>
      <c r="R494" t="s">
        <v>22</v>
      </c>
      <c r="T494" t="s">
        <v>1092</v>
      </c>
      <c r="U494" t="s">
        <v>1093</v>
      </c>
      <c r="V494" s="3" t="s">
        <v>1044</v>
      </c>
      <c r="W494" t="s">
        <v>1148</v>
      </c>
      <c r="X494" s="9">
        <v>20</v>
      </c>
      <c r="Y494" s="9" t="s">
        <v>1065</v>
      </c>
      <c r="Z494" t="s">
        <v>1149</v>
      </c>
    </row>
    <row r="495" spans="1:26">
      <c r="A495">
        <v>494</v>
      </c>
      <c r="B495" t="str">
        <f t="shared" ref="B495:R495" si="144">B494</f>
        <v>FT</v>
      </c>
      <c r="C495" t="str">
        <f t="shared" si="144"/>
        <v>Harvin Alexis Cisneros Sánchez</v>
      </c>
      <c r="E495">
        <f t="shared" si="144"/>
        <v>45752997</v>
      </c>
      <c r="F495">
        <f t="shared" si="144"/>
        <v>968231634</v>
      </c>
      <c r="G495" t="str">
        <f t="shared" si="144"/>
        <v>FT F001-56</v>
      </c>
      <c r="H495" t="str">
        <f t="shared" si="144"/>
        <v>Piura</v>
      </c>
      <c r="I495" t="str">
        <f t="shared" si="144"/>
        <v>Sullana</v>
      </c>
      <c r="J495" t="str">
        <f t="shared" si="144"/>
        <v>Shalom</v>
      </c>
      <c r="K495" t="str">
        <f t="shared" si="144"/>
        <v>-</v>
      </c>
      <c r="L495" t="str">
        <f t="shared" si="144"/>
        <v>Aplicativo Web</v>
      </c>
      <c r="M495" s="1">
        <f t="shared" si="144"/>
        <v>44933</v>
      </c>
      <c r="N495" t="str">
        <f t="shared" si="144"/>
        <v>BCP</v>
      </c>
      <c r="O495" s="16">
        <v>30</v>
      </c>
      <c r="P495" t="str">
        <f t="shared" si="144"/>
        <v>Restaurante</v>
      </c>
      <c r="Q495" t="str">
        <f t="shared" si="144"/>
        <v>U</v>
      </c>
      <c r="R495" t="str">
        <f t="shared" si="144"/>
        <v>Sergio</v>
      </c>
      <c r="T495" t="s">
        <v>1134</v>
      </c>
      <c r="U495" t="s">
        <v>1115</v>
      </c>
      <c r="V495" s="3">
        <f t="shared" ref="V495" si="145">X494</f>
        <v>20</v>
      </c>
      <c r="W495" t="s">
        <v>1137</v>
      </c>
      <c r="X495" s="9"/>
      <c r="Y495" s="9"/>
      <c r="Z495" t="s">
        <v>1131</v>
      </c>
    </row>
    <row r="496" spans="1:26">
      <c r="A496">
        <v>495</v>
      </c>
      <c r="B496" t="s">
        <v>2</v>
      </c>
      <c r="C496" t="s">
        <v>639</v>
      </c>
      <c r="E496">
        <v>43583078</v>
      </c>
      <c r="F496">
        <v>917373144</v>
      </c>
      <c r="G496" t="s">
        <v>2</v>
      </c>
      <c r="H496" t="s">
        <v>65</v>
      </c>
      <c r="J496" t="s">
        <v>640</v>
      </c>
      <c r="K496" t="s">
        <v>2</v>
      </c>
      <c r="L496" t="s">
        <v>268</v>
      </c>
      <c r="M496" s="1">
        <v>44935</v>
      </c>
      <c r="N496" t="s">
        <v>8</v>
      </c>
      <c r="O496">
        <v>380</v>
      </c>
      <c r="P496" t="s">
        <v>30</v>
      </c>
      <c r="Q496" t="s">
        <v>10</v>
      </c>
      <c r="R496" t="s">
        <v>22</v>
      </c>
      <c r="T496" t="s">
        <v>1092</v>
      </c>
      <c r="U496" t="s">
        <v>1093</v>
      </c>
      <c r="V496" s="3" t="s">
        <v>1044</v>
      </c>
      <c r="W496" t="s">
        <v>1148</v>
      </c>
      <c r="X496" s="9">
        <v>10</v>
      </c>
      <c r="Y496" s="9" t="s">
        <v>1065</v>
      </c>
      <c r="Z496" t="s">
        <v>1149</v>
      </c>
    </row>
    <row r="497" spans="1:26">
      <c r="A497">
        <v>496</v>
      </c>
      <c r="B497" t="s">
        <v>2</v>
      </c>
      <c r="C497" t="s">
        <v>393</v>
      </c>
      <c r="E497" t="s">
        <v>2</v>
      </c>
      <c r="F497">
        <v>955440204</v>
      </c>
      <c r="G497" t="s">
        <v>2</v>
      </c>
      <c r="H497" t="s">
        <v>4</v>
      </c>
      <c r="I497" t="s">
        <v>144</v>
      </c>
      <c r="J497" t="s">
        <v>2</v>
      </c>
      <c r="K497" t="s">
        <v>144</v>
      </c>
      <c r="L497" t="s">
        <v>37</v>
      </c>
      <c r="M497" s="1">
        <v>44935</v>
      </c>
      <c r="N497" t="s">
        <v>56</v>
      </c>
      <c r="O497">
        <v>200</v>
      </c>
      <c r="P497" t="s">
        <v>52</v>
      </c>
      <c r="Q497" t="s">
        <v>10</v>
      </c>
      <c r="R497" t="s">
        <v>11</v>
      </c>
      <c r="T497" t="s">
        <v>1119</v>
      </c>
      <c r="U497" s="12" t="s">
        <v>1142</v>
      </c>
      <c r="V497" s="3" t="s">
        <v>1044</v>
      </c>
      <c r="W497" t="s">
        <v>1086</v>
      </c>
      <c r="X497" s="9">
        <v>8</v>
      </c>
      <c r="Y497" s="9" t="s">
        <v>1067</v>
      </c>
      <c r="Z497" t="s">
        <v>1141</v>
      </c>
    </row>
    <row r="498" spans="1:26">
      <c r="A498">
        <v>497</v>
      </c>
      <c r="B498" t="str">
        <f t="shared" ref="B498:J498" si="146">B497</f>
        <v>-</v>
      </c>
      <c r="C498" t="str">
        <f t="shared" si="146"/>
        <v>Marco Enrique Acosta Calderon</v>
      </c>
      <c r="E498" t="str">
        <f t="shared" si="146"/>
        <v>-</v>
      </c>
      <c r="F498">
        <f t="shared" si="146"/>
        <v>955440204</v>
      </c>
      <c r="G498" t="str">
        <f t="shared" si="146"/>
        <v>-</v>
      </c>
      <c r="H498" t="str">
        <f t="shared" si="146"/>
        <v>Lima</v>
      </c>
      <c r="I498" t="str">
        <f t="shared" si="146"/>
        <v>Ate</v>
      </c>
      <c r="J498" t="str">
        <f t="shared" si="146"/>
        <v>-</v>
      </c>
      <c r="K498" t="str">
        <f t="shared" ref="K498:R498" si="147">K497</f>
        <v>Ate</v>
      </c>
      <c r="L498" t="str">
        <f t="shared" si="147"/>
        <v>Redes sociales</v>
      </c>
      <c r="M498" s="1">
        <f t="shared" si="147"/>
        <v>44935</v>
      </c>
      <c r="N498" t="str">
        <f t="shared" si="147"/>
        <v>Interbank</v>
      </c>
      <c r="O498" s="14">
        <v>10</v>
      </c>
      <c r="P498" t="s">
        <v>52</v>
      </c>
      <c r="Q498" t="str">
        <f t="shared" si="147"/>
        <v>U</v>
      </c>
      <c r="R498" t="str">
        <f t="shared" si="147"/>
        <v>Rodrigo</v>
      </c>
      <c r="T498" t="s">
        <v>1073</v>
      </c>
      <c r="U498" t="s">
        <v>1125</v>
      </c>
      <c r="V498" s="3">
        <v>1</v>
      </c>
      <c r="W498" t="str">
        <f t="shared" ref="W498" si="148">Y497</f>
        <v>Monederos</v>
      </c>
      <c r="X498" s="9"/>
      <c r="Y498" s="9"/>
      <c r="Z498" t="s">
        <v>1141</v>
      </c>
    </row>
    <row r="499" spans="1:26">
      <c r="A499">
        <v>498</v>
      </c>
      <c r="B499" t="str">
        <f t="shared" ref="B499:N499" si="149">B498</f>
        <v>-</v>
      </c>
      <c r="C499" t="str">
        <f t="shared" si="149"/>
        <v>Marco Enrique Acosta Calderon</v>
      </c>
      <c r="E499" t="str">
        <f t="shared" si="149"/>
        <v>-</v>
      </c>
      <c r="F499">
        <f t="shared" si="149"/>
        <v>955440204</v>
      </c>
      <c r="G499" t="str">
        <f t="shared" si="149"/>
        <v>-</v>
      </c>
      <c r="H499" t="str">
        <f t="shared" si="149"/>
        <v>Lima</v>
      </c>
      <c r="I499" t="str">
        <f t="shared" si="149"/>
        <v>Ate</v>
      </c>
      <c r="J499" t="str">
        <f t="shared" si="149"/>
        <v>-</v>
      </c>
      <c r="K499" t="str">
        <f t="shared" si="149"/>
        <v>Ate</v>
      </c>
      <c r="L499" t="str">
        <f t="shared" si="149"/>
        <v>Redes sociales</v>
      </c>
      <c r="M499" s="1">
        <f t="shared" si="149"/>
        <v>44935</v>
      </c>
      <c r="N499" t="str">
        <f t="shared" si="149"/>
        <v>Interbank</v>
      </c>
      <c r="O499" s="14">
        <v>200</v>
      </c>
      <c r="P499" t="s">
        <v>52</v>
      </c>
      <c r="Q499" t="str">
        <f>Q498</f>
        <v>U</v>
      </c>
      <c r="R499" t="str">
        <f>R498</f>
        <v>Rodrigo</v>
      </c>
      <c r="T499" t="s">
        <v>1107</v>
      </c>
      <c r="U499" t="s">
        <v>1107</v>
      </c>
      <c r="V499">
        <v>1</v>
      </c>
      <c r="W499" t="s">
        <v>1140</v>
      </c>
      <c r="Z499" t="s">
        <v>1138</v>
      </c>
    </row>
    <row r="500" spans="1:26">
      <c r="A500">
        <v>499</v>
      </c>
      <c r="B500" t="s">
        <v>12</v>
      </c>
      <c r="C500" t="s">
        <v>641</v>
      </c>
      <c r="E500">
        <v>45461616</v>
      </c>
      <c r="F500">
        <v>968245635</v>
      </c>
      <c r="G500" t="s">
        <v>642</v>
      </c>
      <c r="H500" t="s">
        <v>514</v>
      </c>
      <c r="I500" t="s">
        <v>643</v>
      </c>
      <c r="J500" t="s">
        <v>644</v>
      </c>
      <c r="K500" t="s">
        <v>2</v>
      </c>
      <c r="L500" t="s">
        <v>37</v>
      </c>
      <c r="M500" s="1">
        <v>44936</v>
      </c>
      <c r="N500" t="s">
        <v>8</v>
      </c>
      <c r="O500" s="2">
        <v>1120</v>
      </c>
      <c r="P500" t="s">
        <v>1076</v>
      </c>
      <c r="Q500" t="s">
        <v>10</v>
      </c>
      <c r="R500" t="s">
        <v>22</v>
      </c>
      <c r="T500" t="s">
        <v>1082</v>
      </c>
      <c r="U500" t="s">
        <v>1099</v>
      </c>
      <c r="V500" s="3" t="s">
        <v>1046</v>
      </c>
      <c r="W500" t="s">
        <v>1146</v>
      </c>
      <c r="X500" s="9" t="s">
        <v>2</v>
      </c>
      <c r="Y500" s="9" t="s">
        <v>2</v>
      </c>
      <c r="Z500" t="s">
        <v>1143</v>
      </c>
    </row>
    <row r="501" spans="1:26">
      <c r="A501">
        <v>500</v>
      </c>
      <c r="B501" t="s">
        <v>2</v>
      </c>
      <c r="C501" t="s">
        <v>589</v>
      </c>
      <c r="E501">
        <v>48357413</v>
      </c>
      <c r="F501">
        <v>948624123</v>
      </c>
      <c r="G501" t="s">
        <v>2</v>
      </c>
      <c r="H501" t="s">
        <v>423</v>
      </c>
      <c r="I501" t="s">
        <v>36</v>
      </c>
      <c r="J501" t="s">
        <v>147</v>
      </c>
      <c r="K501" t="s">
        <v>2</v>
      </c>
      <c r="L501" t="s">
        <v>268</v>
      </c>
      <c r="M501" s="1">
        <v>44937</v>
      </c>
      <c r="N501" t="s">
        <v>8</v>
      </c>
      <c r="O501" s="14">
        <v>180</v>
      </c>
      <c r="P501" t="s">
        <v>30</v>
      </c>
      <c r="Q501" t="s">
        <v>10</v>
      </c>
      <c r="R501" t="s">
        <v>22</v>
      </c>
      <c r="T501" t="s">
        <v>1151</v>
      </c>
      <c r="U501" t="s">
        <v>1127</v>
      </c>
      <c r="V501" s="3" t="s">
        <v>1050</v>
      </c>
      <c r="W501" t="s">
        <v>1135</v>
      </c>
      <c r="X501" s="9" t="s">
        <v>2</v>
      </c>
      <c r="Y501" s="9" t="s">
        <v>2</v>
      </c>
      <c r="Z501" t="s">
        <v>1136</v>
      </c>
    </row>
    <row r="502" spans="1:26">
      <c r="A502">
        <v>501</v>
      </c>
      <c r="B502" t="s">
        <v>2</v>
      </c>
      <c r="C502" t="s">
        <v>645</v>
      </c>
      <c r="E502" t="s">
        <v>2</v>
      </c>
      <c r="F502">
        <v>949772683</v>
      </c>
      <c r="G502" t="s">
        <v>2</v>
      </c>
      <c r="H502" t="s">
        <v>4</v>
      </c>
      <c r="I502" t="s">
        <v>244</v>
      </c>
      <c r="J502" t="s">
        <v>2</v>
      </c>
      <c r="K502" t="s">
        <v>646</v>
      </c>
      <c r="L502" t="s">
        <v>7</v>
      </c>
      <c r="M502" s="1">
        <v>44938</v>
      </c>
      <c r="N502" t="s">
        <v>21</v>
      </c>
      <c r="O502">
        <v>200</v>
      </c>
      <c r="P502" t="s">
        <v>134</v>
      </c>
      <c r="Q502" t="s">
        <v>10</v>
      </c>
      <c r="R502" t="s">
        <v>22</v>
      </c>
      <c r="T502" t="s">
        <v>1082</v>
      </c>
      <c r="U502" t="s">
        <v>1099</v>
      </c>
      <c r="V502" s="3" t="s">
        <v>1044</v>
      </c>
      <c r="W502" t="s">
        <v>1146</v>
      </c>
      <c r="X502" s="9">
        <v>10</v>
      </c>
      <c r="Y502" s="9" t="s">
        <v>1068</v>
      </c>
      <c r="Z502" t="s">
        <v>1143</v>
      </c>
    </row>
    <row r="503" spans="1:26">
      <c r="A503">
        <v>502</v>
      </c>
      <c r="B503" t="s">
        <v>12</v>
      </c>
      <c r="C503" t="s">
        <v>647</v>
      </c>
      <c r="E503">
        <v>20606086459</v>
      </c>
      <c r="F503">
        <v>913004278</v>
      </c>
      <c r="G503" t="s">
        <v>648</v>
      </c>
      <c r="H503" t="s">
        <v>4</v>
      </c>
      <c r="I503" t="s">
        <v>329</v>
      </c>
      <c r="J503" t="s">
        <v>2</v>
      </c>
      <c r="K503" t="s">
        <v>329</v>
      </c>
      <c r="L503" t="s">
        <v>268</v>
      </c>
      <c r="M503" s="1">
        <v>44938</v>
      </c>
      <c r="N503" t="s">
        <v>8</v>
      </c>
      <c r="O503">
        <v>875</v>
      </c>
      <c r="P503" t="s">
        <v>30</v>
      </c>
      <c r="Q503" t="s">
        <v>10</v>
      </c>
      <c r="R503" t="s">
        <v>22</v>
      </c>
      <c r="T503" t="s">
        <v>1082</v>
      </c>
      <c r="U503" t="s">
        <v>1099</v>
      </c>
      <c r="V503" s="3" t="s">
        <v>1046</v>
      </c>
      <c r="W503" t="s">
        <v>1146</v>
      </c>
      <c r="X503" s="9" t="s">
        <v>2</v>
      </c>
      <c r="Y503" s="9" t="s">
        <v>2</v>
      </c>
      <c r="Z503" t="s">
        <v>1143</v>
      </c>
    </row>
    <row r="504" spans="1:26">
      <c r="A504">
        <v>503</v>
      </c>
      <c r="B504" t="s">
        <v>2</v>
      </c>
      <c r="C504" t="s">
        <v>649</v>
      </c>
      <c r="E504">
        <v>45767810</v>
      </c>
      <c r="F504">
        <v>917715467</v>
      </c>
      <c r="G504" t="s">
        <v>2</v>
      </c>
      <c r="H504" t="s">
        <v>1043</v>
      </c>
      <c r="J504" t="s">
        <v>29</v>
      </c>
      <c r="K504" t="s">
        <v>2</v>
      </c>
      <c r="L504" t="s">
        <v>268</v>
      </c>
      <c r="M504" s="1">
        <v>44939</v>
      </c>
      <c r="N504" t="s">
        <v>38</v>
      </c>
      <c r="O504">
        <v>320</v>
      </c>
      <c r="P504" t="s">
        <v>9</v>
      </c>
      <c r="Q504" t="s">
        <v>10</v>
      </c>
      <c r="R504" t="s">
        <v>11</v>
      </c>
      <c r="T504" t="s">
        <v>1082</v>
      </c>
      <c r="U504" t="s">
        <v>1104</v>
      </c>
      <c r="V504" s="3" t="s">
        <v>1044</v>
      </c>
      <c r="W504" t="s">
        <v>1146</v>
      </c>
      <c r="X504" s="9">
        <v>20</v>
      </c>
      <c r="Y504" s="9" t="s">
        <v>1065</v>
      </c>
      <c r="Z504" t="s">
        <v>1143</v>
      </c>
    </row>
    <row r="505" spans="1:26">
      <c r="A505">
        <v>504</v>
      </c>
      <c r="B505" t="str">
        <f t="shared" ref="B505:N505" si="150">B504</f>
        <v>-</v>
      </c>
      <c r="C505" t="str">
        <f t="shared" si="150"/>
        <v>Carlos Oblitas Santos</v>
      </c>
      <c r="E505">
        <f t="shared" si="150"/>
        <v>45767810</v>
      </c>
      <c r="F505">
        <f t="shared" si="150"/>
        <v>917715467</v>
      </c>
      <c r="G505" t="str">
        <f t="shared" si="150"/>
        <v>-</v>
      </c>
      <c r="H505" t="str">
        <f t="shared" si="150"/>
        <v>Amazonas</v>
      </c>
      <c r="J505" t="str">
        <f t="shared" si="150"/>
        <v>Shalom</v>
      </c>
      <c r="K505" t="str">
        <f t="shared" si="150"/>
        <v>-</v>
      </c>
      <c r="L505" t="str">
        <f t="shared" si="150"/>
        <v>Aplicativo Web</v>
      </c>
      <c r="M505" s="1">
        <f t="shared" si="150"/>
        <v>44939</v>
      </c>
      <c r="N505" t="str">
        <f t="shared" si="150"/>
        <v>BBVA</v>
      </c>
      <c r="O505" s="16">
        <v>50</v>
      </c>
      <c r="P505" t="str">
        <f t="shared" ref="P505:R505" si="151">P504</f>
        <v>Restaurante</v>
      </c>
      <c r="Q505" t="str">
        <f t="shared" si="151"/>
        <v>U</v>
      </c>
      <c r="R505" t="str">
        <f t="shared" si="151"/>
        <v>Rodrigo</v>
      </c>
      <c r="T505" t="s">
        <v>1134</v>
      </c>
      <c r="U505" t="s">
        <v>1115</v>
      </c>
      <c r="V505" s="3">
        <f t="shared" ref="V505" si="152">X504</f>
        <v>20</v>
      </c>
      <c r="W505" t="s">
        <v>1137</v>
      </c>
      <c r="X505" s="9"/>
      <c r="Y505" s="9"/>
      <c r="Z505" t="s">
        <v>1131</v>
      </c>
    </row>
    <row r="506" spans="1:26">
      <c r="A506">
        <v>505</v>
      </c>
      <c r="B506" t="s">
        <v>2</v>
      </c>
      <c r="C506" t="s">
        <v>650</v>
      </c>
      <c r="E506">
        <v>77136223</v>
      </c>
      <c r="F506">
        <v>968830029</v>
      </c>
      <c r="G506" t="s">
        <v>2</v>
      </c>
      <c r="H506" t="s">
        <v>514</v>
      </c>
      <c r="I506" t="s">
        <v>651</v>
      </c>
      <c r="J506" t="s">
        <v>29</v>
      </c>
      <c r="K506" t="s">
        <v>2</v>
      </c>
      <c r="L506" t="s">
        <v>37</v>
      </c>
      <c r="M506" s="1">
        <v>44939</v>
      </c>
      <c r="N506" t="s">
        <v>8</v>
      </c>
      <c r="O506">
        <v>200</v>
      </c>
      <c r="P506" t="s">
        <v>30</v>
      </c>
      <c r="Q506" t="s">
        <v>10</v>
      </c>
      <c r="R506" t="s">
        <v>22</v>
      </c>
      <c r="T506" t="s">
        <v>1082</v>
      </c>
      <c r="U506" t="s">
        <v>1099</v>
      </c>
      <c r="V506" s="3" t="s">
        <v>1044</v>
      </c>
      <c r="W506" t="s">
        <v>1146</v>
      </c>
      <c r="X506" s="9">
        <v>10</v>
      </c>
      <c r="Y506" s="9" t="s">
        <v>1068</v>
      </c>
      <c r="Z506" t="s">
        <v>1143</v>
      </c>
    </row>
    <row r="507" spans="1:26">
      <c r="A507">
        <v>506</v>
      </c>
      <c r="B507" t="s">
        <v>2</v>
      </c>
      <c r="C507" t="s">
        <v>652</v>
      </c>
      <c r="E507" t="s">
        <v>2</v>
      </c>
      <c r="F507">
        <v>940261581</v>
      </c>
      <c r="G507" t="s">
        <v>2</v>
      </c>
      <c r="H507" t="s">
        <v>355</v>
      </c>
      <c r="J507" t="s">
        <v>29</v>
      </c>
      <c r="K507" t="s">
        <v>2</v>
      </c>
      <c r="L507" t="s">
        <v>268</v>
      </c>
      <c r="M507" s="1">
        <v>44939</v>
      </c>
      <c r="N507" t="s">
        <v>38</v>
      </c>
      <c r="O507">
        <v>950</v>
      </c>
      <c r="P507" t="s">
        <v>30</v>
      </c>
      <c r="Q507" t="s">
        <v>10</v>
      </c>
      <c r="R507" t="s">
        <v>22</v>
      </c>
      <c r="T507" t="s">
        <v>1092</v>
      </c>
      <c r="U507" t="s">
        <v>1100</v>
      </c>
      <c r="V507" s="3" t="s">
        <v>1048</v>
      </c>
      <c r="W507" t="s">
        <v>1146</v>
      </c>
      <c r="X507" s="9">
        <v>10</v>
      </c>
      <c r="Y507" s="9" t="s">
        <v>1068</v>
      </c>
      <c r="Z507" t="s">
        <v>1144</v>
      </c>
    </row>
    <row r="508" spans="1:26">
      <c r="A508">
        <v>507</v>
      </c>
      <c r="B508" t="s">
        <v>12</v>
      </c>
      <c r="C508" t="s">
        <v>653</v>
      </c>
      <c r="E508">
        <v>25703614</v>
      </c>
      <c r="F508">
        <v>942442353</v>
      </c>
      <c r="G508" t="s">
        <v>654</v>
      </c>
      <c r="H508" t="s">
        <v>423</v>
      </c>
      <c r="J508" t="s">
        <v>29</v>
      </c>
      <c r="K508" t="s">
        <v>2</v>
      </c>
      <c r="L508" t="s">
        <v>268</v>
      </c>
      <c r="M508" s="1">
        <v>44939</v>
      </c>
      <c r="N508" t="s">
        <v>8</v>
      </c>
      <c r="O508" s="2">
        <f>1140-O509-O510</f>
        <v>820</v>
      </c>
      <c r="P508" t="s">
        <v>234</v>
      </c>
      <c r="Q508" t="s">
        <v>10</v>
      </c>
      <c r="R508" t="s">
        <v>11</v>
      </c>
      <c r="T508" t="s">
        <v>1092</v>
      </c>
      <c r="U508" t="s">
        <v>1093</v>
      </c>
      <c r="V508" s="3">
        <v>2</v>
      </c>
      <c r="W508" t="s">
        <v>1148</v>
      </c>
      <c r="X508" s="9">
        <v>1</v>
      </c>
      <c r="Y508" s="9" t="s">
        <v>1085</v>
      </c>
      <c r="Z508" t="s">
        <v>1149</v>
      </c>
    </row>
    <row r="509" spans="1:26">
      <c r="A509">
        <v>508</v>
      </c>
      <c r="B509" t="str">
        <f t="shared" ref="B509:N510" si="153">B508</f>
        <v>FT</v>
      </c>
      <c r="C509" t="str">
        <f t="shared" si="153"/>
        <v>Pesantes Peña Saraluz</v>
      </c>
      <c r="E509">
        <f t="shared" si="153"/>
        <v>25703614</v>
      </c>
      <c r="F509">
        <f t="shared" si="153"/>
        <v>942442353</v>
      </c>
      <c r="G509" t="str">
        <f t="shared" si="153"/>
        <v>FT F001-61</v>
      </c>
      <c r="H509" t="str">
        <f t="shared" si="153"/>
        <v>San Martin</v>
      </c>
      <c r="J509" t="str">
        <f t="shared" si="153"/>
        <v>Shalom</v>
      </c>
      <c r="K509" t="str">
        <f t="shared" si="153"/>
        <v>-</v>
      </c>
      <c r="L509" t="str">
        <f t="shared" si="153"/>
        <v>Aplicativo Web</v>
      </c>
      <c r="M509" s="1">
        <f t="shared" si="153"/>
        <v>44939</v>
      </c>
      <c r="N509" t="str">
        <f t="shared" si="153"/>
        <v>BCP</v>
      </c>
      <c r="O509" s="2">
        <v>240</v>
      </c>
      <c r="P509" t="str">
        <f t="shared" ref="P509:R510" si="154">P508</f>
        <v>Farmacia</v>
      </c>
      <c r="Q509" t="str">
        <f t="shared" si="154"/>
        <v>U</v>
      </c>
      <c r="R509" t="str">
        <f t="shared" si="154"/>
        <v>Rodrigo</v>
      </c>
      <c r="T509" t="s">
        <v>1118</v>
      </c>
      <c r="U509" t="s">
        <v>1117</v>
      </c>
      <c r="V509" s="3">
        <v>1</v>
      </c>
      <c r="W509" t="str">
        <f t="shared" ref="W509" si="155">Y508</f>
        <v>Gaveta de dinero 3 billeteros</v>
      </c>
      <c r="X509" s="9"/>
      <c r="Y509" s="9"/>
      <c r="Z509" t="s">
        <v>1141</v>
      </c>
    </row>
    <row r="510" spans="1:26">
      <c r="A510">
        <v>509</v>
      </c>
      <c r="B510" t="str">
        <f t="shared" si="153"/>
        <v>FT</v>
      </c>
      <c r="C510" t="str">
        <f t="shared" si="153"/>
        <v>Pesantes Peña Saraluz</v>
      </c>
      <c r="E510">
        <f t="shared" si="153"/>
        <v>25703614</v>
      </c>
      <c r="F510">
        <f t="shared" si="153"/>
        <v>942442353</v>
      </c>
      <c r="G510" t="str">
        <f t="shared" si="153"/>
        <v>FT F001-61</v>
      </c>
      <c r="H510" t="str">
        <f t="shared" si="153"/>
        <v>San Martin</v>
      </c>
      <c r="J510" t="str">
        <f t="shared" si="153"/>
        <v>Shalom</v>
      </c>
      <c r="K510" t="str">
        <f t="shared" si="153"/>
        <v>-</v>
      </c>
      <c r="L510" t="str">
        <f t="shared" si="153"/>
        <v>Aplicativo Web</v>
      </c>
      <c r="M510" s="1">
        <f t="shared" si="153"/>
        <v>44939</v>
      </c>
      <c r="N510" t="str">
        <f t="shared" si="153"/>
        <v>BCP</v>
      </c>
      <c r="O510" s="14">
        <v>80</v>
      </c>
      <c r="P510" t="str">
        <f t="shared" si="154"/>
        <v>Farmacia</v>
      </c>
      <c r="Q510" t="str">
        <f t="shared" si="154"/>
        <v>U</v>
      </c>
      <c r="R510" t="str">
        <f t="shared" si="154"/>
        <v>Rodrigo</v>
      </c>
      <c r="T510" t="s">
        <v>1073</v>
      </c>
      <c r="U510" t="s">
        <v>1125</v>
      </c>
      <c r="V510">
        <v>4</v>
      </c>
      <c r="W510" t="s">
        <v>1073</v>
      </c>
      <c r="X510" s="9"/>
      <c r="Y510" s="9"/>
      <c r="Z510" t="s">
        <v>1141</v>
      </c>
    </row>
    <row r="511" spans="1:26">
      <c r="A511">
        <v>510</v>
      </c>
      <c r="B511" t="s">
        <v>2</v>
      </c>
      <c r="C511" t="s">
        <v>655</v>
      </c>
      <c r="E511" t="s">
        <v>2</v>
      </c>
      <c r="F511">
        <v>981665607</v>
      </c>
      <c r="G511" t="s">
        <v>2</v>
      </c>
      <c r="H511" t="s">
        <v>4</v>
      </c>
      <c r="I511" t="s">
        <v>90</v>
      </c>
      <c r="J511" t="s">
        <v>2</v>
      </c>
      <c r="K511" t="s">
        <v>90</v>
      </c>
      <c r="L511" t="s">
        <v>37</v>
      </c>
      <c r="M511" s="1">
        <v>44940</v>
      </c>
      <c r="N511" t="s">
        <v>8</v>
      </c>
      <c r="O511">
        <v>450</v>
      </c>
      <c r="P511" t="s">
        <v>30</v>
      </c>
      <c r="Q511" t="s">
        <v>10</v>
      </c>
      <c r="R511" t="s">
        <v>22</v>
      </c>
      <c r="T511" t="s">
        <v>1092</v>
      </c>
      <c r="U511" t="s">
        <v>1101</v>
      </c>
      <c r="V511" s="3" t="s">
        <v>1044</v>
      </c>
      <c r="W511" t="s">
        <v>1146</v>
      </c>
      <c r="X511" s="9" t="s">
        <v>2</v>
      </c>
      <c r="Y511" s="9" t="s">
        <v>2</v>
      </c>
      <c r="Z511" t="s">
        <v>1143</v>
      </c>
    </row>
    <row r="512" spans="1:26">
      <c r="A512">
        <v>511</v>
      </c>
      <c r="B512" t="s">
        <v>60</v>
      </c>
      <c r="C512" t="s">
        <v>656</v>
      </c>
      <c r="E512">
        <v>70509720</v>
      </c>
      <c r="F512">
        <v>916365248</v>
      </c>
      <c r="G512" t="s">
        <v>657</v>
      </c>
      <c r="H512" t="s">
        <v>48</v>
      </c>
      <c r="J512" t="s">
        <v>29</v>
      </c>
      <c r="K512" t="s">
        <v>2</v>
      </c>
      <c r="L512" t="s">
        <v>37</v>
      </c>
      <c r="M512" s="1">
        <v>44940</v>
      </c>
      <c r="N512" t="s">
        <v>8</v>
      </c>
      <c r="O512" s="2">
        <f>1440-O513-O514</f>
        <v>880</v>
      </c>
      <c r="P512" t="s">
        <v>234</v>
      </c>
      <c r="Q512" t="s">
        <v>10</v>
      </c>
      <c r="R512" t="s">
        <v>11</v>
      </c>
      <c r="T512" t="s">
        <v>1092</v>
      </c>
      <c r="U512" t="s">
        <v>1095</v>
      </c>
      <c r="V512" s="3">
        <v>2</v>
      </c>
      <c r="W512" t="s">
        <v>1145</v>
      </c>
      <c r="X512" s="9">
        <v>2</v>
      </c>
      <c r="Y512" s="9" t="s">
        <v>1085</v>
      </c>
      <c r="Z512" t="s">
        <v>1143</v>
      </c>
    </row>
    <row r="513" spans="1:26">
      <c r="A513">
        <v>512</v>
      </c>
      <c r="B513" t="str">
        <f t="shared" ref="B513:N514" si="156">B512</f>
        <v>RH</v>
      </c>
      <c r="C513" t="str">
        <f t="shared" si="156"/>
        <v>Kely Maribel Ito Mendoza</v>
      </c>
      <c r="E513">
        <f t="shared" si="156"/>
        <v>70509720</v>
      </c>
      <c r="F513">
        <f t="shared" si="156"/>
        <v>916365248</v>
      </c>
      <c r="G513" t="str">
        <f t="shared" si="156"/>
        <v>RH E001-81</v>
      </c>
      <c r="H513" t="str">
        <f t="shared" si="156"/>
        <v>Puno</v>
      </c>
      <c r="J513" t="str">
        <f t="shared" si="156"/>
        <v>Shalom</v>
      </c>
      <c r="K513" t="str">
        <f t="shared" si="156"/>
        <v>-</v>
      </c>
      <c r="L513" t="str">
        <f t="shared" si="156"/>
        <v>Redes sociales</v>
      </c>
      <c r="M513" s="1">
        <f t="shared" si="156"/>
        <v>44940</v>
      </c>
      <c r="N513" t="str">
        <f t="shared" si="156"/>
        <v>BCP</v>
      </c>
      <c r="O513" s="2">
        <v>480</v>
      </c>
      <c r="P513" t="str">
        <f t="shared" ref="P513:R514" si="157">P512</f>
        <v>Farmacia</v>
      </c>
      <c r="Q513" t="str">
        <f t="shared" si="157"/>
        <v>U</v>
      </c>
      <c r="R513" t="str">
        <f t="shared" si="157"/>
        <v>Rodrigo</v>
      </c>
      <c r="T513" t="s">
        <v>1118</v>
      </c>
      <c r="U513" t="s">
        <v>1117</v>
      </c>
      <c r="V513" s="3">
        <f>X512</f>
        <v>2</v>
      </c>
      <c r="W513" t="str">
        <f t="shared" ref="W513" si="158">Y512</f>
        <v>Gaveta de dinero 3 billeteros</v>
      </c>
      <c r="X513" s="9"/>
      <c r="Y513" s="9"/>
      <c r="Z513" t="s">
        <v>1141</v>
      </c>
    </row>
    <row r="514" spans="1:26">
      <c r="A514">
        <v>513</v>
      </c>
      <c r="B514" t="str">
        <f t="shared" si="156"/>
        <v>RH</v>
      </c>
      <c r="C514" t="str">
        <f t="shared" si="156"/>
        <v>Kely Maribel Ito Mendoza</v>
      </c>
      <c r="E514">
        <f t="shared" si="156"/>
        <v>70509720</v>
      </c>
      <c r="F514">
        <f t="shared" si="156"/>
        <v>916365248</v>
      </c>
      <c r="G514" t="str">
        <f t="shared" si="156"/>
        <v>RH E001-81</v>
      </c>
      <c r="H514" t="str">
        <f t="shared" si="156"/>
        <v>Puno</v>
      </c>
      <c r="J514" t="str">
        <f t="shared" si="156"/>
        <v>Shalom</v>
      </c>
      <c r="K514" t="str">
        <f t="shared" si="156"/>
        <v>-</v>
      </c>
      <c r="L514" t="str">
        <f t="shared" si="156"/>
        <v>Redes sociales</v>
      </c>
      <c r="M514" s="1">
        <f t="shared" si="156"/>
        <v>44940</v>
      </c>
      <c r="N514" t="str">
        <f t="shared" si="156"/>
        <v>BCP</v>
      </c>
      <c r="O514" s="14">
        <v>80</v>
      </c>
      <c r="P514" t="str">
        <f t="shared" si="157"/>
        <v>Farmacia</v>
      </c>
      <c r="Q514" t="str">
        <f t="shared" si="157"/>
        <v>U</v>
      </c>
      <c r="R514" t="str">
        <f t="shared" si="157"/>
        <v>Rodrigo</v>
      </c>
      <c r="T514" t="s">
        <v>1073</v>
      </c>
      <c r="U514" t="s">
        <v>1125</v>
      </c>
      <c r="V514">
        <v>4</v>
      </c>
      <c r="W514" t="s">
        <v>1073</v>
      </c>
      <c r="X514" s="9"/>
      <c r="Y514" s="9"/>
      <c r="Z514" t="s">
        <v>1141</v>
      </c>
    </row>
    <row r="515" spans="1:26">
      <c r="A515">
        <v>514</v>
      </c>
      <c r="B515" t="s">
        <v>2</v>
      </c>
      <c r="C515" t="s">
        <v>658</v>
      </c>
      <c r="E515">
        <v>28068552</v>
      </c>
      <c r="F515">
        <v>925633050</v>
      </c>
      <c r="G515" t="s">
        <v>2</v>
      </c>
      <c r="H515" t="s">
        <v>423</v>
      </c>
      <c r="J515" t="s">
        <v>178</v>
      </c>
      <c r="K515" t="s">
        <v>2</v>
      </c>
      <c r="L515" t="s">
        <v>37</v>
      </c>
      <c r="M515" s="1">
        <v>44940</v>
      </c>
      <c r="N515" t="s">
        <v>38</v>
      </c>
      <c r="O515">
        <v>460</v>
      </c>
      <c r="P515" t="s">
        <v>30</v>
      </c>
      <c r="Q515" t="s">
        <v>10</v>
      </c>
      <c r="R515" t="s">
        <v>11</v>
      </c>
      <c r="T515" t="s">
        <v>1092</v>
      </c>
      <c r="U515" t="s">
        <v>1094</v>
      </c>
      <c r="V515" s="3" t="s">
        <v>1044</v>
      </c>
      <c r="W515" t="s">
        <v>1148</v>
      </c>
      <c r="X515" s="9">
        <v>10</v>
      </c>
      <c r="Y515" s="9" t="s">
        <v>1083</v>
      </c>
      <c r="Z515" t="s">
        <v>1149</v>
      </c>
    </row>
    <row r="516" spans="1:26">
      <c r="A516">
        <v>515</v>
      </c>
      <c r="B516" t="str">
        <f t="shared" ref="B516:N516" si="159">B515</f>
        <v>-</v>
      </c>
      <c r="C516" t="str">
        <f t="shared" si="159"/>
        <v>Mestanza Nauca Willian Irael</v>
      </c>
      <c r="E516">
        <f t="shared" si="159"/>
        <v>28068552</v>
      </c>
      <c r="F516">
        <f t="shared" si="159"/>
        <v>925633050</v>
      </c>
      <c r="G516" t="str">
        <f t="shared" si="159"/>
        <v>-</v>
      </c>
      <c r="H516" t="str">
        <f t="shared" si="159"/>
        <v>San Martin</v>
      </c>
      <c r="J516" t="str">
        <f t="shared" si="159"/>
        <v>Tarapoto Courier</v>
      </c>
      <c r="K516" t="str">
        <f t="shared" si="159"/>
        <v>-</v>
      </c>
      <c r="L516" t="str">
        <f t="shared" si="159"/>
        <v>Redes sociales</v>
      </c>
      <c r="M516" s="1">
        <f t="shared" si="159"/>
        <v>44940</v>
      </c>
      <c r="N516" t="str">
        <f t="shared" si="159"/>
        <v>BBVA</v>
      </c>
      <c r="O516" s="14">
        <v>100</v>
      </c>
      <c r="P516" t="str">
        <f t="shared" ref="P516:R516" si="160">P515</f>
        <v>Otros</v>
      </c>
      <c r="Q516" t="str">
        <f t="shared" si="160"/>
        <v>U</v>
      </c>
      <c r="R516" t="str">
        <f t="shared" si="160"/>
        <v>Rodrigo</v>
      </c>
      <c r="T516" t="s">
        <v>1133</v>
      </c>
      <c r="U516" t="s">
        <v>1114</v>
      </c>
      <c r="V516" s="3">
        <f t="shared" ref="V516" si="161">X515</f>
        <v>10</v>
      </c>
      <c r="W516" t="s">
        <v>1132</v>
      </c>
      <c r="X516" s="9"/>
      <c r="Y516" s="9"/>
      <c r="Z516" t="s">
        <v>1131</v>
      </c>
    </row>
    <row r="517" spans="1:26">
      <c r="A517">
        <v>516</v>
      </c>
      <c r="B517" t="s">
        <v>2</v>
      </c>
      <c r="C517" t="s">
        <v>659</v>
      </c>
      <c r="D517" t="s">
        <v>2</v>
      </c>
      <c r="E517">
        <v>73984728</v>
      </c>
      <c r="F517">
        <v>975023866</v>
      </c>
      <c r="G517" t="s">
        <v>2</v>
      </c>
      <c r="H517" t="s">
        <v>552</v>
      </c>
      <c r="J517" t="s">
        <v>147</v>
      </c>
      <c r="K517" t="s">
        <v>2</v>
      </c>
      <c r="L517" t="s">
        <v>268</v>
      </c>
      <c r="M517" s="1">
        <v>44942</v>
      </c>
      <c r="N517" t="s">
        <v>8</v>
      </c>
      <c r="O517">
        <v>189</v>
      </c>
      <c r="P517" t="s">
        <v>30</v>
      </c>
      <c r="Q517" t="s">
        <v>10</v>
      </c>
      <c r="R517" t="s">
        <v>22</v>
      </c>
      <c r="T517" t="s">
        <v>1082</v>
      </c>
      <c r="U517" t="s">
        <v>1099</v>
      </c>
      <c r="V517" s="3" t="s">
        <v>1044</v>
      </c>
      <c r="W517" t="s">
        <v>1146</v>
      </c>
      <c r="X517" s="9">
        <v>10</v>
      </c>
      <c r="Y517" s="9" t="s">
        <v>1068</v>
      </c>
      <c r="Z517" t="s">
        <v>1143</v>
      </c>
    </row>
    <row r="518" spans="1:26">
      <c r="A518">
        <v>517</v>
      </c>
      <c r="B518" t="str">
        <f t="shared" ref="B518:N518" si="162">B517</f>
        <v>-</v>
      </c>
      <c r="C518" t="str">
        <f t="shared" si="162"/>
        <v>Carlos Franco Cabanillas Roque</v>
      </c>
      <c r="E518">
        <f t="shared" si="162"/>
        <v>73984728</v>
      </c>
      <c r="F518">
        <f t="shared" si="162"/>
        <v>975023866</v>
      </c>
      <c r="G518" t="str">
        <f t="shared" si="162"/>
        <v>-</v>
      </c>
      <c r="H518" t="str">
        <f t="shared" si="162"/>
        <v>Tumbes</v>
      </c>
      <c r="J518" t="str">
        <f t="shared" si="162"/>
        <v>Marvisur</v>
      </c>
      <c r="K518" t="str">
        <f t="shared" si="162"/>
        <v>-</v>
      </c>
      <c r="L518" t="str">
        <f t="shared" si="162"/>
        <v>Aplicativo Web</v>
      </c>
      <c r="M518" s="1">
        <f t="shared" si="162"/>
        <v>44942</v>
      </c>
      <c r="N518" t="str">
        <f t="shared" si="162"/>
        <v>BCP</v>
      </c>
      <c r="O518" s="14">
        <v>10</v>
      </c>
      <c r="P518" t="str">
        <f t="shared" ref="P518:R518" si="163">P517</f>
        <v>Otros</v>
      </c>
      <c r="Q518" t="str">
        <f t="shared" si="163"/>
        <v>U</v>
      </c>
      <c r="R518" t="str">
        <f t="shared" si="163"/>
        <v>Sergio</v>
      </c>
      <c r="T518" t="s">
        <v>1134</v>
      </c>
      <c r="U518" t="s">
        <v>1116</v>
      </c>
      <c r="V518" s="3">
        <f>X517</f>
        <v>10</v>
      </c>
      <c r="W518" t="s">
        <v>1137</v>
      </c>
      <c r="X518" s="9"/>
      <c r="Y518" s="9"/>
      <c r="Z518" t="s">
        <v>1131</v>
      </c>
    </row>
    <row r="519" spans="1:26">
      <c r="A519">
        <v>518</v>
      </c>
      <c r="B519" t="s">
        <v>2</v>
      </c>
      <c r="C519" t="s">
        <v>660</v>
      </c>
      <c r="E519" t="s">
        <v>2</v>
      </c>
      <c r="F519">
        <v>938184084</v>
      </c>
      <c r="G519" t="s">
        <v>2</v>
      </c>
      <c r="H519" t="s">
        <v>4</v>
      </c>
      <c r="I519" t="s">
        <v>661</v>
      </c>
      <c r="J519" t="s">
        <v>2</v>
      </c>
      <c r="K519" t="s">
        <v>661</v>
      </c>
      <c r="L519" t="s">
        <v>37</v>
      </c>
      <c r="M519" s="1">
        <v>44942</v>
      </c>
      <c r="N519" t="s">
        <v>21</v>
      </c>
      <c r="O519">
        <v>310</v>
      </c>
      <c r="P519" t="s">
        <v>234</v>
      </c>
      <c r="Q519" t="s">
        <v>10</v>
      </c>
      <c r="R519" t="s">
        <v>22</v>
      </c>
      <c r="T519" t="s">
        <v>1082</v>
      </c>
      <c r="U519" t="s">
        <v>1104</v>
      </c>
      <c r="V519" s="3" t="s">
        <v>1044</v>
      </c>
      <c r="W519" t="s">
        <v>1145</v>
      </c>
      <c r="X519" s="9">
        <v>10</v>
      </c>
      <c r="Y519" s="9" t="s">
        <v>1065</v>
      </c>
      <c r="Z519" t="s">
        <v>1143</v>
      </c>
    </row>
    <row r="520" spans="1:26">
      <c r="A520">
        <v>519</v>
      </c>
      <c r="B520" t="str">
        <f t="shared" ref="B520:N520" si="164">B519</f>
        <v>-</v>
      </c>
      <c r="C520" t="str">
        <f t="shared" si="164"/>
        <v>Teodocio</v>
      </c>
      <c r="E520" t="str">
        <f t="shared" si="164"/>
        <v>-</v>
      </c>
      <c r="F520">
        <f t="shared" si="164"/>
        <v>938184084</v>
      </c>
      <c r="G520" t="str">
        <f t="shared" si="164"/>
        <v>-</v>
      </c>
      <c r="H520" t="str">
        <f t="shared" si="164"/>
        <v>Lima</v>
      </c>
      <c r="I520" t="str">
        <f t="shared" si="164"/>
        <v xml:space="preserve">San Miguel </v>
      </c>
      <c r="J520" t="str">
        <f t="shared" si="164"/>
        <v>-</v>
      </c>
      <c r="K520" t="str">
        <f t="shared" si="164"/>
        <v xml:space="preserve">San Miguel </v>
      </c>
      <c r="L520" t="str">
        <f t="shared" si="164"/>
        <v>Redes sociales</v>
      </c>
      <c r="M520" s="1">
        <f t="shared" si="164"/>
        <v>44942</v>
      </c>
      <c r="N520" t="str">
        <f t="shared" si="164"/>
        <v>Efectivo</v>
      </c>
      <c r="O520" s="16">
        <v>20</v>
      </c>
      <c r="P520" t="str">
        <f t="shared" ref="P520:R520" si="165">P519</f>
        <v>Farmacia</v>
      </c>
      <c r="Q520" t="str">
        <f t="shared" si="165"/>
        <v>U</v>
      </c>
      <c r="R520" t="str">
        <f t="shared" si="165"/>
        <v>Sergio</v>
      </c>
      <c r="T520" t="s">
        <v>1134</v>
      </c>
      <c r="U520" t="s">
        <v>1115</v>
      </c>
      <c r="V520" s="3">
        <f t="shared" ref="V520" si="166">X519</f>
        <v>10</v>
      </c>
      <c r="W520" t="s">
        <v>1137</v>
      </c>
      <c r="X520" s="9"/>
      <c r="Y520" s="9"/>
      <c r="Z520" t="s">
        <v>1131</v>
      </c>
    </row>
    <row r="521" spans="1:26">
      <c r="A521">
        <v>520</v>
      </c>
      <c r="B521" t="s">
        <v>12</v>
      </c>
      <c r="C521" t="s">
        <v>662</v>
      </c>
      <c r="D521">
        <v>20607638404</v>
      </c>
      <c r="E521" t="s">
        <v>2</v>
      </c>
      <c r="F521">
        <v>982598416</v>
      </c>
      <c r="G521" t="s">
        <v>663</v>
      </c>
      <c r="H521" t="s">
        <v>4</v>
      </c>
      <c r="I521" t="s">
        <v>90</v>
      </c>
      <c r="J521" t="s">
        <v>2</v>
      </c>
      <c r="K521" t="s">
        <v>664</v>
      </c>
      <c r="L521" t="s">
        <v>37</v>
      </c>
      <c r="M521" s="1">
        <v>44942</v>
      </c>
      <c r="N521" t="s">
        <v>21</v>
      </c>
      <c r="O521">
        <v>310</v>
      </c>
      <c r="P521" t="s">
        <v>541</v>
      </c>
      <c r="Q521" t="s">
        <v>10</v>
      </c>
      <c r="R521" t="s">
        <v>22</v>
      </c>
      <c r="T521" t="s">
        <v>1082</v>
      </c>
      <c r="U521" t="s">
        <v>1104</v>
      </c>
      <c r="V521" s="3" t="s">
        <v>1044</v>
      </c>
      <c r="W521" t="s">
        <v>1145</v>
      </c>
      <c r="X521" s="9">
        <v>10</v>
      </c>
      <c r="Y521" s="9" t="s">
        <v>1065</v>
      </c>
      <c r="Z521" t="s">
        <v>1143</v>
      </c>
    </row>
    <row r="522" spans="1:26">
      <c r="A522">
        <v>521</v>
      </c>
      <c r="B522" t="str">
        <f t="shared" ref="B522:N522" si="167">B521</f>
        <v>FT</v>
      </c>
      <c r="C522" t="str">
        <f t="shared" si="167"/>
        <v>Transporte Interprovincial Sandoval &amp; C EIRL</v>
      </c>
      <c r="D522">
        <f t="shared" si="167"/>
        <v>20607638404</v>
      </c>
      <c r="E522" t="str">
        <f t="shared" si="167"/>
        <v>-</v>
      </c>
      <c r="F522">
        <f t="shared" si="167"/>
        <v>982598416</v>
      </c>
      <c r="G522" t="str">
        <f t="shared" si="167"/>
        <v>FT F001-62</v>
      </c>
      <c r="H522" t="str">
        <f t="shared" si="167"/>
        <v>Lima</v>
      </c>
      <c r="I522" t="str">
        <f t="shared" si="167"/>
        <v>La victoria</v>
      </c>
      <c r="J522" t="str">
        <f t="shared" si="167"/>
        <v>-</v>
      </c>
      <c r="K522" t="str">
        <f t="shared" si="167"/>
        <v>La Victoria 28 de julio</v>
      </c>
      <c r="L522" t="str">
        <f t="shared" si="167"/>
        <v>Redes sociales</v>
      </c>
      <c r="M522" s="1">
        <f t="shared" si="167"/>
        <v>44942</v>
      </c>
      <c r="N522" t="str">
        <f t="shared" si="167"/>
        <v>Efectivo</v>
      </c>
      <c r="O522" s="16">
        <v>20</v>
      </c>
      <c r="P522" t="str">
        <f t="shared" ref="P522:R522" si="168">P521</f>
        <v>Salón de Belleza</v>
      </c>
      <c r="Q522" t="str">
        <f t="shared" si="168"/>
        <v>U</v>
      </c>
      <c r="R522" t="str">
        <f t="shared" si="168"/>
        <v>Sergio</v>
      </c>
      <c r="T522" t="s">
        <v>1134</v>
      </c>
      <c r="U522" t="s">
        <v>1115</v>
      </c>
      <c r="V522" s="3">
        <f t="shared" ref="V522" si="169">X521</f>
        <v>10</v>
      </c>
      <c r="W522" t="s">
        <v>1137</v>
      </c>
      <c r="X522" s="9"/>
      <c r="Y522" s="9"/>
      <c r="Z522" t="s">
        <v>1131</v>
      </c>
    </row>
    <row r="523" spans="1:26">
      <c r="A523">
        <v>522</v>
      </c>
      <c r="B523" t="s">
        <v>12</v>
      </c>
      <c r="C523" t="s">
        <v>665</v>
      </c>
      <c r="D523">
        <v>20609952033</v>
      </c>
      <c r="E523">
        <v>73943441</v>
      </c>
      <c r="F523">
        <v>936217535</v>
      </c>
      <c r="G523" t="s">
        <v>666</v>
      </c>
      <c r="H523" t="s">
        <v>846</v>
      </c>
      <c r="I523" t="s">
        <v>667</v>
      </c>
      <c r="J523" t="s">
        <v>29</v>
      </c>
      <c r="K523" t="s">
        <v>2</v>
      </c>
      <c r="L523" t="s">
        <v>268</v>
      </c>
      <c r="M523" s="1">
        <v>44942</v>
      </c>
      <c r="N523" t="s">
        <v>668</v>
      </c>
      <c r="O523">
        <v>470</v>
      </c>
      <c r="P523" t="s">
        <v>30</v>
      </c>
      <c r="Q523" t="s">
        <v>10</v>
      </c>
      <c r="R523" t="s">
        <v>11</v>
      </c>
      <c r="T523" t="s">
        <v>1092</v>
      </c>
      <c r="U523" t="s">
        <v>1095</v>
      </c>
      <c r="V523" s="3">
        <v>1</v>
      </c>
      <c r="W523" t="s">
        <v>1145</v>
      </c>
      <c r="X523" s="9">
        <v>10</v>
      </c>
      <c r="Y523" s="9" t="s">
        <v>1083</v>
      </c>
      <c r="Z523" t="s">
        <v>1143</v>
      </c>
    </row>
    <row r="524" spans="1:26">
      <c r="A524">
        <v>523</v>
      </c>
      <c r="B524" t="str">
        <f t="shared" ref="B524:N524" si="170">B523</f>
        <v>FT</v>
      </c>
      <c r="C524" t="str">
        <f t="shared" si="170"/>
        <v>Janely Xiomy Flores Shuan</v>
      </c>
      <c r="D524">
        <f t="shared" si="170"/>
        <v>20609952033</v>
      </c>
      <c r="E524">
        <f t="shared" si="170"/>
        <v>73943441</v>
      </c>
      <c r="F524">
        <f t="shared" si="170"/>
        <v>936217535</v>
      </c>
      <c r="G524" t="str">
        <f t="shared" si="170"/>
        <v>FT F001-63</v>
      </c>
      <c r="H524" t="str">
        <f t="shared" si="170"/>
        <v>Ancash</v>
      </c>
      <c r="I524" t="str">
        <f t="shared" si="170"/>
        <v>Huaraz-Ancash</v>
      </c>
      <c r="J524" t="str">
        <f t="shared" si="170"/>
        <v>Shalom</v>
      </c>
      <c r="K524" t="str">
        <f t="shared" si="170"/>
        <v>-</v>
      </c>
      <c r="L524" t="str">
        <f t="shared" si="170"/>
        <v>Aplicativo Web</v>
      </c>
      <c r="M524" s="1">
        <f t="shared" si="170"/>
        <v>44942</v>
      </c>
      <c r="N524" t="str">
        <f t="shared" si="170"/>
        <v>interbank</v>
      </c>
      <c r="O524" s="14">
        <v>80</v>
      </c>
      <c r="P524" t="str">
        <f t="shared" ref="P524:R524" si="171">P523</f>
        <v>Otros</v>
      </c>
      <c r="Q524" t="str">
        <f t="shared" si="171"/>
        <v>U</v>
      </c>
      <c r="R524" t="str">
        <f t="shared" si="171"/>
        <v>Rodrigo</v>
      </c>
      <c r="T524" t="s">
        <v>1133</v>
      </c>
      <c r="U524" t="s">
        <v>1114</v>
      </c>
      <c r="V524" s="3">
        <v>40</v>
      </c>
      <c r="W524" t="s">
        <v>1132</v>
      </c>
      <c r="X524" s="9"/>
      <c r="Y524" s="9"/>
      <c r="Z524" t="s">
        <v>1131</v>
      </c>
    </row>
    <row r="525" spans="1:26">
      <c r="A525">
        <v>524</v>
      </c>
      <c r="B525" t="s">
        <v>2</v>
      </c>
      <c r="C525" t="s">
        <v>669</v>
      </c>
      <c r="E525" t="s">
        <v>2</v>
      </c>
      <c r="F525">
        <v>979797816</v>
      </c>
      <c r="G525" t="s">
        <v>2</v>
      </c>
      <c r="H525" t="s">
        <v>4</v>
      </c>
      <c r="I525" t="s">
        <v>244</v>
      </c>
      <c r="J525" t="s">
        <v>2</v>
      </c>
      <c r="K525" t="s">
        <v>670</v>
      </c>
      <c r="L525" t="s">
        <v>7</v>
      </c>
      <c r="M525" s="1">
        <v>44944</v>
      </c>
      <c r="N525" t="s">
        <v>21</v>
      </c>
      <c r="O525">
        <v>740</v>
      </c>
      <c r="P525" t="s">
        <v>30</v>
      </c>
      <c r="Q525" t="s">
        <v>10</v>
      </c>
      <c r="R525" t="s">
        <v>11</v>
      </c>
      <c r="T525" t="s">
        <v>1092</v>
      </c>
      <c r="U525" t="s">
        <v>1093</v>
      </c>
      <c r="V525" s="3">
        <v>2</v>
      </c>
      <c r="W525" t="s">
        <v>1148</v>
      </c>
      <c r="X525" s="9">
        <v>80</v>
      </c>
      <c r="Y525" s="9" t="s">
        <v>1065</v>
      </c>
      <c r="Z525" t="s">
        <v>1149</v>
      </c>
    </row>
    <row r="526" spans="1:26">
      <c r="A526">
        <v>525</v>
      </c>
      <c r="B526" t="str">
        <f t="shared" ref="B526:N526" si="172">B525</f>
        <v>-</v>
      </c>
      <c r="C526" t="str">
        <f t="shared" si="172"/>
        <v>Tania</v>
      </c>
      <c r="E526" t="str">
        <f t="shared" si="172"/>
        <v>-</v>
      </c>
      <c r="F526">
        <f t="shared" si="172"/>
        <v>979797816</v>
      </c>
      <c r="G526" t="str">
        <f t="shared" si="172"/>
        <v>-</v>
      </c>
      <c r="H526" t="str">
        <f t="shared" si="172"/>
        <v>Lima</v>
      </c>
      <c r="I526" t="str">
        <f t="shared" si="172"/>
        <v>Comas</v>
      </c>
      <c r="J526" t="str">
        <f t="shared" si="172"/>
        <v>-</v>
      </c>
      <c r="K526" t="str">
        <f t="shared" si="172"/>
        <v>Comas-En paradero Puno</v>
      </c>
      <c r="L526" t="str">
        <f t="shared" si="172"/>
        <v>Oficina</v>
      </c>
      <c r="M526" s="1">
        <f t="shared" si="172"/>
        <v>44944</v>
      </c>
      <c r="N526" t="str">
        <f t="shared" si="172"/>
        <v>Efectivo</v>
      </c>
      <c r="O526" s="16">
        <v>20</v>
      </c>
      <c r="P526" t="str">
        <f t="shared" ref="P526:R526" si="173">P525</f>
        <v>Otros</v>
      </c>
      <c r="Q526" t="str">
        <f t="shared" si="173"/>
        <v>U</v>
      </c>
      <c r="R526" t="str">
        <f t="shared" si="173"/>
        <v>Rodrigo</v>
      </c>
      <c r="T526" t="s">
        <v>1134</v>
      </c>
      <c r="U526" t="s">
        <v>1115</v>
      </c>
      <c r="V526" s="3">
        <v>8</v>
      </c>
      <c r="W526" t="s">
        <v>1137</v>
      </c>
      <c r="X526" s="9"/>
      <c r="Y526" s="9"/>
      <c r="Z526" t="s">
        <v>1131</v>
      </c>
    </row>
    <row r="527" spans="1:26" ht="15" customHeight="1">
      <c r="A527">
        <v>526</v>
      </c>
      <c r="B527" t="s">
        <v>2</v>
      </c>
      <c r="C527" t="s">
        <v>671</v>
      </c>
      <c r="E527">
        <v>74176679</v>
      </c>
      <c r="F527">
        <v>926080637</v>
      </c>
      <c r="G527" t="s">
        <v>2</v>
      </c>
      <c r="H527" t="s">
        <v>4</v>
      </c>
      <c r="I527" t="s">
        <v>244</v>
      </c>
      <c r="J527" t="s">
        <v>2</v>
      </c>
      <c r="K527" t="s">
        <v>7</v>
      </c>
      <c r="L527" t="s">
        <v>7</v>
      </c>
      <c r="M527" s="1">
        <v>44944</v>
      </c>
      <c r="N527" t="s">
        <v>21</v>
      </c>
      <c r="O527">
        <v>200</v>
      </c>
      <c r="P527" t="s">
        <v>9</v>
      </c>
      <c r="Q527" t="s">
        <v>10</v>
      </c>
      <c r="R527" t="s">
        <v>22</v>
      </c>
      <c r="T527" t="s">
        <v>1082</v>
      </c>
      <c r="U527" t="s">
        <v>1099</v>
      </c>
      <c r="V527" s="3" t="s">
        <v>1044</v>
      </c>
      <c r="W527" t="s">
        <v>1146</v>
      </c>
      <c r="X527" s="9">
        <v>10</v>
      </c>
      <c r="Y527" s="9" t="s">
        <v>1069</v>
      </c>
      <c r="Z527" t="s">
        <v>1143</v>
      </c>
    </row>
    <row r="528" spans="1:26">
      <c r="A528">
        <v>527</v>
      </c>
      <c r="B528" t="s">
        <v>12</v>
      </c>
      <c r="C528" t="s">
        <v>672</v>
      </c>
      <c r="E528" t="s">
        <v>2</v>
      </c>
      <c r="F528">
        <v>960222975</v>
      </c>
      <c r="G528" t="s">
        <v>673</v>
      </c>
      <c r="H528" t="s">
        <v>4</v>
      </c>
      <c r="I528" t="s">
        <v>107</v>
      </c>
      <c r="J528" t="s">
        <v>2</v>
      </c>
      <c r="K528" t="s">
        <v>674</v>
      </c>
      <c r="L528" t="s">
        <v>37</v>
      </c>
      <c r="M528" s="1">
        <v>44945</v>
      </c>
      <c r="N528" t="s">
        <v>8</v>
      </c>
      <c r="O528">
        <v>440</v>
      </c>
      <c r="P528" t="s">
        <v>9</v>
      </c>
      <c r="Q528" t="s">
        <v>10</v>
      </c>
      <c r="R528" t="s">
        <v>11</v>
      </c>
      <c r="T528" t="s">
        <v>1092</v>
      </c>
      <c r="U528" t="s">
        <v>1096</v>
      </c>
      <c r="V528" s="3">
        <v>1</v>
      </c>
      <c r="W528" t="s">
        <v>1148</v>
      </c>
      <c r="X528" s="9" t="s">
        <v>2</v>
      </c>
      <c r="Y528" s="9" t="s">
        <v>2</v>
      </c>
      <c r="Z528" t="s">
        <v>1149</v>
      </c>
    </row>
    <row r="529" spans="1:26">
      <c r="A529">
        <v>528</v>
      </c>
      <c r="B529" t="s">
        <v>23</v>
      </c>
      <c r="C529" t="s">
        <v>493</v>
      </c>
      <c r="E529">
        <v>10101613246</v>
      </c>
      <c r="F529">
        <v>941569887</v>
      </c>
      <c r="G529" t="s">
        <v>2</v>
      </c>
      <c r="H529" t="s">
        <v>4</v>
      </c>
      <c r="I529" t="s">
        <v>244</v>
      </c>
      <c r="J529" t="s">
        <v>2</v>
      </c>
      <c r="K529" t="s">
        <v>244</v>
      </c>
      <c r="L529" t="s">
        <v>7</v>
      </c>
      <c r="M529" s="1">
        <v>44946</v>
      </c>
      <c r="N529" t="s">
        <v>21</v>
      </c>
      <c r="O529">
        <v>430</v>
      </c>
      <c r="P529" t="s">
        <v>134</v>
      </c>
      <c r="Q529" t="s">
        <v>10</v>
      </c>
      <c r="R529" t="s">
        <v>22</v>
      </c>
      <c r="T529" t="s">
        <v>1092</v>
      </c>
      <c r="U529" t="s">
        <v>1096</v>
      </c>
      <c r="V529" s="3">
        <v>1</v>
      </c>
      <c r="W529" t="s">
        <v>1148</v>
      </c>
      <c r="X529" s="9">
        <v>30</v>
      </c>
      <c r="Y529" s="9" t="s">
        <v>1065</v>
      </c>
      <c r="Z529" t="s">
        <v>1149</v>
      </c>
    </row>
    <row r="530" spans="1:26">
      <c r="A530">
        <v>529</v>
      </c>
      <c r="B530" t="s">
        <v>12</v>
      </c>
      <c r="C530" t="s">
        <v>672</v>
      </c>
      <c r="E530" t="s">
        <v>2</v>
      </c>
      <c r="F530">
        <v>960222975</v>
      </c>
      <c r="G530" t="s">
        <v>675</v>
      </c>
      <c r="H530" t="s">
        <v>4</v>
      </c>
      <c r="I530" t="s">
        <v>107</v>
      </c>
      <c r="J530" t="s">
        <v>2</v>
      </c>
      <c r="K530" t="s">
        <v>674</v>
      </c>
      <c r="L530" t="s">
        <v>37</v>
      </c>
      <c r="M530" s="1">
        <v>44946</v>
      </c>
      <c r="N530" t="s">
        <v>8</v>
      </c>
      <c r="O530">
        <v>130</v>
      </c>
      <c r="P530" t="s">
        <v>30</v>
      </c>
      <c r="Q530" t="s">
        <v>10</v>
      </c>
      <c r="R530" t="s">
        <v>11</v>
      </c>
      <c r="T530" t="s">
        <v>1133</v>
      </c>
      <c r="U530" t="s">
        <v>1114</v>
      </c>
      <c r="V530" s="3">
        <v>20</v>
      </c>
      <c r="W530" t="s">
        <v>1132</v>
      </c>
      <c r="X530" s="9" t="s">
        <v>2</v>
      </c>
      <c r="Y530" s="9" t="s">
        <v>2</v>
      </c>
      <c r="Z530" t="s">
        <v>1131</v>
      </c>
    </row>
    <row r="531" spans="1:26">
      <c r="A531">
        <v>530</v>
      </c>
      <c r="B531" t="s">
        <v>2</v>
      </c>
      <c r="C531" t="s">
        <v>676</v>
      </c>
      <c r="E531">
        <v>71807200</v>
      </c>
      <c r="F531">
        <v>934867846</v>
      </c>
      <c r="G531" t="s">
        <v>2</v>
      </c>
      <c r="H531" t="s">
        <v>241</v>
      </c>
      <c r="J531" t="s">
        <v>158</v>
      </c>
      <c r="K531" t="s">
        <v>2</v>
      </c>
      <c r="L531" t="s">
        <v>268</v>
      </c>
      <c r="M531" s="1">
        <v>44947</v>
      </c>
      <c r="N531" t="s">
        <v>8</v>
      </c>
      <c r="O531">
        <v>200</v>
      </c>
      <c r="P531" t="s">
        <v>30</v>
      </c>
      <c r="Q531" t="s">
        <v>10</v>
      </c>
      <c r="R531" t="s">
        <v>22</v>
      </c>
      <c r="T531" t="s">
        <v>1082</v>
      </c>
      <c r="U531" t="s">
        <v>1099</v>
      </c>
      <c r="V531" s="3" t="s">
        <v>1044</v>
      </c>
      <c r="W531" t="s">
        <v>1146</v>
      </c>
      <c r="X531" s="9">
        <v>10</v>
      </c>
      <c r="Y531" s="9" t="s">
        <v>1069</v>
      </c>
      <c r="Z531" t="s">
        <v>1143</v>
      </c>
    </row>
    <row r="532" spans="1:26">
      <c r="A532">
        <v>531</v>
      </c>
      <c r="B532" t="s">
        <v>2</v>
      </c>
      <c r="C532" t="s">
        <v>677</v>
      </c>
      <c r="E532">
        <v>43361573</v>
      </c>
      <c r="F532">
        <v>994825357</v>
      </c>
      <c r="G532" t="s">
        <v>2</v>
      </c>
      <c r="H532" t="s">
        <v>423</v>
      </c>
      <c r="J532" t="s">
        <v>29</v>
      </c>
      <c r="K532" t="s">
        <v>2</v>
      </c>
      <c r="L532" t="s">
        <v>268</v>
      </c>
      <c r="M532" s="1">
        <v>44949</v>
      </c>
      <c r="N532" t="s">
        <v>8</v>
      </c>
      <c r="O532">
        <v>465</v>
      </c>
      <c r="P532" t="s">
        <v>234</v>
      </c>
      <c r="Q532" t="s">
        <v>10</v>
      </c>
      <c r="R532" t="s">
        <v>22</v>
      </c>
      <c r="T532" t="s">
        <v>1092</v>
      </c>
      <c r="U532" t="s">
        <v>1105</v>
      </c>
      <c r="V532" s="3" t="s">
        <v>1044</v>
      </c>
      <c r="W532" t="s">
        <v>1148</v>
      </c>
      <c r="X532" s="9">
        <v>10</v>
      </c>
      <c r="Y532" s="9" t="s">
        <v>1064</v>
      </c>
      <c r="Z532" t="s">
        <v>1149</v>
      </c>
    </row>
    <row r="533" spans="1:26">
      <c r="A533">
        <v>532</v>
      </c>
      <c r="B533" t="str">
        <f t="shared" ref="B533:N533" si="174">B532</f>
        <v>-</v>
      </c>
      <c r="C533" t="str">
        <f t="shared" si="174"/>
        <v>Aida Ayme Rodriguez Cortez</v>
      </c>
      <c r="E533">
        <f t="shared" si="174"/>
        <v>43361573</v>
      </c>
      <c r="F533">
        <f t="shared" si="174"/>
        <v>994825357</v>
      </c>
      <c r="G533" t="str">
        <f t="shared" si="174"/>
        <v>-</v>
      </c>
      <c r="H533" t="str">
        <f t="shared" si="174"/>
        <v>San Martin</v>
      </c>
      <c r="J533" t="str">
        <f t="shared" si="174"/>
        <v>Shalom</v>
      </c>
      <c r="K533" t="str">
        <f t="shared" si="174"/>
        <v>-</v>
      </c>
      <c r="L533" t="str">
        <f t="shared" si="174"/>
        <v>Aplicativo Web</v>
      </c>
      <c r="M533" s="1">
        <f t="shared" si="174"/>
        <v>44949</v>
      </c>
      <c r="N533" t="str">
        <f t="shared" si="174"/>
        <v>BCP</v>
      </c>
      <c r="O533" s="14">
        <v>20</v>
      </c>
      <c r="P533" t="str">
        <f t="shared" ref="P533:R533" si="175">P532</f>
        <v>Farmacia</v>
      </c>
      <c r="Q533" t="str">
        <f t="shared" si="175"/>
        <v>U</v>
      </c>
      <c r="R533" t="str">
        <f t="shared" si="175"/>
        <v>Sergio</v>
      </c>
      <c r="T533" t="s">
        <v>1133</v>
      </c>
      <c r="U533" t="s">
        <v>1115</v>
      </c>
      <c r="V533" s="3">
        <f>X532</f>
        <v>10</v>
      </c>
      <c r="W533" t="s">
        <v>1132</v>
      </c>
      <c r="X533" s="9"/>
      <c r="Y533" s="9"/>
      <c r="Z533" t="s">
        <v>1131</v>
      </c>
    </row>
    <row r="534" spans="1:26">
      <c r="A534">
        <v>533</v>
      </c>
      <c r="B534" t="s">
        <v>12</v>
      </c>
      <c r="C534" t="s">
        <v>522</v>
      </c>
      <c r="D534">
        <v>10439601201</v>
      </c>
      <c r="E534">
        <v>43960120</v>
      </c>
      <c r="F534">
        <v>991844209</v>
      </c>
      <c r="G534" t="s">
        <v>678</v>
      </c>
      <c r="H534" t="s">
        <v>4</v>
      </c>
      <c r="I534" t="s">
        <v>58</v>
      </c>
      <c r="J534" t="s">
        <v>2</v>
      </c>
      <c r="K534" t="s">
        <v>524</v>
      </c>
      <c r="L534" t="s">
        <v>268</v>
      </c>
      <c r="M534" s="1">
        <v>44949</v>
      </c>
      <c r="N534" t="s">
        <v>21</v>
      </c>
      <c r="O534">
        <v>480</v>
      </c>
      <c r="P534" t="s">
        <v>216</v>
      </c>
      <c r="Q534" t="s">
        <v>10</v>
      </c>
      <c r="R534" t="s">
        <v>22</v>
      </c>
      <c r="T534" t="s">
        <v>1092</v>
      </c>
      <c r="U534" t="s">
        <v>1093</v>
      </c>
      <c r="V534" s="3">
        <v>1</v>
      </c>
      <c r="W534" t="s">
        <v>1148</v>
      </c>
      <c r="X534" s="9">
        <v>10</v>
      </c>
      <c r="Y534" s="9" t="s">
        <v>1083</v>
      </c>
      <c r="Z534" t="s">
        <v>1149</v>
      </c>
    </row>
    <row r="535" spans="1:26">
      <c r="A535">
        <v>534</v>
      </c>
      <c r="B535" t="str">
        <f t="shared" ref="B535:N535" si="176">B534</f>
        <v>FT</v>
      </c>
      <c r="C535" t="str">
        <f t="shared" si="176"/>
        <v>Rubi Santos</v>
      </c>
      <c r="D535">
        <f t="shared" si="176"/>
        <v>10439601201</v>
      </c>
      <c r="E535">
        <f t="shared" si="176"/>
        <v>43960120</v>
      </c>
      <c r="F535">
        <f t="shared" si="176"/>
        <v>991844209</v>
      </c>
      <c r="G535" t="str">
        <f t="shared" si="176"/>
        <v>FT F001-67</v>
      </c>
      <c r="H535" t="str">
        <f t="shared" si="176"/>
        <v>Lima</v>
      </c>
      <c r="I535" t="str">
        <f t="shared" si="176"/>
        <v>Olivos</v>
      </c>
      <c r="J535" t="str">
        <f t="shared" si="176"/>
        <v>-</v>
      </c>
      <c r="K535" t="str">
        <f t="shared" si="176"/>
        <v>Mercado unicachi de pro</v>
      </c>
      <c r="L535" t="str">
        <f t="shared" si="176"/>
        <v>Aplicativo Web</v>
      </c>
      <c r="M535" s="1">
        <f t="shared" si="176"/>
        <v>44949</v>
      </c>
      <c r="N535" t="str">
        <f t="shared" si="176"/>
        <v>Efectivo</v>
      </c>
      <c r="O535" s="14">
        <v>40</v>
      </c>
      <c r="P535" t="str">
        <f t="shared" ref="P535:R535" si="177">P534</f>
        <v>Polleria</v>
      </c>
      <c r="Q535" t="str">
        <f t="shared" si="177"/>
        <v>U</v>
      </c>
      <c r="R535" t="str">
        <f t="shared" si="177"/>
        <v>Sergio</v>
      </c>
      <c r="T535" t="s">
        <v>1133</v>
      </c>
      <c r="U535" t="s">
        <v>1114</v>
      </c>
      <c r="V535" s="3">
        <v>2</v>
      </c>
      <c r="W535" t="s">
        <v>1132</v>
      </c>
      <c r="X535" s="9"/>
      <c r="Y535" s="9"/>
      <c r="Z535" t="s">
        <v>1131</v>
      </c>
    </row>
    <row r="536" spans="1:26">
      <c r="A536">
        <v>535</v>
      </c>
      <c r="B536" t="s">
        <v>12</v>
      </c>
      <c r="C536" t="s">
        <v>679</v>
      </c>
      <c r="D536">
        <v>20609935678</v>
      </c>
      <c r="E536" t="s">
        <v>2</v>
      </c>
      <c r="F536">
        <v>900134413</v>
      </c>
      <c r="G536" t="s">
        <v>680</v>
      </c>
      <c r="H536" t="s">
        <v>681</v>
      </c>
      <c r="J536" t="s">
        <v>682</v>
      </c>
      <c r="K536" t="s">
        <v>2</v>
      </c>
      <c r="L536" t="s">
        <v>37</v>
      </c>
      <c r="M536" s="1">
        <v>44949</v>
      </c>
      <c r="N536" t="s">
        <v>8</v>
      </c>
      <c r="O536">
        <v>640</v>
      </c>
      <c r="P536" t="s">
        <v>30</v>
      </c>
      <c r="Q536" t="s">
        <v>10</v>
      </c>
      <c r="R536" t="s">
        <v>22</v>
      </c>
      <c r="T536" t="s">
        <v>1092</v>
      </c>
      <c r="U536" t="s">
        <v>1105</v>
      </c>
      <c r="V536" s="3" t="s">
        <v>1044</v>
      </c>
      <c r="W536" t="s">
        <v>1148</v>
      </c>
      <c r="X536" s="9">
        <v>10</v>
      </c>
      <c r="Y536" s="9" t="s">
        <v>1083</v>
      </c>
      <c r="Z536" t="s">
        <v>1149</v>
      </c>
    </row>
    <row r="537" spans="1:26">
      <c r="A537">
        <v>536</v>
      </c>
      <c r="B537" t="s">
        <v>2</v>
      </c>
      <c r="C537" t="s">
        <v>683</v>
      </c>
      <c r="D537" t="s">
        <v>2</v>
      </c>
      <c r="E537">
        <v>42965665</v>
      </c>
      <c r="F537">
        <v>930318496</v>
      </c>
      <c r="G537" t="s">
        <v>2</v>
      </c>
      <c r="H537" t="s">
        <v>684</v>
      </c>
      <c r="J537" t="s">
        <v>685</v>
      </c>
      <c r="K537" t="s">
        <v>2</v>
      </c>
      <c r="L537" t="s">
        <v>268</v>
      </c>
      <c r="M537" s="1">
        <v>44952</v>
      </c>
      <c r="N537" t="s">
        <v>8</v>
      </c>
      <c r="O537">
        <v>430</v>
      </c>
      <c r="P537" t="s">
        <v>234</v>
      </c>
      <c r="Q537" t="s">
        <v>10</v>
      </c>
      <c r="R537" t="s">
        <v>22</v>
      </c>
      <c r="T537" t="s">
        <v>1092</v>
      </c>
      <c r="U537" t="s">
        <v>1096</v>
      </c>
      <c r="V537" s="3">
        <v>1</v>
      </c>
      <c r="W537" t="s">
        <v>1148</v>
      </c>
      <c r="X537" s="9" t="s">
        <v>2</v>
      </c>
      <c r="Y537" s="9"/>
      <c r="Z537" t="s">
        <v>1149</v>
      </c>
    </row>
    <row r="538" spans="1:26">
      <c r="A538">
        <v>537</v>
      </c>
      <c r="B538" t="s">
        <v>12</v>
      </c>
      <c r="C538" t="s">
        <v>686</v>
      </c>
      <c r="D538">
        <v>20608134841</v>
      </c>
      <c r="E538">
        <v>15667932</v>
      </c>
      <c r="F538">
        <v>953297276</v>
      </c>
      <c r="G538" t="s">
        <v>687</v>
      </c>
      <c r="H538" t="s">
        <v>4</v>
      </c>
      <c r="I538" t="s">
        <v>688</v>
      </c>
      <c r="J538" t="s">
        <v>29</v>
      </c>
      <c r="K538" t="s">
        <v>2</v>
      </c>
      <c r="L538" t="s">
        <v>268</v>
      </c>
      <c r="M538" s="1">
        <v>44952</v>
      </c>
      <c r="N538" t="s">
        <v>8</v>
      </c>
      <c r="O538">
        <v>435</v>
      </c>
      <c r="P538" t="s">
        <v>134</v>
      </c>
      <c r="Q538" t="s">
        <v>10</v>
      </c>
      <c r="R538" t="s">
        <v>22</v>
      </c>
      <c r="T538" t="s">
        <v>1092</v>
      </c>
      <c r="U538" t="s">
        <v>1096</v>
      </c>
      <c r="V538" s="3">
        <v>1</v>
      </c>
      <c r="W538" t="s">
        <v>1148</v>
      </c>
      <c r="X538" s="9">
        <v>10</v>
      </c>
      <c r="Y538" s="9" t="s">
        <v>1083</v>
      </c>
      <c r="Z538" t="s">
        <v>1149</v>
      </c>
    </row>
    <row r="539" spans="1:26">
      <c r="A539">
        <v>538</v>
      </c>
      <c r="B539" t="str">
        <f t="shared" ref="B539:N539" si="178">B538</f>
        <v>FT</v>
      </c>
      <c r="C539" t="str">
        <f t="shared" si="178"/>
        <v>Carlos Raymundo Tamayo Conde</v>
      </c>
      <c r="D539">
        <f t="shared" si="178"/>
        <v>20608134841</v>
      </c>
      <c r="E539">
        <f t="shared" si="178"/>
        <v>15667932</v>
      </c>
      <c r="F539">
        <f t="shared" si="178"/>
        <v>953297276</v>
      </c>
      <c r="G539" t="str">
        <f t="shared" si="178"/>
        <v>FT F001-70</v>
      </c>
      <c r="H539" t="str">
        <f t="shared" si="178"/>
        <v>Lima</v>
      </c>
      <c r="I539" t="str">
        <f t="shared" si="178"/>
        <v>Paramonga</v>
      </c>
      <c r="J539" t="str">
        <f t="shared" si="178"/>
        <v>Shalom</v>
      </c>
      <c r="K539" t="str">
        <f t="shared" si="178"/>
        <v>-</v>
      </c>
      <c r="L539" t="str">
        <f t="shared" si="178"/>
        <v>Aplicativo Web</v>
      </c>
      <c r="M539" s="1">
        <f t="shared" si="178"/>
        <v>44952</v>
      </c>
      <c r="N539" t="str">
        <f t="shared" si="178"/>
        <v>BCP</v>
      </c>
      <c r="O539" s="14">
        <v>60</v>
      </c>
      <c r="P539" t="str">
        <f t="shared" ref="P539:R539" si="179">P538</f>
        <v>Bodega</v>
      </c>
      <c r="Q539" t="str">
        <f t="shared" si="179"/>
        <v>U</v>
      </c>
      <c r="R539" t="str">
        <f t="shared" si="179"/>
        <v>Sergio</v>
      </c>
      <c r="T539" t="s">
        <v>1133</v>
      </c>
      <c r="U539" t="s">
        <v>1114</v>
      </c>
      <c r="V539" s="3">
        <v>3</v>
      </c>
      <c r="W539" t="s">
        <v>1132</v>
      </c>
      <c r="X539" s="9"/>
      <c r="Y539" s="9"/>
      <c r="Z539" t="s">
        <v>1131</v>
      </c>
    </row>
    <row r="540" spans="1:26">
      <c r="A540">
        <v>539</v>
      </c>
      <c r="B540" t="s">
        <v>12</v>
      </c>
      <c r="C540" t="s">
        <v>689</v>
      </c>
      <c r="D540">
        <v>20521356309</v>
      </c>
      <c r="E540" t="s">
        <v>2</v>
      </c>
      <c r="F540">
        <v>913004278</v>
      </c>
      <c r="G540" t="s">
        <v>690</v>
      </c>
      <c r="H540" t="s">
        <v>4</v>
      </c>
      <c r="I540" t="s">
        <v>329</v>
      </c>
      <c r="J540" t="s">
        <v>2</v>
      </c>
      <c r="K540" t="s">
        <v>329</v>
      </c>
      <c r="L540" t="s">
        <v>37</v>
      </c>
      <c r="M540" s="1">
        <v>44952</v>
      </c>
      <c r="N540" t="s">
        <v>8</v>
      </c>
      <c r="O540">
        <v>390</v>
      </c>
      <c r="P540" t="s">
        <v>9</v>
      </c>
      <c r="Q540" t="s">
        <v>10</v>
      </c>
      <c r="R540" t="s">
        <v>22</v>
      </c>
      <c r="T540" t="s">
        <v>1082</v>
      </c>
      <c r="U540" t="s">
        <v>1099</v>
      </c>
      <c r="V540" s="3" t="s">
        <v>1047</v>
      </c>
      <c r="W540" t="s">
        <v>1146</v>
      </c>
      <c r="X540" s="9"/>
      <c r="Y540" s="9"/>
      <c r="Z540" t="s">
        <v>1143</v>
      </c>
    </row>
    <row r="541" spans="1:26">
      <c r="A541">
        <v>540</v>
      </c>
      <c r="B541" t="s">
        <v>12</v>
      </c>
      <c r="C541" t="s">
        <v>691</v>
      </c>
      <c r="E541">
        <v>41962066</v>
      </c>
      <c r="F541">
        <v>930619884</v>
      </c>
      <c r="G541" t="s">
        <v>692</v>
      </c>
      <c r="H541" t="s">
        <v>681</v>
      </c>
      <c r="I541" t="s">
        <v>693</v>
      </c>
      <c r="K541" t="s">
        <v>2</v>
      </c>
      <c r="L541" t="s">
        <v>268</v>
      </c>
      <c r="M541" s="1">
        <v>44952</v>
      </c>
      <c r="N541" t="s">
        <v>8</v>
      </c>
      <c r="O541" s="2">
        <f>1360-O542-O543</f>
        <v>875</v>
      </c>
      <c r="P541" t="str">
        <f t="shared" ref="P541:R541" si="180">P540</f>
        <v>Restaurante</v>
      </c>
      <c r="Q541" t="str">
        <f t="shared" si="180"/>
        <v>U</v>
      </c>
      <c r="R541" t="str">
        <f t="shared" si="180"/>
        <v>Sergio</v>
      </c>
      <c r="T541" t="s">
        <v>1092</v>
      </c>
      <c r="U541" t="s">
        <v>1126</v>
      </c>
      <c r="V541">
        <v>2</v>
      </c>
      <c r="W541" t="s">
        <v>1148</v>
      </c>
      <c r="X541" s="9"/>
      <c r="Y541" s="9"/>
      <c r="Z541" t="s">
        <v>1149</v>
      </c>
    </row>
    <row r="542" spans="1:26">
      <c r="A542">
        <v>541</v>
      </c>
      <c r="B542" t="s">
        <v>12</v>
      </c>
      <c r="C542" t="s">
        <v>691</v>
      </c>
      <c r="E542">
        <v>41962066</v>
      </c>
      <c r="F542">
        <v>930619884</v>
      </c>
      <c r="G542" t="s">
        <v>692</v>
      </c>
      <c r="H542" t="s">
        <v>681</v>
      </c>
      <c r="I542" t="s">
        <v>693</v>
      </c>
      <c r="K542" t="s">
        <v>2</v>
      </c>
      <c r="L542" t="s">
        <v>268</v>
      </c>
      <c r="M542" s="1">
        <v>44952</v>
      </c>
      <c r="N542" t="s">
        <v>8</v>
      </c>
      <c r="O542" s="2">
        <v>425</v>
      </c>
      <c r="P542" t="s">
        <v>9</v>
      </c>
      <c r="Q542" t="s">
        <v>10</v>
      </c>
      <c r="R542" t="s">
        <v>22</v>
      </c>
      <c r="T542" t="s">
        <v>1092</v>
      </c>
      <c r="U542" t="s">
        <v>1096</v>
      </c>
      <c r="V542" s="3">
        <v>1</v>
      </c>
      <c r="W542" t="s">
        <v>1148</v>
      </c>
      <c r="X542" s="9">
        <v>20</v>
      </c>
      <c r="Y542" s="9" t="s">
        <v>1083</v>
      </c>
      <c r="Z542" t="s">
        <v>1149</v>
      </c>
    </row>
    <row r="543" spans="1:26">
      <c r="A543">
        <v>542</v>
      </c>
      <c r="B543" t="str">
        <f t="shared" ref="B543:N543" si="181">B542</f>
        <v>FT</v>
      </c>
      <c r="C543" t="str">
        <f t="shared" si="181"/>
        <v>Eduar Tarrillo Estela</v>
      </c>
      <c r="E543">
        <f t="shared" si="181"/>
        <v>41962066</v>
      </c>
      <c r="F543">
        <f t="shared" si="181"/>
        <v>930619884</v>
      </c>
      <c r="G543" t="str">
        <f t="shared" si="181"/>
        <v>FT F001-73-74-75</v>
      </c>
      <c r="H543" t="str">
        <f t="shared" si="181"/>
        <v>Cajamarca</v>
      </c>
      <c r="I543" t="str">
        <f t="shared" si="181"/>
        <v>Cajabamba</v>
      </c>
      <c r="J543">
        <f t="shared" si="181"/>
        <v>0</v>
      </c>
      <c r="K543" t="str">
        <f t="shared" si="181"/>
        <v>-</v>
      </c>
      <c r="L543" t="str">
        <f t="shared" si="181"/>
        <v>Aplicativo Web</v>
      </c>
      <c r="M543" s="1">
        <f t="shared" si="181"/>
        <v>44952</v>
      </c>
      <c r="N543" t="str">
        <f t="shared" si="181"/>
        <v>BCP</v>
      </c>
      <c r="O543" s="16">
        <v>60</v>
      </c>
      <c r="P543" t="str">
        <f t="shared" ref="P543:R543" si="182">P542</f>
        <v>Restaurante</v>
      </c>
      <c r="Q543" t="str">
        <f t="shared" si="182"/>
        <v>U</v>
      </c>
      <c r="R543" t="str">
        <f t="shared" si="182"/>
        <v>Sergio</v>
      </c>
      <c r="T543" t="s">
        <v>1133</v>
      </c>
      <c r="U543" t="s">
        <v>1114</v>
      </c>
      <c r="V543" s="3">
        <v>3</v>
      </c>
      <c r="W543" t="s">
        <v>1132</v>
      </c>
      <c r="X543" s="9"/>
      <c r="Y543" s="9"/>
      <c r="Z543" t="s">
        <v>1131</v>
      </c>
    </row>
    <row r="544" spans="1:26">
      <c r="A544">
        <v>543</v>
      </c>
      <c r="B544" t="s">
        <v>12</v>
      </c>
      <c r="C544" t="s">
        <v>694</v>
      </c>
      <c r="D544">
        <v>10474028874</v>
      </c>
      <c r="E544">
        <v>47402887</v>
      </c>
      <c r="F544">
        <v>991378798</v>
      </c>
      <c r="G544" t="s">
        <v>695</v>
      </c>
      <c r="H544" t="s">
        <v>4</v>
      </c>
      <c r="I544" t="s">
        <v>244</v>
      </c>
      <c r="J544" t="s">
        <v>2</v>
      </c>
      <c r="K544" t="s">
        <v>696</v>
      </c>
      <c r="L544" t="s">
        <v>7</v>
      </c>
      <c r="M544" s="1">
        <v>44954</v>
      </c>
      <c r="N544" t="s">
        <v>8</v>
      </c>
      <c r="O544">
        <v>460</v>
      </c>
      <c r="P544" t="s">
        <v>30</v>
      </c>
      <c r="Q544" t="s">
        <v>10</v>
      </c>
      <c r="R544" t="s">
        <v>22</v>
      </c>
      <c r="T544" t="s">
        <v>1092</v>
      </c>
      <c r="U544" t="s">
        <v>1096</v>
      </c>
      <c r="V544" s="3">
        <v>1</v>
      </c>
      <c r="W544" t="s">
        <v>1148</v>
      </c>
      <c r="X544" s="9">
        <v>20</v>
      </c>
      <c r="Y544" s="9" t="s">
        <v>1083</v>
      </c>
      <c r="Z544" t="s">
        <v>1149</v>
      </c>
    </row>
    <row r="545" spans="1:26">
      <c r="A545">
        <v>544</v>
      </c>
      <c r="B545" t="str">
        <f t="shared" ref="B545:N545" si="183">B544</f>
        <v>FT</v>
      </c>
      <c r="C545" t="str">
        <f t="shared" si="183"/>
        <v>Samanez Amador Jesus Eduardo</v>
      </c>
      <c r="D545">
        <f t="shared" si="183"/>
        <v>10474028874</v>
      </c>
      <c r="E545">
        <f t="shared" si="183"/>
        <v>47402887</v>
      </c>
      <c r="F545">
        <f t="shared" si="183"/>
        <v>991378798</v>
      </c>
      <c r="G545" t="str">
        <f t="shared" si="183"/>
        <v>FT F001-72</v>
      </c>
      <c r="H545" t="str">
        <f t="shared" si="183"/>
        <v>Lima</v>
      </c>
      <c r="I545" t="str">
        <f t="shared" si="183"/>
        <v>Comas</v>
      </c>
      <c r="J545" t="str">
        <f t="shared" si="183"/>
        <v>-</v>
      </c>
      <c r="K545" t="str">
        <f t="shared" si="183"/>
        <v>Comas escalera Carabayllo</v>
      </c>
      <c r="L545" t="str">
        <f t="shared" si="183"/>
        <v>Oficina</v>
      </c>
      <c r="M545" s="1">
        <f t="shared" si="183"/>
        <v>44954</v>
      </c>
      <c r="N545" t="str">
        <f t="shared" si="183"/>
        <v>BCP</v>
      </c>
      <c r="O545" s="14">
        <v>100</v>
      </c>
      <c r="P545" t="str">
        <f t="shared" ref="P545:R545" si="184">P544</f>
        <v>Otros</v>
      </c>
      <c r="Q545" t="str">
        <f t="shared" si="184"/>
        <v>U</v>
      </c>
      <c r="R545" t="str">
        <f t="shared" si="184"/>
        <v>Sergio</v>
      </c>
      <c r="T545" t="s">
        <v>1133</v>
      </c>
      <c r="U545" t="s">
        <v>1114</v>
      </c>
      <c r="V545" s="3">
        <v>5</v>
      </c>
      <c r="W545" t="s">
        <v>1132</v>
      </c>
      <c r="X545" s="9"/>
      <c r="Y545" s="9"/>
      <c r="Z545" t="s">
        <v>1131</v>
      </c>
    </row>
    <row r="546" spans="1:26">
      <c r="A546">
        <v>545</v>
      </c>
      <c r="B546" t="s">
        <v>2</v>
      </c>
      <c r="C546" t="s">
        <v>697</v>
      </c>
      <c r="E546" t="s">
        <v>2</v>
      </c>
      <c r="F546">
        <v>945174408</v>
      </c>
      <c r="G546" t="s">
        <v>2</v>
      </c>
      <c r="H546" t="s">
        <v>4</v>
      </c>
      <c r="I546" t="s">
        <v>252</v>
      </c>
      <c r="J546" t="s">
        <v>2</v>
      </c>
      <c r="K546" t="s">
        <v>698</v>
      </c>
      <c r="L546" t="s">
        <v>7</v>
      </c>
      <c r="M546" s="1">
        <v>44957</v>
      </c>
      <c r="N546" t="s">
        <v>21</v>
      </c>
      <c r="O546">
        <v>245</v>
      </c>
      <c r="P546" t="s">
        <v>52</v>
      </c>
      <c r="Q546" t="s">
        <v>10</v>
      </c>
      <c r="R546" t="s">
        <v>22</v>
      </c>
      <c r="T546" t="s">
        <v>1082</v>
      </c>
      <c r="U546" t="s">
        <v>1099</v>
      </c>
      <c r="V546" s="3" t="s">
        <v>1044</v>
      </c>
      <c r="W546" t="s">
        <v>1146</v>
      </c>
      <c r="X546" s="9">
        <v>20</v>
      </c>
      <c r="Y546" s="9" t="s">
        <v>1068</v>
      </c>
      <c r="Z546" t="s">
        <v>1143</v>
      </c>
    </row>
    <row r="547" spans="1:26">
      <c r="A547">
        <v>546</v>
      </c>
      <c r="B547" t="str">
        <f t="shared" ref="B547:N547" si="185">B546</f>
        <v>-</v>
      </c>
      <c r="C547" t="str">
        <f t="shared" si="185"/>
        <v xml:space="preserve">Misael </v>
      </c>
      <c r="E547" t="str">
        <f t="shared" si="185"/>
        <v>-</v>
      </c>
      <c r="F547">
        <f t="shared" si="185"/>
        <v>945174408</v>
      </c>
      <c r="G547" t="str">
        <f t="shared" si="185"/>
        <v>-</v>
      </c>
      <c r="H547" t="str">
        <f t="shared" si="185"/>
        <v>Lima</v>
      </c>
      <c r="I547" t="str">
        <f t="shared" si="185"/>
        <v>Ventanilla</v>
      </c>
      <c r="J547" t="str">
        <f t="shared" si="185"/>
        <v>-</v>
      </c>
      <c r="K547" t="str">
        <f t="shared" si="185"/>
        <v>Ventanilla Mercado Villa Pachacutec</v>
      </c>
      <c r="L547" t="str">
        <f t="shared" si="185"/>
        <v>Oficina</v>
      </c>
      <c r="M547" s="1">
        <f t="shared" si="185"/>
        <v>44957</v>
      </c>
      <c r="N547" t="str">
        <f t="shared" si="185"/>
        <v>Efectivo</v>
      </c>
      <c r="O547" s="14">
        <v>30</v>
      </c>
      <c r="P547" t="s">
        <v>52</v>
      </c>
      <c r="Q547" t="str">
        <f t="shared" ref="Q547:R547" si="186">Q546</f>
        <v>U</v>
      </c>
      <c r="R547" t="str">
        <f t="shared" si="186"/>
        <v>Sergio</v>
      </c>
      <c r="T547" t="s">
        <v>1134</v>
      </c>
      <c r="U547" t="s">
        <v>1116</v>
      </c>
      <c r="V547" s="3">
        <v>2</v>
      </c>
      <c r="W547" t="s">
        <v>1137</v>
      </c>
      <c r="X547" s="9"/>
      <c r="Y547" s="9"/>
      <c r="Z547" t="s">
        <v>1131</v>
      </c>
    </row>
    <row r="548" spans="1:26">
      <c r="A548">
        <v>547</v>
      </c>
      <c r="B548" t="s">
        <v>2</v>
      </c>
      <c r="C548" t="s">
        <v>699</v>
      </c>
      <c r="D548" t="s">
        <v>2</v>
      </c>
      <c r="E548" t="s">
        <v>2</v>
      </c>
      <c r="F548">
        <v>983965244</v>
      </c>
      <c r="G548" t="s">
        <v>2</v>
      </c>
      <c r="H548" t="s">
        <v>514</v>
      </c>
      <c r="I548" t="s">
        <v>51</v>
      </c>
      <c r="J548" t="s">
        <v>29</v>
      </c>
      <c r="K548" t="s">
        <v>2</v>
      </c>
      <c r="L548" t="s">
        <v>268</v>
      </c>
      <c r="M548" s="1">
        <v>44958</v>
      </c>
      <c r="N548" t="s">
        <v>8</v>
      </c>
      <c r="O548">
        <v>190</v>
      </c>
      <c r="P548" t="s">
        <v>541</v>
      </c>
      <c r="Q548" t="s">
        <v>10</v>
      </c>
      <c r="R548" t="s">
        <v>11</v>
      </c>
      <c r="T548" t="s">
        <v>1082</v>
      </c>
      <c r="U548" t="s">
        <v>1099</v>
      </c>
      <c r="V548" s="3" t="s">
        <v>1044</v>
      </c>
      <c r="W548" t="s">
        <v>1146</v>
      </c>
      <c r="X548" s="9">
        <v>10</v>
      </c>
      <c r="Y548" s="9" t="s">
        <v>1068</v>
      </c>
      <c r="Z548" t="s">
        <v>1143</v>
      </c>
    </row>
    <row r="549" spans="1:26">
      <c r="A549">
        <v>548</v>
      </c>
      <c r="B549" t="s">
        <v>12</v>
      </c>
      <c r="C549" t="s">
        <v>700</v>
      </c>
      <c r="E549" t="s">
        <v>2</v>
      </c>
      <c r="F549">
        <v>970405721</v>
      </c>
      <c r="G549" t="s">
        <v>701</v>
      </c>
      <c r="H549" t="s">
        <v>4</v>
      </c>
      <c r="I549" t="s">
        <v>244</v>
      </c>
      <c r="J549" t="s">
        <v>2</v>
      </c>
      <c r="K549" t="s">
        <v>702</v>
      </c>
      <c r="L549" t="s">
        <v>7</v>
      </c>
      <c r="M549" s="1">
        <v>44958</v>
      </c>
      <c r="N549" t="s">
        <v>21</v>
      </c>
      <c r="O549">
        <v>445</v>
      </c>
      <c r="P549" t="s">
        <v>9</v>
      </c>
      <c r="Q549" t="s">
        <v>10</v>
      </c>
      <c r="R549" t="s">
        <v>22</v>
      </c>
      <c r="T549" t="s">
        <v>1092</v>
      </c>
      <c r="U549" t="s">
        <v>1096</v>
      </c>
      <c r="V549" s="3">
        <v>1</v>
      </c>
      <c r="W549" t="s">
        <v>1148</v>
      </c>
      <c r="X549" s="11">
        <v>5</v>
      </c>
      <c r="Y549" s="9" t="s">
        <v>1083</v>
      </c>
      <c r="Z549" t="s">
        <v>1149</v>
      </c>
    </row>
    <row r="550" spans="1:26">
      <c r="A550">
        <v>549</v>
      </c>
      <c r="B550" t="str">
        <f t="shared" ref="B550:N550" si="187">B549</f>
        <v>FT</v>
      </c>
      <c r="C550" t="str">
        <f t="shared" si="187"/>
        <v>Elva Pilar Zorrillo Luque</v>
      </c>
      <c r="E550" t="str">
        <f t="shared" si="187"/>
        <v>-</v>
      </c>
      <c r="F550">
        <f t="shared" si="187"/>
        <v>970405721</v>
      </c>
      <c r="G550" t="str">
        <f t="shared" si="187"/>
        <v>FT F001-79</v>
      </c>
      <c r="H550" t="str">
        <f t="shared" si="187"/>
        <v>Lima</v>
      </c>
      <c r="I550" t="str">
        <f t="shared" si="187"/>
        <v>Comas</v>
      </c>
      <c r="J550" t="str">
        <f t="shared" si="187"/>
        <v>-</v>
      </c>
      <c r="K550" t="str">
        <f t="shared" si="187"/>
        <v>Comas retablo</v>
      </c>
      <c r="L550" t="str">
        <f t="shared" si="187"/>
        <v>Oficina</v>
      </c>
      <c r="M550" s="1">
        <f t="shared" si="187"/>
        <v>44958</v>
      </c>
      <c r="N550" t="str">
        <f t="shared" si="187"/>
        <v>Efectivo</v>
      </c>
      <c r="O550" s="14">
        <v>50</v>
      </c>
      <c r="P550" t="str">
        <f t="shared" ref="P550:R550" si="188">P549</f>
        <v>Restaurante</v>
      </c>
      <c r="Q550" t="str">
        <f t="shared" si="188"/>
        <v>U</v>
      </c>
      <c r="R550" t="str">
        <f t="shared" si="188"/>
        <v>Sergio</v>
      </c>
      <c r="T550" t="s">
        <v>1133</v>
      </c>
      <c r="U550" t="s">
        <v>1114</v>
      </c>
      <c r="V550" s="3">
        <f t="shared" ref="V550" si="189">X549</f>
        <v>5</v>
      </c>
      <c r="W550" t="s">
        <v>1132</v>
      </c>
      <c r="X550" s="11"/>
      <c r="Y550" s="9"/>
      <c r="Z550" t="s">
        <v>1131</v>
      </c>
    </row>
    <row r="551" spans="1:26">
      <c r="A551">
        <v>550</v>
      </c>
      <c r="B551" t="s">
        <v>2</v>
      </c>
      <c r="C551" t="s">
        <v>703</v>
      </c>
      <c r="E551">
        <v>72297337</v>
      </c>
      <c r="F551">
        <v>925725916</v>
      </c>
      <c r="G551" t="s">
        <v>2</v>
      </c>
      <c r="H551" t="s">
        <v>768</v>
      </c>
      <c r="I551" t="s">
        <v>436</v>
      </c>
      <c r="J551" t="s">
        <v>29</v>
      </c>
      <c r="K551" t="s">
        <v>2</v>
      </c>
      <c r="L551" t="s">
        <v>268</v>
      </c>
      <c r="M551" s="1">
        <v>44959</v>
      </c>
      <c r="N551" t="s">
        <v>8</v>
      </c>
      <c r="O551">
        <v>450</v>
      </c>
      <c r="P551" t="s">
        <v>30</v>
      </c>
      <c r="Q551" t="s">
        <v>10</v>
      </c>
      <c r="R551" t="s">
        <v>11</v>
      </c>
      <c r="T551" t="s">
        <v>1092</v>
      </c>
      <c r="U551" t="s">
        <v>1096</v>
      </c>
      <c r="V551" s="3">
        <v>1</v>
      </c>
      <c r="W551" t="s">
        <v>1148</v>
      </c>
      <c r="X551" s="11">
        <v>5</v>
      </c>
      <c r="Y551" s="9" t="s">
        <v>1083</v>
      </c>
      <c r="Z551" t="s">
        <v>1149</v>
      </c>
    </row>
    <row r="552" spans="1:26">
      <c r="A552">
        <v>551</v>
      </c>
      <c r="B552" t="s">
        <v>2</v>
      </c>
      <c r="C552" t="s">
        <v>704</v>
      </c>
      <c r="E552">
        <v>40646362</v>
      </c>
      <c r="F552">
        <v>951691860</v>
      </c>
      <c r="G552" t="s">
        <v>2</v>
      </c>
      <c r="H552" t="s">
        <v>48</v>
      </c>
      <c r="J552" t="s">
        <v>147</v>
      </c>
      <c r="K552" t="s">
        <v>2</v>
      </c>
      <c r="L552" t="s">
        <v>268</v>
      </c>
      <c r="M552" s="1">
        <v>44959</v>
      </c>
      <c r="N552" t="s">
        <v>56</v>
      </c>
      <c r="O552">
        <v>220</v>
      </c>
      <c r="P552" t="s">
        <v>541</v>
      </c>
      <c r="Q552" t="s">
        <v>10</v>
      </c>
      <c r="R552" t="s">
        <v>11</v>
      </c>
      <c r="T552" t="s">
        <v>1082</v>
      </c>
      <c r="U552" t="s">
        <v>1099</v>
      </c>
      <c r="V552" s="3" t="s">
        <v>1044</v>
      </c>
      <c r="W552" t="s">
        <v>1146</v>
      </c>
      <c r="X552" s="9">
        <v>10</v>
      </c>
      <c r="Y552" s="9" t="s">
        <v>1068</v>
      </c>
      <c r="Z552" t="s">
        <v>1143</v>
      </c>
    </row>
    <row r="553" spans="1:26">
      <c r="A553">
        <v>552</v>
      </c>
      <c r="B553" t="s">
        <v>2</v>
      </c>
      <c r="C553" t="s">
        <v>705</v>
      </c>
      <c r="E553">
        <v>45141708</v>
      </c>
      <c r="F553">
        <v>934525564</v>
      </c>
      <c r="G553" t="s">
        <v>2</v>
      </c>
      <c r="H553" t="s">
        <v>229</v>
      </c>
      <c r="J553" t="s">
        <v>706</v>
      </c>
      <c r="K553" t="s">
        <v>2</v>
      </c>
      <c r="L553" t="s">
        <v>37</v>
      </c>
      <c r="M553" s="1">
        <v>44959</v>
      </c>
      <c r="N553" t="s">
        <v>56</v>
      </c>
      <c r="O553">
        <v>199</v>
      </c>
      <c r="P553" t="s">
        <v>30</v>
      </c>
      <c r="Q553" t="s">
        <v>10</v>
      </c>
      <c r="R553" t="s">
        <v>22</v>
      </c>
      <c r="T553" t="s">
        <v>1082</v>
      </c>
      <c r="U553" t="s">
        <v>1099</v>
      </c>
      <c r="V553" s="3" t="s">
        <v>1044</v>
      </c>
      <c r="W553" t="s">
        <v>1146</v>
      </c>
      <c r="X553" s="9">
        <v>10</v>
      </c>
      <c r="Y553" s="9" t="s">
        <v>1068</v>
      </c>
      <c r="Z553" t="s">
        <v>1143</v>
      </c>
    </row>
    <row r="554" spans="1:26">
      <c r="A554">
        <v>553</v>
      </c>
      <c r="B554" t="s">
        <v>12</v>
      </c>
      <c r="C554" t="s">
        <v>707</v>
      </c>
      <c r="D554">
        <v>20549599665</v>
      </c>
      <c r="E554" t="s">
        <v>2</v>
      </c>
      <c r="F554">
        <v>947330792</v>
      </c>
      <c r="G554" t="s">
        <v>708</v>
      </c>
      <c r="H554" t="s">
        <v>4</v>
      </c>
      <c r="I554" t="s">
        <v>98</v>
      </c>
      <c r="J554" t="s">
        <v>2</v>
      </c>
      <c r="K554" t="s">
        <v>709</v>
      </c>
      <c r="L554" t="s">
        <v>37</v>
      </c>
      <c r="M554" s="1">
        <v>44959</v>
      </c>
      <c r="N554" t="s">
        <v>21</v>
      </c>
      <c r="O554">
        <v>450</v>
      </c>
      <c r="P554" t="s">
        <v>9</v>
      </c>
      <c r="Q554" t="s">
        <v>10</v>
      </c>
      <c r="R554" t="s">
        <v>11</v>
      </c>
      <c r="T554" t="s">
        <v>1092</v>
      </c>
      <c r="U554" t="s">
        <v>1096</v>
      </c>
      <c r="V554" s="3">
        <v>1</v>
      </c>
      <c r="W554" t="s">
        <v>1148</v>
      </c>
      <c r="X554" s="9">
        <v>20</v>
      </c>
      <c r="Y554" s="9" t="s">
        <v>1083</v>
      </c>
      <c r="Z554" t="s">
        <v>1149</v>
      </c>
    </row>
    <row r="555" spans="1:26">
      <c r="A555">
        <v>554</v>
      </c>
      <c r="B555" t="str">
        <f t="shared" ref="B555:N555" si="190">B554</f>
        <v>FT</v>
      </c>
      <c r="C555" t="str">
        <f t="shared" si="190"/>
        <v>Auto Partes Junin S.A.C.</v>
      </c>
      <c r="D555">
        <f t="shared" si="190"/>
        <v>20549599665</v>
      </c>
      <c r="E555" t="str">
        <f t="shared" si="190"/>
        <v>-</v>
      </c>
      <c r="F555">
        <f t="shared" si="190"/>
        <v>947330792</v>
      </c>
      <c r="G555" t="str">
        <f t="shared" si="190"/>
        <v>FT F001-76</v>
      </c>
      <c r="H555" t="str">
        <f t="shared" si="190"/>
        <v>Lima</v>
      </c>
      <c r="I555" t="str">
        <f t="shared" si="190"/>
        <v xml:space="preserve">Surquillo </v>
      </c>
      <c r="J555" t="str">
        <f t="shared" si="190"/>
        <v>-</v>
      </c>
      <c r="K555" t="str">
        <f t="shared" si="190"/>
        <v>Av. Canada 324</v>
      </c>
      <c r="L555" t="str">
        <f t="shared" si="190"/>
        <v>Redes sociales</v>
      </c>
      <c r="M555" s="1">
        <f t="shared" si="190"/>
        <v>44959</v>
      </c>
      <c r="N555" t="str">
        <f t="shared" si="190"/>
        <v>Efectivo</v>
      </c>
      <c r="O555" s="14">
        <v>50</v>
      </c>
      <c r="P555" t="str">
        <f t="shared" ref="P555:R555" si="191">P554</f>
        <v>Restaurante</v>
      </c>
      <c r="Q555" t="str">
        <f t="shared" si="191"/>
        <v>U</v>
      </c>
      <c r="R555" t="str">
        <f t="shared" si="191"/>
        <v>Rodrigo</v>
      </c>
      <c r="T555" t="s">
        <v>1133</v>
      </c>
      <c r="U555" t="s">
        <v>1114</v>
      </c>
      <c r="V555" s="3">
        <v>5</v>
      </c>
      <c r="W555" t="s">
        <v>1132</v>
      </c>
      <c r="X555" s="9"/>
      <c r="Y555" s="9"/>
      <c r="Z555" t="s">
        <v>1131</v>
      </c>
    </row>
    <row r="556" spans="1:26">
      <c r="A556">
        <v>555</v>
      </c>
      <c r="B556" t="s">
        <v>2</v>
      </c>
      <c r="C556" t="s">
        <v>710</v>
      </c>
      <c r="E556" t="s">
        <v>2</v>
      </c>
      <c r="F556">
        <v>902268412</v>
      </c>
      <c r="G556" t="s">
        <v>2</v>
      </c>
      <c r="H556" t="s">
        <v>4</v>
      </c>
      <c r="I556" t="s">
        <v>144</v>
      </c>
      <c r="J556" t="s">
        <v>2</v>
      </c>
      <c r="K556" t="s">
        <v>144</v>
      </c>
      <c r="L556" t="s">
        <v>37</v>
      </c>
      <c r="M556" s="1">
        <v>44961</v>
      </c>
      <c r="N556" t="s">
        <v>21</v>
      </c>
      <c r="O556">
        <v>205</v>
      </c>
      <c r="P556" t="s">
        <v>9</v>
      </c>
      <c r="Q556" t="s">
        <v>10</v>
      </c>
      <c r="R556" t="s">
        <v>22</v>
      </c>
      <c r="T556" t="s">
        <v>1082</v>
      </c>
      <c r="U556" t="s">
        <v>1099</v>
      </c>
      <c r="V556" s="3" t="s">
        <v>1044</v>
      </c>
      <c r="W556" t="s">
        <v>1146</v>
      </c>
      <c r="X556" s="9">
        <v>10</v>
      </c>
      <c r="Y556" s="9" t="s">
        <v>1068</v>
      </c>
      <c r="Z556" t="s">
        <v>1143</v>
      </c>
    </row>
    <row r="557" spans="1:26">
      <c r="A557">
        <v>556</v>
      </c>
      <c r="B557" t="str">
        <f t="shared" ref="B557:N557" si="192">B556</f>
        <v>-</v>
      </c>
      <c r="C557" t="str">
        <f t="shared" si="192"/>
        <v>Patty</v>
      </c>
      <c r="E557" t="str">
        <f t="shared" si="192"/>
        <v>-</v>
      </c>
      <c r="F557">
        <f t="shared" si="192"/>
        <v>902268412</v>
      </c>
      <c r="G557" t="str">
        <f t="shared" si="192"/>
        <v>-</v>
      </c>
      <c r="H557" t="str">
        <f t="shared" si="192"/>
        <v>Lima</v>
      </c>
      <c r="I557" t="str">
        <f t="shared" si="192"/>
        <v>Ate</v>
      </c>
      <c r="J557" t="str">
        <f t="shared" si="192"/>
        <v>-</v>
      </c>
      <c r="K557" t="str">
        <f t="shared" si="192"/>
        <v>Ate</v>
      </c>
      <c r="L557" t="str">
        <f t="shared" si="192"/>
        <v>Redes sociales</v>
      </c>
      <c r="M557" s="1">
        <f t="shared" si="192"/>
        <v>44961</v>
      </c>
      <c r="N557" t="str">
        <f t="shared" si="192"/>
        <v>Efectivo</v>
      </c>
      <c r="O557" s="14">
        <v>15</v>
      </c>
      <c r="P557" t="str">
        <f t="shared" ref="P557:R557" si="193">P556</f>
        <v>Restaurante</v>
      </c>
      <c r="Q557" t="str">
        <f t="shared" si="193"/>
        <v>U</v>
      </c>
      <c r="R557" t="str">
        <f t="shared" si="193"/>
        <v>Sergio</v>
      </c>
      <c r="T557" t="s">
        <v>1134</v>
      </c>
      <c r="U557" t="s">
        <v>1116</v>
      </c>
      <c r="V557" s="3">
        <f>X556</f>
        <v>10</v>
      </c>
      <c r="W557" t="s">
        <v>1137</v>
      </c>
      <c r="X557" s="9"/>
      <c r="Y557" s="9"/>
      <c r="Z557" t="s">
        <v>1131</v>
      </c>
    </row>
    <row r="558" spans="1:26">
      <c r="A558">
        <v>557</v>
      </c>
      <c r="B558" t="s">
        <v>2</v>
      </c>
      <c r="C558" t="s">
        <v>711</v>
      </c>
      <c r="E558" t="s">
        <v>2</v>
      </c>
      <c r="F558">
        <v>958089275</v>
      </c>
      <c r="G558" t="s">
        <v>2</v>
      </c>
      <c r="H558" t="s">
        <v>4</v>
      </c>
      <c r="I558" t="s">
        <v>712</v>
      </c>
      <c r="J558" t="s">
        <v>2</v>
      </c>
      <c r="K558" t="s">
        <v>712</v>
      </c>
      <c r="L558" t="s">
        <v>37</v>
      </c>
      <c r="M558" s="1">
        <v>44963</v>
      </c>
      <c r="N558" t="s">
        <v>56</v>
      </c>
      <c r="O558">
        <v>310</v>
      </c>
      <c r="P558" t="s">
        <v>234</v>
      </c>
      <c r="Q558" t="s">
        <v>10</v>
      </c>
      <c r="R558" t="s">
        <v>22</v>
      </c>
      <c r="T558" t="s">
        <v>1082</v>
      </c>
      <c r="U558" t="s">
        <v>1104</v>
      </c>
      <c r="V558" s="3" t="s">
        <v>1044</v>
      </c>
      <c r="W558" t="s">
        <v>1145</v>
      </c>
      <c r="X558" s="9">
        <v>10</v>
      </c>
      <c r="Y558" s="9" t="s">
        <v>1065</v>
      </c>
      <c r="Z558" t="s">
        <v>1143</v>
      </c>
    </row>
    <row r="559" spans="1:26">
      <c r="A559">
        <v>558</v>
      </c>
      <c r="B559" t="str">
        <f t="shared" ref="B559:N559" si="194">B558</f>
        <v>-</v>
      </c>
      <c r="C559" t="str">
        <f t="shared" si="194"/>
        <v>Raul Moncada</v>
      </c>
      <c r="E559" t="str">
        <f t="shared" si="194"/>
        <v>-</v>
      </c>
      <c r="F559">
        <f t="shared" si="194"/>
        <v>958089275</v>
      </c>
      <c r="G559" t="str">
        <f t="shared" si="194"/>
        <v>-</v>
      </c>
      <c r="H559" t="str">
        <f t="shared" si="194"/>
        <v>Lima</v>
      </c>
      <c r="I559" t="str">
        <f t="shared" si="194"/>
        <v>Miraflores</v>
      </c>
      <c r="J559" t="str">
        <f t="shared" si="194"/>
        <v>-</v>
      </c>
      <c r="K559" t="str">
        <f t="shared" si="194"/>
        <v>Miraflores</v>
      </c>
      <c r="L559" t="str">
        <f t="shared" si="194"/>
        <v>Redes sociales</v>
      </c>
      <c r="M559" s="1">
        <f t="shared" si="194"/>
        <v>44963</v>
      </c>
      <c r="N559" t="str">
        <f t="shared" si="194"/>
        <v>Interbank</v>
      </c>
      <c r="O559" s="16">
        <f>25*(V559/10)</f>
        <v>25</v>
      </c>
      <c r="P559" t="str">
        <f t="shared" ref="P559:R559" si="195">P558</f>
        <v>Farmacia</v>
      </c>
      <c r="Q559" t="str">
        <f t="shared" si="195"/>
        <v>U</v>
      </c>
      <c r="R559" t="str">
        <f t="shared" si="195"/>
        <v>Sergio</v>
      </c>
      <c r="T559" t="s">
        <v>1134</v>
      </c>
      <c r="U559" t="s">
        <v>1115</v>
      </c>
      <c r="V559" s="3">
        <f t="shared" ref="V559" si="196">X558</f>
        <v>10</v>
      </c>
      <c r="W559" t="s">
        <v>1137</v>
      </c>
      <c r="X559" s="9"/>
      <c r="Y559" s="9"/>
      <c r="Z559" t="s">
        <v>1131</v>
      </c>
    </row>
    <row r="560" spans="1:26">
      <c r="A560">
        <v>559</v>
      </c>
      <c r="B560" t="s">
        <v>2</v>
      </c>
      <c r="C560" t="s">
        <v>713</v>
      </c>
      <c r="E560" t="s">
        <v>2</v>
      </c>
      <c r="F560">
        <v>926332412</v>
      </c>
      <c r="G560" t="s">
        <v>2</v>
      </c>
      <c r="H560" t="s">
        <v>4</v>
      </c>
      <c r="I560" t="s">
        <v>380</v>
      </c>
      <c r="J560" t="s">
        <v>2</v>
      </c>
      <c r="K560" t="s">
        <v>714</v>
      </c>
      <c r="L560" t="s">
        <v>37</v>
      </c>
      <c r="M560" s="1">
        <v>44963</v>
      </c>
      <c r="N560" t="s">
        <v>21</v>
      </c>
      <c r="O560">
        <v>200</v>
      </c>
      <c r="P560" t="s">
        <v>216</v>
      </c>
      <c r="Q560" t="s">
        <v>10</v>
      </c>
      <c r="R560" t="s">
        <v>22</v>
      </c>
      <c r="T560" t="s">
        <v>1082</v>
      </c>
      <c r="U560" t="s">
        <v>1099</v>
      </c>
      <c r="V560" s="3" t="s">
        <v>1044</v>
      </c>
      <c r="W560" t="s">
        <v>1146</v>
      </c>
      <c r="X560" s="9">
        <v>10</v>
      </c>
      <c r="Y560" s="9" t="s">
        <v>1068</v>
      </c>
      <c r="Z560" t="s">
        <v>1143</v>
      </c>
    </row>
    <row r="561" spans="1:26">
      <c r="A561">
        <v>560</v>
      </c>
      <c r="B561" t="s">
        <v>12</v>
      </c>
      <c r="C561" t="s">
        <v>715</v>
      </c>
      <c r="D561">
        <v>20603031203</v>
      </c>
      <c r="E561" t="s">
        <v>2</v>
      </c>
      <c r="F561">
        <v>940978613</v>
      </c>
      <c r="G561" t="s">
        <v>716</v>
      </c>
      <c r="H561" t="s">
        <v>4</v>
      </c>
      <c r="J561" t="s">
        <v>2</v>
      </c>
      <c r="K561" t="s">
        <v>717</v>
      </c>
      <c r="L561" t="s">
        <v>7</v>
      </c>
      <c r="M561" s="1">
        <v>44963</v>
      </c>
      <c r="N561" t="s">
        <v>21</v>
      </c>
      <c r="O561">
        <v>460</v>
      </c>
      <c r="P561" t="s">
        <v>134</v>
      </c>
      <c r="Q561" t="s">
        <v>10</v>
      </c>
      <c r="R561" t="s">
        <v>11</v>
      </c>
      <c r="T561" t="s">
        <v>1092</v>
      </c>
      <c r="U561" t="s">
        <v>1105</v>
      </c>
      <c r="V561" s="3" t="s">
        <v>1044</v>
      </c>
      <c r="W561" t="s">
        <v>1148</v>
      </c>
      <c r="X561" s="9">
        <v>20</v>
      </c>
      <c r="Y561" s="9" t="s">
        <v>1083</v>
      </c>
      <c r="Z561" t="s">
        <v>1149</v>
      </c>
    </row>
    <row r="562" spans="1:26">
      <c r="A562">
        <v>561</v>
      </c>
      <c r="B562" t="str">
        <f t="shared" ref="B562:N562" si="197">B561</f>
        <v>FT</v>
      </c>
      <c r="C562" t="str">
        <f t="shared" si="197"/>
        <v>Isabel Zegarra Cordova</v>
      </c>
      <c r="D562">
        <f t="shared" si="197"/>
        <v>20603031203</v>
      </c>
      <c r="E562" t="str">
        <f t="shared" si="197"/>
        <v>-</v>
      </c>
      <c r="F562">
        <f t="shared" si="197"/>
        <v>940978613</v>
      </c>
      <c r="G562" t="str">
        <f t="shared" si="197"/>
        <v>FT F001-77</v>
      </c>
      <c r="H562" t="str">
        <f t="shared" si="197"/>
        <v>Lima</v>
      </c>
      <c r="J562" t="str">
        <f t="shared" si="197"/>
        <v>-</v>
      </c>
      <c r="K562" t="str">
        <f t="shared" si="197"/>
        <v>Puente piedra Mz L Lote 32 Asc. Chillon</v>
      </c>
      <c r="L562" t="str">
        <f t="shared" si="197"/>
        <v>Oficina</v>
      </c>
      <c r="M562" s="1">
        <f t="shared" si="197"/>
        <v>44963</v>
      </c>
      <c r="N562" t="str">
        <f t="shared" si="197"/>
        <v>Efectivo</v>
      </c>
      <c r="O562" s="14">
        <v>140</v>
      </c>
      <c r="P562" t="str">
        <f t="shared" ref="P562:R562" si="198">P561</f>
        <v>Bodega</v>
      </c>
      <c r="Q562" t="str">
        <f t="shared" si="198"/>
        <v>U</v>
      </c>
      <c r="R562" t="str">
        <f t="shared" si="198"/>
        <v>Rodrigo</v>
      </c>
      <c r="T562" t="s">
        <v>1133</v>
      </c>
      <c r="U562" t="s">
        <v>1114</v>
      </c>
      <c r="V562" s="3">
        <v>20</v>
      </c>
      <c r="W562" t="s">
        <v>1132</v>
      </c>
      <c r="X562" s="9"/>
      <c r="Y562" s="9"/>
      <c r="Z562" t="s">
        <v>1131</v>
      </c>
    </row>
    <row r="563" spans="1:26">
      <c r="A563">
        <v>562</v>
      </c>
      <c r="B563" t="s">
        <v>12</v>
      </c>
      <c r="C563" t="s">
        <v>718</v>
      </c>
      <c r="D563">
        <v>20604814694</v>
      </c>
      <c r="E563" t="s">
        <v>2</v>
      </c>
      <c r="F563" t="s">
        <v>2</v>
      </c>
      <c r="G563" t="s">
        <v>719</v>
      </c>
      <c r="H563" t="s">
        <v>4</v>
      </c>
      <c r="I563" t="s">
        <v>183</v>
      </c>
      <c r="J563" t="s">
        <v>2</v>
      </c>
      <c r="K563" t="s">
        <v>183</v>
      </c>
      <c r="L563" t="s">
        <v>7</v>
      </c>
      <c r="M563" s="1">
        <v>44963</v>
      </c>
      <c r="N563" t="s">
        <v>8</v>
      </c>
      <c r="O563">
        <v>265</v>
      </c>
      <c r="P563" t="s">
        <v>9</v>
      </c>
      <c r="Q563" t="s">
        <v>10</v>
      </c>
      <c r="R563" t="s">
        <v>22</v>
      </c>
      <c r="T563" t="s">
        <v>1133</v>
      </c>
      <c r="U563" t="s">
        <v>1114</v>
      </c>
      <c r="V563" s="3">
        <v>40</v>
      </c>
      <c r="W563" t="s">
        <v>1132</v>
      </c>
      <c r="X563" s="9" t="s">
        <v>2</v>
      </c>
      <c r="Y563" s="9" t="s">
        <v>2</v>
      </c>
      <c r="Z563" t="s">
        <v>1131</v>
      </c>
    </row>
    <row r="564" spans="1:26">
      <c r="A564">
        <v>563</v>
      </c>
      <c r="B564" t="s">
        <v>2</v>
      </c>
      <c r="C564" t="s">
        <v>720</v>
      </c>
      <c r="E564" t="s">
        <v>2</v>
      </c>
      <c r="F564">
        <v>952780649</v>
      </c>
      <c r="G564" t="s">
        <v>2</v>
      </c>
      <c r="H564" t="s">
        <v>4</v>
      </c>
      <c r="I564" t="s">
        <v>58</v>
      </c>
      <c r="J564" t="s">
        <v>2</v>
      </c>
      <c r="K564" t="s">
        <v>721</v>
      </c>
      <c r="L564" t="s">
        <v>7</v>
      </c>
      <c r="M564" s="1">
        <v>44964</v>
      </c>
      <c r="N564" t="s">
        <v>21</v>
      </c>
      <c r="O564" s="5">
        <f>870-O565-O566</f>
        <v>430</v>
      </c>
      <c r="P564" t="s">
        <v>30</v>
      </c>
      <c r="Q564" t="s">
        <v>10</v>
      </c>
      <c r="R564" t="s">
        <v>11</v>
      </c>
      <c r="T564" t="s">
        <v>1092</v>
      </c>
      <c r="U564" t="s">
        <v>1093</v>
      </c>
      <c r="V564" s="3">
        <v>1</v>
      </c>
      <c r="W564" t="s">
        <v>1148</v>
      </c>
      <c r="X564" s="9">
        <v>1</v>
      </c>
      <c r="Y564" s="9" t="s">
        <v>1074</v>
      </c>
      <c r="Z564" t="s">
        <v>1149</v>
      </c>
    </row>
    <row r="565" spans="1:26">
      <c r="A565">
        <v>564</v>
      </c>
      <c r="B565" t="str">
        <f t="shared" ref="B565:N566" si="199">B564</f>
        <v>-</v>
      </c>
      <c r="C565" t="str">
        <f t="shared" si="199"/>
        <v>Daysi</v>
      </c>
      <c r="E565" t="str">
        <f t="shared" si="199"/>
        <v>-</v>
      </c>
      <c r="F565">
        <f t="shared" si="199"/>
        <v>952780649</v>
      </c>
      <c r="G565" t="str">
        <f t="shared" si="199"/>
        <v>-</v>
      </c>
      <c r="H565" t="str">
        <f t="shared" si="199"/>
        <v>Lima</v>
      </c>
      <c r="I565" t="str">
        <f t="shared" si="199"/>
        <v>Olivos</v>
      </c>
      <c r="J565" t="str">
        <f t="shared" si="199"/>
        <v>-</v>
      </c>
      <c r="K565" t="str">
        <f t="shared" si="199"/>
        <v>Puente Camote Izaguirre</v>
      </c>
      <c r="L565" t="str">
        <f t="shared" si="199"/>
        <v>Oficina</v>
      </c>
      <c r="M565" s="1">
        <f t="shared" si="199"/>
        <v>44964</v>
      </c>
      <c r="N565" t="str">
        <f t="shared" si="199"/>
        <v>Efectivo</v>
      </c>
      <c r="O565" s="17">
        <v>210</v>
      </c>
      <c r="P565" t="str">
        <f t="shared" ref="P565:R566" si="200">P564</f>
        <v>Otros</v>
      </c>
      <c r="Q565" t="str">
        <f t="shared" si="200"/>
        <v>U</v>
      </c>
      <c r="R565" t="str">
        <f t="shared" si="200"/>
        <v>Rodrigo</v>
      </c>
      <c r="T565" t="s">
        <v>1108</v>
      </c>
      <c r="U565" t="s">
        <v>1108</v>
      </c>
      <c r="V565" s="3">
        <f>X564</f>
        <v>1</v>
      </c>
      <c r="W565" t="s">
        <v>1139</v>
      </c>
      <c r="X565" s="9"/>
      <c r="Y565" s="9"/>
      <c r="Z565" t="s">
        <v>1138</v>
      </c>
    </row>
    <row r="566" spans="1:26">
      <c r="A566">
        <v>565</v>
      </c>
      <c r="B566" t="str">
        <f t="shared" si="199"/>
        <v>-</v>
      </c>
      <c r="C566" t="str">
        <f t="shared" si="199"/>
        <v>Daysi</v>
      </c>
      <c r="E566" t="str">
        <f t="shared" si="199"/>
        <v>-</v>
      </c>
      <c r="F566">
        <f t="shared" si="199"/>
        <v>952780649</v>
      </c>
      <c r="G566" t="str">
        <f t="shared" si="199"/>
        <v>-</v>
      </c>
      <c r="H566" t="str">
        <f t="shared" si="199"/>
        <v>Lima</v>
      </c>
      <c r="I566" t="str">
        <f t="shared" si="199"/>
        <v>Olivos</v>
      </c>
      <c r="J566" t="str">
        <f t="shared" si="199"/>
        <v>-</v>
      </c>
      <c r="K566" t="str">
        <f t="shared" si="199"/>
        <v>Puente Camote Izaguirre</v>
      </c>
      <c r="L566" t="str">
        <f t="shared" si="199"/>
        <v>Oficina</v>
      </c>
      <c r="M566" s="1">
        <f t="shared" si="199"/>
        <v>44964</v>
      </c>
      <c r="N566" t="str">
        <f t="shared" si="199"/>
        <v>Efectivo</v>
      </c>
      <c r="O566" s="17">
        <v>230</v>
      </c>
      <c r="P566" t="str">
        <f t="shared" si="200"/>
        <v>Otros</v>
      </c>
      <c r="Q566" t="str">
        <f t="shared" si="200"/>
        <v>U</v>
      </c>
      <c r="R566" t="str">
        <f t="shared" si="200"/>
        <v>Rodrigo</v>
      </c>
      <c r="T566" t="s">
        <v>1133</v>
      </c>
      <c r="U566" t="s">
        <v>1114</v>
      </c>
      <c r="V566">
        <v>20</v>
      </c>
      <c r="W566" t="s">
        <v>1132</v>
      </c>
      <c r="X566" s="9"/>
      <c r="Y566" s="9"/>
      <c r="Z566" t="s">
        <v>1131</v>
      </c>
    </row>
    <row r="567" spans="1:26">
      <c r="A567">
        <v>566</v>
      </c>
      <c r="B567" t="s">
        <v>2</v>
      </c>
      <c r="C567" t="s">
        <v>645</v>
      </c>
      <c r="E567" t="s">
        <v>2</v>
      </c>
      <c r="F567">
        <v>949772683</v>
      </c>
      <c r="G567" t="s">
        <v>2</v>
      </c>
      <c r="H567" t="s">
        <v>4</v>
      </c>
      <c r="I567" t="s">
        <v>244</v>
      </c>
      <c r="J567" t="s">
        <v>2</v>
      </c>
      <c r="K567" t="s">
        <v>646</v>
      </c>
      <c r="L567" t="s">
        <v>7</v>
      </c>
      <c r="M567" s="1">
        <v>44964</v>
      </c>
      <c r="N567" t="s">
        <v>21</v>
      </c>
      <c r="O567">
        <v>330</v>
      </c>
      <c r="P567" t="s">
        <v>30</v>
      </c>
      <c r="Q567" t="s">
        <v>10</v>
      </c>
      <c r="R567" t="s">
        <v>22</v>
      </c>
      <c r="T567" t="s">
        <v>1082</v>
      </c>
      <c r="U567" t="s">
        <v>1099</v>
      </c>
      <c r="V567" s="3" t="s">
        <v>1044</v>
      </c>
      <c r="W567" t="s">
        <v>1146</v>
      </c>
      <c r="X567" s="9">
        <v>100</v>
      </c>
      <c r="Y567" s="9" t="s">
        <v>1068</v>
      </c>
      <c r="Z567" t="s">
        <v>1143</v>
      </c>
    </row>
    <row r="568" spans="1:26">
      <c r="A568">
        <v>567</v>
      </c>
      <c r="B568" t="str">
        <f t="shared" ref="B568:N568" si="201">B567</f>
        <v>-</v>
      </c>
      <c r="C568" t="str">
        <f t="shared" si="201"/>
        <v>Panaderia Snaider</v>
      </c>
      <c r="E568" t="str">
        <f t="shared" si="201"/>
        <v>-</v>
      </c>
      <c r="F568">
        <f t="shared" si="201"/>
        <v>949772683</v>
      </c>
      <c r="G568" t="str">
        <f t="shared" si="201"/>
        <v>-</v>
      </c>
      <c r="H568" t="str">
        <f t="shared" si="201"/>
        <v>Lima</v>
      </c>
      <c r="I568" t="str">
        <f t="shared" si="201"/>
        <v>Comas</v>
      </c>
      <c r="J568" t="str">
        <f t="shared" si="201"/>
        <v>-</v>
      </c>
      <c r="K568" t="str">
        <f t="shared" si="201"/>
        <v>Coma Retablo</v>
      </c>
      <c r="L568" t="str">
        <f t="shared" si="201"/>
        <v>Oficina</v>
      </c>
      <c r="M568" s="1">
        <f t="shared" si="201"/>
        <v>44964</v>
      </c>
      <c r="N568" t="str">
        <f t="shared" si="201"/>
        <v>Efectivo</v>
      </c>
      <c r="O568" s="14">
        <v>15</v>
      </c>
      <c r="P568" t="str">
        <f t="shared" ref="P568:R568" si="202">P567</f>
        <v>Otros</v>
      </c>
      <c r="Q568" t="str">
        <f t="shared" si="202"/>
        <v>U</v>
      </c>
      <c r="R568" t="str">
        <f t="shared" si="202"/>
        <v>Sergio</v>
      </c>
      <c r="T568" t="s">
        <v>1134</v>
      </c>
      <c r="U568" t="s">
        <v>1116</v>
      </c>
      <c r="V568" s="3">
        <v>10</v>
      </c>
      <c r="W568" t="s">
        <v>1137</v>
      </c>
      <c r="X568" s="9"/>
      <c r="Y568" s="9"/>
      <c r="Z568" t="s">
        <v>1131</v>
      </c>
    </row>
    <row r="569" spans="1:26">
      <c r="A569">
        <v>568</v>
      </c>
      <c r="B569" t="s">
        <v>2</v>
      </c>
      <c r="C569" t="s">
        <v>722</v>
      </c>
      <c r="E569">
        <v>33328262</v>
      </c>
      <c r="F569">
        <v>988540317</v>
      </c>
      <c r="G569" t="s">
        <v>2</v>
      </c>
      <c r="H569" t="s">
        <v>846</v>
      </c>
      <c r="I569" t="s">
        <v>999</v>
      </c>
      <c r="J569" t="s">
        <v>29</v>
      </c>
      <c r="K569" t="s">
        <v>2</v>
      </c>
      <c r="L569" t="s">
        <v>268</v>
      </c>
      <c r="M569" s="1">
        <v>44965</v>
      </c>
      <c r="N569" t="s">
        <v>8</v>
      </c>
      <c r="O569">
        <v>200</v>
      </c>
      <c r="P569" t="s">
        <v>541</v>
      </c>
      <c r="Q569" t="s">
        <v>10</v>
      </c>
      <c r="R569" t="s">
        <v>11</v>
      </c>
      <c r="T569" t="s">
        <v>1082</v>
      </c>
      <c r="U569" t="s">
        <v>1099</v>
      </c>
      <c r="V569" s="3" t="s">
        <v>1044</v>
      </c>
      <c r="W569" t="s">
        <v>1146</v>
      </c>
      <c r="X569" s="9">
        <v>10</v>
      </c>
      <c r="Y569" s="9" t="s">
        <v>1068</v>
      </c>
      <c r="Z569" t="s">
        <v>1143</v>
      </c>
    </row>
    <row r="570" spans="1:26">
      <c r="A570">
        <v>569</v>
      </c>
      <c r="B570" t="s">
        <v>12</v>
      </c>
      <c r="C570" t="s">
        <v>723</v>
      </c>
      <c r="E570">
        <v>42569579</v>
      </c>
      <c r="F570">
        <v>949090096</v>
      </c>
      <c r="G570" t="s">
        <v>724</v>
      </c>
      <c r="H570" t="s">
        <v>514</v>
      </c>
      <c r="I570" t="s">
        <v>51</v>
      </c>
      <c r="J570" t="s">
        <v>29</v>
      </c>
      <c r="K570" t="s">
        <v>2</v>
      </c>
      <c r="L570" t="s">
        <v>268</v>
      </c>
      <c r="M570" s="1">
        <v>44965</v>
      </c>
      <c r="N570" t="s">
        <v>8</v>
      </c>
      <c r="O570">
        <v>200</v>
      </c>
      <c r="P570" t="s">
        <v>30</v>
      </c>
      <c r="Q570" t="s">
        <v>10</v>
      </c>
      <c r="R570" t="s">
        <v>22</v>
      </c>
      <c r="T570" t="s">
        <v>1082</v>
      </c>
      <c r="U570" t="s">
        <v>1099</v>
      </c>
      <c r="V570" s="3" t="s">
        <v>1044</v>
      </c>
      <c r="W570" t="s">
        <v>1146</v>
      </c>
      <c r="X570" s="9">
        <v>10</v>
      </c>
      <c r="Y570" s="9" t="s">
        <v>1068</v>
      </c>
      <c r="Z570" t="s">
        <v>1143</v>
      </c>
    </row>
    <row r="571" spans="1:26">
      <c r="A571">
        <v>570</v>
      </c>
      <c r="B571" t="s">
        <v>2</v>
      </c>
      <c r="C571" t="s">
        <v>725</v>
      </c>
      <c r="E571" t="s">
        <v>2</v>
      </c>
      <c r="F571">
        <v>941356341</v>
      </c>
      <c r="G571" t="s">
        <v>2</v>
      </c>
      <c r="H571" t="s">
        <v>4</v>
      </c>
      <c r="I571" t="s">
        <v>63</v>
      </c>
      <c r="J571" t="s">
        <v>2</v>
      </c>
      <c r="K571" t="s">
        <v>364</v>
      </c>
      <c r="L571" t="s">
        <v>37</v>
      </c>
      <c r="M571" s="1">
        <v>44966</v>
      </c>
      <c r="N571" t="s">
        <v>8</v>
      </c>
      <c r="O571">
        <v>415</v>
      </c>
      <c r="P571" t="s">
        <v>9</v>
      </c>
      <c r="Q571" t="s">
        <v>10</v>
      </c>
      <c r="R571" t="s">
        <v>11</v>
      </c>
      <c r="T571" t="s">
        <v>1092</v>
      </c>
      <c r="U571" t="s">
        <v>1100</v>
      </c>
      <c r="V571" s="3" t="s">
        <v>1047</v>
      </c>
      <c r="W571" t="s">
        <v>1146</v>
      </c>
      <c r="X571" s="9">
        <v>10</v>
      </c>
      <c r="Y571" s="9" t="s">
        <v>1068</v>
      </c>
      <c r="Z571" t="s">
        <v>1144</v>
      </c>
    </row>
    <row r="572" spans="1:26">
      <c r="A572">
        <v>571</v>
      </c>
      <c r="B572" t="str">
        <f t="shared" ref="B572:N572" si="203">B571</f>
        <v>-</v>
      </c>
      <c r="C572" t="str">
        <f t="shared" si="203"/>
        <v>Josselyn</v>
      </c>
      <c r="E572" t="str">
        <f t="shared" si="203"/>
        <v>-</v>
      </c>
      <c r="F572">
        <f t="shared" si="203"/>
        <v>941356341</v>
      </c>
      <c r="G572" t="str">
        <f t="shared" si="203"/>
        <v>-</v>
      </c>
      <c r="H572" t="str">
        <f t="shared" si="203"/>
        <v>Lima</v>
      </c>
      <c r="I572" t="str">
        <f t="shared" si="203"/>
        <v>San Martin de Porres</v>
      </c>
      <c r="J572" t="str">
        <f t="shared" si="203"/>
        <v>-</v>
      </c>
      <c r="K572" t="str">
        <f t="shared" si="203"/>
        <v>San Juan De Lurigancho</v>
      </c>
      <c r="L572" t="str">
        <f t="shared" si="203"/>
        <v>Redes sociales</v>
      </c>
      <c r="M572" s="1">
        <f t="shared" si="203"/>
        <v>44966</v>
      </c>
      <c r="N572" t="str">
        <f t="shared" si="203"/>
        <v>BCP</v>
      </c>
      <c r="O572" s="14">
        <v>15</v>
      </c>
      <c r="P572" t="str">
        <f t="shared" ref="P572:R572" si="204">P571</f>
        <v>Restaurante</v>
      </c>
      <c r="Q572" t="str">
        <f t="shared" si="204"/>
        <v>U</v>
      </c>
      <c r="R572" t="str">
        <f t="shared" si="204"/>
        <v>Rodrigo</v>
      </c>
      <c r="T572" t="s">
        <v>1134</v>
      </c>
      <c r="U572" t="s">
        <v>1116</v>
      </c>
      <c r="V572" s="3">
        <f>X571</f>
        <v>10</v>
      </c>
      <c r="W572" t="s">
        <v>1137</v>
      </c>
      <c r="X572" s="9"/>
      <c r="Y572" s="9"/>
      <c r="Z572" t="s">
        <v>1131</v>
      </c>
    </row>
    <row r="573" spans="1:26">
      <c r="A573">
        <v>572</v>
      </c>
      <c r="B573" t="s">
        <v>2</v>
      </c>
      <c r="C573" t="s">
        <v>726</v>
      </c>
      <c r="E573">
        <v>70081928</v>
      </c>
      <c r="F573">
        <v>951015289</v>
      </c>
      <c r="G573" t="s">
        <v>2</v>
      </c>
      <c r="H573" t="s">
        <v>1087</v>
      </c>
      <c r="I573" t="s">
        <v>44</v>
      </c>
      <c r="J573" t="s">
        <v>178</v>
      </c>
      <c r="K573" t="s">
        <v>2</v>
      </c>
      <c r="L573" t="s">
        <v>268</v>
      </c>
      <c r="M573" s="1">
        <v>44967</v>
      </c>
      <c r="N573" t="s">
        <v>56</v>
      </c>
      <c r="O573">
        <v>200</v>
      </c>
      <c r="P573" t="s">
        <v>30</v>
      </c>
      <c r="Q573" t="s">
        <v>10</v>
      </c>
      <c r="R573" t="s">
        <v>11</v>
      </c>
      <c r="T573" t="s">
        <v>1082</v>
      </c>
      <c r="U573" t="s">
        <v>1099</v>
      </c>
      <c r="V573" s="3" t="s">
        <v>1044</v>
      </c>
      <c r="W573" t="s">
        <v>1146</v>
      </c>
      <c r="X573" s="9">
        <v>10</v>
      </c>
      <c r="Y573" s="9" t="s">
        <v>1068</v>
      </c>
      <c r="Z573" t="s">
        <v>1143</v>
      </c>
    </row>
    <row r="574" spans="1:26">
      <c r="A574">
        <v>573</v>
      </c>
      <c r="B574" t="s">
        <v>2</v>
      </c>
      <c r="C574" t="s">
        <v>727</v>
      </c>
      <c r="E574" t="s">
        <v>2</v>
      </c>
      <c r="F574">
        <v>940059707</v>
      </c>
      <c r="G574" t="s">
        <v>2</v>
      </c>
      <c r="H574" t="s">
        <v>4</v>
      </c>
      <c r="I574" t="s">
        <v>244</v>
      </c>
      <c r="J574" t="s">
        <v>2</v>
      </c>
      <c r="K574" t="s">
        <v>728</v>
      </c>
      <c r="L574" t="s">
        <v>37</v>
      </c>
      <c r="M574" s="1">
        <v>44967</v>
      </c>
      <c r="N574" t="s">
        <v>21</v>
      </c>
      <c r="O574">
        <v>200</v>
      </c>
      <c r="P574" t="s">
        <v>30</v>
      </c>
      <c r="Q574" t="s">
        <v>10</v>
      </c>
      <c r="R574" t="s">
        <v>11</v>
      </c>
      <c r="T574" t="s">
        <v>1082</v>
      </c>
      <c r="U574" t="s">
        <v>1099</v>
      </c>
      <c r="V574" s="3" t="s">
        <v>1044</v>
      </c>
      <c r="W574" t="s">
        <v>1146</v>
      </c>
      <c r="X574" s="9">
        <v>10</v>
      </c>
      <c r="Y574" s="9" t="s">
        <v>1068</v>
      </c>
      <c r="Z574" t="s">
        <v>1143</v>
      </c>
    </row>
    <row r="575" spans="1:26">
      <c r="A575">
        <v>574</v>
      </c>
      <c r="B575" t="s">
        <v>12</v>
      </c>
      <c r="C575" t="s">
        <v>729</v>
      </c>
      <c r="D575">
        <v>20604193100</v>
      </c>
      <c r="E575" t="s">
        <v>2</v>
      </c>
      <c r="F575">
        <v>999337236</v>
      </c>
      <c r="G575" t="s">
        <v>730</v>
      </c>
      <c r="H575" t="s">
        <v>4</v>
      </c>
      <c r="I575" t="s">
        <v>63</v>
      </c>
      <c r="J575" t="s">
        <v>2</v>
      </c>
      <c r="K575" t="s">
        <v>731</v>
      </c>
      <c r="L575" t="s">
        <v>37</v>
      </c>
      <c r="M575" s="1">
        <v>44967</v>
      </c>
      <c r="N575" t="s">
        <v>8</v>
      </c>
      <c r="O575" s="2">
        <v>2040</v>
      </c>
      <c r="P575" t="s">
        <v>9</v>
      </c>
      <c r="Q575" t="s">
        <v>10</v>
      </c>
      <c r="R575" t="s">
        <v>11</v>
      </c>
      <c r="T575" t="s">
        <v>1092</v>
      </c>
      <c r="U575" t="s">
        <v>1093</v>
      </c>
      <c r="V575" s="3">
        <v>6</v>
      </c>
      <c r="W575" t="s">
        <v>1148</v>
      </c>
      <c r="X575" s="9" t="s">
        <v>2</v>
      </c>
      <c r="Y575" s="9" t="s">
        <v>2</v>
      </c>
      <c r="Z575" t="s">
        <v>1149</v>
      </c>
    </row>
    <row r="576" spans="1:26">
      <c r="A576">
        <v>575</v>
      </c>
      <c r="B576" t="s">
        <v>2</v>
      </c>
      <c r="C576" t="s">
        <v>732</v>
      </c>
      <c r="E576">
        <v>76348277</v>
      </c>
      <c r="F576">
        <v>901128308</v>
      </c>
      <c r="G576" t="s">
        <v>2</v>
      </c>
      <c r="H576" t="s">
        <v>514</v>
      </c>
      <c r="I576" t="s">
        <v>51</v>
      </c>
      <c r="J576" t="s">
        <v>733</v>
      </c>
      <c r="K576" t="s">
        <v>2</v>
      </c>
      <c r="L576" t="s">
        <v>268</v>
      </c>
      <c r="M576" s="1">
        <v>44968</v>
      </c>
      <c r="N576" t="s">
        <v>8</v>
      </c>
      <c r="O576">
        <v>200</v>
      </c>
      <c r="P576" t="s">
        <v>216</v>
      </c>
      <c r="Q576" t="s">
        <v>10</v>
      </c>
      <c r="R576" t="s">
        <v>11</v>
      </c>
      <c r="T576" t="s">
        <v>1082</v>
      </c>
      <c r="U576" t="s">
        <v>1099</v>
      </c>
      <c r="V576" s="3" t="s">
        <v>1044</v>
      </c>
      <c r="W576" t="s">
        <v>1146</v>
      </c>
      <c r="X576" s="9">
        <v>10</v>
      </c>
      <c r="Y576" s="9" t="s">
        <v>1068</v>
      </c>
      <c r="Z576" t="s">
        <v>1143</v>
      </c>
    </row>
    <row r="577" spans="1:26">
      <c r="A577">
        <v>576</v>
      </c>
      <c r="B577" t="s">
        <v>2</v>
      </c>
      <c r="C577" t="s">
        <v>734</v>
      </c>
      <c r="E577">
        <v>70077475</v>
      </c>
      <c r="F577">
        <v>934013644</v>
      </c>
      <c r="G577" t="s">
        <v>2</v>
      </c>
      <c r="H577" t="s">
        <v>89</v>
      </c>
      <c r="J577" t="s">
        <v>29</v>
      </c>
      <c r="K577" t="s">
        <v>2</v>
      </c>
      <c r="L577" t="s">
        <v>37</v>
      </c>
      <c r="M577" s="1">
        <v>44968</v>
      </c>
      <c r="N577" t="s">
        <v>56</v>
      </c>
      <c r="O577">
        <v>415</v>
      </c>
      <c r="P577" t="s">
        <v>134</v>
      </c>
      <c r="Q577" t="s">
        <v>10</v>
      </c>
      <c r="R577" t="s">
        <v>11</v>
      </c>
      <c r="T577" t="s">
        <v>1092</v>
      </c>
      <c r="U577" t="s">
        <v>1095</v>
      </c>
      <c r="V577" s="3">
        <v>1</v>
      </c>
      <c r="W577" t="s">
        <v>1145</v>
      </c>
      <c r="X577" s="9">
        <v>1</v>
      </c>
      <c r="Y577" s="9" t="s">
        <v>1060</v>
      </c>
      <c r="Z577" t="s">
        <v>1143</v>
      </c>
    </row>
    <row r="578" spans="1:26">
      <c r="A578">
        <v>577</v>
      </c>
      <c r="B578" t="str">
        <f t="shared" ref="B578:N578" si="205">B577</f>
        <v>-</v>
      </c>
      <c r="C578" t="str">
        <f t="shared" si="205"/>
        <v>Paul Castro Sosa</v>
      </c>
      <c r="E578">
        <f t="shared" si="205"/>
        <v>70077475</v>
      </c>
      <c r="F578">
        <f t="shared" si="205"/>
        <v>934013644</v>
      </c>
      <c r="G578" t="str">
        <f t="shared" si="205"/>
        <v>-</v>
      </c>
      <c r="H578" t="str">
        <f t="shared" si="205"/>
        <v>Ayacucho</v>
      </c>
      <c r="J578" t="str">
        <f t="shared" si="205"/>
        <v>Shalom</v>
      </c>
      <c r="K578" t="str">
        <f t="shared" si="205"/>
        <v>-</v>
      </c>
      <c r="L578" t="str">
        <f t="shared" si="205"/>
        <v>Redes sociales</v>
      </c>
      <c r="M578" s="1">
        <f t="shared" si="205"/>
        <v>44968</v>
      </c>
      <c r="N578" t="str">
        <f t="shared" si="205"/>
        <v>Interbank</v>
      </c>
      <c r="O578" s="14">
        <f>25*(V578)</f>
        <v>25</v>
      </c>
      <c r="P578" t="str">
        <f t="shared" ref="P578:R578" si="206">P577</f>
        <v>Bodega</v>
      </c>
      <c r="Q578" t="str">
        <f t="shared" si="206"/>
        <v>U</v>
      </c>
      <c r="R578" t="str">
        <f t="shared" si="206"/>
        <v>Rodrigo</v>
      </c>
      <c r="T578" t="s">
        <v>1151</v>
      </c>
      <c r="U578" t="s">
        <v>1124</v>
      </c>
      <c r="V578" s="3">
        <f>X577</f>
        <v>1</v>
      </c>
      <c r="W578" t="s">
        <v>1135</v>
      </c>
      <c r="X578" s="9"/>
      <c r="Y578" s="9"/>
      <c r="Z578" t="s">
        <v>1136</v>
      </c>
    </row>
    <row r="579" spans="1:26">
      <c r="A579">
        <v>578</v>
      </c>
      <c r="B579" t="s">
        <v>2</v>
      </c>
      <c r="C579" t="s">
        <v>735</v>
      </c>
      <c r="E579">
        <v>3364087</v>
      </c>
      <c r="F579">
        <v>969435149</v>
      </c>
      <c r="G579" t="s">
        <v>2</v>
      </c>
      <c r="H579" t="s">
        <v>514</v>
      </c>
      <c r="I579" t="s">
        <v>74</v>
      </c>
      <c r="J579" t="s">
        <v>29</v>
      </c>
      <c r="K579" t="s">
        <v>2</v>
      </c>
      <c r="L579" t="s">
        <v>268</v>
      </c>
      <c r="M579" s="1">
        <v>44970</v>
      </c>
      <c r="N579" t="s">
        <v>8</v>
      </c>
      <c r="O579">
        <v>460</v>
      </c>
      <c r="P579" t="s">
        <v>30</v>
      </c>
      <c r="Q579" t="s">
        <v>10</v>
      </c>
      <c r="R579" t="s">
        <v>22</v>
      </c>
      <c r="T579" t="s">
        <v>1092</v>
      </c>
      <c r="U579" t="s">
        <v>1105</v>
      </c>
      <c r="V579" s="3" t="s">
        <v>1044</v>
      </c>
      <c r="W579" t="s">
        <v>1148</v>
      </c>
      <c r="X579" s="9">
        <v>10</v>
      </c>
      <c r="Y579" s="9" t="s">
        <v>1056</v>
      </c>
      <c r="Z579" t="s">
        <v>1149</v>
      </c>
    </row>
    <row r="580" spans="1:26">
      <c r="A580">
        <v>579</v>
      </c>
      <c r="B580" t="str">
        <f t="shared" ref="B580:N580" si="207">B579</f>
        <v>-</v>
      </c>
      <c r="C580" t="str">
        <f t="shared" si="207"/>
        <v>Jose Eusebio Pintado Calle</v>
      </c>
      <c r="E580">
        <f t="shared" si="207"/>
        <v>3364087</v>
      </c>
      <c r="F580">
        <f t="shared" si="207"/>
        <v>969435149</v>
      </c>
      <c r="G580" t="str">
        <f t="shared" si="207"/>
        <v>-</v>
      </c>
      <c r="H580" t="str">
        <f t="shared" si="207"/>
        <v>Piura</v>
      </c>
      <c r="I580" t="s">
        <v>74</v>
      </c>
      <c r="J580" t="str">
        <f t="shared" si="207"/>
        <v>Shalom</v>
      </c>
      <c r="K580" t="str">
        <f t="shared" si="207"/>
        <v>-</v>
      </c>
      <c r="L580" t="str">
        <f t="shared" si="207"/>
        <v>Aplicativo Web</v>
      </c>
      <c r="M580" s="1">
        <f t="shared" si="207"/>
        <v>44970</v>
      </c>
      <c r="N580" t="str">
        <f t="shared" si="207"/>
        <v>BCP</v>
      </c>
      <c r="O580" s="16">
        <f>25*(V580/10)</f>
        <v>125</v>
      </c>
      <c r="P580" t="str">
        <f t="shared" ref="P580:R580" si="208">P579</f>
        <v>Otros</v>
      </c>
      <c r="Q580" t="str">
        <f t="shared" si="208"/>
        <v>U</v>
      </c>
      <c r="R580" t="str">
        <f t="shared" si="208"/>
        <v>Sergio</v>
      </c>
      <c r="T580" t="s">
        <v>1134</v>
      </c>
      <c r="U580" t="s">
        <v>1115</v>
      </c>
      <c r="V580" s="3">
        <v>50</v>
      </c>
      <c r="W580" t="s">
        <v>1137</v>
      </c>
      <c r="X580" s="9"/>
      <c r="Y580" s="9"/>
      <c r="Z580" t="s">
        <v>1131</v>
      </c>
    </row>
    <row r="581" spans="1:26">
      <c r="A581">
        <v>580</v>
      </c>
      <c r="B581" t="s">
        <v>2</v>
      </c>
      <c r="C581" t="s">
        <v>736</v>
      </c>
      <c r="E581">
        <v>5341253</v>
      </c>
      <c r="F581">
        <v>967179793</v>
      </c>
      <c r="G581" t="s">
        <v>2</v>
      </c>
      <c r="H581" t="s">
        <v>44</v>
      </c>
      <c r="J581" t="s">
        <v>140</v>
      </c>
      <c r="K581" t="s">
        <v>2</v>
      </c>
      <c r="L581" t="s">
        <v>37</v>
      </c>
      <c r="M581" s="1">
        <v>44971</v>
      </c>
      <c r="N581" t="s">
        <v>8</v>
      </c>
      <c r="O581">
        <v>199</v>
      </c>
      <c r="P581" t="s">
        <v>234</v>
      </c>
      <c r="Q581" t="s">
        <v>10</v>
      </c>
      <c r="R581" t="s">
        <v>11</v>
      </c>
      <c r="T581" t="s">
        <v>1082</v>
      </c>
      <c r="U581" t="s">
        <v>1099</v>
      </c>
      <c r="V581" s="3" t="s">
        <v>1044</v>
      </c>
      <c r="W581" t="s">
        <v>1146</v>
      </c>
      <c r="X581" s="9">
        <v>10</v>
      </c>
      <c r="Y581" s="9" t="s">
        <v>1068</v>
      </c>
      <c r="Z581" t="s">
        <v>1143</v>
      </c>
    </row>
    <row r="582" spans="1:26">
      <c r="A582">
        <v>581</v>
      </c>
      <c r="B582" t="s">
        <v>2</v>
      </c>
      <c r="C582" t="s">
        <v>737</v>
      </c>
      <c r="E582">
        <v>45379956</v>
      </c>
      <c r="F582">
        <v>979111206</v>
      </c>
      <c r="G582" t="s">
        <v>2</v>
      </c>
      <c r="H582" t="s">
        <v>199</v>
      </c>
      <c r="J582" t="s">
        <v>29</v>
      </c>
      <c r="K582" t="s">
        <v>2</v>
      </c>
      <c r="L582" t="s">
        <v>268</v>
      </c>
      <c r="M582" s="1">
        <v>44972</v>
      </c>
      <c r="N582" t="s">
        <v>8</v>
      </c>
      <c r="O582">
        <v>205</v>
      </c>
      <c r="P582" t="s">
        <v>9</v>
      </c>
      <c r="Q582" t="s">
        <v>10</v>
      </c>
      <c r="R582" t="s">
        <v>11</v>
      </c>
      <c r="T582" t="s">
        <v>1133</v>
      </c>
      <c r="U582" t="s">
        <v>1115</v>
      </c>
      <c r="V582" s="3">
        <v>10</v>
      </c>
      <c r="W582" t="s">
        <v>1132</v>
      </c>
      <c r="X582" s="9">
        <v>10</v>
      </c>
      <c r="Y582" s="9" t="s">
        <v>1065</v>
      </c>
      <c r="Z582" t="s">
        <v>1131</v>
      </c>
    </row>
    <row r="583" spans="1:26">
      <c r="A583">
        <v>582</v>
      </c>
      <c r="B583" t="str">
        <f t="shared" ref="B583:N583" si="209">B582</f>
        <v>-</v>
      </c>
      <c r="C583" t="str">
        <f t="shared" si="209"/>
        <v>Wilber Rogelio Diaz Morales</v>
      </c>
      <c r="E583">
        <f t="shared" si="209"/>
        <v>45379956</v>
      </c>
      <c r="F583">
        <f t="shared" si="209"/>
        <v>979111206</v>
      </c>
      <c r="G583" t="str">
        <f t="shared" si="209"/>
        <v>-</v>
      </c>
      <c r="H583" t="str">
        <f t="shared" si="209"/>
        <v>Arequipa</v>
      </c>
      <c r="J583" t="str">
        <f t="shared" si="209"/>
        <v>Shalom</v>
      </c>
      <c r="K583" t="str">
        <f t="shared" si="209"/>
        <v>-</v>
      </c>
      <c r="L583" t="str">
        <f t="shared" si="209"/>
        <v>Aplicativo Web</v>
      </c>
      <c r="M583" s="1">
        <f t="shared" si="209"/>
        <v>44972</v>
      </c>
      <c r="N583" t="str">
        <f t="shared" si="209"/>
        <v>BCP</v>
      </c>
      <c r="O583" s="16">
        <f>25*(V583/10)</f>
        <v>25</v>
      </c>
      <c r="P583" t="str">
        <f t="shared" ref="P583:R583" si="210">P582</f>
        <v>Restaurante</v>
      </c>
      <c r="Q583" t="str">
        <f t="shared" si="210"/>
        <v>U</v>
      </c>
      <c r="R583" t="str">
        <f t="shared" si="210"/>
        <v>Rodrigo</v>
      </c>
      <c r="T583" t="s">
        <v>1134</v>
      </c>
      <c r="U583" t="s">
        <v>1115</v>
      </c>
      <c r="V583" s="3">
        <f t="shared" ref="V583" si="211">X582</f>
        <v>10</v>
      </c>
      <c r="W583" t="s">
        <v>1137</v>
      </c>
      <c r="X583" s="9"/>
      <c r="Y583" s="9"/>
      <c r="Z583" t="s">
        <v>1131</v>
      </c>
    </row>
    <row r="584" spans="1:26">
      <c r="A584">
        <v>583</v>
      </c>
      <c r="B584" t="s">
        <v>2</v>
      </c>
      <c r="C584" t="s">
        <v>607</v>
      </c>
      <c r="E584" t="s">
        <v>2</v>
      </c>
      <c r="F584">
        <v>947230452</v>
      </c>
      <c r="G584" t="s">
        <v>2</v>
      </c>
      <c r="H584" t="s">
        <v>4</v>
      </c>
      <c r="I584" t="s">
        <v>90</v>
      </c>
      <c r="J584" t="s">
        <v>2</v>
      </c>
      <c r="K584" t="s">
        <v>608</v>
      </c>
      <c r="L584" t="s">
        <v>37</v>
      </c>
      <c r="M584" s="1">
        <v>44972</v>
      </c>
      <c r="N584" t="s">
        <v>21</v>
      </c>
      <c r="O584">
        <v>300</v>
      </c>
      <c r="P584" t="s">
        <v>541</v>
      </c>
      <c r="Q584" t="s">
        <v>10</v>
      </c>
      <c r="R584" t="s">
        <v>11</v>
      </c>
      <c r="T584" t="s">
        <v>1082</v>
      </c>
      <c r="U584" t="s">
        <v>1104</v>
      </c>
      <c r="V584" s="3" t="s">
        <v>1044</v>
      </c>
      <c r="W584" t="s">
        <v>1145</v>
      </c>
      <c r="X584" s="9">
        <v>10</v>
      </c>
      <c r="Y584" s="9" t="s">
        <v>1056</v>
      </c>
      <c r="Z584" t="s">
        <v>1143</v>
      </c>
    </row>
    <row r="585" spans="1:26">
      <c r="A585">
        <v>584</v>
      </c>
      <c r="B585" t="s">
        <v>2</v>
      </c>
      <c r="C585" t="s">
        <v>738</v>
      </c>
      <c r="E585">
        <v>70556670</v>
      </c>
      <c r="F585">
        <v>959751818</v>
      </c>
      <c r="G585" t="s">
        <v>2</v>
      </c>
      <c r="H585" t="s">
        <v>846</v>
      </c>
      <c r="I585" t="s">
        <v>739</v>
      </c>
      <c r="J585" t="s">
        <v>740</v>
      </c>
      <c r="K585" t="s">
        <v>2</v>
      </c>
      <c r="L585" t="s">
        <v>268</v>
      </c>
      <c r="M585" s="1">
        <v>44973</v>
      </c>
      <c r="N585" t="s">
        <v>8</v>
      </c>
      <c r="O585">
        <v>450</v>
      </c>
      <c r="P585" t="s">
        <v>234</v>
      </c>
      <c r="Q585" t="s">
        <v>10</v>
      </c>
      <c r="R585" t="s">
        <v>22</v>
      </c>
      <c r="T585" t="s">
        <v>1092</v>
      </c>
      <c r="U585" t="s">
        <v>1093</v>
      </c>
      <c r="V585" s="3">
        <v>1</v>
      </c>
      <c r="W585" t="s">
        <v>1148</v>
      </c>
      <c r="X585" s="9">
        <v>10</v>
      </c>
      <c r="Y585" s="9" t="s">
        <v>1056</v>
      </c>
      <c r="Z585" t="s">
        <v>1149</v>
      </c>
    </row>
    <row r="586" spans="1:26">
      <c r="A586">
        <v>585</v>
      </c>
      <c r="B586" t="str">
        <f t="shared" ref="B586:N586" si="212">B585</f>
        <v>-</v>
      </c>
      <c r="C586" t="str">
        <f t="shared" si="212"/>
        <v>Joel Liñan Flores</v>
      </c>
      <c r="E586">
        <f t="shared" si="212"/>
        <v>70556670</v>
      </c>
      <c r="F586">
        <f t="shared" si="212"/>
        <v>959751818</v>
      </c>
      <c r="G586" t="str">
        <f t="shared" si="212"/>
        <v>-</v>
      </c>
      <c r="H586" t="str">
        <f t="shared" si="212"/>
        <v>Ancash</v>
      </c>
      <c r="I586" t="str">
        <f t="shared" si="212"/>
        <v>Pomabamba</v>
      </c>
      <c r="J586" t="str">
        <f t="shared" si="212"/>
        <v>Express Sifuentes</v>
      </c>
      <c r="K586" t="str">
        <f t="shared" si="212"/>
        <v>-</v>
      </c>
      <c r="L586" t="str">
        <f t="shared" si="212"/>
        <v>Aplicativo Web</v>
      </c>
      <c r="M586" s="1">
        <f t="shared" si="212"/>
        <v>44973</v>
      </c>
      <c r="N586" t="str">
        <f t="shared" si="212"/>
        <v>BCP</v>
      </c>
      <c r="O586" s="16">
        <v>60</v>
      </c>
      <c r="P586" t="str">
        <f t="shared" ref="P586:R586" si="213">P585</f>
        <v>Farmacia</v>
      </c>
      <c r="Q586" t="str">
        <f t="shared" si="213"/>
        <v>U</v>
      </c>
      <c r="R586" t="str">
        <f t="shared" si="213"/>
        <v>Sergio</v>
      </c>
      <c r="T586" t="s">
        <v>1134</v>
      </c>
      <c r="U586" t="s">
        <v>1115</v>
      </c>
      <c r="V586" s="3">
        <v>20</v>
      </c>
      <c r="W586" t="s">
        <v>1137</v>
      </c>
      <c r="X586" s="9"/>
      <c r="Y586" s="9"/>
      <c r="Z586" t="s">
        <v>1131</v>
      </c>
    </row>
    <row r="587" spans="1:26">
      <c r="A587">
        <v>586</v>
      </c>
      <c r="B587" t="s">
        <v>2</v>
      </c>
      <c r="C587" t="s">
        <v>637</v>
      </c>
      <c r="E587">
        <v>45752997</v>
      </c>
      <c r="F587">
        <v>968231634</v>
      </c>
      <c r="G587" t="s">
        <v>2</v>
      </c>
      <c r="H587" t="s">
        <v>4</v>
      </c>
      <c r="I587" t="s">
        <v>58</v>
      </c>
      <c r="J587" t="s">
        <v>2</v>
      </c>
      <c r="K587" t="s">
        <v>741</v>
      </c>
      <c r="L587" t="s">
        <v>7</v>
      </c>
      <c r="M587" s="1">
        <v>44974</v>
      </c>
      <c r="N587" t="s">
        <v>8</v>
      </c>
      <c r="O587">
        <v>355</v>
      </c>
      <c r="P587" t="s">
        <v>234</v>
      </c>
      <c r="Q587" t="s">
        <v>10</v>
      </c>
      <c r="R587" t="s">
        <v>22</v>
      </c>
      <c r="T587" t="s">
        <v>1092</v>
      </c>
      <c r="U587" t="s">
        <v>1105</v>
      </c>
      <c r="V587" s="3" t="s">
        <v>1044</v>
      </c>
      <c r="W587" t="s">
        <v>1148</v>
      </c>
      <c r="X587" s="9">
        <v>10</v>
      </c>
      <c r="Y587" s="9" t="s">
        <v>1065</v>
      </c>
      <c r="Z587" t="s">
        <v>1149</v>
      </c>
    </row>
    <row r="588" spans="1:26">
      <c r="A588">
        <v>587</v>
      </c>
      <c r="B588" t="str">
        <f t="shared" ref="B588:N588" si="214">B587</f>
        <v>-</v>
      </c>
      <c r="C588" t="str">
        <f t="shared" si="214"/>
        <v>Harvin Alexis Cisneros Sánchez</v>
      </c>
      <c r="E588">
        <f t="shared" si="214"/>
        <v>45752997</v>
      </c>
      <c r="F588">
        <f t="shared" si="214"/>
        <v>968231634</v>
      </c>
      <c r="G588" t="str">
        <f t="shared" si="214"/>
        <v>-</v>
      </c>
      <c r="H588" t="str">
        <f t="shared" si="214"/>
        <v>Lima</v>
      </c>
      <c r="I588" t="str">
        <f t="shared" si="214"/>
        <v>Olivos</v>
      </c>
      <c r="J588" t="str">
        <f t="shared" si="214"/>
        <v>-</v>
      </c>
      <c r="K588" t="str">
        <f t="shared" si="214"/>
        <v>Izaguirre con Palmeras</v>
      </c>
      <c r="L588" t="str">
        <f t="shared" si="214"/>
        <v>Oficina</v>
      </c>
      <c r="M588" s="1">
        <f t="shared" si="214"/>
        <v>44974</v>
      </c>
      <c r="N588" t="str">
        <f t="shared" si="214"/>
        <v>BCP</v>
      </c>
      <c r="O588" s="16">
        <f>25*(V588/10)</f>
        <v>25</v>
      </c>
      <c r="P588" t="str">
        <f t="shared" ref="P588:R588" si="215">P587</f>
        <v>Farmacia</v>
      </c>
      <c r="Q588" t="str">
        <f t="shared" si="215"/>
        <v>U</v>
      </c>
      <c r="R588" t="str">
        <f t="shared" si="215"/>
        <v>Sergio</v>
      </c>
      <c r="T588" t="s">
        <v>1134</v>
      </c>
      <c r="U588" t="s">
        <v>1115</v>
      </c>
      <c r="V588" s="3">
        <f t="shared" ref="V588" si="216">X587</f>
        <v>10</v>
      </c>
      <c r="W588" t="s">
        <v>1137</v>
      </c>
      <c r="X588" s="9"/>
      <c r="Y588" s="9"/>
      <c r="Z588" t="s">
        <v>1131</v>
      </c>
    </row>
    <row r="589" spans="1:26">
      <c r="A589">
        <v>588</v>
      </c>
      <c r="B589" t="s">
        <v>2</v>
      </c>
      <c r="C589" t="s">
        <v>742</v>
      </c>
      <c r="E589" t="s">
        <v>2</v>
      </c>
      <c r="F589">
        <v>900116983</v>
      </c>
      <c r="G589" t="s">
        <v>2</v>
      </c>
      <c r="H589" t="s">
        <v>4</v>
      </c>
      <c r="I589" t="s">
        <v>244</v>
      </c>
      <c r="J589" t="s">
        <v>2</v>
      </c>
      <c r="K589" t="s">
        <v>7</v>
      </c>
      <c r="L589" t="s">
        <v>7</v>
      </c>
      <c r="M589" s="1">
        <v>44974</v>
      </c>
      <c r="N589" t="s">
        <v>8</v>
      </c>
      <c r="O589">
        <v>200</v>
      </c>
      <c r="P589" t="s">
        <v>134</v>
      </c>
      <c r="Q589" t="s">
        <v>10</v>
      </c>
      <c r="R589" t="s">
        <v>11</v>
      </c>
      <c r="T589" t="s">
        <v>1082</v>
      </c>
      <c r="U589" t="s">
        <v>1099</v>
      </c>
      <c r="V589" s="3" t="s">
        <v>1044</v>
      </c>
      <c r="W589" t="s">
        <v>1146</v>
      </c>
      <c r="X589" s="9">
        <v>10</v>
      </c>
      <c r="Y589" s="9" t="s">
        <v>1068</v>
      </c>
      <c r="Z589" t="s">
        <v>1143</v>
      </c>
    </row>
    <row r="590" spans="1:26">
      <c r="A590">
        <v>589</v>
      </c>
      <c r="B590" t="s">
        <v>2</v>
      </c>
      <c r="C590" t="s">
        <v>743</v>
      </c>
      <c r="E590">
        <v>76269360</v>
      </c>
      <c r="F590">
        <v>918881948</v>
      </c>
      <c r="G590" t="s">
        <v>2</v>
      </c>
      <c r="H590" t="s">
        <v>973</v>
      </c>
      <c r="J590" t="s">
        <v>29</v>
      </c>
      <c r="K590" t="s">
        <v>2</v>
      </c>
      <c r="L590" t="s">
        <v>268</v>
      </c>
      <c r="M590" s="1">
        <v>44974</v>
      </c>
      <c r="N590" t="s">
        <v>8</v>
      </c>
      <c r="O590">
        <v>230</v>
      </c>
      <c r="P590" t="s">
        <v>234</v>
      </c>
      <c r="Q590" t="s">
        <v>10</v>
      </c>
      <c r="R590" t="s">
        <v>22</v>
      </c>
      <c r="T590" t="s">
        <v>1092</v>
      </c>
      <c r="U590" t="s">
        <v>1100</v>
      </c>
      <c r="V590" s="3" t="s">
        <v>1044</v>
      </c>
      <c r="W590" t="s">
        <v>1146</v>
      </c>
      <c r="X590" s="9">
        <v>10</v>
      </c>
      <c r="Y590" s="9" t="s">
        <v>1068</v>
      </c>
      <c r="Z590" t="s">
        <v>1144</v>
      </c>
    </row>
    <row r="591" spans="1:26">
      <c r="A591">
        <v>590</v>
      </c>
      <c r="B591" t="str">
        <f t="shared" ref="B591:N591" si="217">B590</f>
        <v>-</v>
      </c>
      <c r="C591" t="str">
        <f t="shared" si="217"/>
        <v>Sandra Monica Auca</v>
      </c>
      <c r="E591">
        <f t="shared" si="217"/>
        <v>76269360</v>
      </c>
      <c r="F591">
        <f t="shared" si="217"/>
        <v>918881948</v>
      </c>
      <c r="G591" t="str">
        <f t="shared" si="217"/>
        <v>-</v>
      </c>
      <c r="H591" t="str">
        <f t="shared" si="217"/>
        <v>Cuzco</v>
      </c>
      <c r="J591" t="str">
        <f t="shared" si="217"/>
        <v>Shalom</v>
      </c>
      <c r="K591" t="str">
        <f t="shared" si="217"/>
        <v>-</v>
      </c>
      <c r="L591" t="str">
        <f t="shared" si="217"/>
        <v>Aplicativo Web</v>
      </c>
      <c r="M591" s="1">
        <f t="shared" si="217"/>
        <v>44974</v>
      </c>
      <c r="N591" t="str">
        <f t="shared" si="217"/>
        <v>BCP</v>
      </c>
      <c r="O591" s="14">
        <v>15</v>
      </c>
      <c r="P591" t="str">
        <f t="shared" ref="P591:R591" si="218">P590</f>
        <v>Farmacia</v>
      </c>
      <c r="Q591" t="str">
        <f t="shared" si="218"/>
        <v>U</v>
      </c>
      <c r="R591" t="str">
        <f t="shared" si="218"/>
        <v>Sergio</v>
      </c>
      <c r="T591" t="s">
        <v>1134</v>
      </c>
      <c r="U591" t="s">
        <v>1116</v>
      </c>
      <c r="V591" s="3">
        <f>X590</f>
        <v>10</v>
      </c>
      <c r="W591" t="s">
        <v>1137</v>
      </c>
      <c r="X591" s="9"/>
      <c r="Y591" s="9"/>
      <c r="Z591" t="s">
        <v>1131</v>
      </c>
    </row>
    <row r="592" spans="1:26">
      <c r="A592">
        <v>591</v>
      </c>
      <c r="B592" t="s">
        <v>12</v>
      </c>
      <c r="C592" t="s">
        <v>744</v>
      </c>
      <c r="D592">
        <v>20541289322</v>
      </c>
      <c r="E592">
        <v>73768490</v>
      </c>
      <c r="F592">
        <v>941929874</v>
      </c>
      <c r="G592" t="s">
        <v>745</v>
      </c>
      <c r="H592" t="s">
        <v>44</v>
      </c>
      <c r="J592" t="s">
        <v>178</v>
      </c>
      <c r="K592" t="s">
        <v>2</v>
      </c>
      <c r="L592" t="s">
        <v>268</v>
      </c>
      <c r="M592" s="1">
        <v>44974</v>
      </c>
      <c r="N592" t="s">
        <v>8</v>
      </c>
      <c r="O592">
        <v>404</v>
      </c>
      <c r="P592" t="s">
        <v>52</v>
      </c>
      <c r="Q592" t="s">
        <v>10</v>
      </c>
      <c r="R592" t="s">
        <v>22</v>
      </c>
      <c r="T592" t="s">
        <v>1092</v>
      </c>
      <c r="U592" t="s">
        <v>1105</v>
      </c>
      <c r="V592" s="3" t="s">
        <v>1044</v>
      </c>
      <c r="W592" t="s">
        <v>1148</v>
      </c>
      <c r="X592" s="9">
        <v>80</v>
      </c>
      <c r="Y592" s="9" t="s">
        <v>1065</v>
      </c>
      <c r="Z592" t="s">
        <v>1149</v>
      </c>
    </row>
    <row r="593" spans="1:26">
      <c r="A593">
        <v>592</v>
      </c>
      <c r="B593" t="str">
        <f t="shared" ref="B593:N593" si="219">B592</f>
        <v>FT</v>
      </c>
      <c r="C593" t="str">
        <f t="shared" si="219"/>
        <v>Silva Vela Cesar Manuel</v>
      </c>
      <c r="D593">
        <f t="shared" si="219"/>
        <v>20541289322</v>
      </c>
      <c r="E593">
        <f t="shared" si="219"/>
        <v>73768490</v>
      </c>
      <c r="F593">
        <f t="shared" si="219"/>
        <v>941929874</v>
      </c>
      <c r="G593" t="str">
        <f t="shared" si="219"/>
        <v>FT F001-82</v>
      </c>
      <c r="H593" t="str">
        <f t="shared" si="219"/>
        <v>Iquitos</v>
      </c>
      <c r="J593" t="str">
        <f t="shared" si="219"/>
        <v>Tarapoto Courier</v>
      </c>
      <c r="K593" t="str">
        <f t="shared" si="219"/>
        <v>-</v>
      </c>
      <c r="L593" t="str">
        <f t="shared" si="219"/>
        <v>Aplicativo Web</v>
      </c>
      <c r="M593" s="1">
        <f t="shared" si="219"/>
        <v>44974</v>
      </c>
      <c r="N593" t="str">
        <f t="shared" si="219"/>
        <v>BCP</v>
      </c>
      <c r="O593" s="16">
        <f>25*(V593/10)</f>
        <v>150</v>
      </c>
      <c r="P593" t="s">
        <v>52</v>
      </c>
      <c r="Q593" t="str">
        <f t="shared" ref="Q593:R593" si="220">Q592</f>
        <v>U</v>
      </c>
      <c r="R593" t="str">
        <f t="shared" si="220"/>
        <v>Sergio</v>
      </c>
      <c r="T593" t="s">
        <v>1134</v>
      </c>
      <c r="U593" t="s">
        <v>1115</v>
      </c>
      <c r="V593" s="3">
        <v>60</v>
      </c>
      <c r="W593" t="s">
        <v>1137</v>
      </c>
      <c r="X593" s="9"/>
      <c r="Y593" s="9"/>
      <c r="Z593" t="s">
        <v>1131</v>
      </c>
    </row>
    <row r="594" spans="1:26">
      <c r="A594">
        <v>593</v>
      </c>
      <c r="B594" t="s">
        <v>12</v>
      </c>
      <c r="C594" t="s">
        <v>746</v>
      </c>
      <c r="D594">
        <v>10713802013</v>
      </c>
      <c r="E594">
        <v>71374351</v>
      </c>
      <c r="F594">
        <v>983940563</v>
      </c>
      <c r="G594" t="s">
        <v>747</v>
      </c>
      <c r="H594" t="s">
        <v>1041</v>
      </c>
      <c r="I594" t="s">
        <v>748</v>
      </c>
      <c r="J594" t="s">
        <v>147</v>
      </c>
      <c r="K594" t="s">
        <v>2</v>
      </c>
      <c r="L594" t="s">
        <v>37</v>
      </c>
      <c r="M594" s="1">
        <v>44974</v>
      </c>
      <c r="N594" t="s">
        <v>8</v>
      </c>
      <c r="O594">
        <v>200</v>
      </c>
      <c r="P594" t="s">
        <v>9</v>
      </c>
      <c r="Q594" t="s">
        <v>10</v>
      </c>
      <c r="R594" t="s">
        <v>22</v>
      </c>
      <c r="T594" t="s">
        <v>1082</v>
      </c>
      <c r="U594" t="s">
        <v>1099</v>
      </c>
      <c r="V594" s="3" t="s">
        <v>1044</v>
      </c>
      <c r="W594" t="s">
        <v>1146</v>
      </c>
      <c r="X594" s="9">
        <v>10</v>
      </c>
      <c r="Y594" s="9" t="s">
        <v>1068</v>
      </c>
      <c r="Z594" t="s">
        <v>1143</v>
      </c>
    </row>
    <row r="595" spans="1:26">
      <c r="A595">
        <v>594</v>
      </c>
      <c r="B595" t="s">
        <v>2</v>
      </c>
      <c r="C595" t="s">
        <v>749</v>
      </c>
      <c r="E595">
        <v>42204528</v>
      </c>
      <c r="F595">
        <v>972371703</v>
      </c>
      <c r="G595" t="s">
        <v>2</v>
      </c>
      <c r="H595" s="7" t="s">
        <v>256</v>
      </c>
      <c r="I595" t="s">
        <v>79</v>
      </c>
      <c r="J595" t="s">
        <v>29</v>
      </c>
      <c r="K595" t="s">
        <v>2</v>
      </c>
      <c r="L595" t="s">
        <v>268</v>
      </c>
      <c r="M595" s="1">
        <v>44975</v>
      </c>
      <c r="N595" t="s">
        <v>8</v>
      </c>
      <c r="O595">
        <v>200</v>
      </c>
      <c r="P595" t="s">
        <v>541</v>
      </c>
      <c r="Q595" t="s">
        <v>10</v>
      </c>
      <c r="R595" t="s">
        <v>22</v>
      </c>
      <c r="T595" t="s">
        <v>1082</v>
      </c>
      <c r="U595" t="s">
        <v>1099</v>
      </c>
      <c r="V595" s="3" t="s">
        <v>1044</v>
      </c>
      <c r="W595" t="s">
        <v>1146</v>
      </c>
      <c r="X595" s="9">
        <v>10</v>
      </c>
      <c r="Y595" s="9" t="s">
        <v>1068</v>
      </c>
      <c r="Z595" t="s">
        <v>1143</v>
      </c>
    </row>
    <row r="596" spans="1:26">
      <c r="A596">
        <v>595</v>
      </c>
      <c r="B596" t="s">
        <v>23</v>
      </c>
      <c r="C596" t="s">
        <v>365</v>
      </c>
      <c r="E596" t="s">
        <v>2</v>
      </c>
      <c r="F596">
        <v>987117816</v>
      </c>
      <c r="G596" t="s">
        <v>2</v>
      </c>
      <c r="H596" t="s">
        <v>4</v>
      </c>
      <c r="I596" t="s">
        <v>58</v>
      </c>
      <c r="J596" t="s">
        <v>2</v>
      </c>
      <c r="K596" t="s">
        <v>58</v>
      </c>
      <c r="L596" t="s">
        <v>7</v>
      </c>
      <c r="M596" s="1">
        <v>44975</v>
      </c>
      <c r="N596" t="s">
        <v>8</v>
      </c>
      <c r="O596">
        <v>30</v>
      </c>
      <c r="P596" t="s">
        <v>30</v>
      </c>
      <c r="Q596" t="s">
        <v>10</v>
      </c>
      <c r="R596" t="s">
        <v>22</v>
      </c>
      <c r="T596" t="s">
        <v>1134</v>
      </c>
      <c r="U596" t="s">
        <v>1121</v>
      </c>
      <c r="V596" s="3" t="s">
        <v>1053</v>
      </c>
      <c r="W596" t="s">
        <v>1137</v>
      </c>
      <c r="X596" s="9" t="s">
        <v>2</v>
      </c>
      <c r="Y596" s="9" t="s">
        <v>2</v>
      </c>
      <c r="Z596" t="s">
        <v>1131</v>
      </c>
    </row>
    <row r="597" spans="1:26">
      <c r="A597">
        <v>596</v>
      </c>
      <c r="B597" t="s">
        <v>12</v>
      </c>
      <c r="C597" t="s">
        <v>729</v>
      </c>
      <c r="D597">
        <v>20604193100</v>
      </c>
      <c r="E597" t="s">
        <v>2</v>
      </c>
      <c r="F597">
        <v>999337236</v>
      </c>
      <c r="G597" t="s">
        <v>750</v>
      </c>
      <c r="H597" t="s">
        <v>4</v>
      </c>
      <c r="I597" t="s">
        <v>63</v>
      </c>
      <c r="J597" t="s">
        <v>2</v>
      </c>
      <c r="K597" t="s">
        <v>731</v>
      </c>
      <c r="L597" t="s">
        <v>37</v>
      </c>
      <c r="M597" s="1">
        <v>44975</v>
      </c>
      <c r="N597" t="s">
        <v>8</v>
      </c>
      <c r="O597">
        <v>120</v>
      </c>
      <c r="P597" t="s">
        <v>30</v>
      </c>
      <c r="Q597" t="s">
        <v>10</v>
      </c>
      <c r="R597" t="s">
        <v>11</v>
      </c>
      <c r="T597" t="s">
        <v>1133</v>
      </c>
      <c r="U597" t="s">
        <v>1114</v>
      </c>
      <c r="V597" s="3">
        <v>3</v>
      </c>
      <c r="W597" t="s">
        <v>1132</v>
      </c>
      <c r="X597" s="9">
        <v>20</v>
      </c>
      <c r="Y597" s="9" t="s">
        <v>1056</v>
      </c>
      <c r="Z597" t="s">
        <v>1131</v>
      </c>
    </row>
    <row r="598" spans="1:26">
      <c r="A598">
        <v>597</v>
      </c>
      <c r="B598" t="s">
        <v>2</v>
      </c>
      <c r="C598" t="s">
        <v>751</v>
      </c>
      <c r="E598">
        <v>40850745</v>
      </c>
      <c r="F598">
        <v>995680468</v>
      </c>
      <c r="G598" t="s">
        <v>2</v>
      </c>
      <c r="H598" t="s">
        <v>423</v>
      </c>
      <c r="I598" t="s">
        <v>36</v>
      </c>
      <c r="J598" t="s">
        <v>29</v>
      </c>
      <c r="K598" t="s">
        <v>2</v>
      </c>
      <c r="L598" t="s">
        <v>268</v>
      </c>
      <c r="M598" s="1">
        <v>44977</v>
      </c>
      <c r="N598" t="s">
        <v>56</v>
      </c>
      <c r="O598">
        <v>380</v>
      </c>
      <c r="P598" t="s">
        <v>30</v>
      </c>
      <c r="Q598" t="s">
        <v>10</v>
      </c>
      <c r="R598" t="s">
        <v>22</v>
      </c>
      <c r="T598" t="s">
        <v>1092</v>
      </c>
      <c r="U598" t="s">
        <v>1105</v>
      </c>
      <c r="V598" s="3" t="s">
        <v>1044</v>
      </c>
      <c r="W598" t="s">
        <v>1148</v>
      </c>
      <c r="X598" s="9">
        <v>10</v>
      </c>
      <c r="Y598" s="9" t="s">
        <v>1065</v>
      </c>
      <c r="Z598" t="s">
        <v>1149</v>
      </c>
    </row>
    <row r="599" spans="1:26">
      <c r="A599">
        <v>598</v>
      </c>
      <c r="B599" t="str">
        <f t="shared" ref="B599:N599" si="221">B598</f>
        <v>-</v>
      </c>
      <c r="C599" t="str">
        <f t="shared" si="221"/>
        <v>Valera Romero Jose Luis</v>
      </c>
      <c r="E599">
        <f t="shared" si="221"/>
        <v>40850745</v>
      </c>
      <c r="F599">
        <f t="shared" si="221"/>
        <v>995680468</v>
      </c>
      <c r="G599" t="str">
        <f t="shared" si="221"/>
        <v>-</v>
      </c>
      <c r="H599" t="str">
        <f t="shared" si="221"/>
        <v>San Martin</v>
      </c>
      <c r="I599" t="str">
        <f t="shared" si="221"/>
        <v>Tarapoto</v>
      </c>
      <c r="J599" t="str">
        <f t="shared" si="221"/>
        <v>Shalom</v>
      </c>
      <c r="K599" t="str">
        <f t="shared" si="221"/>
        <v>-</v>
      </c>
      <c r="L599" t="str">
        <f t="shared" si="221"/>
        <v>Aplicativo Web</v>
      </c>
      <c r="M599" s="1">
        <f t="shared" si="221"/>
        <v>44977</v>
      </c>
      <c r="N599" t="str">
        <f t="shared" si="221"/>
        <v>Interbank</v>
      </c>
      <c r="O599" s="16">
        <f>25*(V599/10)</f>
        <v>25</v>
      </c>
      <c r="P599" t="str">
        <f t="shared" ref="P599:R599" si="222">P598</f>
        <v>Otros</v>
      </c>
      <c r="Q599" t="str">
        <f t="shared" si="222"/>
        <v>U</v>
      </c>
      <c r="R599" t="str">
        <f t="shared" si="222"/>
        <v>Sergio</v>
      </c>
      <c r="T599" t="s">
        <v>1134</v>
      </c>
      <c r="U599" t="s">
        <v>1115</v>
      </c>
      <c r="V599" s="3">
        <f t="shared" ref="V599" si="223">X598</f>
        <v>10</v>
      </c>
      <c r="W599" t="s">
        <v>1137</v>
      </c>
      <c r="X599" s="9"/>
      <c r="Y599" s="9"/>
      <c r="Z599" t="s">
        <v>1131</v>
      </c>
    </row>
    <row r="600" spans="1:26">
      <c r="A600">
        <v>599</v>
      </c>
      <c r="B600" t="s">
        <v>12</v>
      </c>
      <c r="C600" t="s">
        <v>752</v>
      </c>
      <c r="D600">
        <v>1046900089</v>
      </c>
      <c r="E600">
        <v>46900089</v>
      </c>
      <c r="F600">
        <v>938288058</v>
      </c>
      <c r="G600" t="s">
        <v>753</v>
      </c>
      <c r="H600" t="s">
        <v>266</v>
      </c>
      <c r="J600" t="s">
        <v>29</v>
      </c>
      <c r="K600" t="s">
        <v>2</v>
      </c>
      <c r="L600" t="s">
        <v>37</v>
      </c>
      <c r="M600" s="1">
        <v>44977</v>
      </c>
      <c r="N600" t="s">
        <v>8</v>
      </c>
      <c r="O600">
        <v>370</v>
      </c>
      <c r="P600" t="s">
        <v>9</v>
      </c>
      <c r="Q600" t="s">
        <v>10</v>
      </c>
      <c r="R600" t="s">
        <v>11</v>
      </c>
      <c r="T600" t="s">
        <v>1092</v>
      </c>
      <c r="U600" t="s">
        <v>1105</v>
      </c>
      <c r="V600" s="3" t="s">
        <v>1044</v>
      </c>
      <c r="W600" t="s">
        <v>1148</v>
      </c>
      <c r="X600" s="9">
        <v>10</v>
      </c>
      <c r="Y600" s="9" t="s">
        <v>1065</v>
      </c>
      <c r="Z600" t="s">
        <v>1149</v>
      </c>
    </row>
    <row r="601" spans="1:26">
      <c r="A601">
        <v>600</v>
      </c>
      <c r="B601" t="str">
        <f t="shared" ref="B601:N601" si="224">B600</f>
        <v>FT</v>
      </c>
      <c r="C601" t="str">
        <f t="shared" si="224"/>
        <v>Emil Jhordan Espinoza Condor</v>
      </c>
      <c r="D601">
        <f t="shared" si="224"/>
        <v>1046900089</v>
      </c>
      <c r="E601">
        <f t="shared" si="224"/>
        <v>46900089</v>
      </c>
      <c r="F601">
        <f t="shared" si="224"/>
        <v>938288058</v>
      </c>
      <c r="G601" t="str">
        <f t="shared" si="224"/>
        <v>FT F001-86</v>
      </c>
      <c r="H601" t="str">
        <f t="shared" si="224"/>
        <v>Huancayo</v>
      </c>
      <c r="J601" t="str">
        <f t="shared" si="224"/>
        <v>Shalom</v>
      </c>
      <c r="K601" t="str">
        <f t="shared" si="224"/>
        <v>-</v>
      </c>
      <c r="L601" t="str">
        <f t="shared" si="224"/>
        <v>Redes sociales</v>
      </c>
      <c r="M601" s="1">
        <f t="shared" si="224"/>
        <v>44977</v>
      </c>
      <c r="N601" t="str">
        <f t="shared" si="224"/>
        <v>BCP</v>
      </c>
      <c r="O601" s="16">
        <v>10</v>
      </c>
      <c r="P601" t="str">
        <f t="shared" ref="P601:R601" si="225">P600</f>
        <v>Restaurante</v>
      </c>
      <c r="Q601" t="str">
        <f t="shared" si="225"/>
        <v>U</v>
      </c>
      <c r="R601" t="str">
        <f t="shared" si="225"/>
        <v>Rodrigo</v>
      </c>
      <c r="T601" t="s">
        <v>1134</v>
      </c>
      <c r="U601" t="s">
        <v>1115</v>
      </c>
      <c r="V601" s="3">
        <v>5</v>
      </c>
      <c r="W601" t="s">
        <v>1137</v>
      </c>
      <c r="X601" s="9"/>
      <c r="Y601" s="9"/>
      <c r="Z601" t="s">
        <v>1131</v>
      </c>
    </row>
    <row r="602" spans="1:26" ht="14.15" customHeight="1">
      <c r="A602">
        <v>601</v>
      </c>
      <c r="B602" t="s">
        <v>12</v>
      </c>
      <c r="C602" t="s">
        <v>754</v>
      </c>
      <c r="D602">
        <v>10412106593</v>
      </c>
      <c r="E602" t="s">
        <v>2</v>
      </c>
      <c r="F602">
        <v>966371769</v>
      </c>
      <c r="G602" t="s">
        <v>755</v>
      </c>
      <c r="H602" t="s">
        <v>4</v>
      </c>
      <c r="I602" t="s">
        <v>364</v>
      </c>
      <c r="J602" t="s">
        <v>2</v>
      </c>
      <c r="K602" t="s">
        <v>364</v>
      </c>
      <c r="L602" t="s">
        <v>268</v>
      </c>
      <c r="M602" s="1">
        <v>44979</v>
      </c>
      <c r="N602" t="s">
        <v>56</v>
      </c>
      <c r="O602" s="2">
        <f>545-O603-O604</f>
        <v>385</v>
      </c>
      <c r="P602" t="s">
        <v>30</v>
      </c>
      <c r="Q602" t="s">
        <v>10</v>
      </c>
      <c r="R602" t="s">
        <v>22</v>
      </c>
      <c r="T602" t="s">
        <v>1092</v>
      </c>
      <c r="U602" t="s">
        <v>1105</v>
      </c>
      <c r="V602" s="3" t="s">
        <v>1044</v>
      </c>
      <c r="W602" t="s">
        <v>1148</v>
      </c>
      <c r="X602" s="9">
        <v>10</v>
      </c>
      <c r="Y602" s="9" t="s">
        <v>1056</v>
      </c>
      <c r="Z602" t="s">
        <v>1149</v>
      </c>
    </row>
    <row r="603" spans="1:26">
      <c r="A603">
        <v>602</v>
      </c>
      <c r="B603" t="str">
        <f t="shared" ref="B603:N604" si="226">B602</f>
        <v>FT</v>
      </c>
      <c r="C603" t="str">
        <f t="shared" si="226"/>
        <v>Aldo Rios</v>
      </c>
      <c r="D603">
        <f t="shared" si="226"/>
        <v>10412106593</v>
      </c>
      <c r="E603" t="str">
        <f t="shared" si="226"/>
        <v>-</v>
      </c>
      <c r="F603">
        <f t="shared" si="226"/>
        <v>966371769</v>
      </c>
      <c r="G603" t="str">
        <f t="shared" si="226"/>
        <v>FT F001-87</v>
      </c>
      <c r="H603" t="str">
        <f t="shared" si="226"/>
        <v>Lima</v>
      </c>
      <c r="I603" t="str">
        <f t="shared" si="226"/>
        <v>San Juan De Lurigancho</v>
      </c>
      <c r="J603" t="str">
        <f t="shared" si="226"/>
        <v>-</v>
      </c>
      <c r="K603" t="str">
        <f t="shared" si="226"/>
        <v>San Juan De Lurigancho</v>
      </c>
      <c r="L603" t="str">
        <f t="shared" si="226"/>
        <v>Aplicativo Web</v>
      </c>
      <c r="M603" s="1">
        <f t="shared" si="226"/>
        <v>44979</v>
      </c>
      <c r="N603" t="str">
        <f t="shared" si="226"/>
        <v>Interbank</v>
      </c>
      <c r="O603" s="16">
        <f>25*(V603/10)</f>
        <v>100</v>
      </c>
      <c r="P603" t="str">
        <f t="shared" ref="P603:R604" si="227">P602</f>
        <v>Otros</v>
      </c>
      <c r="Q603" t="str">
        <f t="shared" si="227"/>
        <v>U</v>
      </c>
      <c r="R603" t="str">
        <f t="shared" si="227"/>
        <v>Sergio</v>
      </c>
      <c r="T603" t="s">
        <v>1134</v>
      </c>
      <c r="U603" t="s">
        <v>1115</v>
      </c>
      <c r="V603" s="3">
        <v>40</v>
      </c>
      <c r="W603" t="s">
        <v>1137</v>
      </c>
      <c r="X603" s="9"/>
      <c r="Y603" s="9"/>
      <c r="Z603" t="s">
        <v>1131</v>
      </c>
    </row>
    <row r="604" spans="1:26">
      <c r="A604">
        <v>603</v>
      </c>
      <c r="B604" t="str">
        <f t="shared" si="226"/>
        <v>FT</v>
      </c>
      <c r="C604" t="str">
        <f t="shared" si="226"/>
        <v>Aldo Rios</v>
      </c>
      <c r="D604">
        <f t="shared" si="226"/>
        <v>10412106593</v>
      </c>
      <c r="E604" t="str">
        <f t="shared" si="226"/>
        <v>-</v>
      </c>
      <c r="F604">
        <f t="shared" si="226"/>
        <v>966371769</v>
      </c>
      <c r="G604" t="str">
        <f t="shared" si="226"/>
        <v>FT F001-87</v>
      </c>
      <c r="H604" t="str">
        <f t="shared" si="226"/>
        <v>Lima</v>
      </c>
      <c r="I604" t="str">
        <f t="shared" si="226"/>
        <v>San Juan De Lurigancho</v>
      </c>
      <c r="J604" t="str">
        <f t="shared" si="226"/>
        <v>-</v>
      </c>
      <c r="K604" t="str">
        <f t="shared" si="226"/>
        <v>San Juan De Lurigancho</v>
      </c>
      <c r="L604" t="str">
        <f t="shared" si="226"/>
        <v>Aplicativo Web</v>
      </c>
      <c r="M604" s="1">
        <f t="shared" si="226"/>
        <v>44979</v>
      </c>
      <c r="N604" t="str">
        <f t="shared" si="226"/>
        <v>Interbank</v>
      </c>
      <c r="O604" s="14">
        <v>60</v>
      </c>
      <c r="P604" t="str">
        <f t="shared" si="227"/>
        <v>Otros</v>
      </c>
      <c r="Q604" t="str">
        <f t="shared" si="227"/>
        <v>U</v>
      </c>
      <c r="R604" t="str">
        <f t="shared" si="227"/>
        <v>Sergio</v>
      </c>
      <c r="T604" t="s">
        <v>1151</v>
      </c>
      <c r="U604" t="s">
        <v>1127</v>
      </c>
      <c r="V604">
        <v>1</v>
      </c>
      <c r="W604" t="s">
        <v>1135</v>
      </c>
      <c r="X604" s="9"/>
      <c r="Y604" s="9"/>
      <c r="Z604" t="s">
        <v>1136</v>
      </c>
    </row>
    <row r="605" spans="1:26">
      <c r="A605">
        <v>604</v>
      </c>
      <c r="B605" t="s">
        <v>2</v>
      </c>
      <c r="C605" t="s">
        <v>756</v>
      </c>
      <c r="E605" t="s">
        <v>2</v>
      </c>
      <c r="F605">
        <v>947773255</v>
      </c>
      <c r="G605" t="s">
        <v>2</v>
      </c>
      <c r="H605" t="s">
        <v>4</v>
      </c>
      <c r="I605" t="s">
        <v>58</v>
      </c>
      <c r="J605" t="s">
        <v>2</v>
      </c>
      <c r="K605" t="s">
        <v>757</v>
      </c>
      <c r="L605" t="s">
        <v>37</v>
      </c>
      <c r="M605" s="1">
        <v>44980</v>
      </c>
      <c r="N605" t="s">
        <v>21</v>
      </c>
      <c r="O605" s="2">
        <f>660-O606-O607</f>
        <v>365</v>
      </c>
      <c r="P605" t="s">
        <v>134</v>
      </c>
      <c r="Q605" t="s">
        <v>10</v>
      </c>
      <c r="R605" t="s">
        <v>11</v>
      </c>
      <c r="T605" t="s">
        <v>1092</v>
      </c>
      <c r="U605" t="s">
        <v>1094</v>
      </c>
      <c r="V605" s="3">
        <v>2</v>
      </c>
      <c r="W605" t="s">
        <v>1148</v>
      </c>
      <c r="X605" s="9">
        <v>1</v>
      </c>
      <c r="Y605" s="9" t="s">
        <v>1086</v>
      </c>
      <c r="Z605" t="s">
        <v>1149</v>
      </c>
    </row>
    <row r="606" spans="1:26">
      <c r="A606">
        <v>605</v>
      </c>
      <c r="B606" t="str">
        <f t="shared" ref="B606:N607" si="228">B605</f>
        <v>-</v>
      </c>
      <c r="C606" t="str">
        <f t="shared" si="228"/>
        <v>Gregorio</v>
      </c>
      <c r="E606" t="str">
        <f t="shared" si="228"/>
        <v>-</v>
      </c>
      <c r="F606">
        <f t="shared" si="228"/>
        <v>947773255</v>
      </c>
      <c r="G606" t="str">
        <f t="shared" si="228"/>
        <v>-</v>
      </c>
      <c r="H606" t="str">
        <f t="shared" si="228"/>
        <v>Lima</v>
      </c>
      <c r="I606" t="str">
        <f t="shared" si="228"/>
        <v>Olivos</v>
      </c>
      <c r="J606" t="str">
        <f t="shared" si="228"/>
        <v>-</v>
      </c>
      <c r="K606" t="str">
        <f t="shared" si="228"/>
        <v>Av. Chuquitanta con Av. Naranajal Mz A Lote 20</v>
      </c>
      <c r="L606" t="str">
        <f t="shared" si="228"/>
        <v>Redes sociales</v>
      </c>
      <c r="M606" s="1">
        <f t="shared" si="228"/>
        <v>44980</v>
      </c>
      <c r="N606" t="str">
        <f t="shared" si="228"/>
        <v>Efectivo</v>
      </c>
      <c r="O606" s="14">
        <v>270</v>
      </c>
      <c r="P606" t="str">
        <f t="shared" ref="P606:R607" si="229">P605</f>
        <v>Bodega</v>
      </c>
      <c r="Q606" t="str">
        <f t="shared" si="229"/>
        <v>U</v>
      </c>
      <c r="R606" t="str">
        <f t="shared" si="229"/>
        <v>Rodrigo</v>
      </c>
      <c r="T606" t="s">
        <v>1119</v>
      </c>
      <c r="U606" s="12" t="s">
        <v>1142</v>
      </c>
      <c r="V606" s="3">
        <f>X605</f>
        <v>1</v>
      </c>
      <c r="W606" t="str">
        <f t="shared" ref="W606" si="230">Y605</f>
        <v>Gaveta de dinero 4 billeteros</v>
      </c>
      <c r="X606" s="9"/>
      <c r="Y606" s="9"/>
      <c r="Z606" t="s">
        <v>1141</v>
      </c>
    </row>
    <row r="607" spans="1:26">
      <c r="A607">
        <v>606</v>
      </c>
      <c r="B607" t="str">
        <f t="shared" si="228"/>
        <v>-</v>
      </c>
      <c r="C607" t="str">
        <f t="shared" si="228"/>
        <v>Gregorio</v>
      </c>
      <c r="E607" t="str">
        <f t="shared" si="228"/>
        <v>-</v>
      </c>
      <c r="F607">
        <f t="shared" si="228"/>
        <v>947773255</v>
      </c>
      <c r="G607" t="str">
        <f t="shared" si="228"/>
        <v>-</v>
      </c>
      <c r="H607" t="str">
        <f t="shared" si="228"/>
        <v>Lima</v>
      </c>
      <c r="I607" t="str">
        <f t="shared" si="228"/>
        <v>Olivos</v>
      </c>
      <c r="J607" t="str">
        <f t="shared" si="228"/>
        <v>-</v>
      </c>
      <c r="K607" t="str">
        <f t="shared" si="228"/>
        <v>Av. Chuquitanta con Av. Naranajal Mz A Lote 20</v>
      </c>
      <c r="L607" t="str">
        <f t="shared" si="228"/>
        <v>Redes sociales</v>
      </c>
      <c r="M607" s="1">
        <f t="shared" si="228"/>
        <v>44980</v>
      </c>
      <c r="N607" t="str">
        <f t="shared" si="228"/>
        <v>Efectivo</v>
      </c>
      <c r="O607" s="16">
        <f>25*(V607/10)</f>
        <v>25</v>
      </c>
      <c r="P607" t="str">
        <f t="shared" si="229"/>
        <v>Bodega</v>
      </c>
      <c r="Q607" t="str">
        <f t="shared" si="229"/>
        <v>U</v>
      </c>
      <c r="R607" t="str">
        <f t="shared" si="229"/>
        <v>Rodrigo</v>
      </c>
      <c r="T607" t="s">
        <v>1134</v>
      </c>
      <c r="U607" t="s">
        <v>1115</v>
      </c>
      <c r="V607">
        <v>10</v>
      </c>
      <c r="W607" t="s">
        <v>1137</v>
      </c>
      <c r="X607" s="9"/>
      <c r="Y607" s="9"/>
      <c r="Z607" t="s">
        <v>1131</v>
      </c>
    </row>
    <row r="608" spans="1:26">
      <c r="A608">
        <v>607</v>
      </c>
      <c r="B608" t="s">
        <v>2</v>
      </c>
      <c r="C608" t="s">
        <v>758</v>
      </c>
      <c r="D608">
        <v>20610586270</v>
      </c>
      <c r="E608" t="s">
        <v>2</v>
      </c>
      <c r="F608">
        <v>912438264</v>
      </c>
      <c r="G608" t="s">
        <v>2</v>
      </c>
      <c r="H608" t="s">
        <v>4</v>
      </c>
      <c r="I608" t="s">
        <v>58</v>
      </c>
      <c r="J608" t="s">
        <v>2</v>
      </c>
      <c r="K608" t="s">
        <v>759</v>
      </c>
      <c r="L608" t="s">
        <v>268</v>
      </c>
      <c r="M608" s="1">
        <v>44981</v>
      </c>
      <c r="N608" t="s">
        <v>8</v>
      </c>
      <c r="O608" s="2">
        <f>1220-O609-O610</f>
        <v>795</v>
      </c>
      <c r="P608" t="s">
        <v>30</v>
      </c>
      <c r="Q608" t="s">
        <v>10</v>
      </c>
      <c r="R608" t="s">
        <v>11</v>
      </c>
      <c r="T608" t="s">
        <v>1092</v>
      </c>
      <c r="U608" t="s">
        <v>1105</v>
      </c>
      <c r="V608" s="3" t="s">
        <v>1047</v>
      </c>
      <c r="W608" t="s">
        <v>1148</v>
      </c>
      <c r="X608" s="9">
        <v>1</v>
      </c>
      <c r="Y608" s="9" t="s">
        <v>1086</v>
      </c>
      <c r="Z608" t="s">
        <v>1149</v>
      </c>
    </row>
    <row r="609" spans="1:26">
      <c r="A609">
        <v>608</v>
      </c>
      <c r="B609" t="str">
        <f t="shared" ref="B609:N610" si="231">B608</f>
        <v>-</v>
      </c>
      <c r="C609" t="str">
        <f t="shared" si="231"/>
        <v>Callao Barra Cevicheria S.A.C.</v>
      </c>
      <c r="D609">
        <f t="shared" si="231"/>
        <v>20610586270</v>
      </c>
      <c r="E609" t="str">
        <f t="shared" si="231"/>
        <v>-</v>
      </c>
      <c r="F609">
        <f t="shared" si="231"/>
        <v>912438264</v>
      </c>
      <c r="G609" t="str">
        <f t="shared" si="231"/>
        <v>-</v>
      </c>
      <c r="H609" t="str">
        <f t="shared" si="231"/>
        <v>Lima</v>
      </c>
      <c r="I609" t="str">
        <f t="shared" si="231"/>
        <v>Olivos</v>
      </c>
      <c r="J609" t="str">
        <f t="shared" si="231"/>
        <v>-</v>
      </c>
      <c r="K609" t="str">
        <f t="shared" si="231"/>
        <v>Av. Alfredo Benavides 4534</v>
      </c>
      <c r="L609" t="str">
        <f t="shared" si="231"/>
        <v>Aplicativo Web</v>
      </c>
      <c r="M609" s="1">
        <f t="shared" si="231"/>
        <v>44981</v>
      </c>
      <c r="N609" t="str">
        <f t="shared" si="231"/>
        <v>BCP</v>
      </c>
      <c r="O609" s="16">
        <v>400</v>
      </c>
      <c r="P609" t="str">
        <f t="shared" ref="P609:R610" si="232">P608</f>
        <v>Otros</v>
      </c>
      <c r="Q609" t="str">
        <f t="shared" si="232"/>
        <v>U</v>
      </c>
      <c r="R609" t="str">
        <f t="shared" si="232"/>
        <v>Rodrigo</v>
      </c>
      <c r="T609" t="s">
        <v>1119</v>
      </c>
      <c r="U609" s="12" t="s">
        <v>1142</v>
      </c>
      <c r="V609" s="3">
        <f>X608</f>
        <v>1</v>
      </c>
      <c r="W609" t="str">
        <f t="shared" ref="W609" si="233">Y608</f>
        <v>Gaveta de dinero 4 billeteros</v>
      </c>
      <c r="X609" s="9"/>
      <c r="Y609" s="9"/>
      <c r="Z609" t="s">
        <v>1141</v>
      </c>
    </row>
    <row r="610" spans="1:26">
      <c r="A610">
        <v>609</v>
      </c>
      <c r="B610" t="str">
        <f t="shared" si="231"/>
        <v>-</v>
      </c>
      <c r="C610" t="str">
        <f t="shared" si="231"/>
        <v>Callao Barra Cevicheria S.A.C.</v>
      </c>
      <c r="D610">
        <f t="shared" si="231"/>
        <v>20610586270</v>
      </c>
      <c r="E610" t="str">
        <f t="shared" si="231"/>
        <v>-</v>
      </c>
      <c r="F610">
        <f t="shared" si="231"/>
        <v>912438264</v>
      </c>
      <c r="G610" t="str">
        <f t="shared" si="231"/>
        <v>-</v>
      </c>
      <c r="H610" t="str">
        <f t="shared" si="231"/>
        <v>Lima</v>
      </c>
      <c r="I610" t="str">
        <f t="shared" si="231"/>
        <v>Olivos</v>
      </c>
      <c r="J610" t="str">
        <f t="shared" si="231"/>
        <v>-</v>
      </c>
      <c r="K610" t="str">
        <f t="shared" si="231"/>
        <v>Av. Alfredo Benavides 4534</v>
      </c>
      <c r="L610" t="str">
        <f t="shared" si="231"/>
        <v>Aplicativo Web</v>
      </c>
      <c r="M610" s="1">
        <f t="shared" si="231"/>
        <v>44981</v>
      </c>
      <c r="N610" t="str">
        <f t="shared" si="231"/>
        <v>BCP</v>
      </c>
      <c r="O610" s="16">
        <f>25*(V610/10)</f>
        <v>25</v>
      </c>
      <c r="P610" t="str">
        <f t="shared" si="232"/>
        <v>Otros</v>
      </c>
      <c r="Q610" t="str">
        <f t="shared" si="232"/>
        <v>U</v>
      </c>
      <c r="R610" t="str">
        <f t="shared" si="232"/>
        <v>Rodrigo</v>
      </c>
      <c r="T610" t="s">
        <v>1134</v>
      </c>
      <c r="U610" t="s">
        <v>1115</v>
      </c>
      <c r="V610">
        <v>10</v>
      </c>
      <c r="W610" t="s">
        <v>1137</v>
      </c>
      <c r="X610" s="9"/>
      <c r="Y610" s="9"/>
      <c r="Z610" t="s">
        <v>1131</v>
      </c>
    </row>
    <row r="611" spans="1:26">
      <c r="A611">
        <v>610</v>
      </c>
      <c r="B611" t="s">
        <v>12</v>
      </c>
      <c r="C611" t="s">
        <v>760</v>
      </c>
      <c r="D611">
        <v>10738759988</v>
      </c>
      <c r="E611">
        <v>73875998</v>
      </c>
      <c r="F611">
        <v>965021229</v>
      </c>
      <c r="G611" t="s">
        <v>761</v>
      </c>
      <c r="H611" t="s">
        <v>514</v>
      </c>
      <c r="I611" t="s">
        <v>74</v>
      </c>
      <c r="J611" t="s">
        <v>29</v>
      </c>
      <c r="K611" t="s">
        <v>2</v>
      </c>
      <c r="L611" t="s">
        <v>37</v>
      </c>
      <c r="M611" s="1">
        <v>44981</v>
      </c>
      <c r="N611" t="s">
        <v>8</v>
      </c>
      <c r="O611">
        <v>450</v>
      </c>
      <c r="P611" t="s">
        <v>30</v>
      </c>
      <c r="Q611" t="s">
        <v>10</v>
      </c>
      <c r="R611" t="s">
        <v>11</v>
      </c>
      <c r="T611" t="s">
        <v>1092</v>
      </c>
      <c r="U611" t="s">
        <v>1094</v>
      </c>
      <c r="V611" s="3" t="s">
        <v>1044</v>
      </c>
      <c r="W611" t="s">
        <v>1148</v>
      </c>
      <c r="X611" s="9">
        <v>10</v>
      </c>
      <c r="Y611" s="9" t="s">
        <v>1056</v>
      </c>
      <c r="Z611" t="s">
        <v>1149</v>
      </c>
    </row>
    <row r="612" spans="1:26">
      <c r="A612">
        <v>611</v>
      </c>
      <c r="B612" t="str">
        <f t="shared" ref="B612:N613" si="234">B611</f>
        <v>FT</v>
      </c>
      <c r="C612" t="str">
        <f t="shared" si="234"/>
        <v>Yomira Nicolt Cabrejos Vilchez</v>
      </c>
      <c r="D612">
        <f t="shared" si="234"/>
        <v>10738759988</v>
      </c>
      <c r="E612">
        <f t="shared" si="234"/>
        <v>73875998</v>
      </c>
      <c r="F612">
        <f t="shared" si="234"/>
        <v>965021229</v>
      </c>
      <c r="G612" t="str">
        <f t="shared" si="234"/>
        <v>FT F001-89</v>
      </c>
      <c r="H612" t="str">
        <f t="shared" si="234"/>
        <v>Piura</v>
      </c>
      <c r="I612" t="s">
        <v>74</v>
      </c>
      <c r="J612" t="str">
        <f t="shared" si="234"/>
        <v>Shalom</v>
      </c>
      <c r="K612" t="str">
        <f t="shared" si="234"/>
        <v>-</v>
      </c>
      <c r="L612" t="str">
        <f t="shared" si="234"/>
        <v>Redes sociales</v>
      </c>
      <c r="M612" s="1">
        <f t="shared" si="234"/>
        <v>44981</v>
      </c>
      <c r="N612" t="str">
        <f t="shared" si="234"/>
        <v>BCP</v>
      </c>
      <c r="O612" s="16">
        <f>25*(V612/10)</f>
        <v>25</v>
      </c>
      <c r="P612" t="str">
        <f t="shared" ref="P612:R613" si="235">P611</f>
        <v>Otros</v>
      </c>
      <c r="Q612" t="str">
        <f t="shared" si="235"/>
        <v>U</v>
      </c>
      <c r="R612" t="str">
        <f t="shared" si="235"/>
        <v>Rodrigo</v>
      </c>
      <c r="T612" t="s">
        <v>1134</v>
      </c>
      <c r="U612" t="s">
        <v>1115</v>
      </c>
      <c r="V612" s="3">
        <f t="shared" ref="V612" si="236">X611</f>
        <v>10</v>
      </c>
      <c r="W612" t="s">
        <v>1137</v>
      </c>
      <c r="X612" s="9"/>
      <c r="Y612" s="9"/>
      <c r="Z612" t="s">
        <v>1131</v>
      </c>
    </row>
    <row r="613" spans="1:26">
      <c r="A613">
        <v>612</v>
      </c>
      <c r="B613" t="str">
        <f t="shared" si="234"/>
        <v>FT</v>
      </c>
      <c r="C613" t="str">
        <f t="shared" si="234"/>
        <v>Yomira Nicolt Cabrejos Vilchez</v>
      </c>
      <c r="D613">
        <f t="shared" si="234"/>
        <v>10738759988</v>
      </c>
      <c r="E613">
        <f t="shared" si="234"/>
        <v>73875998</v>
      </c>
      <c r="F613">
        <f t="shared" si="234"/>
        <v>965021229</v>
      </c>
      <c r="G613" t="str">
        <f t="shared" si="234"/>
        <v>FT F001-89</v>
      </c>
      <c r="H613" t="str">
        <f t="shared" si="234"/>
        <v>Piura</v>
      </c>
      <c r="I613" t="s">
        <v>74</v>
      </c>
      <c r="J613" t="str">
        <f t="shared" si="234"/>
        <v>Shalom</v>
      </c>
      <c r="K613" t="str">
        <f t="shared" si="234"/>
        <v>-</v>
      </c>
      <c r="L613" t="str">
        <f t="shared" si="234"/>
        <v>Redes sociales</v>
      </c>
      <c r="M613" s="1">
        <f t="shared" si="234"/>
        <v>44981</v>
      </c>
      <c r="N613" t="str">
        <f t="shared" si="234"/>
        <v>BCP</v>
      </c>
      <c r="O613" s="14">
        <f>25*(V613)</f>
        <v>25</v>
      </c>
      <c r="P613" t="str">
        <f t="shared" si="235"/>
        <v>Otros</v>
      </c>
      <c r="Q613" t="str">
        <f t="shared" si="235"/>
        <v>U</v>
      </c>
      <c r="R613" t="str">
        <f t="shared" si="235"/>
        <v>Rodrigo</v>
      </c>
      <c r="T613" t="s">
        <v>1151</v>
      </c>
      <c r="U613" t="s">
        <v>1127</v>
      </c>
      <c r="V613">
        <v>1</v>
      </c>
      <c r="W613" t="s">
        <v>1135</v>
      </c>
      <c r="X613" s="9"/>
      <c r="Y613" s="9"/>
      <c r="Z613" t="s">
        <v>1136</v>
      </c>
    </row>
    <row r="614" spans="1:26">
      <c r="A614">
        <v>613</v>
      </c>
      <c r="B614" t="s">
        <v>2</v>
      </c>
      <c r="C614" t="s">
        <v>762</v>
      </c>
      <c r="E614">
        <v>29636136</v>
      </c>
      <c r="F614">
        <v>959627403</v>
      </c>
      <c r="G614" t="s">
        <v>2</v>
      </c>
      <c r="H614" t="s">
        <v>199</v>
      </c>
      <c r="J614" t="s">
        <v>29</v>
      </c>
      <c r="K614" t="s">
        <v>2</v>
      </c>
      <c r="L614" t="s">
        <v>268</v>
      </c>
      <c r="M614" s="1">
        <v>44982</v>
      </c>
      <c r="N614" t="s">
        <v>8</v>
      </c>
      <c r="O614">
        <v>500</v>
      </c>
      <c r="P614" t="s">
        <v>234</v>
      </c>
      <c r="Q614" t="s">
        <v>10</v>
      </c>
      <c r="R614" t="s">
        <v>22</v>
      </c>
      <c r="T614" t="s">
        <v>1092</v>
      </c>
      <c r="U614" t="s">
        <v>1094</v>
      </c>
      <c r="V614" s="3" t="s">
        <v>1044</v>
      </c>
      <c r="W614" t="s">
        <v>1148</v>
      </c>
      <c r="X614" s="9">
        <v>4</v>
      </c>
      <c r="Y614" s="9" t="s">
        <v>1057</v>
      </c>
      <c r="Z614" t="s">
        <v>1149</v>
      </c>
    </row>
    <row r="615" spans="1:26">
      <c r="A615">
        <v>614</v>
      </c>
      <c r="B615" t="str">
        <f t="shared" ref="B615:N616" si="237">B614</f>
        <v>-</v>
      </c>
      <c r="C615" t="str">
        <f t="shared" si="237"/>
        <v>Hugo Ito Mamani</v>
      </c>
      <c r="E615">
        <f t="shared" si="237"/>
        <v>29636136</v>
      </c>
      <c r="F615">
        <f t="shared" si="237"/>
        <v>959627403</v>
      </c>
      <c r="G615" t="str">
        <f t="shared" si="237"/>
        <v>-</v>
      </c>
      <c r="H615" t="str">
        <f t="shared" si="237"/>
        <v>Arequipa</v>
      </c>
      <c r="J615" t="str">
        <f t="shared" si="237"/>
        <v>Shalom</v>
      </c>
      <c r="K615" t="str">
        <f t="shared" si="237"/>
        <v>-</v>
      </c>
      <c r="L615" t="str">
        <f t="shared" si="237"/>
        <v>Aplicativo Web</v>
      </c>
      <c r="M615" s="1">
        <f t="shared" si="237"/>
        <v>44982</v>
      </c>
      <c r="N615" t="str">
        <f t="shared" si="237"/>
        <v>BCP</v>
      </c>
      <c r="O615" s="14">
        <f t="shared" ref="O615:O616" si="238">25*(V615)</f>
        <v>100</v>
      </c>
      <c r="P615" t="str">
        <f t="shared" ref="P615:R616" si="239">P614</f>
        <v>Farmacia</v>
      </c>
      <c r="Q615" t="str">
        <f t="shared" si="239"/>
        <v>U</v>
      </c>
      <c r="R615" t="str">
        <f t="shared" si="239"/>
        <v>Sergio</v>
      </c>
      <c r="T615" t="s">
        <v>1151</v>
      </c>
      <c r="U615" t="s">
        <v>1127</v>
      </c>
      <c r="V615" s="3">
        <f t="shared" ref="V615" si="240">X614</f>
        <v>4</v>
      </c>
      <c r="W615" t="s">
        <v>1135</v>
      </c>
      <c r="X615" s="9"/>
      <c r="Y615" s="9"/>
      <c r="Z615" t="s">
        <v>1136</v>
      </c>
    </row>
    <row r="616" spans="1:26">
      <c r="A616">
        <v>615</v>
      </c>
      <c r="B616" t="str">
        <f t="shared" si="237"/>
        <v>-</v>
      </c>
      <c r="C616" t="str">
        <f t="shared" si="237"/>
        <v>Hugo Ito Mamani</v>
      </c>
      <c r="E616">
        <f t="shared" si="237"/>
        <v>29636136</v>
      </c>
      <c r="F616">
        <f t="shared" si="237"/>
        <v>959627403</v>
      </c>
      <c r="G616" t="str">
        <f t="shared" si="237"/>
        <v>-</v>
      </c>
      <c r="H616" t="str">
        <f t="shared" si="237"/>
        <v>Arequipa</v>
      </c>
      <c r="J616" t="str">
        <f t="shared" si="237"/>
        <v>Shalom</v>
      </c>
      <c r="K616" t="str">
        <f t="shared" si="237"/>
        <v>-</v>
      </c>
      <c r="L616" t="str">
        <f t="shared" si="237"/>
        <v>Aplicativo Web</v>
      </c>
      <c r="M616" s="1">
        <f t="shared" si="237"/>
        <v>44982</v>
      </c>
      <c r="N616" t="str">
        <f t="shared" si="237"/>
        <v>BCP</v>
      </c>
      <c r="O616" s="14">
        <f t="shared" si="238"/>
        <v>100</v>
      </c>
      <c r="P616" t="str">
        <f t="shared" si="239"/>
        <v>Farmacia</v>
      </c>
      <c r="Q616" t="str">
        <f t="shared" si="239"/>
        <v>U</v>
      </c>
      <c r="R616" t="str">
        <f t="shared" si="239"/>
        <v>Sergio</v>
      </c>
      <c r="T616" t="s">
        <v>1151</v>
      </c>
      <c r="U616" t="s">
        <v>1124</v>
      </c>
      <c r="V616">
        <v>4</v>
      </c>
      <c r="W616" t="s">
        <v>1135</v>
      </c>
      <c r="X616" s="9"/>
      <c r="Y616" s="9"/>
      <c r="Z616" t="s">
        <v>1136</v>
      </c>
    </row>
    <row r="617" spans="1:26">
      <c r="A617">
        <v>616</v>
      </c>
      <c r="B617" t="s">
        <v>2</v>
      </c>
      <c r="C617" t="s">
        <v>763</v>
      </c>
      <c r="E617">
        <v>41939638</v>
      </c>
      <c r="F617">
        <v>926655669</v>
      </c>
      <c r="G617" t="s">
        <v>2</v>
      </c>
      <c r="H617" t="s">
        <v>4</v>
      </c>
      <c r="I617" t="s">
        <v>764</v>
      </c>
      <c r="J617" t="s">
        <v>2</v>
      </c>
      <c r="K617" t="s">
        <v>765</v>
      </c>
      <c r="L617" t="s">
        <v>268</v>
      </c>
      <c r="M617" s="1">
        <v>44982</v>
      </c>
      <c r="N617" t="s">
        <v>21</v>
      </c>
      <c r="O617" s="14">
        <v>500</v>
      </c>
      <c r="P617" t="s">
        <v>216</v>
      </c>
      <c r="Q617" t="s">
        <v>10</v>
      </c>
      <c r="R617" t="s">
        <v>11</v>
      </c>
      <c r="T617" t="s">
        <v>1092</v>
      </c>
      <c r="U617" t="s">
        <v>1094</v>
      </c>
      <c r="V617" s="3" t="s">
        <v>1044</v>
      </c>
      <c r="W617" t="s">
        <v>1148</v>
      </c>
      <c r="X617" s="9">
        <v>20</v>
      </c>
      <c r="Y617" s="9" t="s">
        <v>1056</v>
      </c>
      <c r="Z617" t="s">
        <v>1149</v>
      </c>
    </row>
    <row r="618" spans="1:26">
      <c r="A618">
        <v>617</v>
      </c>
      <c r="B618" t="str">
        <f t="shared" ref="B618:N618" si="241">B617</f>
        <v>-</v>
      </c>
      <c r="C618" t="str">
        <f t="shared" si="241"/>
        <v>Marcos Antonio Llana Gonzales</v>
      </c>
      <c r="E618">
        <f t="shared" si="241"/>
        <v>41939638</v>
      </c>
      <c r="F618">
        <f t="shared" si="241"/>
        <v>926655669</v>
      </c>
      <c r="G618" t="str">
        <f t="shared" si="241"/>
        <v>-</v>
      </c>
      <c r="H618" t="str">
        <f t="shared" si="241"/>
        <v>Lima</v>
      </c>
      <c r="I618" t="str">
        <f t="shared" si="241"/>
        <v xml:space="preserve"> San Juan de Lurigancho</v>
      </c>
      <c r="J618" t="str">
        <f t="shared" si="241"/>
        <v>-</v>
      </c>
      <c r="K618" t="str">
        <f t="shared" si="241"/>
        <v>Canto Grande San Juan de Lurigancho</v>
      </c>
      <c r="L618" t="str">
        <f t="shared" si="241"/>
        <v>Aplicativo Web</v>
      </c>
      <c r="M618" s="1">
        <f t="shared" si="241"/>
        <v>44982</v>
      </c>
      <c r="N618" t="str">
        <f t="shared" si="241"/>
        <v>Efectivo</v>
      </c>
      <c r="O618" s="16">
        <f>25*(V618/10)</f>
        <v>50</v>
      </c>
      <c r="P618" t="str">
        <f t="shared" ref="P618:R618" si="242">P617</f>
        <v>Polleria</v>
      </c>
      <c r="Q618" t="str">
        <f t="shared" si="242"/>
        <v>U</v>
      </c>
      <c r="R618" t="str">
        <f t="shared" si="242"/>
        <v>Rodrigo</v>
      </c>
      <c r="T618" t="s">
        <v>1134</v>
      </c>
      <c r="U618" t="s">
        <v>1115</v>
      </c>
      <c r="V618" s="3">
        <f t="shared" ref="V618" si="243">X617</f>
        <v>20</v>
      </c>
      <c r="W618" t="s">
        <v>1137</v>
      </c>
      <c r="X618" s="9"/>
      <c r="Y618" s="9"/>
      <c r="Z618" t="s">
        <v>1131</v>
      </c>
    </row>
    <row r="619" spans="1:26">
      <c r="A619">
        <v>618</v>
      </c>
      <c r="B619" t="s">
        <v>12</v>
      </c>
      <c r="C619" t="s">
        <v>672</v>
      </c>
      <c r="E619" t="s">
        <v>2</v>
      </c>
      <c r="F619">
        <v>960222975</v>
      </c>
      <c r="G619" t="s">
        <v>766</v>
      </c>
      <c r="H619" t="s">
        <v>4</v>
      </c>
      <c r="I619" t="s">
        <v>107</v>
      </c>
      <c r="J619" t="s">
        <v>2</v>
      </c>
      <c r="K619" t="s">
        <v>674</v>
      </c>
      <c r="L619" t="s">
        <v>37</v>
      </c>
      <c r="M619" s="1">
        <v>44982</v>
      </c>
      <c r="N619" t="s">
        <v>8</v>
      </c>
      <c r="O619" s="5">
        <v>130</v>
      </c>
      <c r="P619" t="s">
        <v>52</v>
      </c>
      <c r="Q619" t="s">
        <v>10</v>
      </c>
      <c r="R619" t="s">
        <v>11</v>
      </c>
      <c r="T619" t="s">
        <v>1133</v>
      </c>
      <c r="U619" t="s">
        <v>1114</v>
      </c>
      <c r="V619" s="3">
        <v>20</v>
      </c>
      <c r="W619" t="s">
        <v>1132</v>
      </c>
      <c r="X619" s="9">
        <v>1</v>
      </c>
      <c r="Y619" s="9" t="s">
        <v>1074</v>
      </c>
      <c r="Z619" t="s">
        <v>1131</v>
      </c>
    </row>
    <row r="620" spans="1:26">
      <c r="A620">
        <v>619</v>
      </c>
      <c r="B620" t="s">
        <v>2</v>
      </c>
      <c r="C620" t="s">
        <v>767</v>
      </c>
      <c r="E620">
        <v>20036143</v>
      </c>
      <c r="F620">
        <v>953607712</v>
      </c>
      <c r="G620" t="s">
        <v>2</v>
      </c>
      <c r="H620" t="s">
        <v>768</v>
      </c>
      <c r="J620" t="s">
        <v>29</v>
      </c>
      <c r="K620" t="s">
        <v>2</v>
      </c>
      <c r="L620" t="s">
        <v>268</v>
      </c>
      <c r="M620" s="1">
        <v>44984</v>
      </c>
      <c r="N620" t="s">
        <v>8</v>
      </c>
      <c r="O620">
        <v>185</v>
      </c>
      <c r="P620" t="s">
        <v>30</v>
      </c>
      <c r="Q620" t="s">
        <v>10</v>
      </c>
      <c r="R620" t="s">
        <v>22</v>
      </c>
      <c r="T620" t="s">
        <v>1082</v>
      </c>
      <c r="U620" t="s">
        <v>1099</v>
      </c>
      <c r="V620" s="3" t="s">
        <v>1044</v>
      </c>
      <c r="W620" t="s">
        <v>1146</v>
      </c>
      <c r="X620" s="9">
        <v>10</v>
      </c>
      <c r="Y620" s="9" t="s">
        <v>1068</v>
      </c>
      <c r="Z620" t="s">
        <v>1143</v>
      </c>
    </row>
    <row r="621" spans="1:26">
      <c r="A621">
        <v>620</v>
      </c>
      <c r="B621" t="str">
        <f t="shared" ref="B621:N621" si="244">B620</f>
        <v>-</v>
      </c>
      <c r="C621" t="str">
        <f t="shared" si="244"/>
        <v>Celinda Gomez Galindo</v>
      </c>
      <c r="E621">
        <f t="shared" si="244"/>
        <v>20036143</v>
      </c>
      <c r="F621">
        <f t="shared" si="244"/>
        <v>953607712</v>
      </c>
      <c r="G621" t="str">
        <f t="shared" si="244"/>
        <v>-</v>
      </c>
      <c r="H621" t="str">
        <f t="shared" si="244"/>
        <v>Moquegua</v>
      </c>
      <c r="J621" t="str">
        <f t="shared" si="244"/>
        <v>Shalom</v>
      </c>
      <c r="K621" t="str">
        <f t="shared" si="244"/>
        <v>-</v>
      </c>
      <c r="L621" t="str">
        <f t="shared" si="244"/>
        <v>Aplicativo Web</v>
      </c>
      <c r="M621" s="1">
        <f t="shared" si="244"/>
        <v>44984</v>
      </c>
      <c r="N621" t="str">
        <f t="shared" si="244"/>
        <v>BCP</v>
      </c>
      <c r="O621" s="14">
        <v>15</v>
      </c>
      <c r="P621" t="str">
        <f t="shared" ref="P621:R621" si="245">P620</f>
        <v>Otros</v>
      </c>
      <c r="Q621" t="str">
        <f t="shared" si="245"/>
        <v>U</v>
      </c>
      <c r="R621" t="str">
        <f t="shared" si="245"/>
        <v>Sergio</v>
      </c>
      <c r="T621" t="s">
        <v>1134</v>
      </c>
      <c r="U621" t="s">
        <v>1116</v>
      </c>
      <c r="V621" s="3">
        <f>X620</f>
        <v>10</v>
      </c>
      <c r="W621" t="s">
        <v>1137</v>
      </c>
      <c r="X621" s="9"/>
      <c r="Y621" s="9"/>
      <c r="Z621" t="s">
        <v>1131</v>
      </c>
    </row>
    <row r="622" spans="1:26">
      <c r="A622">
        <v>621</v>
      </c>
      <c r="B622" t="s">
        <v>12</v>
      </c>
      <c r="C622" t="s">
        <v>769</v>
      </c>
      <c r="D622">
        <v>20603193149</v>
      </c>
      <c r="E622" t="s">
        <v>2</v>
      </c>
      <c r="F622">
        <v>944919223</v>
      </c>
      <c r="G622" t="s">
        <v>770</v>
      </c>
      <c r="H622" t="s">
        <v>4</v>
      </c>
      <c r="I622" t="s">
        <v>63</v>
      </c>
      <c r="J622" t="s">
        <v>2</v>
      </c>
      <c r="K622" t="s">
        <v>771</v>
      </c>
      <c r="L622" t="s">
        <v>37</v>
      </c>
      <c r="M622" s="1">
        <v>44984</v>
      </c>
      <c r="N622" t="s">
        <v>8</v>
      </c>
      <c r="O622">
        <f>520-O623</f>
        <v>445</v>
      </c>
      <c r="P622" t="s">
        <v>234</v>
      </c>
      <c r="Q622" t="s">
        <v>10</v>
      </c>
      <c r="R622" t="s">
        <v>11</v>
      </c>
      <c r="T622" t="s">
        <v>1092</v>
      </c>
      <c r="U622" t="s">
        <v>1105</v>
      </c>
      <c r="V622" s="3" t="s">
        <v>1044</v>
      </c>
      <c r="W622" t="s">
        <v>1148</v>
      </c>
      <c r="X622" s="9">
        <v>2</v>
      </c>
      <c r="Y622" s="9" t="s">
        <v>1060</v>
      </c>
      <c r="Z622" t="s">
        <v>1149</v>
      </c>
    </row>
    <row r="623" spans="1:26">
      <c r="A623">
        <v>622</v>
      </c>
      <c r="B623" t="str">
        <f t="shared" ref="B623:N623" si="246">B622</f>
        <v>FT</v>
      </c>
      <c r="C623" t="str">
        <f t="shared" si="246"/>
        <v>Frank  DVA INGENIEROS S.A.C.</v>
      </c>
      <c r="D623">
        <f t="shared" si="246"/>
        <v>20603193149</v>
      </c>
      <c r="E623" t="str">
        <f t="shared" si="246"/>
        <v>-</v>
      </c>
      <c r="F623">
        <f t="shared" si="246"/>
        <v>944919223</v>
      </c>
      <c r="G623" t="str">
        <f t="shared" si="246"/>
        <v>FT F001-91</v>
      </c>
      <c r="H623" t="str">
        <f t="shared" si="246"/>
        <v>Lima</v>
      </c>
      <c r="I623" t="str">
        <f t="shared" si="246"/>
        <v>San Martin de Porres</v>
      </c>
      <c r="J623" t="str">
        <f t="shared" si="246"/>
        <v>-</v>
      </c>
      <c r="K623" t="str">
        <f t="shared" si="246"/>
        <v>San Martin de Porres jiron la libertad 3770</v>
      </c>
      <c r="L623" t="str">
        <f t="shared" si="246"/>
        <v>Redes sociales</v>
      </c>
      <c r="M623" s="1">
        <f t="shared" si="246"/>
        <v>44984</v>
      </c>
      <c r="N623" t="str">
        <f t="shared" si="246"/>
        <v>BCP</v>
      </c>
      <c r="O623" s="14">
        <v>75</v>
      </c>
      <c r="P623" t="str">
        <f t="shared" ref="P623:R623" si="247">P622</f>
        <v>Farmacia</v>
      </c>
      <c r="Q623" t="str">
        <f t="shared" si="247"/>
        <v>U</v>
      </c>
      <c r="R623" t="str">
        <f t="shared" si="247"/>
        <v>Rodrigo</v>
      </c>
      <c r="T623" t="s">
        <v>1151</v>
      </c>
      <c r="U623" t="s">
        <v>1124</v>
      </c>
      <c r="V623" s="3">
        <v>3</v>
      </c>
      <c r="W623" t="s">
        <v>1135</v>
      </c>
      <c r="X623" s="9"/>
      <c r="Y623" s="9"/>
      <c r="Z623" t="s">
        <v>1136</v>
      </c>
    </row>
    <row r="624" spans="1:26">
      <c r="A624">
        <v>623</v>
      </c>
      <c r="B624" t="s">
        <v>2</v>
      </c>
      <c r="C624" t="s">
        <v>772</v>
      </c>
      <c r="E624">
        <v>77329479</v>
      </c>
      <c r="F624">
        <v>921550137</v>
      </c>
      <c r="G624" t="s">
        <v>2</v>
      </c>
      <c r="H624" t="s">
        <v>507</v>
      </c>
      <c r="J624" t="s">
        <v>29</v>
      </c>
      <c r="K624" t="s">
        <v>2</v>
      </c>
      <c r="L624" t="s">
        <v>268</v>
      </c>
      <c r="M624" s="1">
        <v>44985</v>
      </c>
      <c r="N624" t="s">
        <v>38</v>
      </c>
      <c r="O624">
        <v>460</v>
      </c>
      <c r="P624" t="s">
        <v>9</v>
      </c>
      <c r="Q624" t="s">
        <v>10</v>
      </c>
      <c r="R624" t="s">
        <v>22</v>
      </c>
      <c r="T624" t="s">
        <v>1092</v>
      </c>
      <c r="U624" t="s">
        <v>1105</v>
      </c>
      <c r="V624" s="3" t="s">
        <v>1044</v>
      </c>
      <c r="W624" t="s">
        <v>1148</v>
      </c>
      <c r="X624" s="9">
        <v>2</v>
      </c>
      <c r="Y624" s="9" t="s">
        <v>1061</v>
      </c>
      <c r="Z624" t="s">
        <v>1149</v>
      </c>
    </row>
    <row r="625" spans="1:26">
      <c r="A625">
        <v>624</v>
      </c>
      <c r="B625" t="str">
        <f t="shared" ref="B625:N625" si="248">B624</f>
        <v>-</v>
      </c>
      <c r="C625" t="str">
        <f t="shared" si="248"/>
        <v>Edson Javier Chicona Arroyo</v>
      </c>
      <c r="E625">
        <f t="shared" si="248"/>
        <v>77329479</v>
      </c>
      <c r="F625">
        <f t="shared" si="248"/>
        <v>921550137</v>
      </c>
      <c r="G625" t="str">
        <f t="shared" si="248"/>
        <v>-</v>
      </c>
      <c r="H625" t="str">
        <f t="shared" si="248"/>
        <v>Lambayeque</v>
      </c>
      <c r="J625" t="str">
        <f t="shared" si="248"/>
        <v>Shalom</v>
      </c>
      <c r="K625" t="str">
        <f t="shared" si="248"/>
        <v>-</v>
      </c>
      <c r="L625" t="str">
        <f t="shared" si="248"/>
        <v>Aplicativo Web</v>
      </c>
      <c r="M625" s="1">
        <f t="shared" si="248"/>
        <v>44985</v>
      </c>
      <c r="N625" t="str">
        <f t="shared" si="248"/>
        <v>BBVA</v>
      </c>
      <c r="O625" s="14">
        <v>210</v>
      </c>
      <c r="P625" t="str">
        <f t="shared" ref="P625:R625" si="249">P624</f>
        <v>Restaurante</v>
      </c>
      <c r="Q625" t="str">
        <f t="shared" si="249"/>
        <v>U</v>
      </c>
      <c r="R625" t="str">
        <f t="shared" si="249"/>
        <v>Sergio</v>
      </c>
      <c r="T625" t="s">
        <v>1151</v>
      </c>
      <c r="U625" t="s">
        <v>1120</v>
      </c>
      <c r="V625" s="3">
        <v>7</v>
      </c>
      <c r="W625" t="s">
        <v>1135</v>
      </c>
      <c r="X625" s="9"/>
      <c r="Y625" s="9"/>
      <c r="Z625" t="s">
        <v>1136</v>
      </c>
    </row>
    <row r="626" spans="1:26">
      <c r="A626">
        <v>625</v>
      </c>
      <c r="B626" t="s">
        <v>2</v>
      </c>
      <c r="C626" t="s">
        <v>773</v>
      </c>
      <c r="E626">
        <v>73883251</v>
      </c>
      <c r="F626">
        <v>943736485</v>
      </c>
      <c r="G626" t="s">
        <v>2</v>
      </c>
      <c r="H626" t="s">
        <v>65</v>
      </c>
      <c r="I626" t="s">
        <v>774</v>
      </c>
      <c r="J626" t="s">
        <v>29</v>
      </c>
      <c r="K626" t="s">
        <v>2</v>
      </c>
      <c r="L626" t="s">
        <v>37</v>
      </c>
      <c r="M626" s="1">
        <v>44985</v>
      </c>
      <c r="N626" t="s">
        <v>8</v>
      </c>
      <c r="O626">
        <v>185</v>
      </c>
      <c r="P626" t="s">
        <v>9</v>
      </c>
      <c r="Q626" t="s">
        <v>10</v>
      </c>
      <c r="R626" t="s">
        <v>22</v>
      </c>
      <c r="T626" t="s">
        <v>1082</v>
      </c>
      <c r="U626" t="s">
        <v>1099</v>
      </c>
      <c r="V626" s="3" t="s">
        <v>1044</v>
      </c>
      <c r="W626" t="s">
        <v>1146</v>
      </c>
      <c r="X626" s="9">
        <v>10</v>
      </c>
      <c r="Y626" s="9" t="s">
        <v>1068</v>
      </c>
      <c r="Z626" t="s">
        <v>1143</v>
      </c>
    </row>
    <row r="627" spans="1:26">
      <c r="A627">
        <v>626</v>
      </c>
      <c r="B627" t="str">
        <f t="shared" ref="B627:N627" si="250">B626</f>
        <v>-</v>
      </c>
      <c r="C627" t="str">
        <f t="shared" si="250"/>
        <v>Jessenia Quispe Vergara</v>
      </c>
      <c r="E627">
        <f t="shared" si="250"/>
        <v>73883251</v>
      </c>
      <c r="F627">
        <f t="shared" si="250"/>
        <v>943736485</v>
      </c>
      <c r="G627" t="str">
        <f t="shared" si="250"/>
        <v>-</v>
      </c>
      <c r="H627" t="str">
        <f t="shared" si="250"/>
        <v>Ica</v>
      </c>
      <c r="I627" t="str">
        <f t="shared" si="250"/>
        <v>Chincha</v>
      </c>
      <c r="J627" t="str">
        <f t="shared" si="250"/>
        <v>Shalom</v>
      </c>
      <c r="K627" t="str">
        <f t="shared" si="250"/>
        <v>-</v>
      </c>
      <c r="L627" t="str">
        <f t="shared" si="250"/>
        <v>Redes sociales</v>
      </c>
      <c r="M627" s="1">
        <f t="shared" si="250"/>
        <v>44985</v>
      </c>
      <c r="N627" t="str">
        <f t="shared" si="250"/>
        <v>BCP</v>
      </c>
      <c r="O627" s="14">
        <v>15</v>
      </c>
      <c r="P627" t="str">
        <f t="shared" ref="P627:R627" si="251">P626</f>
        <v>Restaurante</v>
      </c>
      <c r="Q627" t="str">
        <f t="shared" si="251"/>
        <v>U</v>
      </c>
      <c r="R627" t="str">
        <f t="shared" si="251"/>
        <v>Sergio</v>
      </c>
      <c r="T627" t="s">
        <v>1134</v>
      </c>
      <c r="U627" t="s">
        <v>1116</v>
      </c>
      <c r="V627" s="3">
        <f>X626</f>
        <v>10</v>
      </c>
      <c r="W627" t="s">
        <v>1137</v>
      </c>
      <c r="X627" s="9"/>
      <c r="Y627" s="9"/>
      <c r="Z627" t="s">
        <v>1131</v>
      </c>
    </row>
    <row r="628" spans="1:26">
      <c r="A628">
        <v>627</v>
      </c>
      <c r="B628" t="s">
        <v>2</v>
      </c>
      <c r="C628" t="s">
        <v>775</v>
      </c>
      <c r="E628">
        <v>46589743</v>
      </c>
      <c r="F628">
        <v>950880614</v>
      </c>
      <c r="G628" t="s">
        <v>2</v>
      </c>
      <c r="H628" t="s">
        <v>827</v>
      </c>
      <c r="I628" t="s">
        <v>405</v>
      </c>
      <c r="J628" t="s">
        <v>140</v>
      </c>
      <c r="K628" t="s">
        <v>2</v>
      </c>
      <c r="L628" t="s">
        <v>37</v>
      </c>
      <c r="M628" s="1">
        <v>44985</v>
      </c>
      <c r="N628" t="s">
        <v>8</v>
      </c>
      <c r="O628">
        <v>185</v>
      </c>
      <c r="P628" t="s">
        <v>30</v>
      </c>
      <c r="Q628" t="s">
        <v>10</v>
      </c>
      <c r="R628" t="s">
        <v>22</v>
      </c>
      <c r="T628" t="s">
        <v>1082</v>
      </c>
      <c r="U628" t="s">
        <v>1099</v>
      </c>
      <c r="V628" s="3" t="s">
        <v>1044</v>
      </c>
      <c r="W628" t="s">
        <v>1146</v>
      </c>
      <c r="X628" s="9">
        <v>10</v>
      </c>
      <c r="Y628" s="9" t="s">
        <v>1068</v>
      </c>
      <c r="Z628" t="s">
        <v>1143</v>
      </c>
    </row>
    <row r="629" spans="1:26">
      <c r="A629">
        <v>628</v>
      </c>
      <c r="B629" t="str">
        <f t="shared" ref="B629:N629" si="252">B628</f>
        <v>-</v>
      </c>
      <c r="C629" t="str">
        <f t="shared" si="252"/>
        <v>Liliana Nuñez Perez</v>
      </c>
      <c r="E629">
        <f t="shared" si="252"/>
        <v>46589743</v>
      </c>
      <c r="F629">
        <f t="shared" si="252"/>
        <v>950880614</v>
      </c>
      <c r="G629" t="str">
        <f t="shared" si="252"/>
        <v>-</v>
      </c>
      <c r="H629" t="str">
        <f t="shared" si="252"/>
        <v>Madre de Dios</v>
      </c>
      <c r="I629" t="str">
        <f t="shared" si="252"/>
        <v>Puerto Maldonado</v>
      </c>
      <c r="J629" t="str">
        <f t="shared" si="252"/>
        <v>Olva Courier</v>
      </c>
      <c r="K629" t="str">
        <f t="shared" si="252"/>
        <v>-</v>
      </c>
      <c r="L629" t="str">
        <f t="shared" si="252"/>
        <v>Redes sociales</v>
      </c>
      <c r="M629" s="1">
        <f t="shared" si="252"/>
        <v>44985</v>
      </c>
      <c r="N629" t="str">
        <f t="shared" si="252"/>
        <v>BCP</v>
      </c>
      <c r="O629" s="14">
        <v>15</v>
      </c>
      <c r="P629" t="str">
        <f t="shared" ref="P629:R629" si="253">P628</f>
        <v>Otros</v>
      </c>
      <c r="Q629" t="str">
        <f t="shared" si="253"/>
        <v>U</v>
      </c>
      <c r="R629" t="str">
        <f t="shared" si="253"/>
        <v>Sergio</v>
      </c>
      <c r="T629" t="s">
        <v>1134</v>
      </c>
      <c r="U629" t="s">
        <v>1116</v>
      </c>
      <c r="V629" s="3">
        <f>X628</f>
        <v>10</v>
      </c>
      <c r="W629" t="s">
        <v>1137</v>
      </c>
      <c r="X629" s="9"/>
      <c r="Y629" s="9"/>
      <c r="Z629" t="s">
        <v>1131</v>
      </c>
    </row>
    <row r="630" spans="1:26">
      <c r="A630">
        <v>629</v>
      </c>
      <c r="B630" t="s">
        <v>60</v>
      </c>
      <c r="C630" t="s">
        <v>776</v>
      </c>
      <c r="E630">
        <v>44714398</v>
      </c>
      <c r="F630">
        <v>964926779</v>
      </c>
      <c r="G630" t="s">
        <v>777</v>
      </c>
      <c r="H630" t="s">
        <v>48</v>
      </c>
      <c r="J630" t="s">
        <v>29</v>
      </c>
      <c r="K630" t="s">
        <v>2</v>
      </c>
      <c r="L630" t="s">
        <v>268</v>
      </c>
      <c r="M630" s="1">
        <v>44985</v>
      </c>
      <c r="N630" t="s">
        <v>8</v>
      </c>
      <c r="O630" s="2">
        <v>2300</v>
      </c>
      <c r="P630" t="s">
        <v>30</v>
      </c>
      <c r="Q630" t="s">
        <v>10</v>
      </c>
      <c r="R630" t="s">
        <v>11</v>
      </c>
      <c r="T630" t="s">
        <v>1092</v>
      </c>
      <c r="U630" t="s">
        <v>1105</v>
      </c>
      <c r="V630" s="3">
        <v>5</v>
      </c>
      <c r="W630" t="s">
        <v>1148</v>
      </c>
      <c r="X630" s="9">
        <v>6</v>
      </c>
      <c r="Y630" s="9" t="s">
        <v>1057</v>
      </c>
      <c r="Z630" t="s">
        <v>1149</v>
      </c>
    </row>
    <row r="631" spans="1:26">
      <c r="A631">
        <v>630</v>
      </c>
      <c r="B631" t="str">
        <f t="shared" ref="B631:N631" si="254">B630</f>
        <v>RH</v>
      </c>
      <c r="C631" t="str">
        <f t="shared" si="254"/>
        <v>Luis Alberto Machaca Caceres</v>
      </c>
      <c r="E631">
        <f t="shared" si="254"/>
        <v>44714398</v>
      </c>
      <c r="F631">
        <f t="shared" si="254"/>
        <v>964926779</v>
      </c>
      <c r="G631" t="str">
        <f t="shared" si="254"/>
        <v>RH E001-82</v>
      </c>
      <c r="H631" t="str">
        <f t="shared" si="254"/>
        <v>Puno</v>
      </c>
      <c r="J631" t="str">
        <f t="shared" si="254"/>
        <v>Shalom</v>
      </c>
      <c r="K631" t="str">
        <f t="shared" si="254"/>
        <v>-</v>
      </c>
      <c r="L631" t="str">
        <f t="shared" si="254"/>
        <v>Aplicativo Web</v>
      </c>
      <c r="M631" s="1">
        <f t="shared" si="254"/>
        <v>44985</v>
      </c>
      <c r="N631" t="str">
        <f t="shared" si="254"/>
        <v>BCP</v>
      </c>
      <c r="O631" s="14">
        <v>250</v>
      </c>
      <c r="P631" t="str">
        <f t="shared" ref="P631:R631" si="255">P630</f>
        <v>Otros</v>
      </c>
      <c r="Q631" t="str">
        <f t="shared" si="255"/>
        <v>U</v>
      </c>
      <c r="R631" t="str">
        <f t="shared" si="255"/>
        <v>Rodrigo</v>
      </c>
      <c r="T631" t="s">
        <v>1151</v>
      </c>
      <c r="U631" t="s">
        <v>1127</v>
      </c>
      <c r="V631" s="3">
        <v>10</v>
      </c>
      <c r="W631" t="s">
        <v>1135</v>
      </c>
      <c r="X631" s="9"/>
      <c r="Y631" s="9"/>
      <c r="Z631" t="s">
        <v>1136</v>
      </c>
    </row>
    <row r="632" spans="1:26">
      <c r="A632">
        <v>631</v>
      </c>
      <c r="B632" t="s">
        <v>2</v>
      </c>
      <c r="C632" t="s">
        <v>778</v>
      </c>
      <c r="E632" t="s">
        <v>2</v>
      </c>
      <c r="F632">
        <v>992080769</v>
      </c>
      <c r="G632" t="s">
        <v>2</v>
      </c>
      <c r="H632" t="s">
        <v>4</v>
      </c>
      <c r="I632" t="s">
        <v>183</v>
      </c>
      <c r="J632" t="s">
        <v>2</v>
      </c>
      <c r="K632" t="s">
        <v>779</v>
      </c>
      <c r="L632" t="s">
        <v>7</v>
      </c>
      <c r="M632" s="1">
        <v>44986</v>
      </c>
      <c r="N632" t="s">
        <v>8</v>
      </c>
      <c r="O632">
        <v>325</v>
      </c>
      <c r="P632" t="s">
        <v>52</v>
      </c>
      <c r="Q632" t="s">
        <v>10</v>
      </c>
      <c r="R632" t="s">
        <v>22</v>
      </c>
      <c r="T632" t="s">
        <v>1092</v>
      </c>
      <c r="U632" t="s">
        <v>1100</v>
      </c>
      <c r="V632" s="3" t="s">
        <v>1044</v>
      </c>
      <c r="W632" t="s">
        <v>1146</v>
      </c>
      <c r="X632" s="9">
        <v>10</v>
      </c>
      <c r="Y632" s="9" t="s">
        <v>1065</v>
      </c>
      <c r="Z632" t="s">
        <v>1144</v>
      </c>
    </row>
    <row r="633" spans="1:26">
      <c r="A633">
        <v>632</v>
      </c>
      <c r="B633" t="str">
        <f t="shared" ref="B633:N633" si="256">B632</f>
        <v>-</v>
      </c>
      <c r="C633" t="str">
        <f t="shared" si="256"/>
        <v xml:space="preserve">Carlos Mendoza </v>
      </c>
      <c r="E633" t="str">
        <f t="shared" si="256"/>
        <v>-</v>
      </c>
      <c r="F633">
        <f t="shared" si="256"/>
        <v>992080769</v>
      </c>
      <c r="G633" t="str">
        <f t="shared" si="256"/>
        <v>-</v>
      </c>
      <c r="H633" t="str">
        <f t="shared" si="256"/>
        <v>Lima</v>
      </c>
      <c r="I633" t="str">
        <f t="shared" si="256"/>
        <v>Carabayllo</v>
      </c>
      <c r="J633" t="str">
        <f t="shared" si="256"/>
        <v>-</v>
      </c>
      <c r="K633" t="str">
        <f t="shared" si="256"/>
        <v>Carabayll la Flor</v>
      </c>
      <c r="L633" t="str">
        <f t="shared" si="256"/>
        <v>Oficina</v>
      </c>
      <c r="M633" s="1">
        <f t="shared" si="256"/>
        <v>44986</v>
      </c>
      <c r="N633" t="str">
        <f t="shared" si="256"/>
        <v>BCP</v>
      </c>
      <c r="O633" s="16">
        <v>25</v>
      </c>
      <c r="P633" t="s">
        <v>52</v>
      </c>
      <c r="Q633" t="str">
        <f t="shared" ref="Q633:R633" si="257">Q632</f>
        <v>U</v>
      </c>
      <c r="R633" t="str">
        <f t="shared" si="257"/>
        <v>Sergio</v>
      </c>
      <c r="T633" t="s">
        <v>1134</v>
      </c>
      <c r="U633" t="s">
        <v>1115</v>
      </c>
      <c r="V633" s="3">
        <f t="shared" ref="V633" si="258">X632</f>
        <v>10</v>
      </c>
      <c r="W633" t="s">
        <v>1137</v>
      </c>
      <c r="X633" s="9"/>
      <c r="Y633" s="9"/>
      <c r="Z633" t="s">
        <v>1131</v>
      </c>
    </row>
    <row r="634" spans="1:26">
      <c r="A634">
        <v>633</v>
      </c>
      <c r="B634" t="s">
        <v>12</v>
      </c>
      <c r="C634" t="s">
        <v>780</v>
      </c>
      <c r="E634">
        <v>70247203</v>
      </c>
      <c r="F634">
        <v>931662707</v>
      </c>
      <c r="G634" t="s">
        <v>781</v>
      </c>
      <c r="H634" t="s">
        <v>77</v>
      </c>
      <c r="I634" t="s">
        <v>782</v>
      </c>
      <c r="J634" t="s">
        <v>147</v>
      </c>
      <c r="K634" t="s">
        <v>2</v>
      </c>
      <c r="L634" t="s">
        <v>268</v>
      </c>
      <c r="M634" s="1">
        <v>44987</v>
      </c>
      <c r="N634" t="s">
        <v>8</v>
      </c>
      <c r="O634">
        <v>390</v>
      </c>
      <c r="P634" t="s">
        <v>234</v>
      </c>
      <c r="Q634" t="s">
        <v>10</v>
      </c>
      <c r="R634" t="s">
        <v>22</v>
      </c>
      <c r="T634" t="s">
        <v>1092</v>
      </c>
      <c r="U634" t="s">
        <v>1093</v>
      </c>
      <c r="V634" s="3">
        <v>1</v>
      </c>
      <c r="W634" t="s">
        <v>1148</v>
      </c>
      <c r="X634" s="9">
        <v>20</v>
      </c>
      <c r="Y634" s="9" t="s">
        <v>1065</v>
      </c>
      <c r="Z634" t="s">
        <v>1149</v>
      </c>
    </row>
    <row r="635" spans="1:26">
      <c r="A635">
        <v>634</v>
      </c>
      <c r="B635" t="str">
        <f t="shared" ref="B635:N635" si="259">B634</f>
        <v>FT</v>
      </c>
      <c r="C635" t="str">
        <f t="shared" si="259"/>
        <v>Rocio Ingrid Guerrero Ochoa</v>
      </c>
      <c r="E635">
        <f t="shared" si="259"/>
        <v>70247203</v>
      </c>
      <c r="F635">
        <f t="shared" si="259"/>
        <v>931662707</v>
      </c>
      <c r="G635" t="str">
        <f t="shared" si="259"/>
        <v>FT F001-97</v>
      </c>
      <c r="H635" t="str">
        <f t="shared" si="259"/>
        <v>Huanuco</v>
      </c>
      <c r="I635" t="str">
        <f t="shared" si="259"/>
        <v>Tingo Maria</v>
      </c>
      <c r="J635" t="str">
        <f t="shared" si="259"/>
        <v>Marvisur</v>
      </c>
      <c r="K635" t="str">
        <f t="shared" si="259"/>
        <v>-</v>
      </c>
      <c r="L635" t="str">
        <f t="shared" si="259"/>
        <v>Aplicativo Web</v>
      </c>
      <c r="M635" s="1">
        <f t="shared" si="259"/>
        <v>44987</v>
      </c>
      <c r="N635" t="str">
        <f t="shared" si="259"/>
        <v>BCP</v>
      </c>
      <c r="O635" s="16">
        <v>50</v>
      </c>
      <c r="P635" t="str">
        <f t="shared" ref="P635:R635" si="260">P634</f>
        <v>Farmacia</v>
      </c>
      <c r="Q635" t="str">
        <f t="shared" si="260"/>
        <v>U</v>
      </c>
      <c r="R635" t="str">
        <f t="shared" si="260"/>
        <v>Sergio</v>
      </c>
      <c r="T635" t="s">
        <v>1134</v>
      </c>
      <c r="U635" t="s">
        <v>1115</v>
      </c>
      <c r="V635" s="3">
        <f t="shared" ref="V635" si="261">X634</f>
        <v>20</v>
      </c>
      <c r="W635" t="s">
        <v>1137</v>
      </c>
      <c r="X635" s="9"/>
      <c r="Y635" s="9"/>
      <c r="Z635" t="s">
        <v>1131</v>
      </c>
    </row>
    <row r="636" spans="1:26">
      <c r="A636">
        <v>635</v>
      </c>
      <c r="B636" t="s">
        <v>2</v>
      </c>
      <c r="C636" t="s">
        <v>783</v>
      </c>
      <c r="E636">
        <v>3896516</v>
      </c>
      <c r="F636">
        <v>952946964</v>
      </c>
      <c r="G636" t="s">
        <v>2</v>
      </c>
      <c r="H636" t="s">
        <v>514</v>
      </c>
      <c r="I636" t="s">
        <v>74</v>
      </c>
      <c r="J636" t="s">
        <v>29</v>
      </c>
      <c r="K636" t="s">
        <v>2</v>
      </c>
      <c r="L636" t="s">
        <v>268</v>
      </c>
      <c r="M636" s="1">
        <v>44988</v>
      </c>
      <c r="N636" t="s">
        <v>8</v>
      </c>
      <c r="O636">
        <v>400</v>
      </c>
      <c r="P636" t="s">
        <v>9</v>
      </c>
      <c r="Q636" t="s">
        <v>10</v>
      </c>
      <c r="R636" t="s">
        <v>11</v>
      </c>
      <c r="T636" t="s">
        <v>1092</v>
      </c>
      <c r="U636" t="s">
        <v>1105</v>
      </c>
      <c r="V636" s="3" t="s">
        <v>1044</v>
      </c>
      <c r="W636" t="s">
        <v>1148</v>
      </c>
      <c r="X636" s="9" t="s">
        <v>2</v>
      </c>
      <c r="Y636" s="9" t="s">
        <v>2</v>
      </c>
      <c r="Z636" t="s">
        <v>1149</v>
      </c>
    </row>
    <row r="637" spans="1:26">
      <c r="A637">
        <v>636</v>
      </c>
      <c r="B637" t="s">
        <v>23</v>
      </c>
      <c r="C637" t="s">
        <v>413</v>
      </c>
      <c r="E637" t="s">
        <v>2</v>
      </c>
      <c r="F637">
        <v>955263462</v>
      </c>
      <c r="G637" t="s">
        <v>2</v>
      </c>
      <c r="H637" t="s">
        <v>4</v>
      </c>
      <c r="I637" t="s">
        <v>420</v>
      </c>
      <c r="J637" t="s">
        <v>2</v>
      </c>
      <c r="K637" t="s">
        <v>414</v>
      </c>
      <c r="L637" t="s">
        <v>37</v>
      </c>
      <c r="M637" s="1">
        <v>44988</v>
      </c>
      <c r="N637" t="s">
        <v>8</v>
      </c>
      <c r="O637" s="5">
        <v>220</v>
      </c>
      <c r="P637" t="s">
        <v>134</v>
      </c>
      <c r="Q637" t="s">
        <v>10</v>
      </c>
      <c r="R637" t="s">
        <v>11</v>
      </c>
      <c r="T637" t="s">
        <v>1133</v>
      </c>
      <c r="U637" t="s">
        <v>1115</v>
      </c>
      <c r="V637" s="3">
        <v>10</v>
      </c>
      <c r="W637" t="s">
        <v>1132</v>
      </c>
      <c r="X637" s="9">
        <v>4</v>
      </c>
      <c r="Y637" s="9" t="s">
        <v>1074</v>
      </c>
      <c r="Z637" t="s">
        <v>1131</v>
      </c>
    </row>
    <row r="638" spans="1:26">
      <c r="A638">
        <v>637</v>
      </c>
      <c r="B638" t="s">
        <v>2</v>
      </c>
      <c r="C638" t="s">
        <v>784</v>
      </c>
      <c r="E638">
        <v>42504333</v>
      </c>
      <c r="F638">
        <v>983047649</v>
      </c>
      <c r="G638" t="s">
        <v>2</v>
      </c>
      <c r="H638" t="s">
        <v>973</v>
      </c>
      <c r="J638" t="s">
        <v>29</v>
      </c>
      <c r="K638" t="s">
        <v>2</v>
      </c>
      <c r="L638" t="s">
        <v>268</v>
      </c>
      <c r="M638" s="1">
        <v>44988</v>
      </c>
      <c r="N638" t="s">
        <v>38</v>
      </c>
      <c r="O638">
        <v>225</v>
      </c>
      <c r="P638" t="s">
        <v>216</v>
      </c>
      <c r="Q638" t="s">
        <v>10</v>
      </c>
      <c r="R638" t="s">
        <v>11</v>
      </c>
      <c r="T638" t="s">
        <v>1082</v>
      </c>
      <c r="U638" t="s">
        <v>1099</v>
      </c>
      <c r="V638" s="3" t="s">
        <v>1044</v>
      </c>
      <c r="W638" t="s">
        <v>1146</v>
      </c>
      <c r="X638" s="9">
        <v>20</v>
      </c>
      <c r="Y638" s="9" t="s">
        <v>1068</v>
      </c>
      <c r="Z638" t="s">
        <v>1143</v>
      </c>
    </row>
    <row r="639" spans="1:26" ht="15.25" customHeight="1">
      <c r="A639">
        <v>638</v>
      </c>
      <c r="B639" t="s">
        <v>2</v>
      </c>
      <c r="C639" t="s">
        <v>785</v>
      </c>
      <c r="E639">
        <v>47403429</v>
      </c>
      <c r="F639">
        <v>997708634</v>
      </c>
      <c r="G639" t="s">
        <v>2</v>
      </c>
      <c r="H639" t="s">
        <v>1043</v>
      </c>
      <c r="J639" t="s">
        <v>786</v>
      </c>
      <c r="K639" t="s">
        <v>2</v>
      </c>
      <c r="L639" t="s">
        <v>268</v>
      </c>
      <c r="M639" s="1">
        <v>44988</v>
      </c>
      <c r="N639" t="s">
        <v>8</v>
      </c>
      <c r="O639">
        <v>450</v>
      </c>
      <c r="P639" t="s">
        <v>30</v>
      </c>
      <c r="Q639" t="s">
        <v>10</v>
      </c>
      <c r="R639" t="s">
        <v>22</v>
      </c>
      <c r="T639" t="s">
        <v>1092</v>
      </c>
      <c r="U639" t="s">
        <v>1096</v>
      </c>
      <c r="V639" s="3">
        <v>1</v>
      </c>
      <c r="W639" t="s">
        <v>1148</v>
      </c>
      <c r="X639" s="9" t="s">
        <v>2</v>
      </c>
      <c r="Y639" s="9" t="s">
        <v>2</v>
      </c>
      <c r="Z639" t="s">
        <v>1149</v>
      </c>
    </row>
    <row r="640" spans="1:26">
      <c r="A640">
        <v>639</v>
      </c>
      <c r="B640" t="s">
        <v>23</v>
      </c>
      <c r="C640" t="s">
        <v>384</v>
      </c>
      <c r="E640" t="s">
        <v>2</v>
      </c>
      <c r="F640">
        <v>993104850</v>
      </c>
      <c r="G640" t="s">
        <v>2</v>
      </c>
      <c r="H640" t="s">
        <v>4</v>
      </c>
      <c r="I640" t="s">
        <v>244</v>
      </c>
      <c r="J640" t="s">
        <v>2</v>
      </c>
      <c r="K640" t="s">
        <v>385</v>
      </c>
      <c r="L640" t="s">
        <v>7</v>
      </c>
      <c r="M640" s="1">
        <v>44988</v>
      </c>
      <c r="N640" t="s">
        <v>8</v>
      </c>
      <c r="O640">
        <v>580</v>
      </c>
      <c r="P640" t="s">
        <v>234</v>
      </c>
      <c r="Q640" t="s">
        <v>10</v>
      </c>
      <c r="R640" t="s">
        <v>22</v>
      </c>
      <c r="T640" t="s">
        <v>1092</v>
      </c>
      <c r="U640" t="s">
        <v>1093</v>
      </c>
      <c r="V640" s="3">
        <v>2</v>
      </c>
      <c r="W640" t="s">
        <v>1148</v>
      </c>
      <c r="X640" s="9">
        <v>30</v>
      </c>
      <c r="Y640" s="9" t="s">
        <v>1056</v>
      </c>
      <c r="Z640" t="s">
        <v>1149</v>
      </c>
    </row>
    <row r="641" spans="1:26">
      <c r="A641">
        <v>640</v>
      </c>
      <c r="B641" t="str">
        <f t="shared" ref="B641:N641" si="262">B640</f>
        <v>No va</v>
      </c>
      <c r="C641" t="str">
        <f t="shared" si="262"/>
        <v xml:space="preserve">Beatriz </v>
      </c>
      <c r="E641" t="str">
        <f t="shared" si="262"/>
        <v>-</v>
      </c>
      <c r="F641">
        <f t="shared" si="262"/>
        <v>993104850</v>
      </c>
      <c r="G641" t="str">
        <f t="shared" si="262"/>
        <v>-</v>
      </c>
      <c r="H641" t="str">
        <f t="shared" si="262"/>
        <v>Lima</v>
      </c>
      <c r="I641" t="str">
        <f t="shared" si="262"/>
        <v>Comas</v>
      </c>
      <c r="J641" t="str">
        <f t="shared" si="262"/>
        <v>-</v>
      </c>
      <c r="K641" t="str">
        <f t="shared" si="262"/>
        <v>Comas Universitaria con San Carlos</v>
      </c>
      <c r="L641" t="str">
        <f t="shared" si="262"/>
        <v>Oficina</v>
      </c>
      <c r="M641" s="1">
        <f t="shared" si="262"/>
        <v>44988</v>
      </c>
      <c r="N641" t="str">
        <f t="shared" si="262"/>
        <v>BCP</v>
      </c>
      <c r="O641" s="16">
        <v>50</v>
      </c>
      <c r="P641" t="str">
        <f t="shared" ref="P641:R641" si="263">P640</f>
        <v>Farmacia</v>
      </c>
      <c r="Q641" t="str">
        <f t="shared" si="263"/>
        <v>U</v>
      </c>
      <c r="R641" t="str">
        <f t="shared" si="263"/>
        <v>Sergio</v>
      </c>
      <c r="T641" t="s">
        <v>1134</v>
      </c>
      <c r="U641" t="s">
        <v>1115</v>
      </c>
      <c r="V641" s="3">
        <v>20</v>
      </c>
      <c r="W641" t="s">
        <v>1137</v>
      </c>
      <c r="X641" s="9"/>
      <c r="Y641" s="9"/>
      <c r="Z641" t="s">
        <v>1131</v>
      </c>
    </row>
    <row r="642" spans="1:26">
      <c r="A642">
        <v>641</v>
      </c>
      <c r="B642" t="s">
        <v>12</v>
      </c>
      <c r="C642" t="s">
        <v>787</v>
      </c>
      <c r="E642">
        <v>44046563</v>
      </c>
      <c r="F642">
        <v>949563282</v>
      </c>
      <c r="G642" t="s">
        <v>788</v>
      </c>
      <c r="H642" t="s">
        <v>77</v>
      </c>
      <c r="J642" t="s">
        <v>789</v>
      </c>
      <c r="K642" t="s">
        <v>2</v>
      </c>
      <c r="L642" t="s">
        <v>268</v>
      </c>
      <c r="M642" s="1">
        <v>44988</v>
      </c>
      <c r="N642" t="s">
        <v>8</v>
      </c>
      <c r="O642">
        <v>440</v>
      </c>
      <c r="P642" t="s">
        <v>9</v>
      </c>
      <c r="Q642" t="s">
        <v>10</v>
      </c>
      <c r="R642" t="s">
        <v>11</v>
      </c>
      <c r="T642" t="s">
        <v>1092</v>
      </c>
      <c r="U642" t="s">
        <v>1096</v>
      </c>
      <c r="V642" s="3">
        <v>1</v>
      </c>
      <c r="W642" t="s">
        <v>1148</v>
      </c>
      <c r="X642" s="9" t="s">
        <v>2</v>
      </c>
      <c r="Y642" s="9" t="s">
        <v>2</v>
      </c>
      <c r="Z642" t="s">
        <v>1149</v>
      </c>
    </row>
    <row r="643" spans="1:26">
      <c r="A643">
        <v>642</v>
      </c>
      <c r="B643" t="s">
        <v>2</v>
      </c>
      <c r="C643" t="s">
        <v>790</v>
      </c>
      <c r="E643" t="s">
        <v>2</v>
      </c>
      <c r="F643">
        <v>962225919</v>
      </c>
      <c r="G643" t="s">
        <v>2</v>
      </c>
      <c r="H643" t="s">
        <v>4</v>
      </c>
      <c r="I643" t="s">
        <v>791</v>
      </c>
      <c r="J643" t="s">
        <v>2</v>
      </c>
      <c r="K643" t="s">
        <v>791</v>
      </c>
      <c r="L643" t="s">
        <v>268</v>
      </c>
      <c r="M643" s="1">
        <v>44989</v>
      </c>
      <c r="N643" t="s">
        <v>56</v>
      </c>
      <c r="O643">
        <v>200</v>
      </c>
      <c r="P643" t="s">
        <v>541</v>
      </c>
      <c r="Q643" t="s">
        <v>10</v>
      </c>
      <c r="R643" t="s">
        <v>22</v>
      </c>
      <c r="T643" t="s">
        <v>1082</v>
      </c>
      <c r="U643" t="s">
        <v>1099</v>
      </c>
      <c r="V643" s="3" t="s">
        <v>1044</v>
      </c>
      <c r="W643" t="s">
        <v>1146</v>
      </c>
      <c r="X643" s="9">
        <v>10</v>
      </c>
      <c r="Y643" s="9" t="s">
        <v>1068</v>
      </c>
      <c r="Z643" t="s">
        <v>1143</v>
      </c>
    </row>
    <row r="644" spans="1:26">
      <c r="A644">
        <v>643</v>
      </c>
      <c r="B644" t="s">
        <v>2</v>
      </c>
      <c r="C644" t="s">
        <v>792</v>
      </c>
      <c r="E644" t="s">
        <v>2</v>
      </c>
      <c r="F644">
        <v>983725219</v>
      </c>
      <c r="G644" t="s">
        <v>2</v>
      </c>
      <c r="H644" t="s">
        <v>4</v>
      </c>
      <c r="I644" t="s">
        <v>94</v>
      </c>
      <c r="J644" t="s">
        <v>2</v>
      </c>
      <c r="K644" t="s">
        <v>793</v>
      </c>
      <c r="L644" t="s">
        <v>7</v>
      </c>
      <c r="M644" s="1">
        <v>44991</v>
      </c>
      <c r="N644" t="s">
        <v>8</v>
      </c>
      <c r="O644" s="2">
        <v>1080</v>
      </c>
      <c r="P644" t="s">
        <v>234</v>
      </c>
      <c r="Q644" t="s">
        <v>10</v>
      </c>
      <c r="R644" t="s">
        <v>11</v>
      </c>
      <c r="T644" t="s">
        <v>1092</v>
      </c>
      <c r="U644" t="s">
        <v>1093</v>
      </c>
      <c r="V644" s="3">
        <v>3</v>
      </c>
      <c r="W644" t="s">
        <v>1148</v>
      </c>
      <c r="X644" s="9" t="s">
        <v>2</v>
      </c>
      <c r="Y644" s="9" t="s">
        <v>2</v>
      </c>
      <c r="Z644" t="s">
        <v>1149</v>
      </c>
    </row>
    <row r="645" spans="1:26">
      <c r="A645">
        <v>644</v>
      </c>
      <c r="B645" t="s">
        <v>2</v>
      </c>
      <c r="C645" t="s">
        <v>794</v>
      </c>
      <c r="D645">
        <v>20600499476</v>
      </c>
      <c r="E645" t="s">
        <v>2</v>
      </c>
      <c r="F645">
        <v>942168005</v>
      </c>
      <c r="G645" t="s">
        <v>795</v>
      </c>
      <c r="H645" t="s">
        <v>4</v>
      </c>
      <c r="I645" t="s">
        <v>144</v>
      </c>
      <c r="J645" t="s">
        <v>2</v>
      </c>
      <c r="K645" t="s">
        <v>144</v>
      </c>
      <c r="L645" t="s">
        <v>37</v>
      </c>
      <c r="M645" s="1">
        <v>44991</v>
      </c>
      <c r="N645" t="s">
        <v>21</v>
      </c>
      <c r="O645">
        <v>455</v>
      </c>
      <c r="P645" t="s">
        <v>30</v>
      </c>
      <c r="Q645" t="s">
        <v>10</v>
      </c>
      <c r="R645" t="s">
        <v>22</v>
      </c>
      <c r="T645" t="s">
        <v>1092</v>
      </c>
      <c r="U645" t="s">
        <v>1105</v>
      </c>
      <c r="V645" s="3" t="s">
        <v>1044</v>
      </c>
      <c r="W645" t="s">
        <v>1148</v>
      </c>
      <c r="X645" s="9">
        <v>1</v>
      </c>
      <c r="Y645" s="9" t="s">
        <v>1061</v>
      </c>
      <c r="Z645" t="s">
        <v>1149</v>
      </c>
    </row>
    <row r="646" spans="1:26">
      <c r="A646">
        <v>645</v>
      </c>
      <c r="B646" t="str">
        <f t="shared" ref="B646:N647" si="264">B645</f>
        <v>-</v>
      </c>
      <c r="C646" t="str">
        <f t="shared" si="264"/>
        <v>Fidel Munguia Salazar (Kamax Group Peru S.A.C.)</v>
      </c>
      <c r="D646">
        <f t="shared" si="264"/>
        <v>20600499476</v>
      </c>
      <c r="E646" t="str">
        <f t="shared" si="264"/>
        <v>-</v>
      </c>
      <c r="F646">
        <f t="shared" si="264"/>
        <v>942168005</v>
      </c>
      <c r="G646" t="str">
        <f t="shared" si="264"/>
        <v>FT F001-92</v>
      </c>
      <c r="H646" t="str">
        <f t="shared" si="264"/>
        <v>Lima</v>
      </c>
      <c r="I646" t="str">
        <f t="shared" si="264"/>
        <v>Ate</v>
      </c>
      <c r="J646" t="str">
        <f t="shared" si="264"/>
        <v>-</v>
      </c>
      <c r="K646" t="str">
        <f t="shared" si="264"/>
        <v>Ate</v>
      </c>
      <c r="L646" t="str">
        <f t="shared" si="264"/>
        <v>Redes sociales</v>
      </c>
      <c r="M646" s="1">
        <f t="shared" si="264"/>
        <v>44991</v>
      </c>
      <c r="N646" t="str">
        <f t="shared" si="264"/>
        <v>Efectivo</v>
      </c>
      <c r="O646" s="14">
        <f t="shared" ref="O646:O647" si="265">25*(V646)</f>
        <v>100</v>
      </c>
      <c r="P646" t="str">
        <f t="shared" ref="P646:R647" si="266">P645</f>
        <v>Otros</v>
      </c>
      <c r="Q646" t="str">
        <f t="shared" si="266"/>
        <v>U</v>
      </c>
      <c r="R646" t="str">
        <f t="shared" si="266"/>
        <v>Sergio</v>
      </c>
      <c r="T646" t="s">
        <v>1151</v>
      </c>
      <c r="U646" t="s">
        <v>1120</v>
      </c>
      <c r="V646" s="3">
        <v>4</v>
      </c>
      <c r="W646" t="s">
        <v>1135</v>
      </c>
      <c r="X646" s="9"/>
      <c r="Y646" s="9"/>
      <c r="Z646" t="s">
        <v>1136</v>
      </c>
    </row>
    <row r="647" spans="1:26">
      <c r="A647">
        <v>646</v>
      </c>
      <c r="B647" t="str">
        <f t="shared" si="264"/>
        <v>-</v>
      </c>
      <c r="C647" t="str">
        <f t="shared" si="264"/>
        <v>Fidel Munguia Salazar (Kamax Group Peru S.A.C.)</v>
      </c>
      <c r="D647">
        <f t="shared" si="264"/>
        <v>20600499476</v>
      </c>
      <c r="E647" t="str">
        <f t="shared" si="264"/>
        <v>-</v>
      </c>
      <c r="F647">
        <f t="shared" si="264"/>
        <v>942168005</v>
      </c>
      <c r="G647" t="str">
        <f t="shared" si="264"/>
        <v>FT F001-92</v>
      </c>
      <c r="H647" t="str">
        <f t="shared" si="264"/>
        <v>Lima</v>
      </c>
      <c r="I647" t="str">
        <f t="shared" si="264"/>
        <v>Ate</v>
      </c>
      <c r="J647" t="str">
        <f t="shared" si="264"/>
        <v>-</v>
      </c>
      <c r="K647" t="str">
        <f t="shared" si="264"/>
        <v>Ate</v>
      </c>
      <c r="L647" t="str">
        <f t="shared" si="264"/>
        <v>Redes sociales</v>
      </c>
      <c r="M647" s="1">
        <f t="shared" si="264"/>
        <v>44991</v>
      </c>
      <c r="N647" t="str">
        <f t="shared" si="264"/>
        <v>Efectivo</v>
      </c>
      <c r="O647" s="14">
        <f t="shared" si="265"/>
        <v>50</v>
      </c>
      <c r="P647" t="str">
        <f t="shared" si="266"/>
        <v>Otros</v>
      </c>
      <c r="Q647" t="str">
        <f t="shared" si="266"/>
        <v>U</v>
      </c>
      <c r="R647" t="str">
        <f t="shared" si="266"/>
        <v>Sergio</v>
      </c>
      <c r="T647" t="s">
        <v>1151</v>
      </c>
      <c r="U647" t="s">
        <v>1124</v>
      </c>
      <c r="V647">
        <v>2</v>
      </c>
      <c r="W647" t="s">
        <v>1135</v>
      </c>
      <c r="X647" s="9"/>
      <c r="Y647" s="9"/>
      <c r="Z647" t="s">
        <v>1136</v>
      </c>
    </row>
    <row r="648" spans="1:26">
      <c r="A648">
        <v>647</v>
      </c>
      <c r="B648" t="s">
        <v>2</v>
      </c>
      <c r="C648" t="s">
        <v>796</v>
      </c>
      <c r="E648">
        <v>43998478</v>
      </c>
      <c r="F648">
        <v>969400036</v>
      </c>
      <c r="G648" t="s">
        <v>2</v>
      </c>
      <c r="H648" t="s">
        <v>89</v>
      </c>
      <c r="J648" t="s">
        <v>797</v>
      </c>
      <c r="K648" t="s">
        <v>2</v>
      </c>
      <c r="L648" t="s">
        <v>268</v>
      </c>
      <c r="M648" s="1">
        <v>44993</v>
      </c>
      <c r="N648" t="s">
        <v>8</v>
      </c>
      <c r="O648">
        <v>428</v>
      </c>
      <c r="P648" t="s">
        <v>52</v>
      </c>
      <c r="Q648" t="s">
        <v>10</v>
      </c>
      <c r="R648" t="s">
        <v>11</v>
      </c>
      <c r="T648" t="s">
        <v>1092</v>
      </c>
      <c r="U648" t="s">
        <v>1096</v>
      </c>
      <c r="V648" s="3">
        <v>1</v>
      </c>
      <c r="W648" t="s">
        <v>1148</v>
      </c>
      <c r="X648" s="9" t="s">
        <v>2</v>
      </c>
      <c r="Y648" s="9" t="s">
        <v>2</v>
      </c>
      <c r="Z648" t="s">
        <v>1149</v>
      </c>
    </row>
    <row r="649" spans="1:26">
      <c r="A649">
        <v>648</v>
      </c>
      <c r="B649" t="s">
        <v>12</v>
      </c>
      <c r="C649" t="s">
        <v>798</v>
      </c>
      <c r="D649">
        <v>20607696803</v>
      </c>
      <c r="E649" t="s">
        <v>2</v>
      </c>
      <c r="F649">
        <v>979002964</v>
      </c>
      <c r="G649" t="s">
        <v>799</v>
      </c>
      <c r="H649" t="s">
        <v>4</v>
      </c>
      <c r="I649" t="s">
        <v>244</v>
      </c>
      <c r="J649" t="s">
        <v>2</v>
      </c>
      <c r="K649" t="s">
        <v>7</v>
      </c>
      <c r="L649" t="s">
        <v>7</v>
      </c>
      <c r="M649" s="1">
        <v>44993</v>
      </c>
      <c r="N649" t="s">
        <v>491</v>
      </c>
      <c r="O649">
        <v>400</v>
      </c>
      <c r="P649" t="s">
        <v>134</v>
      </c>
      <c r="Q649" t="s">
        <v>10</v>
      </c>
      <c r="R649" t="s">
        <v>22</v>
      </c>
      <c r="T649" t="s">
        <v>1092</v>
      </c>
      <c r="U649" t="s">
        <v>1095</v>
      </c>
      <c r="V649" s="3">
        <v>1</v>
      </c>
      <c r="W649" t="s">
        <v>1145</v>
      </c>
      <c r="X649" s="9">
        <v>6</v>
      </c>
      <c r="Y649" s="9" t="s">
        <v>1057</v>
      </c>
      <c r="Z649" t="s">
        <v>1143</v>
      </c>
    </row>
    <row r="650" spans="1:26">
      <c r="A650">
        <v>649</v>
      </c>
      <c r="B650" t="str">
        <f t="shared" ref="B650:N650" si="267">B649</f>
        <v>FT</v>
      </c>
      <c r="C650" t="str">
        <f t="shared" si="267"/>
        <v>Alimentos, mantenimiento y construccion</v>
      </c>
      <c r="D650">
        <f t="shared" si="267"/>
        <v>20607696803</v>
      </c>
      <c r="E650" t="str">
        <f t="shared" si="267"/>
        <v>-</v>
      </c>
      <c r="F650">
        <f t="shared" si="267"/>
        <v>979002964</v>
      </c>
      <c r="G650" t="str">
        <f t="shared" si="267"/>
        <v>FT F001-94</v>
      </c>
      <c r="H650" t="str">
        <f t="shared" si="267"/>
        <v>Lima</v>
      </c>
      <c r="I650" t="str">
        <f t="shared" si="267"/>
        <v>Comas</v>
      </c>
      <c r="J650" t="str">
        <f t="shared" si="267"/>
        <v>-</v>
      </c>
      <c r="K650" t="str">
        <f t="shared" si="267"/>
        <v>Oficina</v>
      </c>
      <c r="L650" t="str">
        <f t="shared" si="267"/>
        <v>Oficina</v>
      </c>
      <c r="M650" s="1">
        <f t="shared" si="267"/>
        <v>44993</v>
      </c>
      <c r="N650" t="str">
        <f t="shared" si="267"/>
        <v xml:space="preserve">Interbank </v>
      </c>
      <c r="O650" s="14">
        <v>180</v>
      </c>
      <c r="P650" t="str">
        <f t="shared" ref="P650:R650" si="268">P649</f>
        <v>Bodega</v>
      </c>
      <c r="Q650" t="str">
        <f t="shared" si="268"/>
        <v>U</v>
      </c>
      <c r="R650" t="str">
        <f t="shared" si="268"/>
        <v>Sergio</v>
      </c>
      <c r="T650" t="s">
        <v>1151</v>
      </c>
      <c r="U650" t="s">
        <v>1127</v>
      </c>
      <c r="V650" s="3">
        <f t="shared" ref="V650" si="269">X649</f>
        <v>6</v>
      </c>
      <c r="W650" t="s">
        <v>1135</v>
      </c>
      <c r="X650" s="9"/>
      <c r="Y650" s="9"/>
      <c r="Z650" t="s">
        <v>1136</v>
      </c>
    </row>
    <row r="651" spans="1:26">
      <c r="A651">
        <v>650</v>
      </c>
      <c r="B651" t="s">
        <v>2</v>
      </c>
      <c r="C651" t="s">
        <v>800</v>
      </c>
      <c r="E651">
        <v>42226905</v>
      </c>
      <c r="F651">
        <v>947696480</v>
      </c>
      <c r="G651" t="s">
        <v>2</v>
      </c>
      <c r="H651" t="s">
        <v>65</v>
      </c>
      <c r="I651" t="s">
        <v>774</v>
      </c>
      <c r="J651" t="s">
        <v>29</v>
      </c>
      <c r="K651" t="s">
        <v>2</v>
      </c>
      <c r="L651" t="s">
        <v>268</v>
      </c>
      <c r="M651" s="1">
        <v>44994</v>
      </c>
      <c r="N651" t="s">
        <v>8</v>
      </c>
      <c r="O651">
        <v>185</v>
      </c>
      <c r="P651" t="s">
        <v>541</v>
      </c>
      <c r="Q651" t="s">
        <v>10</v>
      </c>
      <c r="R651" t="s">
        <v>22</v>
      </c>
      <c r="T651" t="s">
        <v>1082</v>
      </c>
      <c r="U651" t="s">
        <v>1099</v>
      </c>
      <c r="V651" s="3" t="s">
        <v>1044</v>
      </c>
      <c r="W651" t="s">
        <v>1146</v>
      </c>
      <c r="X651" s="9">
        <v>10</v>
      </c>
      <c r="Y651" s="9" t="s">
        <v>1068</v>
      </c>
      <c r="Z651" t="s">
        <v>1143</v>
      </c>
    </row>
    <row r="652" spans="1:26">
      <c r="A652">
        <v>651</v>
      </c>
      <c r="B652" t="str">
        <f t="shared" ref="B652:N652" si="270">B651</f>
        <v>-</v>
      </c>
      <c r="C652" t="str">
        <f t="shared" si="270"/>
        <v>Palomino Saravia Jose Miguel</v>
      </c>
      <c r="E652">
        <f t="shared" si="270"/>
        <v>42226905</v>
      </c>
      <c r="F652">
        <f t="shared" si="270"/>
        <v>947696480</v>
      </c>
      <c r="G652" t="str">
        <f t="shared" si="270"/>
        <v>-</v>
      </c>
      <c r="H652" t="str">
        <f t="shared" si="270"/>
        <v>Ica</v>
      </c>
      <c r="I652" t="str">
        <f t="shared" si="270"/>
        <v>Chincha</v>
      </c>
      <c r="J652" t="str">
        <f t="shared" si="270"/>
        <v>Shalom</v>
      </c>
      <c r="K652" t="str">
        <f t="shared" si="270"/>
        <v>-</v>
      </c>
      <c r="L652" t="str">
        <f t="shared" si="270"/>
        <v>Aplicativo Web</v>
      </c>
      <c r="M652" s="1">
        <f t="shared" si="270"/>
        <v>44994</v>
      </c>
      <c r="N652" t="str">
        <f t="shared" si="270"/>
        <v>BCP</v>
      </c>
      <c r="O652" s="14">
        <v>15</v>
      </c>
      <c r="P652" t="str">
        <f t="shared" ref="P652:R652" si="271">P651</f>
        <v>Salón de Belleza</v>
      </c>
      <c r="Q652" t="str">
        <f t="shared" si="271"/>
        <v>U</v>
      </c>
      <c r="R652" t="str">
        <f t="shared" si="271"/>
        <v>Sergio</v>
      </c>
      <c r="T652" t="s">
        <v>1134</v>
      </c>
      <c r="U652" t="s">
        <v>1116</v>
      </c>
      <c r="V652" s="3">
        <f>X651</f>
        <v>10</v>
      </c>
      <c r="W652" t="s">
        <v>1137</v>
      </c>
      <c r="X652" s="9"/>
      <c r="Y652" s="9"/>
      <c r="Z652" t="s">
        <v>1131</v>
      </c>
    </row>
    <row r="653" spans="1:26">
      <c r="A653">
        <v>652</v>
      </c>
      <c r="B653" t="s">
        <v>2</v>
      </c>
      <c r="C653" t="s">
        <v>801</v>
      </c>
      <c r="E653" t="s">
        <v>2</v>
      </c>
      <c r="F653">
        <v>986116633</v>
      </c>
      <c r="G653" t="s">
        <v>2</v>
      </c>
      <c r="H653" t="s">
        <v>4</v>
      </c>
      <c r="I653" t="s">
        <v>90</v>
      </c>
      <c r="J653" t="s">
        <v>2</v>
      </c>
      <c r="K653" t="s">
        <v>155</v>
      </c>
      <c r="L653" t="s">
        <v>37</v>
      </c>
      <c r="M653" s="1">
        <v>44994</v>
      </c>
      <c r="N653" t="s">
        <v>8</v>
      </c>
      <c r="O653">
        <v>700</v>
      </c>
      <c r="P653" t="s">
        <v>30</v>
      </c>
      <c r="Q653" t="s">
        <v>10</v>
      </c>
      <c r="R653" t="s">
        <v>22</v>
      </c>
      <c r="T653" t="s">
        <v>1092</v>
      </c>
      <c r="U653" t="s">
        <v>1105</v>
      </c>
      <c r="V653" s="3" t="s">
        <v>1044</v>
      </c>
      <c r="W653" t="s">
        <v>1148</v>
      </c>
      <c r="X653" s="9">
        <v>2</v>
      </c>
      <c r="Y653" s="9" t="s">
        <v>1057</v>
      </c>
      <c r="Z653" t="s">
        <v>1149</v>
      </c>
    </row>
    <row r="654" spans="1:26">
      <c r="A654">
        <v>653</v>
      </c>
      <c r="B654" t="str">
        <f t="shared" ref="B654:N654" si="272">B653</f>
        <v>-</v>
      </c>
      <c r="C654" t="str">
        <f t="shared" si="272"/>
        <v>G Chávez</v>
      </c>
      <c r="E654" t="str">
        <f t="shared" si="272"/>
        <v>-</v>
      </c>
      <c r="F654">
        <f t="shared" si="272"/>
        <v>986116633</v>
      </c>
      <c r="G654" t="str">
        <f t="shared" si="272"/>
        <v>-</v>
      </c>
      <c r="H654" t="str">
        <f t="shared" si="272"/>
        <v>Lima</v>
      </c>
      <c r="I654" t="str">
        <f t="shared" si="272"/>
        <v>La victoria</v>
      </c>
      <c r="J654" t="str">
        <f t="shared" si="272"/>
        <v>-</v>
      </c>
      <c r="K654" t="str">
        <f t="shared" si="272"/>
        <v>Gamarra</v>
      </c>
      <c r="L654" t="str">
        <f t="shared" si="272"/>
        <v>Redes sociales</v>
      </c>
      <c r="M654" s="1">
        <f t="shared" si="272"/>
        <v>44994</v>
      </c>
      <c r="N654" t="str">
        <f t="shared" si="272"/>
        <v>BCP</v>
      </c>
      <c r="O654" s="14">
        <f>25*(V654)</f>
        <v>50</v>
      </c>
      <c r="P654" t="str">
        <f t="shared" ref="P654:R654" si="273">P653</f>
        <v>Otros</v>
      </c>
      <c r="Q654" t="str">
        <f t="shared" si="273"/>
        <v>U</v>
      </c>
      <c r="R654" t="str">
        <f t="shared" si="273"/>
        <v>Sergio</v>
      </c>
      <c r="T654" t="s">
        <v>1151</v>
      </c>
      <c r="U654" t="s">
        <v>1127</v>
      </c>
      <c r="V654" s="3">
        <f t="shared" ref="V654" si="274">X653</f>
        <v>2</v>
      </c>
      <c r="W654" t="s">
        <v>1135</v>
      </c>
      <c r="X654" s="9"/>
      <c r="Y654" s="9"/>
      <c r="Z654" t="s">
        <v>1136</v>
      </c>
    </row>
    <row r="655" spans="1:26">
      <c r="A655">
        <v>654</v>
      </c>
      <c r="B655" t="s">
        <v>12</v>
      </c>
      <c r="C655" t="s">
        <v>802</v>
      </c>
      <c r="E655">
        <v>42077238</v>
      </c>
      <c r="F655">
        <v>935817476</v>
      </c>
      <c r="G655" t="s">
        <v>803</v>
      </c>
      <c r="H655" t="s">
        <v>681</v>
      </c>
      <c r="J655" t="s">
        <v>29</v>
      </c>
      <c r="K655" t="s">
        <v>2</v>
      </c>
      <c r="L655" t="s">
        <v>268</v>
      </c>
      <c r="M655" s="1">
        <v>44994</v>
      </c>
      <c r="N655" t="s">
        <v>8</v>
      </c>
      <c r="O655" s="5">
        <f>810-O656-O657</f>
        <v>340</v>
      </c>
      <c r="P655" t="s">
        <v>234</v>
      </c>
      <c r="Q655" t="s">
        <v>10</v>
      </c>
      <c r="R655" t="s">
        <v>11</v>
      </c>
      <c r="T655" t="s">
        <v>1092</v>
      </c>
      <c r="U655" t="s">
        <v>1093</v>
      </c>
      <c r="V655" s="3">
        <v>1</v>
      </c>
      <c r="W655" t="s">
        <v>1148</v>
      </c>
      <c r="X655" s="9">
        <v>1</v>
      </c>
      <c r="Y655" s="9" t="s">
        <v>1074</v>
      </c>
      <c r="Z655" t="s">
        <v>1149</v>
      </c>
    </row>
    <row r="656" spans="1:26">
      <c r="A656">
        <v>655</v>
      </c>
      <c r="B656" t="str">
        <f t="shared" ref="B656:N657" si="275">B655</f>
        <v>FT</v>
      </c>
      <c r="C656" t="str">
        <f t="shared" si="275"/>
        <v>Leiva Casafranca Pedro</v>
      </c>
      <c r="E656">
        <f t="shared" si="275"/>
        <v>42077238</v>
      </c>
      <c r="F656">
        <f t="shared" si="275"/>
        <v>935817476</v>
      </c>
      <c r="G656" t="str">
        <f t="shared" si="275"/>
        <v>FT F001-95</v>
      </c>
      <c r="H656" t="str">
        <f t="shared" si="275"/>
        <v>Cajamarca</v>
      </c>
      <c r="J656" t="str">
        <f t="shared" si="275"/>
        <v>Shalom</v>
      </c>
      <c r="K656" t="str">
        <f t="shared" si="275"/>
        <v>-</v>
      </c>
      <c r="L656" t="str">
        <f t="shared" si="275"/>
        <v>Aplicativo Web</v>
      </c>
      <c r="M656" s="1">
        <f t="shared" si="275"/>
        <v>44994</v>
      </c>
      <c r="N656" t="str">
        <f t="shared" si="275"/>
        <v>BCP</v>
      </c>
      <c r="O656" s="5">
        <v>260</v>
      </c>
      <c r="P656" t="str">
        <f t="shared" ref="P656:R657" si="276">P655</f>
        <v>Farmacia</v>
      </c>
      <c r="Q656" t="str">
        <f t="shared" si="276"/>
        <v>U</v>
      </c>
      <c r="R656" t="str">
        <f t="shared" si="276"/>
        <v>Rodrigo</v>
      </c>
      <c r="T656" t="str">
        <f t="shared" ref="T656" si="277">T655</f>
        <v>Xprinter</v>
      </c>
      <c r="U656" t="s">
        <v>1106</v>
      </c>
      <c r="V656" s="3">
        <f>X655</f>
        <v>1</v>
      </c>
      <c r="W656" t="s">
        <v>1139</v>
      </c>
      <c r="X656" s="9"/>
      <c r="Y656" s="9"/>
      <c r="Z656" t="s">
        <v>1138</v>
      </c>
    </row>
    <row r="657" spans="1:26">
      <c r="A657">
        <v>656</v>
      </c>
      <c r="B657" t="str">
        <f t="shared" si="275"/>
        <v>FT</v>
      </c>
      <c r="C657" t="str">
        <f t="shared" si="275"/>
        <v>Leiva Casafranca Pedro</v>
      </c>
      <c r="E657">
        <f t="shared" si="275"/>
        <v>42077238</v>
      </c>
      <c r="F657">
        <f t="shared" si="275"/>
        <v>935817476</v>
      </c>
      <c r="G657" t="str">
        <f t="shared" si="275"/>
        <v>FT F001-95</v>
      </c>
      <c r="H657" t="str">
        <f t="shared" si="275"/>
        <v>Cajamarca</v>
      </c>
      <c r="J657" t="str">
        <f t="shared" si="275"/>
        <v>Shalom</v>
      </c>
      <c r="K657" t="str">
        <f t="shared" si="275"/>
        <v>-</v>
      </c>
      <c r="L657" t="str">
        <f t="shared" si="275"/>
        <v>Aplicativo Web</v>
      </c>
      <c r="M657" s="1">
        <f t="shared" si="275"/>
        <v>44994</v>
      </c>
      <c r="N657" t="str">
        <f t="shared" si="275"/>
        <v>BCP</v>
      </c>
      <c r="O657" s="5">
        <v>210</v>
      </c>
      <c r="P657" t="str">
        <f t="shared" si="276"/>
        <v>Farmacia</v>
      </c>
      <c r="Q657" t="str">
        <f t="shared" si="276"/>
        <v>U</v>
      </c>
      <c r="R657" t="str">
        <f t="shared" si="276"/>
        <v>Rodrigo</v>
      </c>
      <c r="T657" t="s">
        <v>1119</v>
      </c>
      <c r="U657" s="12" t="s">
        <v>1142</v>
      </c>
      <c r="V657">
        <v>1</v>
      </c>
      <c r="W657" t="s">
        <v>1086</v>
      </c>
      <c r="X657" s="9"/>
      <c r="Y657" s="9"/>
      <c r="Z657" t="s">
        <v>1141</v>
      </c>
    </row>
    <row r="658" spans="1:26">
      <c r="A658">
        <v>657</v>
      </c>
      <c r="B658" t="s">
        <v>12</v>
      </c>
      <c r="C658" t="s">
        <v>804</v>
      </c>
      <c r="D658">
        <v>10068059335</v>
      </c>
      <c r="E658" t="s">
        <v>2</v>
      </c>
      <c r="F658">
        <v>948578164</v>
      </c>
      <c r="G658" t="s">
        <v>805</v>
      </c>
      <c r="H658" t="s">
        <v>4</v>
      </c>
      <c r="I658" t="s">
        <v>63</v>
      </c>
      <c r="J658" t="s">
        <v>2</v>
      </c>
      <c r="K658" t="s">
        <v>806</v>
      </c>
      <c r="L658" t="s">
        <v>7</v>
      </c>
      <c r="M658" s="1">
        <v>44994</v>
      </c>
      <c r="N658" t="s">
        <v>56</v>
      </c>
      <c r="O658">
        <v>325</v>
      </c>
      <c r="P658" t="s">
        <v>541</v>
      </c>
      <c r="Q658" t="s">
        <v>10</v>
      </c>
      <c r="R658" t="s">
        <v>11</v>
      </c>
      <c r="T658" t="s">
        <v>1092</v>
      </c>
      <c r="U658" t="s">
        <v>1100</v>
      </c>
      <c r="V658" s="3" t="s">
        <v>1044</v>
      </c>
      <c r="W658" t="s">
        <v>1146</v>
      </c>
      <c r="X658" s="9">
        <v>10</v>
      </c>
      <c r="Y658" s="9" t="s">
        <v>1065</v>
      </c>
      <c r="Z658" t="s">
        <v>1144</v>
      </c>
    </row>
    <row r="659" spans="1:26">
      <c r="A659">
        <v>658</v>
      </c>
      <c r="B659" t="str">
        <f t="shared" ref="B659:N659" si="278">B658</f>
        <v>FT</v>
      </c>
      <c r="C659" t="str">
        <f t="shared" si="278"/>
        <v>Espadin Manotupa Christian Israel</v>
      </c>
      <c r="D659">
        <f t="shared" si="278"/>
        <v>10068059335</v>
      </c>
      <c r="E659" t="str">
        <f t="shared" si="278"/>
        <v>-</v>
      </c>
      <c r="F659">
        <f t="shared" si="278"/>
        <v>948578164</v>
      </c>
      <c r="G659" t="str">
        <f t="shared" si="278"/>
        <v>FT F001-96</v>
      </c>
      <c r="H659" t="str">
        <f t="shared" si="278"/>
        <v>Lima</v>
      </c>
      <c r="I659" t="str">
        <f t="shared" si="278"/>
        <v>San Martin de Porres</v>
      </c>
      <c r="J659" t="str">
        <f t="shared" si="278"/>
        <v>-</v>
      </c>
      <c r="K659" t="str">
        <f t="shared" si="278"/>
        <v>San Martin de Porres jiron San Martin 3499</v>
      </c>
      <c r="L659" t="str">
        <f t="shared" si="278"/>
        <v>Oficina</v>
      </c>
      <c r="M659" s="1">
        <f t="shared" si="278"/>
        <v>44994</v>
      </c>
      <c r="N659" t="str">
        <f t="shared" si="278"/>
        <v>Interbank</v>
      </c>
      <c r="O659" s="16">
        <v>25</v>
      </c>
      <c r="P659" t="str">
        <f t="shared" ref="P659:R659" si="279">P658</f>
        <v>Salón de Belleza</v>
      </c>
      <c r="Q659" t="str">
        <f t="shared" si="279"/>
        <v>U</v>
      </c>
      <c r="R659" t="str">
        <f t="shared" si="279"/>
        <v>Rodrigo</v>
      </c>
      <c r="T659" t="s">
        <v>1134</v>
      </c>
      <c r="U659" t="s">
        <v>1115</v>
      </c>
      <c r="V659" s="3">
        <f t="shared" ref="V659" si="280">X658</f>
        <v>10</v>
      </c>
      <c r="W659" t="s">
        <v>1137</v>
      </c>
      <c r="X659" s="9"/>
      <c r="Y659" s="9"/>
      <c r="Z659" t="s">
        <v>1131</v>
      </c>
    </row>
    <row r="660" spans="1:26">
      <c r="A660">
        <v>659</v>
      </c>
      <c r="B660" t="s">
        <v>2</v>
      </c>
      <c r="C660" t="s">
        <v>807</v>
      </c>
      <c r="E660">
        <v>74310096</v>
      </c>
      <c r="F660">
        <v>922789315</v>
      </c>
      <c r="G660" t="s">
        <v>2</v>
      </c>
      <c r="H660" t="s">
        <v>77</v>
      </c>
      <c r="J660" t="s">
        <v>29</v>
      </c>
      <c r="K660" t="s">
        <v>2</v>
      </c>
      <c r="L660" t="s">
        <v>268</v>
      </c>
      <c r="M660" s="1">
        <v>44995</v>
      </c>
      <c r="N660" t="s">
        <v>8</v>
      </c>
      <c r="O660">
        <v>200</v>
      </c>
      <c r="P660" t="s">
        <v>134</v>
      </c>
      <c r="Q660" t="s">
        <v>10</v>
      </c>
      <c r="R660" t="s">
        <v>11</v>
      </c>
      <c r="T660" t="s">
        <v>1082</v>
      </c>
      <c r="U660" t="s">
        <v>1099</v>
      </c>
      <c r="V660" s="3" t="s">
        <v>1044</v>
      </c>
      <c r="W660" t="s">
        <v>1146</v>
      </c>
      <c r="X660" s="9">
        <v>10</v>
      </c>
      <c r="Y660" s="9" t="s">
        <v>1068</v>
      </c>
      <c r="Z660" t="s">
        <v>1143</v>
      </c>
    </row>
    <row r="661" spans="1:26">
      <c r="A661">
        <v>660</v>
      </c>
      <c r="B661" t="s">
        <v>2</v>
      </c>
      <c r="C661" t="s">
        <v>783</v>
      </c>
      <c r="E661">
        <v>3896516</v>
      </c>
      <c r="F661">
        <v>952946964</v>
      </c>
      <c r="G661" t="s">
        <v>2</v>
      </c>
      <c r="H661" t="s">
        <v>514</v>
      </c>
      <c r="I661" t="s">
        <v>74</v>
      </c>
      <c r="J661" t="s">
        <v>29</v>
      </c>
      <c r="K661" t="s">
        <v>2</v>
      </c>
      <c r="L661" t="s">
        <v>268</v>
      </c>
      <c r="M661" s="1">
        <v>44995</v>
      </c>
      <c r="N661" t="s">
        <v>8</v>
      </c>
      <c r="O661" s="14">
        <v>125</v>
      </c>
      <c r="P661" t="s">
        <v>541</v>
      </c>
      <c r="Q661" t="s">
        <v>10</v>
      </c>
      <c r="R661" t="s">
        <v>11</v>
      </c>
      <c r="T661" t="s">
        <v>1151</v>
      </c>
      <c r="U661" t="s">
        <v>1127</v>
      </c>
      <c r="V661" s="3" t="s">
        <v>1046</v>
      </c>
      <c r="W661" t="s">
        <v>1135</v>
      </c>
      <c r="X661" s="9" t="s">
        <v>2</v>
      </c>
      <c r="Y661" s="9" t="s">
        <v>2</v>
      </c>
      <c r="Z661" t="s">
        <v>1136</v>
      </c>
    </row>
    <row r="662" spans="1:26">
      <c r="A662">
        <v>661</v>
      </c>
      <c r="B662" t="s">
        <v>2</v>
      </c>
      <c r="C662" t="s">
        <v>808</v>
      </c>
      <c r="E662" t="s">
        <v>2</v>
      </c>
      <c r="F662">
        <v>966678761</v>
      </c>
      <c r="G662" t="s">
        <v>2</v>
      </c>
      <c r="H662" t="s">
        <v>4</v>
      </c>
      <c r="I662" t="s">
        <v>380</v>
      </c>
      <c r="J662" t="s">
        <v>2</v>
      </c>
      <c r="K662" t="s">
        <v>809</v>
      </c>
      <c r="L662" t="s">
        <v>37</v>
      </c>
      <c r="M662" s="1">
        <v>44995</v>
      </c>
      <c r="N662" t="s">
        <v>21</v>
      </c>
      <c r="O662">
        <v>325</v>
      </c>
      <c r="P662" t="s">
        <v>30</v>
      </c>
      <c r="Q662" t="s">
        <v>10</v>
      </c>
      <c r="R662" t="s">
        <v>22</v>
      </c>
      <c r="T662" t="s">
        <v>1092</v>
      </c>
      <c r="U662" t="s">
        <v>1100</v>
      </c>
      <c r="V662" s="3" t="s">
        <v>1044</v>
      </c>
      <c r="W662" t="s">
        <v>1146</v>
      </c>
      <c r="X662" s="9">
        <v>10</v>
      </c>
      <c r="Y662" s="9" t="s">
        <v>1065</v>
      </c>
      <c r="Z662" t="s">
        <v>1144</v>
      </c>
    </row>
    <row r="663" spans="1:26">
      <c r="A663">
        <v>662</v>
      </c>
      <c r="B663" t="str">
        <f t="shared" ref="B663:N663" si="281">B662</f>
        <v>-</v>
      </c>
      <c r="C663" t="str">
        <f t="shared" si="281"/>
        <v>Victor</v>
      </c>
      <c r="E663" t="str">
        <f t="shared" si="281"/>
        <v>-</v>
      </c>
      <c r="F663">
        <f t="shared" si="281"/>
        <v>966678761</v>
      </c>
      <c r="G663" t="str">
        <f t="shared" si="281"/>
        <v>-</v>
      </c>
      <c r="H663" t="str">
        <f t="shared" si="281"/>
        <v>Lima</v>
      </c>
      <c r="I663" t="str">
        <f t="shared" si="281"/>
        <v>Callao</v>
      </c>
      <c r="J663" t="str">
        <f t="shared" si="281"/>
        <v>-</v>
      </c>
      <c r="K663" t="str">
        <f t="shared" si="281"/>
        <v>Aeropuerto Jorge Chavez</v>
      </c>
      <c r="L663" t="str">
        <f t="shared" si="281"/>
        <v>Redes sociales</v>
      </c>
      <c r="M663" s="1">
        <f t="shared" si="281"/>
        <v>44995</v>
      </c>
      <c r="N663" t="str">
        <f t="shared" si="281"/>
        <v>Efectivo</v>
      </c>
      <c r="O663" s="16">
        <v>25</v>
      </c>
      <c r="P663" t="str">
        <f t="shared" ref="P663:R663" si="282">P662</f>
        <v>Otros</v>
      </c>
      <c r="Q663" t="str">
        <f t="shared" si="282"/>
        <v>U</v>
      </c>
      <c r="R663" t="str">
        <f t="shared" si="282"/>
        <v>Sergio</v>
      </c>
      <c r="T663" t="s">
        <v>1134</v>
      </c>
      <c r="U663" t="s">
        <v>1115</v>
      </c>
      <c r="V663" s="3">
        <f t="shared" ref="V663" si="283">X662</f>
        <v>10</v>
      </c>
      <c r="W663" t="s">
        <v>1137</v>
      </c>
      <c r="X663" s="9"/>
      <c r="Y663" s="9"/>
      <c r="Z663" t="s">
        <v>1131</v>
      </c>
    </row>
    <row r="664" spans="1:26">
      <c r="A664">
        <v>663</v>
      </c>
      <c r="B664" t="s">
        <v>2</v>
      </c>
      <c r="C664" t="s">
        <v>810</v>
      </c>
      <c r="E664">
        <v>74757510</v>
      </c>
      <c r="F664">
        <v>984558776</v>
      </c>
      <c r="G664" t="s">
        <v>2</v>
      </c>
      <c r="H664" t="s">
        <v>423</v>
      </c>
      <c r="J664" t="s">
        <v>29</v>
      </c>
      <c r="K664" t="s">
        <v>2</v>
      </c>
      <c r="L664" t="s">
        <v>37</v>
      </c>
      <c r="M664" s="1">
        <v>44995</v>
      </c>
      <c r="N664" t="s">
        <v>8</v>
      </c>
      <c r="O664">
        <v>325</v>
      </c>
      <c r="P664" t="s">
        <v>9</v>
      </c>
      <c r="Q664" t="s">
        <v>10</v>
      </c>
      <c r="R664" t="s">
        <v>11</v>
      </c>
      <c r="T664" t="s">
        <v>1092</v>
      </c>
      <c r="U664" t="s">
        <v>1100</v>
      </c>
      <c r="V664" s="3" t="s">
        <v>1044</v>
      </c>
      <c r="W664" t="s">
        <v>1146</v>
      </c>
      <c r="X664" s="9">
        <v>10</v>
      </c>
      <c r="Y664" s="9" t="s">
        <v>1065</v>
      </c>
      <c r="Z664" t="s">
        <v>1144</v>
      </c>
    </row>
    <row r="665" spans="1:26">
      <c r="A665">
        <v>664</v>
      </c>
      <c r="B665" t="str">
        <f t="shared" ref="B665:N665" si="284">B664</f>
        <v>-</v>
      </c>
      <c r="C665" t="str">
        <f t="shared" si="284"/>
        <v>Romel Adrian Porras Socola</v>
      </c>
      <c r="E665">
        <f t="shared" si="284"/>
        <v>74757510</v>
      </c>
      <c r="F665">
        <f t="shared" si="284"/>
        <v>984558776</v>
      </c>
      <c r="G665" t="str">
        <f t="shared" si="284"/>
        <v>-</v>
      </c>
      <c r="H665" t="str">
        <f t="shared" si="284"/>
        <v>San Martin</v>
      </c>
      <c r="J665" t="str">
        <f t="shared" si="284"/>
        <v>Shalom</v>
      </c>
      <c r="K665" t="str">
        <f t="shared" si="284"/>
        <v>-</v>
      </c>
      <c r="L665" t="str">
        <f t="shared" si="284"/>
        <v>Redes sociales</v>
      </c>
      <c r="M665" s="1">
        <f t="shared" si="284"/>
        <v>44995</v>
      </c>
      <c r="N665" t="str">
        <f t="shared" si="284"/>
        <v>BCP</v>
      </c>
      <c r="O665" s="16">
        <v>25</v>
      </c>
      <c r="P665" t="str">
        <f t="shared" ref="P665:R665" si="285">P664</f>
        <v>Restaurante</v>
      </c>
      <c r="Q665" t="str">
        <f t="shared" si="285"/>
        <v>U</v>
      </c>
      <c r="R665" t="str">
        <f t="shared" si="285"/>
        <v>Rodrigo</v>
      </c>
      <c r="T665" t="s">
        <v>1134</v>
      </c>
      <c r="U665" t="s">
        <v>1115</v>
      </c>
      <c r="V665" s="3">
        <f t="shared" ref="V665" si="286">X664</f>
        <v>10</v>
      </c>
      <c r="W665" t="s">
        <v>1137</v>
      </c>
      <c r="X665" s="9"/>
      <c r="Y665" s="9"/>
      <c r="Z665" t="s">
        <v>1131</v>
      </c>
    </row>
    <row r="666" spans="1:26">
      <c r="A666">
        <v>665</v>
      </c>
      <c r="B666" t="s">
        <v>2</v>
      </c>
      <c r="C666" t="s">
        <v>811</v>
      </c>
      <c r="E666" t="s">
        <v>2</v>
      </c>
      <c r="F666">
        <v>922171306</v>
      </c>
      <c r="G666" t="s">
        <v>2</v>
      </c>
      <c r="H666" t="s">
        <v>4</v>
      </c>
      <c r="I666" t="s">
        <v>364</v>
      </c>
      <c r="J666" t="s">
        <v>2</v>
      </c>
      <c r="K666" t="s">
        <v>812</v>
      </c>
      <c r="L666" t="s">
        <v>37</v>
      </c>
      <c r="M666" s="1">
        <v>44996</v>
      </c>
      <c r="N666" t="s">
        <v>21</v>
      </c>
      <c r="O666">
        <v>215</v>
      </c>
      <c r="P666" t="s">
        <v>9</v>
      </c>
      <c r="Q666" t="s">
        <v>10</v>
      </c>
      <c r="R666" t="s">
        <v>11</v>
      </c>
      <c r="T666" t="s">
        <v>1082</v>
      </c>
      <c r="U666" t="s">
        <v>1099</v>
      </c>
      <c r="V666" s="3" t="s">
        <v>1044</v>
      </c>
      <c r="W666" t="s">
        <v>1146</v>
      </c>
      <c r="X666" s="9">
        <v>20</v>
      </c>
      <c r="Y666" s="9" t="s">
        <v>1065</v>
      </c>
      <c r="Z666" t="s">
        <v>1143</v>
      </c>
    </row>
    <row r="667" spans="1:26">
      <c r="A667">
        <v>666</v>
      </c>
      <c r="B667" t="str">
        <f t="shared" ref="B667:N667" si="287">B666</f>
        <v>-</v>
      </c>
      <c r="C667" t="str">
        <f t="shared" si="287"/>
        <v>DS</v>
      </c>
      <c r="E667" t="str">
        <f t="shared" si="287"/>
        <v>-</v>
      </c>
      <c r="F667">
        <f t="shared" si="287"/>
        <v>922171306</v>
      </c>
      <c r="G667" t="str">
        <f t="shared" si="287"/>
        <v>-</v>
      </c>
      <c r="H667" t="str">
        <f t="shared" si="287"/>
        <v>Lima</v>
      </c>
      <c r="I667" t="str">
        <f t="shared" si="287"/>
        <v>San Juan De Lurigancho</v>
      </c>
      <c r="J667" t="str">
        <f t="shared" si="287"/>
        <v>-</v>
      </c>
      <c r="K667" t="str">
        <f t="shared" si="287"/>
        <v>Lurigancho</v>
      </c>
      <c r="L667" t="str">
        <f t="shared" si="287"/>
        <v>Redes sociales</v>
      </c>
      <c r="M667" s="1">
        <f t="shared" si="287"/>
        <v>44996</v>
      </c>
      <c r="N667" t="str">
        <f t="shared" si="287"/>
        <v>Efectivo</v>
      </c>
      <c r="O667" s="16">
        <v>125</v>
      </c>
      <c r="P667" t="str">
        <f t="shared" ref="P667:R667" si="288">P666</f>
        <v>Restaurante</v>
      </c>
      <c r="Q667" t="str">
        <f t="shared" si="288"/>
        <v>U</v>
      </c>
      <c r="R667" t="str">
        <f t="shared" si="288"/>
        <v>Rodrigo</v>
      </c>
      <c r="T667" t="s">
        <v>1134</v>
      </c>
      <c r="U667" t="s">
        <v>1115</v>
      </c>
      <c r="V667" s="3">
        <v>50</v>
      </c>
      <c r="W667" t="s">
        <v>1137</v>
      </c>
      <c r="X667" s="9"/>
      <c r="Y667" s="9"/>
      <c r="Z667" t="s">
        <v>1131</v>
      </c>
    </row>
    <row r="668" spans="1:26">
      <c r="A668">
        <v>667</v>
      </c>
      <c r="B668" t="s">
        <v>2</v>
      </c>
      <c r="C668" t="s">
        <v>813</v>
      </c>
      <c r="E668">
        <v>63436057</v>
      </c>
      <c r="F668">
        <v>979494718</v>
      </c>
      <c r="G668" t="s">
        <v>2</v>
      </c>
      <c r="H668" t="s">
        <v>814</v>
      </c>
      <c r="J668" t="s">
        <v>29</v>
      </c>
      <c r="K668" t="s">
        <v>2</v>
      </c>
      <c r="L668" t="s">
        <v>268</v>
      </c>
      <c r="M668" s="1">
        <v>44996</v>
      </c>
      <c r="N668" t="s">
        <v>8</v>
      </c>
      <c r="O668" s="5">
        <f>795-O669-O670</f>
        <v>390</v>
      </c>
      <c r="P668" t="s">
        <v>30</v>
      </c>
      <c r="Q668" t="s">
        <v>10</v>
      </c>
      <c r="R668" t="s">
        <v>22</v>
      </c>
      <c r="T668" t="s">
        <v>1092</v>
      </c>
      <c r="U668" t="s">
        <v>1105</v>
      </c>
      <c r="V668" s="3" t="s">
        <v>1044</v>
      </c>
      <c r="W668" t="s">
        <v>1148</v>
      </c>
      <c r="X668" s="9">
        <v>1</v>
      </c>
      <c r="Y668" s="9" t="s">
        <v>1074</v>
      </c>
      <c r="Z668" t="s">
        <v>1149</v>
      </c>
    </row>
    <row r="669" spans="1:26">
      <c r="A669">
        <v>668</v>
      </c>
      <c r="B669" t="str">
        <f t="shared" ref="B669:N670" si="289">B668</f>
        <v>-</v>
      </c>
      <c r="C669" t="str">
        <f t="shared" si="289"/>
        <v>Elvis Wily Gomez Zavaleta</v>
      </c>
      <c r="E669">
        <f t="shared" si="289"/>
        <v>63436057</v>
      </c>
      <c r="F669">
        <f t="shared" si="289"/>
        <v>979494718</v>
      </c>
      <c r="G669" t="str">
        <f t="shared" si="289"/>
        <v>-</v>
      </c>
      <c r="H669" t="str">
        <f t="shared" si="289"/>
        <v>La Libertad</v>
      </c>
      <c r="J669" t="str">
        <f t="shared" si="289"/>
        <v>Shalom</v>
      </c>
      <c r="K669" t="str">
        <f t="shared" si="289"/>
        <v>-</v>
      </c>
      <c r="L669" t="str">
        <f t="shared" si="289"/>
        <v>Aplicativo Web</v>
      </c>
      <c r="M669" s="1">
        <f t="shared" si="289"/>
        <v>44996</v>
      </c>
      <c r="N669" t="str">
        <f t="shared" si="289"/>
        <v>BCP</v>
      </c>
      <c r="O669" s="17">
        <v>330</v>
      </c>
      <c r="P669" t="str">
        <f t="shared" ref="P669:R670" si="290">P668</f>
        <v>Otros</v>
      </c>
      <c r="Q669" t="str">
        <f t="shared" si="290"/>
        <v>U</v>
      </c>
      <c r="R669" t="str">
        <f t="shared" si="290"/>
        <v>Sergio</v>
      </c>
      <c r="T669" t="s">
        <v>1108</v>
      </c>
      <c r="U669" t="s">
        <v>1108</v>
      </c>
      <c r="V669" s="3">
        <f>X668</f>
        <v>1</v>
      </c>
      <c r="W669" t="s">
        <v>1139</v>
      </c>
      <c r="X669" s="9"/>
      <c r="Y669" s="9"/>
      <c r="Z669" t="s">
        <v>1138</v>
      </c>
    </row>
    <row r="670" spans="1:26">
      <c r="A670">
        <v>669</v>
      </c>
      <c r="B670" t="str">
        <f t="shared" si="289"/>
        <v>-</v>
      </c>
      <c r="C670" t="str">
        <f t="shared" si="289"/>
        <v>Elvis Wily Gomez Zavaleta</v>
      </c>
      <c r="E670">
        <f t="shared" si="289"/>
        <v>63436057</v>
      </c>
      <c r="F670">
        <f t="shared" si="289"/>
        <v>979494718</v>
      </c>
      <c r="G670" t="str">
        <f t="shared" si="289"/>
        <v>-</v>
      </c>
      <c r="H670" t="str">
        <f t="shared" si="289"/>
        <v>La Libertad</v>
      </c>
      <c r="J670" t="str">
        <f t="shared" si="289"/>
        <v>Shalom</v>
      </c>
      <c r="K670" t="str">
        <f t="shared" si="289"/>
        <v>-</v>
      </c>
      <c r="L670" t="str">
        <f t="shared" si="289"/>
        <v>Aplicativo Web</v>
      </c>
      <c r="M670" s="1">
        <f t="shared" si="289"/>
        <v>44996</v>
      </c>
      <c r="N670" t="str">
        <f t="shared" si="289"/>
        <v>BCP</v>
      </c>
      <c r="O670" s="17">
        <v>75</v>
      </c>
      <c r="P670" t="str">
        <f t="shared" si="290"/>
        <v>Otros</v>
      </c>
      <c r="Q670" t="str">
        <f t="shared" si="290"/>
        <v>U</v>
      </c>
      <c r="R670" t="str">
        <f t="shared" si="290"/>
        <v>Sergio</v>
      </c>
      <c r="T670" t="s">
        <v>1151</v>
      </c>
      <c r="U670" t="s">
        <v>1120</v>
      </c>
      <c r="V670">
        <v>3</v>
      </c>
      <c r="W670" t="s">
        <v>1135</v>
      </c>
      <c r="X670" s="9"/>
      <c r="Y670" s="9"/>
      <c r="Z670" t="s">
        <v>1136</v>
      </c>
    </row>
    <row r="671" spans="1:26">
      <c r="A671">
        <v>670</v>
      </c>
      <c r="B671" t="s">
        <v>2</v>
      </c>
      <c r="C671" t="s">
        <v>815</v>
      </c>
      <c r="E671">
        <v>4082587</v>
      </c>
      <c r="F671">
        <v>999088612</v>
      </c>
      <c r="G671" t="s">
        <v>2</v>
      </c>
      <c r="H671" t="s">
        <v>1090</v>
      </c>
      <c r="I671" t="s">
        <v>816</v>
      </c>
      <c r="J671" t="s">
        <v>817</v>
      </c>
      <c r="K671" t="s">
        <v>2</v>
      </c>
      <c r="L671" t="s">
        <v>268</v>
      </c>
      <c r="M671" s="1">
        <v>44999</v>
      </c>
      <c r="N671" t="s">
        <v>8</v>
      </c>
      <c r="O671" s="5">
        <f>905-O672-O673</f>
        <v>385</v>
      </c>
      <c r="P671" t="s">
        <v>234</v>
      </c>
      <c r="Q671" t="s">
        <v>10</v>
      </c>
      <c r="R671" t="s">
        <v>11</v>
      </c>
      <c r="T671" t="s">
        <v>1092</v>
      </c>
      <c r="U671" t="s">
        <v>1105</v>
      </c>
      <c r="V671" s="3" t="s">
        <v>1044</v>
      </c>
      <c r="W671" t="s">
        <v>1148</v>
      </c>
      <c r="X671" s="9">
        <v>1</v>
      </c>
      <c r="Y671" s="9" t="s">
        <v>1074</v>
      </c>
      <c r="Z671" t="s">
        <v>1149</v>
      </c>
    </row>
    <row r="672" spans="1:26">
      <c r="A672">
        <v>671</v>
      </c>
      <c r="B672" t="str">
        <f t="shared" ref="B672:N673" si="291">B671</f>
        <v>-</v>
      </c>
      <c r="C672" t="str">
        <f t="shared" si="291"/>
        <v>Jesús Antonio Rivera Velasquez</v>
      </c>
      <c r="E672">
        <f t="shared" si="291"/>
        <v>4082587</v>
      </c>
      <c r="F672">
        <f t="shared" si="291"/>
        <v>999088612</v>
      </c>
      <c r="G672" t="str">
        <f t="shared" si="291"/>
        <v>-</v>
      </c>
      <c r="H672" t="str">
        <f t="shared" si="291"/>
        <v>Pasco</v>
      </c>
      <c r="I672" t="str">
        <f t="shared" si="291"/>
        <v>Cerro de Pasco</v>
      </c>
      <c r="J672" t="str">
        <f t="shared" si="291"/>
        <v>Carhumayo</v>
      </c>
      <c r="K672" t="str">
        <f t="shared" si="291"/>
        <v>-</v>
      </c>
      <c r="L672" t="str">
        <f t="shared" si="291"/>
        <v>Aplicativo Web</v>
      </c>
      <c r="M672" s="1">
        <f t="shared" si="291"/>
        <v>44999</v>
      </c>
      <c r="N672" t="str">
        <f t="shared" si="291"/>
        <v>BCP</v>
      </c>
      <c r="O672" s="17">
        <v>300</v>
      </c>
      <c r="P672" t="str">
        <f t="shared" ref="P672:R673" si="292">P671</f>
        <v>Farmacia</v>
      </c>
      <c r="Q672" t="str">
        <f t="shared" si="292"/>
        <v>U</v>
      </c>
      <c r="R672" t="str">
        <f t="shared" si="292"/>
        <v>Rodrigo</v>
      </c>
      <c r="T672" t="str">
        <f t="shared" ref="T672" si="293">T671</f>
        <v>Xprinter</v>
      </c>
      <c r="U672" t="s">
        <v>1106</v>
      </c>
      <c r="V672" s="3">
        <f>X671</f>
        <v>1</v>
      </c>
      <c r="W672" t="s">
        <v>1139</v>
      </c>
      <c r="X672" s="9"/>
      <c r="Y672" s="9"/>
      <c r="Z672" t="s">
        <v>1138</v>
      </c>
    </row>
    <row r="673" spans="1:26">
      <c r="A673">
        <v>672</v>
      </c>
      <c r="B673" t="str">
        <f t="shared" si="291"/>
        <v>-</v>
      </c>
      <c r="C673" t="str">
        <f t="shared" si="291"/>
        <v>Jesús Antonio Rivera Velasquez</v>
      </c>
      <c r="E673">
        <f t="shared" si="291"/>
        <v>4082587</v>
      </c>
      <c r="F673">
        <f t="shared" si="291"/>
        <v>999088612</v>
      </c>
      <c r="G673" t="str">
        <f t="shared" si="291"/>
        <v>-</v>
      </c>
      <c r="H673" t="str">
        <f t="shared" si="291"/>
        <v>Pasco</v>
      </c>
      <c r="I673" t="str">
        <f t="shared" si="291"/>
        <v>Cerro de Pasco</v>
      </c>
      <c r="J673" t="str">
        <f t="shared" si="291"/>
        <v>Carhumayo</v>
      </c>
      <c r="K673" t="str">
        <f t="shared" si="291"/>
        <v>-</v>
      </c>
      <c r="L673" t="str">
        <f t="shared" si="291"/>
        <v>Aplicativo Web</v>
      </c>
      <c r="M673" s="1">
        <f t="shared" si="291"/>
        <v>44999</v>
      </c>
      <c r="N673" t="str">
        <f t="shared" si="291"/>
        <v>BCP</v>
      </c>
      <c r="O673" s="17">
        <v>220</v>
      </c>
      <c r="P673" t="str">
        <f t="shared" si="292"/>
        <v>Farmacia</v>
      </c>
      <c r="Q673" t="str">
        <f t="shared" si="292"/>
        <v>U</v>
      </c>
      <c r="R673" t="str">
        <f t="shared" si="292"/>
        <v>Rodrigo</v>
      </c>
      <c r="T673" t="s">
        <v>1119</v>
      </c>
      <c r="U673" s="12" t="s">
        <v>1142</v>
      </c>
      <c r="V673">
        <v>1</v>
      </c>
      <c r="W673" t="s">
        <v>1086</v>
      </c>
      <c r="X673" s="9"/>
      <c r="Y673" s="9"/>
      <c r="Z673" t="s">
        <v>1141</v>
      </c>
    </row>
    <row r="674" spans="1:26">
      <c r="A674">
        <v>673</v>
      </c>
      <c r="B674" t="s">
        <v>2</v>
      </c>
      <c r="C674" t="s">
        <v>818</v>
      </c>
      <c r="E674">
        <v>46630334</v>
      </c>
      <c r="F674">
        <v>993007908</v>
      </c>
      <c r="G674" t="s">
        <v>2</v>
      </c>
      <c r="H674" t="s">
        <v>65</v>
      </c>
      <c r="J674" t="s">
        <v>29</v>
      </c>
      <c r="K674" t="s">
        <v>2</v>
      </c>
      <c r="L674" t="s">
        <v>268</v>
      </c>
      <c r="M674" s="1">
        <v>44999</v>
      </c>
      <c r="N674" t="s">
        <v>56</v>
      </c>
      <c r="O674">
        <v>220</v>
      </c>
      <c r="P674" t="s">
        <v>30</v>
      </c>
      <c r="Q674" t="s">
        <v>10</v>
      </c>
      <c r="R674" t="s">
        <v>22</v>
      </c>
      <c r="T674" t="s">
        <v>1092</v>
      </c>
      <c r="U674" t="s">
        <v>1100</v>
      </c>
      <c r="V674" s="3" t="s">
        <v>1044</v>
      </c>
      <c r="W674" t="s">
        <v>1146</v>
      </c>
      <c r="X674" s="9" t="s">
        <v>2</v>
      </c>
      <c r="Y674" s="9" t="s">
        <v>2</v>
      </c>
      <c r="Z674" t="s">
        <v>1144</v>
      </c>
    </row>
    <row r="675" spans="1:26">
      <c r="A675">
        <v>674</v>
      </c>
      <c r="B675" t="s">
        <v>2</v>
      </c>
      <c r="C675" t="s">
        <v>819</v>
      </c>
      <c r="E675" t="s">
        <v>2</v>
      </c>
      <c r="F675">
        <v>935775355</v>
      </c>
      <c r="G675" t="s">
        <v>2</v>
      </c>
      <c r="H675" t="s">
        <v>4</v>
      </c>
      <c r="I675" t="s">
        <v>58</v>
      </c>
      <c r="J675" t="s">
        <v>2</v>
      </c>
      <c r="K675" t="s">
        <v>820</v>
      </c>
      <c r="L675" t="s">
        <v>7</v>
      </c>
      <c r="M675" s="1">
        <v>45000</v>
      </c>
      <c r="N675" t="s">
        <v>8</v>
      </c>
      <c r="O675" s="6">
        <v>400</v>
      </c>
      <c r="P675" t="s">
        <v>134</v>
      </c>
      <c r="Q675" t="s">
        <v>10</v>
      </c>
      <c r="R675" t="s">
        <v>11</v>
      </c>
      <c r="T675" t="s">
        <v>1097</v>
      </c>
      <c r="U675" t="s">
        <v>1102</v>
      </c>
      <c r="V675" s="3" t="s">
        <v>1044</v>
      </c>
      <c r="W675" t="s">
        <v>1145</v>
      </c>
      <c r="X675" s="9">
        <v>10</v>
      </c>
      <c r="Y675" s="9" t="s">
        <v>1056</v>
      </c>
      <c r="Z675" t="s">
        <v>1144</v>
      </c>
    </row>
    <row r="676" spans="1:26">
      <c r="A676">
        <v>675</v>
      </c>
      <c r="B676" t="str">
        <f t="shared" ref="B676:N676" si="294">B675</f>
        <v>-</v>
      </c>
      <c r="C676" t="str">
        <f t="shared" si="294"/>
        <v>Eduardo Pascual</v>
      </c>
      <c r="E676" t="str">
        <f t="shared" si="294"/>
        <v>-</v>
      </c>
      <c r="F676">
        <f t="shared" si="294"/>
        <v>935775355</v>
      </c>
      <c r="G676" t="str">
        <f t="shared" si="294"/>
        <v>-</v>
      </c>
      <c r="H676" t="str">
        <f t="shared" si="294"/>
        <v>Lima</v>
      </c>
      <c r="I676" t="str">
        <f t="shared" si="294"/>
        <v>Olivos</v>
      </c>
      <c r="J676" t="str">
        <f t="shared" si="294"/>
        <v>-</v>
      </c>
      <c r="K676" t="str">
        <f t="shared" si="294"/>
        <v>Los olivos parque San Ana</v>
      </c>
      <c r="L676" t="str">
        <f t="shared" si="294"/>
        <v>Oficina</v>
      </c>
      <c r="M676" s="1">
        <f t="shared" si="294"/>
        <v>45000</v>
      </c>
      <c r="N676" t="str">
        <f t="shared" si="294"/>
        <v>BCP</v>
      </c>
      <c r="O676" s="16">
        <v>50</v>
      </c>
      <c r="P676" t="str">
        <f t="shared" ref="P676:R676" si="295">P675</f>
        <v>Bodega</v>
      </c>
      <c r="Q676" t="str">
        <f t="shared" si="295"/>
        <v>U</v>
      </c>
      <c r="R676" t="str">
        <f t="shared" si="295"/>
        <v>Rodrigo</v>
      </c>
      <c r="T676" t="s">
        <v>1134</v>
      </c>
      <c r="U676" t="s">
        <v>1115</v>
      </c>
      <c r="V676" s="3">
        <v>20</v>
      </c>
      <c r="W676" t="s">
        <v>1137</v>
      </c>
      <c r="X676" s="9"/>
      <c r="Y676" s="9"/>
      <c r="Z676" t="s">
        <v>1131</v>
      </c>
    </row>
    <row r="677" spans="1:26">
      <c r="A677">
        <v>676</v>
      </c>
      <c r="B677" t="s">
        <v>2</v>
      </c>
      <c r="C677" t="s">
        <v>821</v>
      </c>
      <c r="E677">
        <v>22500428</v>
      </c>
      <c r="F677">
        <v>971999926</v>
      </c>
      <c r="G677" t="s">
        <v>2</v>
      </c>
      <c r="H677" t="s">
        <v>77</v>
      </c>
      <c r="J677" t="s">
        <v>29</v>
      </c>
      <c r="K677" t="s">
        <v>2</v>
      </c>
      <c r="L677" t="s">
        <v>268</v>
      </c>
      <c r="M677" s="1">
        <v>45000</v>
      </c>
      <c r="N677" t="s">
        <v>56</v>
      </c>
      <c r="O677">
        <v>185</v>
      </c>
      <c r="P677" t="s">
        <v>9</v>
      </c>
      <c r="Q677" t="s">
        <v>10</v>
      </c>
      <c r="R677" t="s">
        <v>11</v>
      </c>
      <c r="T677" t="s">
        <v>1082</v>
      </c>
      <c r="U677" t="s">
        <v>1099</v>
      </c>
      <c r="V677" s="3" t="s">
        <v>1044</v>
      </c>
      <c r="W677" t="s">
        <v>1146</v>
      </c>
      <c r="X677" s="9">
        <v>10</v>
      </c>
      <c r="Y677" s="9" t="s">
        <v>1068</v>
      </c>
      <c r="Z677" t="s">
        <v>1143</v>
      </c>
    </row>
    <row r="678" spans="1:26">
      <c r="A678">
        <v>677</v>
      </c>
      <c r="B678" t="str">
        <f t="shared" ref="B678:N678" si="296">B677</f>
        <v>-</v>
      </c>
      <c r="C678" t="str">
        <f t="shared" si="296"/>
        <v>Carlos Alberto Dionicio Acosta</v>
      </c>
      <c r="E678">
        <f t="shared" si="296"/>
        <v>22500428</v>
      </c>
      <c r="F678">
        <f t="shared" si="296"/>
        <v>971999926</v>
      </c>
      <c r="G678" t="str">
        <f t="shared" si="296"/>
        <v>-</v>
      </c>
      <c r="H678" t="str">
        <f t="shared" si="296"/>
        <v>Huanuco</v>
      </c>
      <c r="J678" t="str">
        <f t="shared" si="296"/>
        <v>Shalom</v>
      </c>
      <c r="K678" t="str">
        <f t="shared" si="296"/>
        <v>-</v>
      </c>
      <c r="L678" t="str">
        <f t="shared" si="296"/>
        <v>Aplicativo Web</v>
      </c>
      <c r="M678" s="1">
        <f t="shared" si="296"/>
        <v>45000</v>
      </c>
      <c r="N678" t="str">
        <f t="shared" si="296"/>
        <v>Interbank</v>
      </c>
      <c r="O678" s="14">
        <v>15</v>
      </c>
      <c r="P678" t="str">
        <f t="shared" ref="P678:R678" si="297">P677</f>
        <v>Restaurante</v>
      </c>
      <c r="Q678" t="str">
        <f t="shared" si="297"/>
        <v>U</v>
      </c>
      <c r="R678" t="str">
        <f t="shared" si="297"/>
        <v>Rodrigo</v>
      </c>
      <c r="T678" t="s">
        <v>1134</v>
      </c>
      <c r="U678" t="s">
        <v>1116</v>
      </c>
      <c r="V678" s="3">
        <f>X677</f>
        <v>10</v>
      </c>
      <c r="W678" t="s">
        <v>1137</v>
      </c>
      <c r="X678" s="9"/>
      <c r="Y678" s="9"/>
      <c r="Z678" t="s">
        <v>1131</v>
      </c>
    </row>
    <row r="679" spans="1:26">
      <c r="A679">
        <v>678</v>
      </c>
      <c r="B679" t="s">
        <v>2</v>
      </c>
      <c r="C679" t="s">
        <v>637</v>
      </c>
      <c r="E679">
        <v>45752997</v>
      </c>
      <c r="F679">
        <v>968231634</v>
      </c>
      <c r="G679" t="s">
        <v>2</v>
      </c>
      <c r="H679" t="s">
        <v>4</v>
      </c>
      <c r="I679" t="s">
        <v>58</v>
      </c>
      <c r="J679" t="s">
        <v>2</v>
      </c>
      <c r="K679" t="s">
        <v>741</v>
      </c>
      <c r="L679" t="s">
        <v>37</v>
      </c>
      <c r="M679" s="1">
        <v>45000</v>
      </c>
      <c r="N679" t="s">
        <v>8</v>
      </c>
      <c r="O679">
        <v>380</v>
      </c>
      <c r="P679" t="s">
        <v>52</v>
      </c>
      <c r="Q679" t="s">
        <v>10</v>
      </c>
      <c r="R679" t="s">
        <v>22</v>
      </c>
      <c r="T679" t="s">
        <v>1092</v>
      </c>
      <c r="U679" t="s">
        <v>1105</v>
      </c>
      <c r="V679" s="3" t="s">
        <v>1044</v>
      </c>
      <c r="W679" t="s">
        <v>1148</v>
      </c>
      <c r="X679" s="9">
        <v>10</v>
      </c>
      <c r="Y679" s="9" t="s">
        <v>1065</v>
      </c>
      <c r="Z679" t="s">
        <v>1149</v>
      </c>
    </row>
    <row r="680" spans="1:26">
      <c r="A680">
        <v>679</v>
      </c>
      <c r="B680" t="s">
        <v>2</v>
      </c>
      <c r="C680" t="s">
        <v>822</v>
      </c>
      <c r="E680">
        <v>76399922</v>
      </c>
      <c r="F680">
        <v>989824301</v>
      </c>
      <c r="G680" t="s">
        <v>2</v>
      </c>
      <c r="H680" t="s">
        <v>973</v>
      </c>
      <c r="I680" t="s">
        <v>823</v>
      </c>
      <c r="J680" t="s">
        <v>824</v>
      </c>
      <c r="K680" t="s">
        <v>2</v>
      </c>
      <c r="L680" t="s">
        <v>268</v>
      </c>
      <c r="M680" s="1">
        <v>45000</v>
      </c>
      <c r="N680" t="s">
        <v>38</v>
      </c>
      <c r="O680">
        <v>430</v>
      </c>
      <c r="P680" t="s">
        <v>30</v>
      </c>
      <c r="Q680" t="s">
        <v>10</v>
      </c>
      <c r="R680" t="s">
        <v>11</v>
      </c>
      <c r="T680" t="s">
        <v>1092</v>
      </c>
      <c r="U680" t="s">
        <v>1096</v>
      </c>
      <c r="V680" s="3">
        <v>2</v>
      </c>
      <c r="W680" t="s">
        <v>1148</v>
      </c>
      <c r="X680" s="9">
        <v>20</v>
      </c>
      <c r="Y680" s="9" t="s">
        <v>1068</v>
      </c>
      <c r="Z680" t="s">
        <v>1149</v>
      </c>
    </row>
    <row r="681" spans="1:26">
      <c r="A681">
        <v>680</v>
      </c>
      <c r="B681" t="str">
        <f t="shared" ref="B681:N681" si="298">B680</f>
        <v>-</v>
      </c>
      <c r="C681" t="str">
        <f t="shared" si="298"/>
        <v>Choque Choquenaira Leonor Claudia</v>
      </c>
      <c r="E681">
        <f t="shared" si="298"/>
        <v>76399922</v>
      </c>
      <c r="F681">
        <f t="shared" si="298"/>
        <v>989824301</v>
      </c>
      <c r="G681" t="str">
        <f t="shared" si="298"/>
        <v>-</v>
      </c>
      <c r="H681" t="str">
        <f t="shared" si="298"/>
        <v>Cuzco</v>
      </c>
      <c r="I681" t="str">
        <f t="shared" si="298"/>
        <v>Espinar</v>
      </c>
      <c r="J681" t="str">
        <f t="shared" si="298"/>
        <v>Grael</v>
      </c>
      <c r="K681" t="str">
        <f t="shared" si="298"/>
        <v>-</v>
      </c>
      <c r="L681" t="str">
        <f t="shared" si="298"/>
        <v>Aplicativo Web</v>
      </c>
      <c r="M681" s="1">
        <f t="shared" si="298"/>
        <v>45000</v>
      </c>
      <c r="N681" t="str">
        <f t="shared" si="298"/>
        <v>BBVA</v>
      </c>
      <c r="O681" s="14">
        <v>50</v>
      </c>
      <c r="P681" t="str">
        <f t="shared" ref="P681:R681" si="299">P680</f>
        <v>Otros</v>
      </c>
      <c r="Q681" t="str">
        <f t="shared" si="299"/>
        <v>U</v>
      </c>
      <c r="R681" t="str">
        <f t="shared" si="299"/>
        <v>Rodrigo</v>
      </c>
      <c r="T681" t="s">
        <v>1134</v>
      </c>
      <c r="U681" t="s">
        <v>1116</v>
      </c>
      <c r="V681" s="3">
        <f>X680</f>
        <v>20</v>
      </c>
      <c r="W681" t="s">
        <v>1137</v>
      </c>
      <c r="X681" s="9"/>
      <c r="Y681" s="9"/>
      <c r="Z681" t="s">
        <v>1131</v>
      </c>
    </row>
    <row r="682" spans="1:26">
      <c r="A682">
        <v>681</v>
      </c>
      <c r="B682" t="s">
        <v>12</v>
      </c>
      <c r="C682" t="s">
        <v>825</v>
      </c>
      <c r="D682">
        <v>20309242662</v>
      </c>
      <c r="E682">
        <v>46728422</v>
      </c>
      <c r="F682">
        <v>944244064</v>
      </c>
      <c r="G682" t="s">
        <v>826</v>
      </c>
      <c r="H682" t="s">
        <v>827</v>
      </c>
      <c r="J682" t="s">
        <v>140</v>
      </c>
      <c r="K682" t="s">
        <v>2</v>
      </c>
      <c r="L682" t="s">
        <v>268</v>
      </c>
      <c r="M682" s="1">
        <v>45000</v>
      </c>
      <c r="N682" t="s">
        <v>56</v>
      </c>
      <c r="O682" s="5">
        <f>634-O683-O684</f>
        <v>409</v>
      </c>
      <c r="P682" t="s">
        <v>234</v>
      </c>
      <c r="Q682" t="s">
        <v>10</v>
      </c>
      <c r="R682" t="s">
        <v>22</v>
      </c>
      <c r="T682" t="s">
        <v>1092</v>
      </c>
      <c r="U682" t="s">
        <v>1105</v>
      </c>
      <c r="V682" s="3" t="s">
        <v>1044</v>
      </c>
      <c r="W682" t="s">
        <v>1148</v>
      </c>
      <c r="X682" s="9">
        <v>2</v>
      </c>
      <c r="Y682" s="9" t="s">
        <v>1072</v>
      </c>
      <c r="Z682" t="s">
        <v>1149</v>
      </c>
    </row>
    <row r="683" spans="1:26">
      <c r="A683">
        <v>682</v>
      </c>
      <c r="B683" t="str">
        <f t="shared" ref="B683:N684" si="300">B682</f>
        <v>FT</v>
      </c>
      <c r="C683" t="str">
        <f t="shared" si="300"/>
        <v>Jhosmer Quispe Oquendo</v>
      </c>
      <c r="D683">
        <f t="shared" si="300"/>
        <v>20309242662</v>
      </c>
      <c r="E683">
        <f t="shared" si="300"/>
        <v>46728422</v>
      </c>
      <c r="F683">
        <f t="shared" si="300"/>
        <v>944244064</v>
      </c>
      <c r="G683" t="str">
        <f t="shared" si="300"/>
        <v>FT F001-99</v>
      </c>
      <c r="H683" t="str">
        <f t="shared" si="300"/>
        <v>Madre de Dios</v>
      </c>
      <c r="J683" t="str">
        <f t="shared" si="300"/>
        <v>Olva Courier</v>
      </c>
      <c r="K683" t="str">
        <f t="shared" si="300"/>
        <v>-</v>
      </c>
      <c r="L683" t="str">
        <f t="shared" si="300"/>
        <v>Aplicativo Web</v>
      </c>
      <c r="M683" s="1">
        <f t="shared" si="300"/>
        <v>45000</v>
      </c>
      <c r="N683" t="str">
        <f t="shared" si="300"/>
        <v>Interbank</v>
      </c>
      <c r="O683" s="14">
        <v>100</v>
      </c>
      <c r="P683" t="str">
        <f t="shared" ref="P683:R684" si="301">P682</f>
        <v>Farmacia</v>
      </c>
      <c r="Q683" t="str">
        <f t="shared" si="301"/>
        <v>U</v>
      </c>
      <c r="R683" t="str">
        <f t="shared" si="301"/>
        <v>Sergio</v>
      </c>
      <c r="T683" t="s">
        <v>1134</v>
      </c>
      <c r="U683" t="s">
        <v>1116</v>
      </c>
      <c r="V683" s="3">
        <v>40</v>
      </c>
      <c r="W683" t="s">
        <v>1137</v>
      </c>
      <c r="X683" s="9"/>
      <c r="Y683" s="9"/>
      <c r="Z683" t="s">
        <v>1131</v>
      </c>
    </row>
    <row r="684" spans="1:26">
      <c r="A684">
        <v>683</v>
      </c>
      <c r="B684" t="str">
        <f t="shared" si="300"/>
        <v>FT</v>
      </c>
      <c r="C684" t="str">
        <f t="shared" si="300"/>
        <v>Jhosmer Quispe Oquendo</v>
      </c>
      <c r="D684">
        <f t="shared" si="300"/>
        <v>20309242662</v>
      </c>
      <c r="E684">
        <f t="shared" si="300"/>
        <v>46728422</v>
      </c>
      <c r="F684">
        <f t="shared" si="300"/>
        <v>944244064</v>
      </c>
      <c r="G684" t="str">
        <f t="shared" si="300"/>
        <v>FT F001-99</v>
      </c>
      <c r="H684" t="str">
        <f t="shared" si="300"/>
        <v>Madre de Dios</v>
      </c>
      <c r="J684" t="str">
        <f t="shared" si="300"/>
        <v>Olva Courier</v>
      </c>
      <c r="K684" t="str">
        <f t="shared" si="300"/>
        <v>-</v>
      </c>
      <c r="L684" t="str">
        <f t="shared" si="300"/>
        <v>Aplicativo Web</v>
      </c>
      <c r="M684" s="1">
        <f t="shared" si="300"/>
        <v>45000</v>
      </c>
      <c r="N684" t="str">
        <f t="shared" si="300"/>
        <v>Interbank</v>
      </c>
      <c r="O684" s="17">
        <f>25*(V684)</f>
        <v>125</v>
      </c>
      <c r="P684" t="str">
        <f t="shared" si="301"/>
        <v>Farmacia</v>
      </c>
      <c r="Q684" t="str">
        <f t="shared" si="301"/>
        <v>U</v>
      </c>
      <c r="R684" t="str">
        <f t="shared" si="301"/>
        <v>Sergio</v>
      </c>
      <c r="T684" t="s">
        <v>1151</v>
      </c>
      <c r="U684" t="s">
        <v>1127</v>
      </c>
      <c r="V684">
        <v>5</v>
      </c>
      <c r="W684" t="s">
        <v>1135</v>
      </c>
      <c r="X684" s="9"/>
      <c r="Y684" s="9"/>
      <c r="Z684" t="s">
        <v>1136</v>
      </c>
    </row>
    <row r="685" spans="1:26">
      <c r="A685">
        <v>684</v>
      </c>
      <c r="B685" t="s">
        <v>2</v>
      </c>
      <c r="C685" t="s">
        <v>828</v>
      </c>
      <c r="E685" t="s">
        <v>2</v>
      </c>
      <c r="F685">
        <v>932112430</v>
      </c>
      <c r="G685" t="s">
        <v>2</v>
      </c>
      <c r="H685" t="s">
        <v>199</v>
      </c>
      <c r="J685" t="s">
        <v>29</v>
      </c>
      <c r="K685" t="s">
        <v>2</v>
      </c>
      <c r="L685" t="s">
        <v>268</v>
      </c>
      <c r="M685" s="1">
        <v>45001</v>
      </c>
      <c r="N685" t="s">
        <v>56</v>
      </c>
      <c r="O685">
        <v>440</v>
      </c>
      <c r="P685" t="s">
        <v>9</v>
      </c>
      <c r="Q685" t="s">
        <v>10</v>
      </c>
      <c r="R685" t="s">
        <v>22</v>
      </c>
      <c r="T685" t="s">
        <v>1092</v>
      </c>
      <c r="U685" t="s">
        <v>1095</v>
      </c>
      <c r="V685" s="3">
        <v>1</v>
      </c>
      <c r="W685" t="s">
        <v>1145</v>
      </c>
      <c r="X685" s="9" t="s">
        <v>2</v>
      </c>
      <c r="Y685" s="9" t="s">
        <v>2</v>
      </c>
      <c r="Z685" t="s">
        <v>1143</v>
      </c>
    </row>
    <row r="686" spans="1:26">
      <c r="A686">
        <v>685</v>
      </c>
      <c r="B686" t="s">
        <v>12</v>
      </c>
      <c r="C686" t="s">
        <v>647</v>
      </c>
      <c r="E686">
        <v>20606086459</v>
      </c>
      <c r="F686">
        <v>913004278</v>
      </c>
      <c r="G686" t="s">
        <v>829</v>
      </c>
      <c r="H686" t="s">
        <v>4</v>
      </c>
      <c r="I686" t="s">
        <v>329</v>
      </c>
      <c r="J686" t="s">
        <v>2</v>
      </c>
      <c r="K686" t="s">
        <v>329</v>
      </c>
      <c r="L686" t="s">
        <v>37</v>
      </c>
      <c r="M686" s="1">
        <v>45001</v>
      </c>
      <c r="N686" t="s">
        <v>8</v>
      </c>
      <c r="O686">
        <v>400</v>
      </c>
      <c r="P686" t="s">
        <v>30</v>
      </c>
      <c r="Q686" t="s">
        <v>10</v>
      </c>
      <c r="R686" t="s">
        <v>22</v>
      </c>
      <c r="T686" t="s">
        <v>1108</v>
      </c>
      <c r="U686" t="s">
        <v>1108</v>
      </c>
      <c r="V686" s="3" t="s">
        <v>1047</v>
      </c>
      <c r="W686" t="s">
        <v>1139</v>
      </c>
      <c r="X686" s="9" t="s">
        <v>2</v>
      </c>
      <c r="Y686" s="9" t="s">
        <v>2</v>
      </c>
      <c r="Z686" t="s">
        <v>1138</v>
      </c>
    </row>
    <row r="687" spans="1:26">
      <c r="A687">
        <v>686</v>
      </c>
      <c r="B687" t="s">
        <v>2</v>
      </c>
      <c r="C687" t="s">
        <v>830</v>
      </c>
      <c r="E687" t="s">
        <v>2</v>
      </c>
      <c r="F687">
        <v>980474996</v>
      </c>
      <c r="G687" t="s">
        <v>2</v>
      </c>
      <c r="H687" t="s">
        <v>4</v>
      </c>
      <c r="I687" t="s">
        <v>94</v>
      </c>
      <c r="J687" t="s">
        <v>2</v>
      </c>
      <c r="K687" t="s">
        <v>831</v>
      </c>
      <c r="L687" t="s">
        <v>268</v>
      </c>
      <c r="M687" s="1">
        <v>45002</v>
      </c>
      <c r="N687" t="s">
        <v>56</v>
      </c>
      <c r="O687">
        <v>200</v>
      </c>
      <c r="P687" t="s">
        <v>134</v>
      </c>
      <c r="Q687" t="s">
        <v>10</v>
      </c>
      <c r="R687" t="s">
        <v>11</v>
      </c>
      <c r="T687" t="s">
        <v>1082</v>
      </c>
      <c r="U687" t="s">
        <v>1099</v>
      </c>
      <c r="V687" s="3" t="s">
        <v>1044</v>
      </c>
      <c r="W687" t="s">
        <v>1146</v>
      </c>
      <c r="X687" s="9">
        <v>10</v>
      </c>
      <c r="Y687" s="9" t="s">
        <v>1068</v>
      </c>
      <c r="Z687" t="s">
        <v>1143</v>
      </c>
    </row>
    <row r="688" spans="1:26">
      <c r="A688">
        <v>687</v>
      </c>
      <c r="B688" t="s">
        <v>2</v>
      </c>
      <c r="C688" t="s">
        <v>832</v>
      </c>
      <c r="E688" t="s">
        <v>2</v>
      </c>
      <c r="F688">
        <v>951530878</v>
      </c>
      <c r="G688" t="s">
        <v>2</v>
      </c>
      <c r="H688" t="s">
        <v>4</v>
      </c>
      <c r="I688" t="s">
        <v>244</v>
      </c>
      <c r="J688" t="s">
        <v>2</v>
      </c>
      <c r="K688" t="s">
        <v>833</v>
      </c>
      <c r="L688" t="s">
        <v>37</v>
      </c>
      <c r="M688" s="1">
        <v>45002</v>
      </c>
      <c r="N688" t="s">
        <v>8</v>
      </c>
      <c r="O688">
        <v>210</v>
      </c>
      <c r="P688" t="s">
        <v>30</v>
      </c>
      <c r="Q688" t="s">
        <v>10</v>
      </c>
      <c r="R688" t="s">
        <v>11</v>
      </c>
      <c r="T688" t="s">
        <v>1082</v>
      </c>
      <c r="U688" t="s">
        <v>1099</v>
      </c>
      <c r="V688" s="3" t="s">
        <v>1044</v>
      </c>
      <c r="W688" t="s">
        <v>1146</v>
      </c>
      <c r="X688" s="9">
        <v>10</v>
      </c>
      <c r="Y688" s="9" t="s">
        <v>1068</v>
      </c>
      <c r="Z688" t="s">
        <v>1143</v>
      </c>
    </row>
    <row r="689" spans="1:26">
      <c r="A689">
        <v>688</v>
      </c>
      <c r="B689" t="s">
        <v>2</v>
      </c>
      <c r="C689" t="s">
        <v>834</v>
      </c>
      <c r="E689" t="s">
        <v>2</v>
      </c>
      <c r="F689">
        <v>937540030</v>
      </c>
      <c r="G689" t="s">
        <v>2</v>
      </c>
      <c r="H689" t="s">
        <v>4</v>
      </c>
      <c r="I689" t="s">
        <v>15</v>
      </c>
      <c r="J689" t="s">
        <v>2</v>
      </c>
      <c r="K689" t="s">
        <v>835</v>
      </c>
      <c r="L689" t="s">
        <v>268</v>
      </c>
      <c r="M689" s="1">
        <v>45005</v>
      </c>
      <c r="N689" t="s">
        <v>8</v>
      </c>
      <c r="O689">
        <v>480</v>
      </c>
      <c r="P689" t="s">
        <v>9</v>
      </c>
      <c r="Q689" t="s">
        <v>10</v>
      </c>
      <c r="R689" t="s">
        <v>11</v>
      </c>
      <c r="T689" t="s">
        <v>1092</v>
      </c>
      <c r="U689" t="s">
        <v>1105</v>
      </c>
      <c r="V689" s="3" t="s">
        <v>1044</v>
      </c>
      <c r="W689" t="s">
        <v>1148</v>
      </c>
      <c r="X689" s="9" t="s">
        <v>2</v>
      </c>
      <c r="Y689" s="9" t="s">
        <v>2</v>
      </c>
      <c r="Z689" t="s">
        <v>1149</v>
      </c>
    </row>
    <row r="690" spans="1:26">
      <c r="A690">
        <v>689</v>
      </c>
      <c r="B690" t="s">
        <v>2</v>
      </c>
      <c r="C690" t="s">
        <v>836</v>
      </c>
      <c r="E690" t="s">
        <v>2</v>
      </c>
      <c r="F690">
        <v>952987796</v>
      </c>
      <c r="G690" t="s">
        <v>2</v>
      </c>
      <c r="H690" t="s">
        <v>4</v>
      </c>
      <c r="I690" t="s">
        <v>235</v>
      </c>
      <c r="J690" t="s">
        <v>2</v>
      </c>
      <c r="K690" t="s">
        <v>837</v>
      </c>
      <c r="L690" t="s">
        <v>37</v>
      </c>
      <c r="M690" s="1">
        <v>45005</v>
      </c>
      <c r="N690" t="s">
        <v>8</v>
      </c>
      <c r="O690">
        <v>180</v>
      </c>
      <c r="P690" t="s">
        <v>30</v>
      </c>
      <c r="Q690" t="s">
        <v>10</v>
      </c>
      <c r="R690" t="s">
        <v>22</v>
      </c>
      <c r="T690" t="s">
        <v>1082</v>
      </c>
      <c r="U690" t="s">
        <v>1099</v>
      </c>
      <c r="V690" s="3" t="s">
        <v>1044</v>
      </c>
      <c r="W690" t="s">
        <v>1146</v>
      </c>
      <c r="X690" s="9">
        <v>10</v>
      </c>
      <c r="Y690" s="9" t="s">
        <v>1056</v>
      </c>
      <c r="Z690" t="s">
        <v>1143</v>
      </c>
    </row>
    <row r="691" spans="1:26">
      <c r="A691">
        <v>690</v>
      </c>
      <c r="B691" t="str">
        <f t="shared" ref="B691:N691" si="302">B690</f>
        <v>-</v>
      </c>
      <c r="C691" t="str">
        <f t="shared" si="302"/>
        <v>Robert Hidalgo</v>
      </c>
      <c r="E691" t="str">
        <f t="shared" si="302"/>
        <v>-</v>
      </c>
      <c r="F691">
        <f t="shared" si="302"/>
        <v>952987796</v>
      </c>
      <c r="G691" t="str">
        <f t="shared" si="302"/>
        <v>-</v>
      </c>
      <c r="H691" t="str">
        <f t="shared" si="302"/>
        <v>Lima</v>
      </c>
      <c r="I691" t="str">
        <f t="shared" si="302"/>
        <v>Magdalena</v>
      </c>
      <c r="J691" t="str">
        <f t="shared" si="302"/>
        <v>-</v>
      </c>
      <c r="K691" t="str">
        <f t="shared" si="302"/>
        <v>Magdalena del Mar</v>
      </c>
      <c r="L691" t="str">
        <f t="shared" si="302"/>
        <v>Redes sociales</v>
      </c>
      <c r="M691" s="1">
        <f t="shared" si="302"/>
        <v>45005</v>
      </c>
      <c r="N691" t="str">
        <f t="shared" si="302"/>
        <v>BCP</v>
      </c>
      <c r="O691" s="16">
        <v>20</v>
      </c>
      <c r="P691" t="str">
        <f t="shared" ref="P691:R691" si="303">P690</f>
        <v>Otros</v>
      </c>
      <c r="Q691" t="str">
        <f t="shared" si="303"/>
        <v>U</v>
      </c>
      <c r="R691" t="str">
        <f t="shared" si="303"/>
        <v>Sergio</v>
      </c>
      <c r="T691" t="s">
        <v>1134</v>
      </c>
      <c r="U691" t="s">
        <v>1115</v>
      </c>
      <c r="V691" s="3">
        <f t="shared" ref="V691" si="304">X690</f>
        <v>10</v>
      </c>
      <c r="W691" t="s">
        <v>1137</v>
      </c>
      <c r="X691" s="9"/>
      <c r="Y691" s="9"/>
      <c r="Z691" t="s">
        <v>1131</v>
      </c>
    </row>
    <row r="692" spans="1:26">
      <c r="A692">
        <v>691</v>
      </c>
      <c r="B692" t="s">
        <v>12</v>
      </c>
      <c r="C692" t="s">
        <v>838</v>
      </c>
      <c r="D692">
        <v>20606782552</v>
      </c>
      <c r="E692">
        <v>43877154</v>
      </c>
      <c r="F692">
        <v>918655820</v>
      </c>
      <c r="G692" t="s">
        <v>839</v>
      </c>
      <c r="H692" t="s">
        <v>814</v>
      </c>
      <c r="I692" t="s">
        <v>585</v>
      </c>
      <c r="J692" t="s">
        <v>29</v>
      </c>
      <c r="K692" t="s">
        <v>2</v>
      </c>
      <c r="L692" t="s">
        <v>268</v>
      </c>
      <c r="M692" s="1">
        <v>45006</v>
      </c>
      <c r="N692" t="s">
        <v>38</v>
      </c>
      <c r="O692">
        <v>480</v>
      </c>
      <c r="P692" t="s">
        <v>9</v>
      </c>
      <c r="Q692" t="s">
        <v>10</v>
      </c>
      <c r="R692" t="s">
        <v>11</v>
      </c>
      <c r="T692" t="s">
        <v>1092</v>
      </c>
      <c r="U692" t="s">
        <v>1105</v>
      </c>
      <c r="V692" s="3" t="s">
        <v>1044</v>
      </c>
      <c r="W692" t="s">
        <v>1148</v>
      </c>
      <c r="X692" s="9">
        <v>1</v>
      </c>
      <c r="Y692" s="9" t="s">
        <v>1057</v>
      </c>
      <c r="Z692" t="s">
        <v>1149</v>
      </c>
    </row>
    <row r="693" spans="1:26">
      <c r="A693">
        <v>692</v>
      </c>
      <c r="B693" t="str">
        <f t="shared" ref="B693:N693" si="305">B692</f>
        <v>FT</v>
      </c>
      <c r="C693" t="str">
        <f t="shared" si="305"/>
        <v>Cesar Sichez Barrenechea</v>
      </c>
      <c r="D693">
        <f t="shared" si="305"/>
        <v>20606782552</v>
      </c>
      <c r="E693">
        <f t="shared" si="305"/>
        <v>43877154</v>
      </c>
      <c r="F693">
        <f t="shared" si="305"/>
        <v>918655820</v>
      </c>
      <c r="G693" t="str">
        <f t="shared" si="305"/>
        <v>FT F001-100</v>
      </c>
      <c r="H693" t="str">
        <f t="shared" si="305"/>
        <v>La Libertad</v>
      </c>
      <c r="I693" t="str">
        <f t="shared" si="305"/>
        <v>Pacasmayo</v>
      </c>
      <c r="J693" t="str">
        <f t="shared" si="305"/>
        <v>Shalom</v>
      </c>
      <c r="K693" t="str">
        <f t="shared" si="305"/>
        <v>-</v>
      </c>
      <c r="L693" t="str">
        <f t="shared" si="305"/>
        <v>Aplicativo Web</v>
      </c>
      <c r="M693" s="1">
        <f t="shared" si="305"/>
        <v>45006</v>
      </c>
      <c r="N693" t="str">
        <f t="shared" si="305"/>
        <v>BBVA</v>
      </c>
      <c r="O693" s="17">
        <v>30</v>
      </c>
      <c r="P693" t="str">
        <f t="shared" ref="P693:R693" si="306">P692</f>
        <v>Restaurante</v>
      </c>
      <c r="Q693" t="str">
        <f t="shared" si="306"/>
        <v>U</v>
      </c>
      <c r="R693" t="str">
        <f t="shared" si="306"/>
        <v>Rodrigo</v>
      </c>
      <c r="T693" t="s">
        <v>1151</v>
      </c>
      <c r="U693" t="s">
        <v>1127</v>
      </c>
      <c r="V693" s="3">
        <f t="shared" ref="V693" si="307">X692</f>
        <v>1</v>
      </c>
      <c r="W693" t="s">
        <v>1135</v>
      </c>
      <c r="X693" s="9"/>
      <c r="Y693" s="9"/>
      <c r="Z693" t="s">
        <v>1136</v>
      </c>
    </row>
    <row r="694" spans="1:26">
      <c r="A694">
        <v>693</v>
      </c>
      <c r="B694" t="s">
        <v>2</v>
      </c>
      <c r="C694" t="s">
        <v>840</v>
      </c>
      <c r="E694">
        <v>31665415</v>
      </c>
      <c r="F694">
        <v>942652922</v>
      </c>
      <c r="G694" t="s">
        <v>2</v>
      </c>
      <c r="H694" t="s">
        <v>846</v>
      </c>
      <c r="I694" t="s">
        <v>612</v>
      </c>
      <c r="J694" t="s">
        <v>29</v>
      </c>
      <c r="K694" t="s">
        <v>2</v>
      </c>
      <c r="L694" t="s">
        <v>268</v>
      </c>
      <c r="M694" s="1">
        <v>45006</v>
      </c>
      <c r="N694" t="s">
        <v>8</v>
      </c>
      <c r="O694" s="6">
        <v>375</v>
      </c>
      <c r="P694" t="s">
        <v>30</v>
      </c>
      <c r="Q694" t="s">
        <v>10</v>
      </c>
      <c r="R694" t="s">
        <v>11</v>
      </c>
      <c r="T694" t="s">
        <v>1097</v>
      </c>
      <c r="U694" t="s">
        <v>1103</v>
      </c>
      <c r="V694" s="3" t="s">
        <v>1044</v>
      </c>
      <c r="W694" t="s">
        <v>1145</v>
      </c>
      <c r="X694" s="9">
        <v>1</v>
      </c>
      <c r="Y694" s="9" t="s">
        <v>1062</v>
      </c>
      <c r="Z694" t="s">
        <v>1143</v>
      </c>
    </row>
    <row r="695" spans="1:26">
      <c r="A695">
        <v>694</v>
      </c>
      <c r="B695" t="str">
        <f t="shared" ref="B695:N695" si="308">B694</f>
        <v>-</v>
      </c>
      <c r="C695" t="str">
        <f t="shared" si="308"/>
        <v>Medina Cordova Violeta</v>
      </c>
      <c r="E695">
        <f t="shared" si="308"/>
        <v>31665415</v>
      </c>
      <c r="F695">
        <f t="shared" si="308"/>
        <v>942652922</v>
      </c>
      <c r="G695" t="str">
        <f t="shared" si="308"/>
        <v>-</v>
      </c>
      <c r="H695" t="str">
        <f t="shared" si="308"/>
        <v>Ancash</v>
      </c>
      <c r="I695" t="str">
        <f t="shared" si="308"/>
        <v>Huaraz</v>
      </c>
      <c r="J695" t="str">
        <f t="shared" si="308"/>
        <v>Shalom</v>
      </c>
      <c r="K695" t="str">
        <f t="shared" si="308"/>
        <v>-</v>
      </c>
      <c r="L695" t="str">
        <f t="shared" si="308"/>
        <v>Aplicativo Web</v>
      </c>
      <c r="M695" s="1">
        <f t="shared" si="308"/>
        <v>45006</v>
      </c>
      <c r="N695" t="str">
        <f t="shared" si="308"/>
        <v>BCP</v>
      </c>
      <c r="O695" s="17">
        <v>25</v>
      </c>
      <c r="P695" t="str">
        <f t="shared" ref="P695:R695" si="309">P694</f>
        <v>Otros</v>
      </c>
      <c r="Q695" t="str">
        <f t="shared" si="309"/>
        <v>U</v>
      </c>
      <c r="R695" t="str">
        <f t="shared" si="309"/>
        <v>Rodrigo</v>
      </c>
      <c r="T695" t="s">
        <v>1151</v>
      </c>
      <c r="U695" t="s">
        <v>1128</v>
      </c>
      <c r="V695" s="3">
        <f>X694</f>
        <v>1</v>
      </c>
      <c r="W695" t="s">
        <v>1135</v>
      </c>
      <c r="X695" s="9"/>
      <c r="Y695" s="9"/>
      <c r="Z695" t="s">
        <v>1136</v>
      </c>
    </row>
    <row r="696" spans="1:26">
      <c r="A696">
        <v>695</v>
      </c>
      <c r="B696" t="s">
        <v>2</v>
      </c>
      <c r="C696" t="s">
        <v>841</v>
      </c>
      <c r="E696" t="s">
        <v>2</v>
      </c>
      <c r="F696">
        <v>963627350</v>
      </c>
      <c r="G696" t="s">
        <v>2</v>
      </c>
      <c r="H696" t="s">
        <v>4</v>
      </c>
      <c r="I696" t="s">
        <v>58</v>
      </c>
      <c r="J696" t="s">
        <v>2</v>
      </c>
      <c r="K696" t="s">
        <v>443</v>
      </c>
      <c r="L696" t="s">
        <v>7</v>
      </c>
      <c r="M696" s="1">
        <v>45006</v>
      </c>
      <c r="N696" t="s">
        <v>21</v>
      </c>
      <c r="O696">
        <v>315</v>
      </c>
      <c r="P696" t="s">
        <v>842</v>
      </c>
      <c r="Q696" t="s">
        <v>10</v>
      </c>
      <c r="R696" t="s">
        <v>22</v>
      </c>
      <c r="T696" t="s">
        <v>1082</v>
      </c>
      <c r="U696" t="s">
        <v>1104</v>
      </c>
      <c r="V696" s="3" t="s">
        <v>1044</v>
      </c>
      <c r="W696" t="s">
        <v>1145</v>
      </c>
      <c r="X696" s="9">
        <v>10</v>
      </c>
      <c r="Y696" s="9" t="s">
        <v>1068</v>
      </c>
      <c r="Z696" t="s">
        <v>1143</v>
      </c>
    </row>
    <row r="697" spans="1:26">
      <c r="A697">
        <v>696</v>
      </c>
      <c r="B697" t="str">
        <f t="shared" ref="B697:N698" si="310">B696</f>
        <v>-</v>
      </c>
      <c r="C697" t="str">
        <f t="shared" si="310"/>
        <v xml:space="preserve">Betsy </v>
      </c>
      <c r="E697" t="str">
        <f t="shared" si="310"/>
        <v>-</v>
      </c>
      <c r="F697">
        <f t="shared" si="310"/>
        <v>963627350</v>
      </c>
      <c r="G697" t="str">
        <f t="shared" si="310"/>
        <v>-</v>
      </c>
      <c r="H697" t="str">
        <f t="shared" si="310"/>
        <v>Lima</v>
      </c>
      <c r="I697" t="str">
        <f t="shared" si="310"/>
        <v>Olivos</v>
      </c>
      <c r="J697" t="str">
        <f t="shared" si="310"/>
        <v>-</v>
      </c>
      <c r="K697" t="str">
        <f t="shared" si="310"/>
        <v>Naranjal</v>
      </c>
      <c r="L697" t="str">
        <f t="shared" si="310"/>
        <v>Oficina</v>
      </c>
      <c r="M697" s="1">
        <f t="shared" si="310"/>
        <v>45006</v>
      </c>
      <c r="N697" t="str">
        <f t="shared" si="310"/>
        <v>Efectivo</v>
      </c>
      <c r="O697" s="14">
        <v>15</v>
      </c>
      <c r="P697" t="str">
        <f t="shared" ref="P697:R698" si="311">P696</f>
        <v xml:space="preserve"> Restaurante </v>
      </c>
      <c r="Q697" t="str">
        <f t="shared" si="311"/>
        <v>U</v>
      </c>
      <c r="R697" t="str">
        <f t="shared" si="311"/>
        <v>Sergio</v>
      </c>
      <c r="T697" t="s">
        <v>1134</v>
      </c>
      <c r="U697" t="s">
        <v>1116</v>
      </c>
      <c r="V697" s="3">
        <f>X696</f>
        <v>10</v>
      </c>
      <c r="W697" t="s">
        <v>1137</v>
      </c>
      <c r="X697" s="9"/>
      <c r="Y697" s="9"/>
      <c r="Z697" t="s">
        <v>1131</v>
      </c>
    </row>
    <row r="698" spans="1:26">
      <c r="A698">
        <v>697</v>
      </c>
      <c r="B698" t="str">
        <f t="shared" si="310"/>
        <v>-</v>
      </c>
      <c r="C698" t="str">
        <f t="shared" si="310"/>
        <v xml:space="preserve">Betsy </v>
      </c>
      <c r="E698" t="str">
        <f t="shared" si="310"/>
        <v>-</v>
      </c>
      <c r="F698">
        <f t="shared" si="310"/>
        <v>963627350</v>
      </c>
      <c r="G698" t="str">
        <f t="shared" si="310"/>
        <v>-</v>
      </c>
      <c r="H698" t="str">
        <f t="shared" si="310"/>
        <v>Lima</v>
      </c>
      <c r="I698" t="str">
        <f t="shared" si="310"/>
        <v>Olivos</v>
      </c>
      <c r="J698" t="str">
        <f t="shared" si="310"/>
        <v>-</v>
      </c>
      <c r="K698" t="str">
        <f t="shared" si="310"/>
        <v>Naranjal</v>
      </c>
      <c r="L698" t="str">
        <f t="shared" si="310"/>
        <v>Oficina</v>
      </c>
      <c r="M698" s="1">
        <f t="shared" si="310"/>
        <v>45006</v>
      </c>
      <c r="N698" t="str">
        <f t="shared" si="310"/>
        <v>Efectivo</v>
      </c>
      <c r="O698" s="14">
        <v>10</v>
      </c>
      <c r="P698" t="str">
        <f t="shared" si="311"/>
        <v xml:space="preserve"> Restaurante </v>
      </c>
      <c r="Q698" t="str">
        <f t="shared" si="311"/>
        <v>U</v>
      </c>
      <c r="R698" t="str">
        <f t="shared" si="311"/>
        <v>Sergio</v>
      </c>
      <c r="T698" t="s">
        <v>1129</v>
      </c>
      <c r="U698" t="s">
        <v>1129</v>
      </c>
      <c r="V698">
        <v>1</v>
      </c>
      <c r="W698" t="s">
        <v>1059</v>
      </c>
      <c r="X698" s="9"/>
      <c r="Y698" s="9"/>
      <c r="Z698" t="s">
        <v>1147</v>
      </c>
    </row>
    <row r="699" spans="1:26">
      <c r="A699">
        <v>698</v>
      </c>
      <c r="B699" t="s">
        <v>2</v>
      </c>
      <c r="C699" t="s">
        <v>843</v>
      </c>
      <c r="E699" t="s">
        <v>2</v>
      </c>
      <c r="F699">
        <v>918655820</v>
      </c>
      <c r="G699" t="s">
        <v>2</v>
      </c>
      <c r="H699" t="s">
        <v>4</v>
      </c>
      <c r="I699" t="s">
        <v>244</v>
      </c>
      <c r="J699" t="s">
        <v>2</v>
      </c>
      <c r="K699" t="s">
        <v>844</v>
      </c>
      <c r="L699" t="s">
        <v>7</v>
      </c>
      <c r="M699" s="1">
        <v>45007</v>
      </c>
      <c r="N699" t="s">
        <v>21</v>
      </c>
      <c r="O699">
        <f>920-O700-O701</f>
        <v>390</v>
      </c>
      <c r="P699" t="s">
        <v>842</v>
      </c>
      <c r="Q699" t="s">
        <v>10</v>
      </c>
      <c r="R699" t="s">
        <v>11</v>
      </c>
      <c r="T699" t="s">
        <v>1082</v>
      </c>
      <c r="U699" t="s">
        <v>1099</v>
      </c>
      <c r="V699" s="3" t="s">
        <v>1047</v>
      </c>
      <c r="W699" t="s">
        <v>1146</v>
      </c>
      <c r="X699" s="9"/>
      <c r="Y699" s="9"/>
      <c r="Z699" t="s">
        <v>1143</v>
      </c>
    </row>
    <row r="700" spans="1:26">
      <c r="A700">
        <v>699</v>
      </c>
      <c r="B700" t="s">
        <v>2</v>
      </c>
      <c r="C700" t="s">
        <v>843</v>
      </c>
      <c r="E700" t="s">
        <v>2</v>
      </c>
      <c r="F700">
        <v>918655820</v>
      </c>
      <c r="G700" t="s">
        <v>2</v>
      </c>
      <c r="H700" t="s">
        <v>4</v>
      </c>
      <c r="I700" t="s">
        <v>244</v>
      </c>
      <c r="J700" t="s">
        <v>2</v>
      </c>
      <c r="K700" t="s">
        <v>844</v>
      </c>
      <c r="L700" t="s">
        <v>7</v>
      </c>
      <c r="M700" s="1">
        <v>45007</v>
      </c>
      <c r="N700" t="s">
        <v>21</v>
      </c>
      <c r="O700" s="14">
        <v>450</v>
      </c>
      <c r="P700" t="s">
        <v>842</v>
      </c>
      <c r="Q700" t="s">
        <v>10</v>
      </c>
      <c r="R700" t="s">
        <v>11</v>
      </c>
      <c r="T700" t="s">
        <v>1119</v>
      </c>
      <c r="U700" s="12" t="s">
        <v>1142</v>
      </c>
      <c r="V700" s="3">
        <v>2</v>
      </c>
      <c r="W700" t="s">
        <v>1086</v>
      </c>
      <c r="X700" s="9"/>
      <c r="Y700" s="9"/>
      <c r="Z700" t="s">
        <v>1141</v>
      </c>
    </row>
    <row r="701" spans="1:26">
      <c r="A701">
        <v>700</v>
      </c>
      <c r="B701" t="s">
        <v>2</v>
      </c>
      <c r="C701" t="s">
        <v>843</v>
      </c>
      <c r="E701" t="s">
        <v>2</v>
      </c>
      <c r="F701">
        <v>918655820</v>
      </c>
      <c r="G701" t="s">
        <v>2</v>
      </c>
      <c r="H701" t="s">
        <v>4</v>
      </c>
      <c r="I701" t="s">
        <v>244</v>
      </c>
      <c r="J701" t="s">
        <v>2</v>
      </c>
      <c r="K701" t="s">
        <v>844</v>
      </c>
      <c r="L701" t="s">
        <v>7</v>
      </c>
      <c r="M701" s="1">
        <v>45007</v>
      </c>
      <c r="N701" t="s">
        <v>21</v>
      </c>
      <c r="O701" s="14">
        <v>80</v>
      </c>
      <c r="P701" t="s">
        <v>842</v>
      </c>
      <c r="Q701" t="s">
        <v>10</v>
      </c>
      <c r="R701" t="s">
        <v>11</v>
      </c>
      <c r="T701" t="s">
        <v>1073</v>
      </c>
      <c r="U701" t="s">
        <v>1125</v>
      </c>
      <c r="V701">
        <v>8</v>
      </c>
      <c r="W701" t="s">
        <v>1067</v>
      </c>
      <c r="X701" s="9"/>
      <c r="Y701" s="9"/>
      <c r="Z701" t="s">
        <v>1141</v>
      </c>
    </row>
    <row r="702" spans="1:26">
      <c r="A702">
        <v>701</v>
      </c>
      <c r="B702" t="s">
        <v>2</v>
      </c>
      <c r="C702" t="s">
        <v>845</v>
      </c>
      <c r="E702">
        <v>46003808</v>
      </c>
      <c r="F702">
        <v>975781053</v>
      </c>
      <c r="G702" t="s">
        <v>2</v>
      </c>
      <c r="H702" t="s">
        <v>846</v>
      </c>
      <c r="I702" t="s">
        <v>847</v>
      </c>
      <c r="J702" t="s">
        <v>613</v>
      </c>
      <c r="K702" t="s">
        <v>2</v>
      </c>
      <c r="L702" t="s">
        <v>268</v>
      </c>
      <c r="M702" s="1">
        <v>45007</v>
      </c>
      <c r="N702" t="s">
        <v>8</v>
      </c>
      <c r="O702">
        <v>450</v>
      </c>
      <c r="P702" t="s">
        <v>134</v>
      </c>
      <c r="Q702" t="s">
        <v>10</v>
      </c>
      <c r="R702" t="s">
        <v>22</v>
      </c>
      <c r="T702" t="s">
        <v>1092</v>
      </c>
      <c r="U702" t="s">
        <v>1096</v>
      </c>
      <c r="V702" s="3">
        <v>1</v>
      </c>
      <c r="W702" t="s">
        <v>1148</v>
      </c>
      <c r="X702" s="9">
        <v>20</v>
      </c>
      <c r="Y702" s="9" t="s">
        <v>1056</v>
      </c>
      <c r="Z702" t="s">
        <v>1149</v>
      </c>
    </row>
    <row r="703" spans="1:26">
      <c r="A703">
        <v>702</v>
      </c>
      <c r="B703" t="str">
        <f t="shared" ref="B703:N703" si="312">B702</f>
        <v>-</v>
      </c>
      <c r="C703" t="str">
        <f t="shared" si="312"/>
        <v>Pilar Noemi Ardiles Carpio</v>
      </c>
      <c r="E703">
        <f t="shared" si="312"/>
        <v>46003808</v>
      </c>
      <c r="F703">
        <f t="shared" si="312"/>
        <v>975781053</v>
      </c>
      <c r="G703" t="str">
        <f t="shared" si="312"/>
        <v>-</v>
      </c>
      <c r="H703" t="str">
        <f t="shared" si="312"/>
        <v>Ancash</v>
      </c>
      <c r="I703" t="str">
        <f t="shared" si="312"/>
        <v xml:space="preserve">Yungay </v>
      </c>
      <c r="J703" t="str">
        <f t="shared" si="312"/>
        <v>Cavassa</v>
      </c>
      <c r="K703" t="str">
        <f t="shared" si="312"/>
        <v>-</v>
      </c>
      <c r="L703" t="str">
        <f t="shared" si="312"/>
        <v>Aplicativo Web</v>
      </c>
      <c r="M703" s="1">
        <f t="shared" si="312"/>
        <v>45007</v>
      </c>
      <c r="N703" t="str">
        <f t="shared" si="312"/>
        <v>BCP</v>
      </c>
      <c r="O703" s="16">
        <v>120</v>
      </c>
      <c r="P703" t="str">
        <f t="shared" ref="P703:R703" si="313">P702</f>
        <v>Bodega</v>
      </c>
      <c r="Q703" t="str">
        <f t="shared" si="313"/>
        <v>U</v>
      </c>
      <c r="R703" t="str">
        <f t="shared" si="313"/>
        <v>Sergio</v>
      </c>
      <c r="T703" t="s">
        <v>1134</v>
      </c>
      <c r="U703" t="s">
        <v>1115</v>
      </c>
      <c r="V703" s="3">
        <v>40</v>
      </c>
      <c r="W703" t="s">
        <v>1137</v>
      </c>
      <c r="X703" s="9"/>
      <c r="Y703" s="9"/>
      <c r="Z703" t="s">
        <v>1131</v>
      </c>
    </row>
    <row r="704" spans="1:26" ht="15" customHeight="1">
      <c r="A704">
        <v>703</v>
      </c>
      <c r="B704" t="s">
        <v>2</v>
      </c>
      <c r="C704" t="s">
        <v>848</v>
      </c>
      <c r="E704">
        <v>48426171</v>
      </c>
      <c r="F704">
        <v>934114702</v>
      </c>
      <c r="G704" t="s">
        <v>2</v>
      </c>
      <c r="H704" t="s">
        <v>65</v>
      </c>
      <c r="I704" t="s">
        <v>774</v>
      </c>
      <c r="J704" t="s">
        <v>29</v>
      </c>
      <c r="K704" t="s">
        <v>2</v>
      </c>
      <c r="L704" t="s">
        <v>268</v>
      </c>
      <c r="M704" s="1">
        <v>45008</v>
      </c>
      <c r="N704" t="s">
        <v>38</v>
      </c>
      <c r="O704">
        <v>210</v>
      </c>
      <c r="P704" t="s">
        <v>30</v>
      </c>
      <c r="Q704" t="s">
        <v>10</v>
      </c>
      <c r="R704" t="s">
        <v>22</v>
      </c>
      <c r="T704" t="s">
        <v>1082</v>
      </c>
      <c r="U704" t="s">
        <v>1099</v>
      </c>
      <c r="V704" s="3" t="s">
        <v>1044</v>
      </c>
      <c r="W704" t="s">
        <v>1146</v>
      </c>
      <c r="X704" s="9">
        <v>20</v>
      </c>
      <c r="Y704" s="9" t="s">
        <v>1068</v>
      </c>
      <c r="Z704" t="s">
        <v>1143</v>
      </c>
    </row>
    <row r="705" spans="1:26" ht="15" customHeight="1">
      <c r="A705">
        <v>704</v>
      </c>
      <c r="B705" t="str">
        <f t="shared" ref="B705:N705" si="314">B704</f>
        <v>-</v>
      </c>
      <c r="C705" t="str">
        <f t="shared" si="314"/>
        <v>Lizbeth Masiel Rojas Felipa</v>
      </c>
      <c r="E705">
        <f t="shared" si="314"/>
        <v>48426171</v>
      </c>
      <c r="F705">
        <f t="shared" si="314"/>
        <v>934114702</v>
      </c>
      <c r="G705" t="str">
        <f t="shared" si="314"/>
        <v>-</v>
      </c>
      <c r="H705" t="str">
        <f t="shared" si="314"/>
        <v>Ica</v>
      </c>
      <c r="I705" t="str">
        <f t="shared" si="314"/>
        <v>Chincha</v>
      </c>
      <c r="J705" t="str">
        <f t="shared" si="314"/>
        <v>Shalom</v>
      </c>
      <c r="K705" t="str">
        <f t="shared" si="314"/>
        <v>-</v>
      </c>
      <c r="L705" t="str">
        <f t="shared" si="314"/>
        <v>Aplicativo Web</v>
      </c>
      <c r="M705" s="1">
        <f t="shared" si="314"/>
        <v>45008</v>
      </c>
      <c r="N705" t="str">
        <f t="shared" si="314"/>
        <v>BBVA</v>
      </c>
      <c r="O705" s="14">
        <v>15</v>
      </c>
      <c r="P705" t="str">
        <f t="shared" ref="P705:R705" si="315">P704</f>
        <v>Otros</v>
      </c>
      <c r="Q705" t="str">
        <f t="shared" si="315"/>
        <v>U</v>
      </c>
      <c r="R705" t="str">
        <f t="shared" si="315"/>
        <v>Sergio</v>
      </c>
      <c r="T705" t="s">
        <v>1134</v>
      </c>
      <c r="U705" t="s">
        <v>1116</v>
      </c>
      <c r="V705" s="3">
        <v>10</v>
      </c>
      <c r="W705" t="s">
        <v>1137</v>
      </c>
      <c r="X705" s="9"/>
      <c r="Y705" s="9"/>
      <c r="Z705" t="s">
        <v>1131</v>
      </c>
    </row>
    <row r="706" spans="1:26">
      <c r="A706">
        <v>705</v>
      </c>
      <c r="B706" t="s">
        <v>12</v>
      </c>
      <c r="C706" t="s">
        <v>849</v>
      </c>
      <c r="D706">
        <v>20610550941</v>
      </c>
      <c r="E706" t="s">
        <v>2</v>
      </c>
      <c r="F706">
        <v>986204375</v>
      </c>
      <c r="G706" t="s">
        <v>850</v>
      </c>
      <c r="H706" t="s">
        <v>199</v>
      </c>
      <c r="J706" t="s">
        <v>29</v>
      </c>
      <c r="K706" t="s">
        <v>2</v>
      </c>
      <c r="L706" t="s">
        <v>37</v>
      </c>
      <c r="M706" s="1">
        <v>45009</v>
      </c>
      <c r="N706" t="s">
        <v>8</v>
      </c>
      <c r="O706" s="6">
        <v>375</v>
      </c>
      <c r="P706" t="s">
        <v>541</v>
      </c>
      <c r="Q706" t="s">
        <v>10</v>
      </c>
      <c r="R706" t="s">
        <v>11</v>
      </c>
      <c r="T706" t="s">
        <v>1097</v>
      </c>
      <c r="U706" t="s">
        <v>1103</v>
      </c>
      <c r="V706" s="3" t="s">
        <v>1044</v>
      </c>
      <c r="W706" t="s">
        <v>1145</v>
      </c>
      <c r="X706" s="9">
        <v>10</v>
      </c>
      <c r="Y706" s="9" t="s">
        <v>1065</v>
      </c>
      <c r="Z706" t="s">
        <v>1143</v>
      </c>
    </row>
    <row r="707" spans="1:26">
      <c r="A707">
        <v>706</v>
      </c>
      <c r="B707" t="str">
        <f t="shared" ref="B707:N707" si="316">B706</f>
        <v>FT</v>
      </c>
      <c r="C707" t="str">
        <f t="shared" si="316"/>
        <v>User Zone E.I.R.L.</v>
      </c>
      <c r="D707">
        <f t="shared" si="316"/>
        <v>20610550941</v>
      </c>
      <c r="E707" t="str">
        <f t="shared" si="316"/>
        <v>-</v>
      </c>
      <c r="F707">
        <f t="shared" si="316"/>
        <v>986204375</v>
      </c>
      <c r="G707" t="str">
        <f t="shared" si="316"/>
        <v>FT F001-101</v>
      </c>
      <c r="H707" t="str">
        <f t="shared" si="316"/>
        <v>Arequipa</v>
      </c>
      <c r="J707" t="str">
        <f t="shared" si="316"/>
        <v>Shalom</v>
      </c>
      <c r="K707" t="str">
        <f t="shared" si="316"/>
        <v>-</v>
      </c>
      <c r="L707" t="str">
        <f t="shared" si="316"/>
        <v>Redes sociales</v>
      </c>
      <c r="M707" s="1">
        <f t="shared" si="316"/>
        <v>45009</v>
      </c>
      <c r="N707" t="str">
        <f t="shared" si="316"/>
        <v>BCP</v>
      </c>
      <c r="O707" s="16">
        <v>25</v>
      </c>
      <c r="P707" t="str">
        <f t="shared" ref="P707:R707" si="317">P706</f>
        <v>Salón de Belleza</v>
      </c>
      <c r="Q707" t="str">
        <f t="shared" si="317"/>
        <v>U</v>
      </c>
      <c r="R707" t="str">
        <f t="shared" si="317"/>
        <v>Rodrigo</v>
      </c>
      <c r="T707" t="s">
        <v>1134</v>
      </c>
      <c r="U707" t="s">
        <v>1115</v>
      </c>
      <c r="V707" s="3">
        <f t="shared" ref="V707" si="318">X706</f>
        <v>10</v>
      </c>
      <c r="W707" t="s">
        <v>1137</v>
      </c>
      <c r="X707" s="9"/>
      <c r="Y707" s="9"/>
      <c r="Z707" t="s">
        <v>1131</v>
      </c>
    </row>
    <row r="708" spans="1:26">
      <c r="A708">
        <v>707</v>
      </c>
      <c r="B708" t="s">
        <v>2</v>
      </c>
      <c r="C708" t="s">
        <v>851</v>
      </c>
      <c r="E708">
        <v>42795924</v>
      </c>
      <c r="F708">
        <v>995031502</v>
      </c>
      <c r="G708" t="s">
        <v>2</v>
      </c>
      <c r="H708" t="s">
        <v>514</v>
      </c>
      <c r="I708" t="s">
        <v>852</v>
      </c>
      <c r="J708" t="s">
        <v>733</v>
      </c>
      <c r="K708" t="s">
        <v>2</v>
      </c>
      <c r="L708" t="s">
        <v>268</v>
      </c>
      <c r="M708" s="1">
        <v>45009</v>
      </c>
      <c r="N708" t="s">
        <v>8</v>
      </c>
      <c r="O708">
        <v>200</v>
      </c>
      <c r="P708" t="s">
        <v>216</v>
      </c>
      <c r="Q708" t="s">
        <v>10</v>
      </c>
      <c r="R708" t="s">
        <v>11</v>
      </c>
      <c r="T708" t="s">
        <v>1082</v>
      </c>
      <c r="U708" t="s">
        <v>1099</v>
      </c>
      <c r="V708" s="3" t="s">
        <v>1044</v>
      </c>
      <c r="W708" t="s">
        <v>1146</v>
      </c>
      <c r="X708" s="9">
        <v>10</v>
      </c>
      <c r="Y708" s="9" t="s">
        <v>1068</v>
      </c>
      <c r="Z708" t="s">
        <v>1143</v>
      </c>
    </row>
    <row r="709" spans="1:26">
      <c r="A709">
        <v>708</v>
      </c>
      <c r="B709" t="s">
        <v>2</v>
      </c>
      <c r="C709" t="s">
        <v>853</v>
      </c>
      <c r="E709">
        <v>45317528</v>
      </c>
      <c r="F709">
        <v>934219075</v>
      </c>
      <c r="G709" t="s">
        <v>2</v>
      </c>
      <c r="H709" t="s">
        <v>552</v>
      </c>
      <c r="I709" t="s">
        <v>854</v>
      </c>
      <c r="J709" t="s">
        <v>29</v>
      </c>
      <c r="K709" t="s">
        <v>2</v>
      </c>
      <c r="L709" t="s">
        <v>268</v>
      </c>
      <c r="M709" s="1">
        <v>45009</v>
      </c>
      <c r="N709" t="s">
        <v>8</v>
      </c>
      <c r="O709">
        <v>200</v>
      </c>
      <c r="P709" t="s">
        <v>30</v>
      </c>
      <c r="Q709" t="s">
        <v>10</v>
      </c>
      <c r="R709" t="s">
        <v>11</v>
      </c>
      <c r="T709" t="s">
        <v>1082</v>
      </c>
      <c r="U709" t="s">
        <v>1099</v>
      </c>
      <c r="V709" s="3" t="s">
        <v>1044</v>
      </c>
      <c r="W709" t="s">
        <v>1146</v>
      </c>
      <c r="X709" s="9">
        <v>10</v>
      </c>
      <c r="Y709" s="9" t="s">
        <v>1068</v>
      </c>
      <c r="Z709" t="s">
        <v>1143</v>
      </c>
    </row>
    <row r="710" spans="1:26">
      <c r="A710">
        <v>709</v>
      </c>
      <c r="B710" t="s">
        <v>2</v>
      </c>
      <c r="C710" t="s">
        <v>855</v>
      </c>
      <c r="E710">
        <v>43417204</v>
      </c>
      <c r="F710">
        <v>914612570</v>
      </c>
      <c r="G710" t="s">
        <v>2</v>
      </c>
      <c r="H710" t="s">
        <v>4</v>
      </c>
      <c r="I710" t="s">
        <v>41</v>
      </c>
      <c r="J710" t="s">
        <v>29</v>
      </c>
      <c r="K710" t="s">
        <v>2</v>
      </c>
      <c r="L710" t="s">
        <v>268</v>
      </c>
      <c r="M710" s="1">
        <v>45009</v>
      </c>
      <c r="N710" t="s">
        <v>8</v>
      </c>
      <c r="O710" s="6">
        <v>440</v>
      </c>
      <c r="P710" t="s">
        <v>842</v>
      </c>
      <c r="Q710" t="s">
        <v>10</v>
      </c>
      <c r="R710" t="s">
        <v>11</v>
      </c>
      <c r="T710" t="s">
        <v>1097</v>
      </c>
      <c r="U710" t="s">
        <v>1102</v>
      </c>
      <c r="V710" s="3" t="s">
        <v>1044</v>
      </c>
      <c r="W710" t="s">
        <v>1145</v>
      </c>
      <c r="X710" s="9">
        <v>10</v>
      </c>
      <c r="Y710" s="9" t="s">
        <v>1065</v>
      </c>
      <c r="Z710" t="s">
        <v>1144</v>
      </c>
    </row>
    <row r="711" spans="1:26">
      <c r="A711">
        <v>710</v>
      </c>
      <c r="B711" t="str">
        <f t="shared" ref="B711:N711" si="319">B710</f>
        <v>-</v>
      </c>
      <c r="C711" t="str">
        <f t="shared" si="319"/>
        <v>Abundio Santiago Ignacio Ramos</v>
      </c>
      <c r="E711">
        <f t="shared" si="319"/>
        <v>43417204</v>
      </c>
      <c r="F711">
        <f t="shared" si="319"/>
        <v>914612570</v>
      </c>
      <c r="G711" t="str">
        <f t="shared" si="319"/>
        <v>-</v>
      </c>
      <c r="H711" t="str">
        <f t="shared" si="319"/>
        <v>Lima</v>
      </c>
      <c r="I711" t="str">
        <f t="shared" si="319"/>
        <v>Chosica</v>
      </c>
      <c r="J711" t="str">
        <f t="shared" si="319"/>
        <v>Shalom</v>
      </c>
      <c r="K711" t="str">
        <f t="shared" si="319"/>
        <v>-</v>
      </c>
      <c r="L711" t="str">
        <f t="shared" si="319"/>
        <v>Aplicativo Web</v>
      </c>
      <c r="M711" s="1">
        <f t="shared" si="319"/>
        <v>45009</v>
      </c>
      <c r="N711" t="str">
        <f t="shared" si="319"/>
        <v>BCP</v>
      </c>
      <c r="O711" s="16">
        <v>25</v>
      </c>
      <c r="P711" t="str">
        <f t="shared" ref="P711:R711" si="320">P710</f>
        <v xml:space="preserve"> Restaurante </v>
      </c>
      <c r="Q711" t="str">
        <f t="shared" si="320"/>
        <v>U</v>
      </c>
      <c r="R711" t="str">
        <f t="shared" si="320"/>
        <v>Rodrigo</v>
      </c>
      <c r="T711" t="s">
        <v>1134</v>
      </c>
      <c r="U711" t="s">
        <v>1115</v>
      </c>
      <c r="V711" s="3">
        <f t="shared" ref="V711" si="321">X710</f>
        <v>10</v>
      </c>
      <c r="W711" t="s">
        <v>1137</v>
      </c>
      <c r="X711" s="9"/>
      <c r="Y711" s="9"/>
      <c r="Z711" t="s">
        <v>1131</v>
      </c>
    </row>
    <row r="712" spans="1:26">
      <c r="A712">
        <v>711</v>
      </c>
      <c r="B712" t="s">
        <v>2</v>
      </c>
      <c r="C712" t="s">
        <v>856</v>
      </c>
      <c r="E712" t="s">
        <v>2</v>
      </c>
      <c r="F712">
        <v>985347395</v>
      </c>
      <c r="G712" t="s">
        <v>2</v>
      </c>
      <c r="H712" t="s">
        <v>4</v>
      </c>
      <c r="I712" t="s">
        <v>661</v>
      </c>
      <c r="J712" t="s">
        <v>2</v>
      </c>
      <c r="K712" t="s">
        <v>857</v>
      </c>
      <c r="L712" t="s">
        <v>37</v>
      </c>
      <c r="M712" s="1">
        <v>45009</v>
      </c>
      <c r="N712" t="s">
        <v>21</v>
      </c>
      <c r="O712">
        <v>300</v>
      </c>
      <c r="P712" t="s">
        <v>30</v>
      </c>
      <c r="Q712" t="s">
        <v>10</v>
      </c>
      <c r="R712" t="s">
        <v>11</v>
      </c>
      <c r="T712" t="s">
        <v>1082</v>
      </c>
      <c r="U712" t="s">
        <v>1104</v>
      </c>
      <c r="V712" s="3" t="s">
        <v>1044</v>
      </c>
      <c r="W712" t="s">
        <v>1145</v>
      </c>
      <c r="X712" s="9">
        <v>10</v>
      </c>
      <c r="Y712" s="9" t="s">
        <v>1065</v>
      </c>
      <c r="Z712" t="s">
        <v>1143</v>
      </c>
    </row>
    <row r="713" spans="1:26">
      <c r="A713">
        <v>712</v>
      </c>
      <c r="B713" t="s">
        <v>2</v>
      </c>
      <c r="C713" t="s">
        <v>834</v>
      </c>
      <c r="E713" t="s">
        <v>2</v>
      </c>
      <c r="F713">
        <v>937540030</v>
      </c>
      <c r="G713" t="s">
        <v>2</v>
      </c>
      <c r="H713" t="s">
        <v>4</v>
      </c>
      <c r="I713" t="s">
        <v>15</v>
      </c>
      <c r="J713" t="s">
        <v>2</v>
      </c>
      <c r="K713" t="s">
        <v>835</v>
      </c>
      <c r="L713" t="s">
        <v>37</v>
      </c>
      <c r="M713" s="1">
        <v>45009</v>
      </c>
      <c r="N713" t="s">
        <v>21</v>
      </c>
      <c r="O713" s="17">
        <v>135</v>
      </c>
      <c r="P713" t="s">
        <v>30</v>
      </c>
      <c r="Q713" t="s">
        <v>10</v>
      </c>
      <c r="R713" t="s">
        <v>11</v>
      </c>
      <c r="T713" t="s">
        <v>1133</v>
      </c>
      <c r="U713" t="s">
        <v>1114</v>
      </c>
      <c r="V713" s="3">
        <v>6</v>
      </c>
      <c r="W713" t="s">
        <v>1132</v>
      </c>
      <c r="X713" s="9">
        <v>1</v>
      </c>
      <c r="Y713" s="9" t="s">
        <v>1062</v>
      </c>
      <c r="Z713" t="s">
        <v>1131</v>
      </c>
    </row>
    <row r="714" spans="1:26">
      <c r="A714">
        <v>713</v>
      </c>
      <c r="B714" t="str">
        <f t="shared" ref="B714:N715" si="322">B713</f>
        <v>-</v>
      </c>
      <c r="C714" t="str">
        <f t="shared" si="322"/>
        <v>Roger López Vila</v>
      </c>
      <c r="E714" t="str">
        <f t="shared" si="322"/>
        <v>-</v>
      </c>
      <c r="F714">
        <f t="shared" si="322"/>
        <v>937540030</v>
      </c>
      <c r="G714" t="str">
        <f t="shared" si="322"/>
        <v>-</v>
      </c>
      <c r="H714" t="str">
        <f t="shared" si="322"/>
        <v>Lima</v>
      </c>
      <c r="I714" t="str">
        <f t="shared" si="322"/>
        <v>Santa Anita</v>
      </c>
      <c r="J714" t="str">
        <f t="shared" si="322"/>
        <v>-</v>
      </c>
      <c r="K714" t="str">
        <f t="shared" si="322"/>
        <v xml:space="preserve">Mercado Santa Anita Andahuaylas </v>
      </c>
      <c r="L714" t="str">
        <f t="shared" si="322"/>
        <v>Redes sociales</v>
      </c>
      <c r="M714" s="1">
        <f t="shared" si="322"/>
        <v>45009</v>
      </c>
      <c r="N714" t="str">
        <f t="shared" si="322"/>
        <v>Efectivo</v>
      </c>
      <c r="O714" s="17">
        <f t="shared" ref="O714:O715" si="323">25*(V714)</f>
        <v>25</v>
      </c>
      <c r="P714" t="str">
        <f t="shared" ref="P714:R715" si="324">P713</f>
        <v>Otros</v>
      </c>
      <c r="Q714" t="str">
        <f t="shared" si="324"/>
        <v>U</v>
      </c>
      <c r="R714" t="str">
        <f t="shared" si="324"/>
        <v>Rodrigo</v>
      </c>
      <c r="T714" t="s">
        <v>1151</v>
      </c>
      <c r="U714" t="s">
        <v>1128</v>
      </c>
      <c r="V714" s="3">
        <f>X713</f>
        <v>1</v>
      </c>
      <c r="W714" t="s">
        <v>1135</v>
      </c>
      <c r="X714" s="9"/>
      <c r="Y714" s="9"/>
      <c r="Z714" t="s">
        <v>1136</v>
      </c>
    </row>
    <row r="715" spans="1:26">
      <c r="A715">
        <v>714</v>
      </c>
      <c r="B715" t="str">
        <f t="shared" si="322"/>
        <v>-</v>
      </c>
      <c r="C715" t="str">
        <f t="shared" si="322"/>
        <v>Roger López Vila</v>
      </c>
      <c r="E715" t="str">
        <f t="shared" si="322"/>
        <v>-</v>
      </c>
      <c r="F715">
        <f t="shared" si="322"/>
        <v>937540030</v>
      </c>
      <c r="G715" t="str">
        <f t="shared" si="322"/>
        <v>-</v>
      </c>
      <c r="H715" t="str">
        <f t="shared" si="322"/>
        <v>Lima</v>
      </c>
      <c r="I715" t="str">
        <f t="shared" si="322"/>
        <v>Santa Anita</v>
      </c>
      <c r="J715" t="str">
        <f t="shared" si="322"/>
        <v>-</v>
      </c>
      <c r="K715" t="str">
        <f t="shared" si="322"/>
        <v xml:space="preserve">Mercado Santa Anita Andahuaylas </v>
      </c>
      <c r="L715" t="str">
        <f t="shared" si="322"/>
        <v>Redes sociales</v>
      </c>
      <c r="M715" s="1">
        <f t="shared" si="322"/>
        <v>45009</v>
      </c>
      <c r="N715" t="str">
        <f t="shared" si="322"/>
        <v>Efectivo</v>
      </c>
      <c r="O715" s="17">
        <f t="shared" si="323"/>
        <v>25</v>
      </c>
      <c r="P715" t="str">
        <f t="shared" si="324"/>
        <v>Otros</v>
      </c>
      <c r="Q715" t="str">
        <f t="shared" si="324"/>
        <v>U</v>
      </c>
      <c r="R715" t="str">
        <f t="shared" si="324"/>
        <v>Rodrigo</v>
      </c>
      <c r="T715" t="s">
        <v>1151</v>
      </c>
      <c r="U715" t="s">
        <v>1127</v>
      </c>
      <c r="V715">
        <v>1</v>
      </c>
      <c r="W715" t="s">
        <v>1135</v>
      </c>
      <c r="X715" s="9"/>
      <c r="Y715" s="9"/>
      <c r="Z715" t="s">
        <v>1136</v>
      </c>
    </row>
    <row r="716" spans="1:26">
      <c r="A716">
        <v>715</v>
      </c>
      <c r="B716" t="s">
        <v>2</v>
      </c>
      <c r="C716" t="s">
        <v>858</v>
      </c>
      <c r="E716" t="s">
        <v>2</v>
      </c>
      <c r="F716">
        <v>915391532</v>
      </c>
      <c r="G716" t="s">
        <v>2</v>
      </c>
      <c r="H716" t="s">
        <v>4</v>
      </c>
      <c r="I716" t="s">
        <v>244</v>
      </c>
      <c r="J716" t="s">
        <v>2</v>
      </c>
      <c r="K716" t="s">
        <v>859</v>
      </c>
      <c r="L716" t="s">
        <v>7</v>
      </c>
      <c r="M716" s="1">
        <v>45009</v>
      </c>
      <c r="N716" t="s">
        <v>8</v>
      </c>
      <c r="O716">
        <v>415</v>
      </c>
      <c r="P716" t="s">
        <v>842</v>
      </c>
      <c r="Q716" t="s">
        <v>10</v>
      </c>
      <c r="R716" t="s">
        <v>11</v>
      </c>
      <c r="T716" t="s">
        <v>1092</v>
      </c>
      <c r="U716" t="s">
        <v>1096</v>
      </c>
      <c r="V716" s="3">
        <v>1</v>
      </c>
      <c r="W716" t="s">
        <v>1148</v>
      </c>
      <c r="X716" s="9">
        <v>1</v>
      </c>
      <c r="Y716" s="9" t="s">
        <v>1060</v>
      </c>
      <c r="Z716" t="s">
        <v>1149</v>
      </c>
    </row>
    <row r="717" spans="1:26">
      <c r="A717">
        <v>716</v>
      </c>
      <c r="B717" t="str">
        <f t="shared" ref="B717:N717" si="325">B716</f>
        <v>-</v>
      </c>
      <c r="C717" t="str">
        <f t="shared" si="325"/>
        <v>Jussiley Ramirez Mendoza</v>
      </c>
      <c r="E717" t="str">
        <f t="shared" si="325"/>
        <v>-</v>
      </c>
      <c r="F717">
        <f t="shared" si="325"/>
        <v>915391532</v>
      </c>
      <c r="G717" t="str">
        <f t="shared" si="325"/>
        <v>-</v>
      </c>
      <c r="H717" t="str">
        <f t="shared" si="325"/>
        <v>Lima</v>
      </c>
      <c r="I717" t="str">
        <f t="shared" si="325"/>
        <v>Comas</v>
      </c>
      <c r="J717" t="str">
        <f t="shared" si="325"/>
        <v>-</v>
      </c>
      <c r="K717" t="str">
        <f t="shared" si="325"/>
        <v>Comas Puno</v>
      </c>
      <c r="L717" t="str">
        <f t="shared" si="325"/>
        <v>Oficina</v>
      </c>
      <c r="M717" s="1">
        <f t="shared" si="325"/>
        <v>45009</v>
      </c>
      <c r="N717" t="str">
        <f t="shared" si="325"/>
        <v>BCP</v>
      </c>
      <c r="O717" s="17">
        <v>25</v>
      </c>
      <c r="P717" t="str">
        <f t="shared" ref="P717:R717" si="326">P716</f>
        <v xml:space="preserve"> Restaurante </v>
      </c>
      <c r="Q717" t="str">
        <f t="shared" si="326"/>
        <v>U</v>
      </c>
      <c r="R717" t="str">
        <f t="shared" si="326"/>
        <v>Rodrigo</v>
      </c>
      <c r="T717" t="s">
        <v>1151</v>
      </c>
      <c r="U717" t="s">
        <v>1124</v>
      </c>
      <c r="V717" s="3">
        <f>X716</f>
        <v>1</v>
      </c>
      <c r="W717" t="s">
        <v>1135</v>
      </c>
      <c r="X717" s="9"/>
      <c r="Y717" s="9"/>
      <c r="Z717" t="s">
        <v>1136</v>
      </c>
    </row>
    <row r="718" spans="1:26">
      <c r="A718">
        <v>717</v>
      </c>
      <c r="B718" t="s">
        <v>2</v>
      </c>
      <c r="C718" t="s">
        <v>860</v>
      </c>
      <c r="E718">
        <v>43522128</v>
      </c>
      <c r="F718">
        <v>979931274</v>
      </c>
      <c r="G718" t="s">
        <v>2</v>
      </c>
      <c r="H718" t="s">
        <v>355</v>
      </c>
      <c r="I718" t="s">
        <v>249</v>
      </c>
      <c r="J718" t="s">
        <v>29</v>
      </c>
      <c r="K718" t="s">
        <v>2</v>
      </c>
      <c r="L718" t="s">
        <v>268</v>
      </c>
      <c r="M718" s="1">
        <v>45010</v>
      </c>
      <c r="N718" t="s">
        <v>56</v>
      </c>
      <c r="O718">
        <v>199</v>
      </c>
      <c r="P718" t="s">
        <v>134</v>
      </c>
      <c r="Q718" t="s">
        <v>10</v>
      </c>
      <c r="R718" t="s">
        <v>11</v>
      </c>
      <c r="T718" t="s">
        <v>1082</v>
      </c>
      <c r="U718" t="s">
        <v>1099</v>
      </c>
      <c r="V718" s="3" t="s">
        <v>1044</v>
      </c>
      <c r="W718" t="s">
        <v>1146</v>
      </c>
      <c r="X718" s="9">
        <v>10</v>
      </c>
      <c r="Y718" s="9" t="s">
        <v>1068</v>
      </c>
      <c r="Z718" t="s">
        <v>1143</v>
      </c>
    </row>
    <row r="719" spans="1:26">
      <c r="A719">
        <v>718</v>
      </c>
      <c r="B719" t="s">
        <v>2</v>
      </c>
      <c r="C719" t="s">
        <v>861</v>
      </c>
      <c r="E719">
        <v>47905003</v>
      </c>
      <c r="F719">
        <v>953953244</v>
      </c>
      <c r="G719" t="s">
        <v>2</v>
      </c>
      <c r="H719" t="s">
        <v>768</v>
      </c>
      <c r="I719" t="s">
        <v>436</v>
      </c>
      <c r="J719" t="s">
        <v>29</v>
      </c>
      <c r="K719" t="s">
        <v>2</v>
      </c>
      <c r="L719" t="s">
        <v>268</v>
      </c>
      <c r="M719" s="1">
        <v>45010</v>
      </c>
      <c r="N719" t="s">
        <v>8</v>
      </c>
      <c r="O719">
        <v>335</v>
      </c>
      <c r="P719" t="s">
        <v>52</v>
      </c>
      <c r="Q719" t="s">
        <v>10</v>
      </c>
      <c r="R719" t="s">
        <v>11</v>
      </c>
      <c r="T719" t="s">
        <v>1092</v>
      </c>
      <c r="U719" t="s">
        <v>1100</v>
      </c>
      <c r="V719" s="3" t="s">
        <v>1044</v>
      </c>
      <c r="W719" t="s">
        <v>1146</v>
      </c>
      <c r="X719" s="9">
        <v>20</v>
      </c>
      <c r="Y719" s="9" t="s">
        <v>1056</v>
      </c>
      <c r="Z719" t="s">
        <v>1144</v>
      </c>
    </row>
    <row r="720" spans="1:26">
      <c r="A720">
        <v>719</v>
      </c>
      <c r="B720" t="str">
        <f t="shared" ref="B720:N720" si="327">B719</f>
        <v>-</v>
      </c>
      <c r="C720" t="str">
        <f t="shared" si="327"/>
        <v>Jhon Abraham Sonco Mamani</v>
      </c>
      <c r="E720">
        <f t="shared" si="327"/>
        <v>47905003</v>
      </c>
      <c r="F720">
        <f t="shared" si="327"/>
        <v>953953244</v>
      </c>
      <c r="G720" t="str">
        <f t="shared" si="327"/>
        <v>-</v>
      </c>
      <c r="H720" t="str">
        <f t="shared" si="327"/>
        <v>Moquegua</v>
      </c>
      <c r="I720" t="str">
        <f t="shared" si="327"/>
        <v>Ilo</v>
      </c>
      <c r="J720" t="str">
        <f t="shared" si="327"/>
        <v>Shalom</v>
      </c>
      <c r="K720" t="str">
        <f t="shared" si="327"/>
        <v>-</v>
      </c>
      <c r="L720" t="str">
        <f t="shared" si="327"/>
        <v>Aplicativo Web</v>
      </c>
      <c r="M720" s="1">
        <f t="shared" si="327"/>
        <v>45010</v>
      </c>
      <c r="N720" t="str">
        <f t="shared" si="327"/>
        <v>BCP</v>
      </c>
      <c r="O720" s="16">
        <v>50</v>
      </c>
      <c r="P720" t="s">
        <v>52</v>
      </c>
      <c r="Q720" t="str">
        <f t="shared" ref="Q720:R720" si="328">Q719</f>
        <v>U</v>
      </c>
      <c r="R720" t="str">
        <f t="shared" si="328"/>
        <v>Rodrigo</v>
      </c>
      <c r="T720" t="s">
        <v>1134</v>
      </c>
      <c r="U720" t="s">
        <v>1115</v>
      </c>
      <c r="V720" s="3">
        <f t="shared" ref="V720" si="329">X719</f>
        <v>20</v>
      </c>
      <c r="W720" t="s">
        <v>1137</v>
      </c>
      <c r="X720" s="9"/>
      <c r="Y720" s="9"/>
      <c r="Z720" t="s">
        <v>1131</v>
      </c>
    </row>
    <row r="721" spans="1:26">
      <c r="A721">
        <v>720</v>
      </c>
      <c r="B721" t="s">
        <v>12</v>
      </c>
      <c r="C721" t="s">
        <v>862</v>
      </c>
      <c r="D721">
        <v>10759358797</v>
      </c>
      <c r="E721" t="s">
        <v>2</v>
      </c>
      <c r="F721">
        <v>923981010</v>
      </c>
      <c r="G721" t="s">
        <v>863</v>
      </c>
      <c r="H721" t="s">
        <v>4</v>
      </c>
      <c r="I721" t="s">
        <v>244</v>
      </c>
      <c r="J721" t="s">
        <v>2</v>
      </c>
      <c r="K721" t="s">
        <v>864</v>
      </c>
      <c r="L721" t="s">
        <v>7</v>
      </c>
      <c r="M721" s="1">
        <v>45012</v>
      </c>
      <c r="N721" t="s">
        <v>8</v>
      </c>
      <c r="O721">
        <v>325</v>
      </c>
      <c r="P721" t="s">
        <v>541</v>
      </c>
      <c r="Q721" t="s">
        <v>10</v>
      </c>
      <c r="R721" t="s">
        <v>11</v>
      </c>
      <c r="T721" t="s">
        <v>1092</v>
      </c>
      <c r="U721" t="s">
        <v>1100</v>
      </c>
      <c r="V721" s="3" t="s">
        <v>1044</v>
      </c>
      <c r="W721" t="s">
        <v>1146</v>
      </c>
      <c r="X721" s="9">
        <v>10</v>
      </c>
      <c r="Y721" s="9" t="s">
        <v>1065</v>
      </c>
      <c r="Z721" t="s">
        <v>1144</v>
      </c>
    </row>
    <row r="722" spans="1:26">
      <c r="A722">
        <v>721</v>
      </c>
      <c r="B722" t="str">
        <f t="shared" ref="B722:N722" si="330">B721</f>
        <v>FT</v>
      </c>
      <c r="C722" t="str">
        <f t="shared" si="330"/>
        <v>Suarez Nima Mirsa Janai</v>
      </c>
      <c r="D722">
        <f t="shared" si="330"/>
        <v>10759358797</v>
      </c>
      <c r="E722" t="str">
        <f t="shared" si="330"/>
        <v>-</v>
      </c>
      <c r="F722">
        <f t="shared" si="330"/>
        <v>923981010</v>
      </c>
      <c r="G722" t="str">
        <f t="shared" si="330"/>
        <v>FT F001-102</v>
      </c>
      <c r="H722" t="str">
        <f t="shared" si="330"/>
        <v>Lima</v>
      </c>
      <c r="I722" t="str">
        <f t="shared" si="330"/>
        <v>Comas</v>
      </c>
      <c r="J722" t="str">
        <f t="shared" si="330"/>
        <v>-</v>
      </c>
      <c r="K722" t="str">
        <f t="shared" si="330"/>
        <v>Universitaria</v>
      </c>
      <c r="L722" t="str">
        <f t="shared" si="330"/>
        <v>Oficina</v>
      </c>
      <c r="M722" s="1">
        <f t="shared" si="330"/>
        <v>45012</v>
      </c>
      <c r="N722" t="str">
        <f t="shared" si="330"/>
        <v>BCP</v>
      </c>
      <c r="O722" s="16">
        <v>25</v>
      </c>
      <c r="P722" t="str">
        <f t="shared" ref="P722:R722" si="331">P721</f>
        <v>Salón de Belleza</v>
      </c>
      <c r="Q722" t="str">
        <f t="shared" si="331"/>
        <v>U</v>
      </c>
      <c r="R722" t="str">
        <f t="shared" si="331"/>
        <v>Rodrigo</v>
      </c>
      <c r="T722" t="s">
        <v>1134</v>
      </c>
      <c r="U722" t="s">
        <v>1115</v>
      </c>
      <c r="V722" s="3">
        <f t="shared" ref="V722" si="332">X721</f>
        <v>10</v>
      </c>
      <c r="W722" t="s">
        <v>1137</v>
      </c>
      <c r="X722" s="9"/>
      <c r="Y722" s="9"/>
      <c r="Z722" t="s">
        <v>1131</v>
      </c>
    </row>
    <row r="723" spans="1:26">
      <c r="A723">
        <v>722</v>
      </c>
      <c r="B723" t="s">
        <v>12</v>
      </c>
      <c r="C723" t="s">
        <v>865</v>
      </c>
      <c r="D723">
        <v>10090982511</v>
      </c>
      <c r="E723" t="s">
        <v>2</v>
      </c>
      <c r="F723">
        <v>967392568</v>
      </c>
      <c r="G723" t="s">
        <v>866</v>
      </c>
      <c r="H723" t="s">
        <v>4</v>
      </c>
      <c r="I723" t="s">
        <v>90</v>
      </c>
      <c r="J723" t="s">
        <v>2</v>
      </c>
      <c r="K723" t="s">
        <v>90</v>
      </c>
      <c r="L723" t="s">
        <v>37</v>
      </c>
      <c r="M723" s="1">
        <v>45012</v>
      </c>
      <c r="N723" t="s">
        <v>21</v>
      </c>
      <c r="O723" s="2">
        <f>460-O724</f>
        <v>385</v>
      </c>
      <c r="P723" t="s">
        <v>30</v>
      </c>
      <c r="Q723" t="s">
        <v>10</v>
      </c>
      <c r="R723" t="s">
        <v>11</v>
      </c>
      <c r="T723" t="s">
        <v>1092</v>
      </c>
      <c r="U723" t="s">
        <v>1096</v>
      </c>
      <c r="V723" s="3">
        <v>1</v>
      </c>
      <c r="W723" t="s">
        <v>1148</v>
      </c>
      <c r="X723" s="9">
        <v>30</v>
      </c>
      <c r="Y723" s="9" t="s">
        <v>1056</v>
      </c>
      <c r="Z723" t="s">
        <v>1149</v>
      </c>
    </row>
    <row r="724" spans="1:26">
      <c r="A724">
        <v>723</v>
      </c>
      <c r="B724" t="str">
        <f t="shared" ref="B724:N724" si="333">B723</f>
        <v>FT</v>
      </c>
      <c r="C724" t="str">
        <f t="shared" si="333"/>
        <v>Beatriz Díaz Cano</v>
      </c>
      <c r="D724">
        <f t="shared" si="333"/>
        <v>10090982511</v>
      </c>
      <c r="E724" t="str">
        <f t="shared" si="333"/>
        <v>-</v>
      </c>
      <c r="F724">
        <f t="shared" si="333"/>
        <v>967392568</v>
      </c>
      <c r="G724" t="str">
        <f t="shared" si="333"/>
        <v>FT F001-103</v>
      </c>
      <c r="H724" t="str">
        <f t="shared" si="333"/>
        <v>Lima</v>
      </c>
      <c r="I724" t="str">
        <f t="shared" si="333"/>
        <v>La victoria</v>
      </c>
      <c r="J724" t="str">
        <f t="shared" si="333"/>
        <v>-</v>
      </c>
      <c r="K724" t="str">
        <f t="shared" si="333"/>
        <v>La victoria</v>
      </c>
      <c r="L724" t="str">
        <f t="shared" si="333"/>
        <v>Redes sociales</v>
      </c>
      <c r="M724" s="1">
        <f t="shared" si="333"/>
        <v>45012</v>
      </c>
      <c r="N724" t="str">
        <f t="shared" si="333"/>
        <v>Efectivo</v>
      </c>
      <c r="O724" s="16">
        <v>75</v>
      </c>
      <c r="P724" t="str">
        <f t="shared" ref="P724:R724" si="334">P723</f>
        <v>Otros</v>
      </c>
      <c r="Q724" t="str">
        <f t="shared" si="334"/>
        <v>U</v>
      </c>
      <c r="R724" t="str">
        <f t="shared" si="334"/>
        <v>Rodrigo</v>
      </c>
      <c r="T724" t="s">
        <v>1134</v>
      </c>
      <c r="U724" t="s">
        <v>1115</v>
      </c>
      <c r="V724" s="3">
        <f t="shared" ref="V724" si="335">X723</f>
        <v>30</v>
      </c>
      <c r="W724" t="s">
        <v>1137</v>
      </c>
      <c r="X724" s="9"/>
      <c r="Y724" s="9"/>
      <c r="Z724" t="s">
        <v>1131</v>
      </c>
    </row>
    <row r="725" spans="1:26">
      <c r="A725">
        <v>724</v>
      </c>
      <c r="B725" t="s">
        <v>2</v>
      </c>
      <c r="C725" t="s">
        <v>867</v>
      </c>
      <c r="E725">
        <v>71256214</v>
      </c>
      <c r="F725">
        <v>995480565</v>
      </c>
      <c r="G725" t="s">
        <v>2</v>
      </c>
      <c r="H725" t="s">
        <v>1042</v>
      </c>
      <c r="J725" t="s">
        <v>868</v>
      </c>
      <c r="K725" t="s">
        <v>2</v>
      </c>
      <c r="L725" t="s">
        <v>268</v>
      </c>
      <c r="M725" s="1">
        <v>45012</v>
      </c>
      <c r="N725" t="s">
        <v>8</v>
      </c>
      <c r="O725" s="5">
        <f>750-O726</f>
        <v>375</v>
      </c>
      <c r="P725" t="s">
        <v>842</v>
      </c>
      <c r="Q725" t="s">
        <v>10</v>
      </c>
      <c r="R725" t="s">
        <v>11</v>
      </c>
      <c r="T725" t="s">
        <v>1092</v>
      </c>
      <c r="U725" t="s">
        <v>1100</v>
      </c>
      <c r="V725" s="3" t="s">
        <v>1044</v>
      </c>
      <c r="W725" t="s">
        <v>1146</v>
      </c>
      <c r="X725" s="9">
        <v>15</v>
      </c>
      <c r="Y725" s="9" t="s">
        <v>1062</v>
      </c>
      <c r="Z725" t="s">
        <v>1144</v>
      </c>
    </row>
    <row r="726" spans="1:26" s="14" customFormat="1">
      <c r="A726">
        <v>725</v>
      </c>
      <c r="B726" s="14" t="str">
        <f t="shared" ref="B726:N726" si="336">B725</f>
        <v>-</v>
      </c>
      <c r="C726" s="14" t="str">
        <f t="shared" si="336"/>
        <v>Rosa Elizabeth Hidalgo Guerrero</v>
      </c>
      <c r="D726"/>
      <c r="E726" s="14">
        <f t="shared" si="336"/>
        <v>71256214</v>
      </c>
      <c r="F726" s="14">
        <f t="shared" si="336"/>
        <v>995480565</v>
      </c>
      <c r="G726" s="14" t="str">
        <f t="shared" si="336"/>
        <v>-</v>
      </c>
      <c r="H726" s="14" t="str">
        <f t="shared" si="336"/>
        <v>Junin</v>
      </c>
      <c r="J726" s="14" t="str">
        <f t="shared" si="336"/>
        <v>GM Internacional</v>
      </c>
      <c r="K726" s="14" t="str">
        <f t="shared" si="336"/>
        <v>-</v>
      </c>
      <c r="L726" s="14" t="str">
        <f t="shared" si="336"/>
        <v>Aplicativo Web</v>
      </c>
      <c r="M726" s="31">
        <f t="shared" si="336"/>
        <v>45012</v>
      </c>
      <c r="N726" s="14" t="str">
        <f t="shared" si="336"/>
        <v>BCP</v>
      </c>
      <c r="O726" s="17">
        <v>375</v>
      </c>
      <c r="P726" s="14" t="str">
        <f t="shared" ref="P726:R726" si="337">P725</f>
        <v xml:space="preserve"> Restaurante </v>
      </c>
      <c r="Q726" s="14" t="str">
        <f t="shared" si="337"/>
        <v>U</v>
      </c>
      <c r="R726" s="14" t="str">
        <f t="shared" si="337"/>
        <v>Rodrigo</v>
      </c>
      <c r="T726" s="14" t="s">
        <v>1151</v>
      </c>
      <c r="U726" s="14" t="s">
        <v>1128</v>
      </c>
      <c r="V726" s="32">
        <v>15</v>
      </c>
      <c r="W726" s="14" t="s">
        <v>1135</v>
      </c>
      <c r="Z726" s="14" t="s">
        <v>1136</v>
      </c>
    </row>
    <row r="727" spans="1:26">
      <c r="A727">
        <v>726</v>
      </c>
      <c r="B727" t="s">
        <v>2</v>
      </c>
      <c r="C727" t="s">
        <v>869</v>
      </c>
      <c r="E727" t="s">
        <v>2</v>
      </c>
      <c r="F727">
        <v>950094006</v>
      </c>
      <c r="G727" t="s">
        <v>2</v>
      </c>
      <c r="H727" t="s">
        <v>4</v>
      </c>
      <c r="I727" t="s">
        <v>209</v>
      </c>
      <c r="J727" t="s">
        <v>2</v>
      </c>
      <c r="K727" t="s">
        <v>209</v>
      </c>
      <c r="L727" t="s">
        <v>268</v>
      </c>
      <c r="M727" s="1">
        <v>45012</v>
      </c>
      <c r="N727" t="s">
        <v>21</v>
      </c>
      <c r="O727">
        <v>425</v>
      </c>
      <c r="P727" t="s">
        <v>30</v>
      </c>
      <c r="Q727" t="s">
        <v>10</v>
      </c>
      <c r="R727" t="s">
        <v>11</v>
      </c>
      <c r="T727" t="s">
        <v>1092</v>
      </c>
      <c r="U727" t="s">
        <v>1095</v>
      </c>
      <c r="V727" s="3">
        <v>1</v>
      </c>
      <c r="W727" t="s">
        <v>1145</v>
      </c>
      <c r="X727" s="9">
        <v>10</v>
      </c>
      <c r="Y727" s="9" t="s">
        <v>1065</v>
      </c>
      <c r="Z727" t="s">
        <v>1143</v>
      </c>
    </row>
    <row r="728" spans="1:26">
      <c r="A728">
        <v>727</v>
      </c>
      <c r="B728" t="str">
        <f t="shared" ref="B728:N728" si="338">B727</f>
        <v>-</v>
      </c>
      <c r="C728" t="str">
        <f t="shared" si="338"/>
        <v>Maria Lopez</v>
      </c>
      <c r="E728" t="str">
        <f t="shared" si="338"/>
        <v>-</v>
      </c>
      <c r="F728">
        <f t="shared" si="338"/>
        <v>950094006</v>
      </c>
      <c r="G728" t="str">
        <f t="shared" si="338"/>
        <v>-</v>
      </c>
      <c r="H728" t="str">
        <f t="shared" si="338"/>
        <v>Lima</v>
      </c>
      <c r="I728" t="str">
        <f t="shared" si="338"/>
        <v>Chorrillos</v>
      </c>
      <c r="J728" t="str">
        <f t="shared" si="338"/>
        <v>-</v>
      </c>
      <c r="K728" t="str">
        <f t="shared" si="338"/>
        <v>Chorrillos</v>
      </c>
      <c r="L728" t="str">
        <f t="shared" si="338"/>
        <v>Aplicativo Web</v>
      </c>
      <c r="M728" s="1">
        <f t="shared" si="338"/>
        <v>45012</v>
      </c>
      <c r="N728" t="str">
        <f t="shared" si="338"/>
        <v>Efectivo</v>
      </c>
      <c r="O728" s="16">
        <v>25</v>
      </c>
      <c r="P728" t="str">
        <f t="shared" ref="P728:R728" si="339">P727</f>
        <v>Otros</v>
      </c>
      <c r="Q728" t="str">
        <f t="shared" si="339"/>
        <v>U</v>
      </c>
      <c r="R728" t="str">
        <f t="shared" si="339"/>
        <v>Rodrigo</v>
      </c>
      <c r="T728" t="s">
        <v>1134</v>
      </c>
      <c r="U728" t="s">
        <v>1115</v>
      </c>
      <c r="V728" s="3">
        <f t="shared" ref="V728" si="340">X727</f>
        <v>10</v>
      </c>
      <c r="W728" t="s">
        <v>1137</v>
      </c>
      <c r="X728" s="9"/>
      <c r="Y728" s="9"/>
      <c r="Z728" t="s">
        <v>1131</v>
      </c>
    </row>
    <row r="729" spans="1:26">
      <c r="A729">
        <v>728</v>
      </c>
      <c r="B729" t="s">
        <v>2</v>
      </c>
      <c r="C729" t="s">
        <v>870</v>
      </c>
      <c r="E729" t="s">
        <v>2</v>
      </c>
      <c r="F729">
        <v>994120327</v>
      </c>
      <c r="G729" t="s">
        <v>2</v>
      </c>
      <c r="H729" t="s">
        <v>4</v>
      </c>
      <c r="I729" t="s">
        <v>871</v>
      </c>
      <c r="J729" t="s">
        <v>2</v>
      </c>
      <c r="K729" t="s">
        <v>859</v>
      </c>
      <c r="L729" t="s">
        <v>7</v>
      </c>
      <c r="M729" s="1">
        <v>45012</v>
      </c>
      <c r="N729" t="s">
        <v>8</v>
      </c>
      <c r="O729">
        <v>195</v>
      </c>
      <c r="P729" t="s">
        <v>134</v>
      </c>
      <c r="Q729" t="s">
        <v>10</v>
      </c>
      <c r="R729" t="s">
        <v>11</v>
      </c>
      <c r="T729" t="s">
        <v>1082</v>
      </c>
      <c r="U729" t="s">
        <v>1099</v>
      </c>
      <c r="V729" s="3" t="s">
        <v>1044</v>
      </c>
      <c r="W729" t="s">
        <v>1146</v>
      </c>
      <c r="X729" s="9">
        <v>20</v>
      </c>
      <c r="Y729" s="9" t="s">
        <v>1068</v>
      </c>
      <c r="Z729" t="s">
        <v>1143</v>
      </c>
    </row>
    <row r="730" spans="1:26">
      <c r="A730">
        <v>729</v>
      </c>
      <c r="B730" t="str">
        <f t="shared" ref="B730:N730" si="341">B729</f>
        <v>-</v>
      </c>
      <c r="C730" t="str">
        <f t="shared" si="341"/>
        <v>Keren Palomino</v>
      </c>
      <c r="E730" t="str">
        <f t="shared" si="341"/>
        <v>-</v>
      </c>
      <c r="F730">
        <f t="shared" si="341"/>
        <v>994120327</v>
      </c>
      <c r="G730" t="str">
        <f t="shared" si="341"/>
        <v>-</v>
      </c>
      <c r="H730" t="str">
        <f t="shared" si="341"/>
        <v>Lima</v>
      </c>
      <c r="I730" t="str">
        <f t="shared" si="341"/>
        <v>Comas P</v>
      </c>
      <c r="J730" t="str">
        <f t="shared" si="341"/>
        <v>-</v>
      </c>
      <c r="K730" t="str">
        <f t="shared" si="341"/>
        <v>Comas Puno</v>
      </c>
      <c r="L730" t="str">
        <f t="shared" si="341"/>
        <v>Oficina</v>
      </c>
      <c r="M730" s="1">
        <f t="shared" si="341"/>
        <v>45012</v>
      </c>
      <c r="N730" t="str">
        <f t="shared" si="341"/>
        <v>BCP</v>
      </c>
      <c r="O730" s="14">
        <v>30</v>
      </c>
      <c r="P730" t="str">
        <f t="shared" ref="P730:R730" si="342">P729</f>
        <v>Bodega</v>
      </c>
      <c r="Q730" t="str">
        <f t="shared" si="342"/>
        <v>U</v>
      </c>
      <c r="R730" t="str">
        <f t="shared" si="342"/>
        <v>Rodrigo</v>
      </c>
      <c r="T730" t="s">
        <v>1134</v>
      </c>
      <c r="U730" t="s">
        <v>1116</v>
      </c>
      <c r="V730" s="3">
        <f>X729</f>
        <v>20</v>
      </c>
      <c r="W730" t="s">
        <v>1137</v>
      </c>
      <c r="X730" s="9"/>
      <c r="Y730" s="9"/>
      <c r="Z730" t="s">
        <v>1131</v>
      </c>
    </row>
    <row r="731" spans="1:26">
      <c r="A731">
        <v>730</v>
      </c>
      <c r="B731" t="s">
        <v>2</v>
      </c>
      <c r="C731" t="s">
        <v>872</v>
      </c>
      <c r="E731">
        <v>3671937</v>
      </c>
      <c r="F731">
        <v>968830845</v>
      </c>
      <c r="G731" t="s">
        <v>2</v>
      </c>
      <c r="H731" t="s">
        <v>514</v>
      </c>
      <c r="I731" t="s">
        <v>51</v>
      </c>
      <c r="J731" t="s">
        <v>29</v>
      </c>
      <c r="K731" t="s">
        <v>2</v>
      </c>
      <c r="L731" t="s">
        <v>268</v>
      </c>
      <c r="M731" s="1">
        <v>45012</v>
      </c>
      <c r="N731" t="s">
        <v>8</v>
      </c>
      <c r="O731">
        <v>200</v>
      </c>
      <c r="P731" t="s">
        <v>134</v>
      </c>
      <c r="Q731" t="s">
        <v>10</v>
      </c>
      <c r="R731" t="s">
        <v>11</v>
      </c>
      <c r="T731" t="s">
        <v>1082</v>
      </c>
      <c r="U731" t="s">
        <v>1099</v>
      </c>
      <c r="V731" s="3" t="s">
        <v>1044</v>
      </c>
      <c r="W731" t="s">
        <v>1146</v>
      </c>
      <c r="X731" s="9">
        <v>10</v>
      </c>
      <c r="Y731" s="9" t="s">
        <v>1068</v>
      </c>
      <c r="Z731" t="s">
        <v>1143</v>
      </c>
    </row>
    <row r="732" spans="1:26">
      <c r="A732">
        <v>731</v>
      </c>
      <c r="B732" t="s">
        <v>2</v>
      </c>
      <c r="C732" t="s">
        <v>873</v>
      </c>
      <c r="E732" t="s">
        <v>2</v>
      </c>
      <c r="F732">
        <v>967846012</v>
      </c>
      <c r="G732" t="s">
        <v>2</v>
      </c>
      <c r="H732" t="s">
        <v>4</v>
      </c>
      <c r="I732" t="s">
        <v>41</v>
      </c>
      <c r="J732" t="s">
        <v>2</v>
      </c>
      <c r="K732" t="s">
        <v>41</v>
      </c>
      <c r="L732" t="s">
        <v>37</v>
      </c>
      <c r="M732" s="1">
        <v>45013</v>
      </c>
      <c r="N732" t="s">
        <v>8</v>
      </c>
      <c r="O732">
        <v>430</v>
      </c>
      <c r="P732" t="s">
        <v>30</v>
      </c>
      <c r="Q732" t="s">
        <v>10</v>
      </c>
      <c r="R732" t="s">
        <v>11</v>
      </c>
      <c r="T732" t="s">
        <v>1092</v>
      </c>
      <c r="U732" t="s">
        <v>1093</v>
      </c>
      <c r="V732" s="3">
        <v>1</v>
      </c>
      <c r="W732" t="s">
        <v>1148</v>
      </c>
      <c r="X732" s="9" t="s">
        <v>2</v>
      </c>
      <c r="Y732" s="9" t="s">
        <v>2</v>
      </c>
      <c r="Z732" t="s">
        <v>1149</v>
      </c>
    </row>
    <row r="733" spans="1:26">
      <c r="A733">
        <v>732</v>
      </c>
      <c r="B733" t="s">
        <v>2</v>
      </c>
      <c r="C733" t="s">
        <v>874</v>
      </c>
      <c r="E733" t="s">
        <v>2</v>
      </c>
      <c r="F733">
        <v>981410450</v>
      </c>
      <c r="G733" t="s">
        <v>2</v>
      </c>
      <c r="H733" t="s">
        <v>4</v>
      </c>
      <c r="I733" t="s">
        <v>478</v>
      </c>
      <c r="J733" t="s">
        <v>2</v>
      </c>
      <c r="K733" t="s">
        <v>478</v>
      </c>
      <c r="L733" t="s">
        <v>268</v>
      </c>
      <c r="M733" s="1">
        <v>45013</v>
      </c>
      <c r="N733" t="s">
        <v>8</v>
      </c>
      <c r="O733">
        <v>450</v>
      </c>
      <c r="P733" t="s">
        <v>234</v>
      </c>
      <c r="Q733" t="s">
        <v>10</v>
      </c>
      <c r="R733" t="s">
        <v>11</v>
      </c>
      <c r="T733" t="s">
        <v>1092</v>
      </c>
      <c r="U733" t="s">
        <v>1095</v>
      </c>
      <c r="V733" s="3">
        <v>1</v>
      </c>
      <c r="W733" t="s">
        <v>1145</v>
      </c>
      <c r="X733" s="9">
        <v>1</v>
      </c>
      <c r="Y733" s="9" t="s">
        <v>1068</v>
      </c>
      <c r="Z733" t="s">
        <v>1143</v>
      </c>
    </row>
    <row r="734" spans="1:26">
      <c r="A734">
        <v>733</v>
      </c>
      <c r="B734" t="str">
        <f t="shared" ref="B734:N734" si="343">B733</f>
        <v>-</v>
      </c>
      <c r="C734" t="str">
        <f t="shared" si="343"/>
        <v>Alonso Villanueva</v>
      </c>
      <c r="E734" t="str">
        <f t="shared" si="343"/>
        <v>-</v>
      </c>
      <c r="F734">
        <f t="shared" si="343"/>
        <v>981410450</v>
      </c>
      <c r="G734" t="str">
        <f t="shared" si="343"/>
        <v>-</v>
      </c>
      <c r="H734" t="str">
        <f t="shared" si="343"/>
        <v>Lima</v>
      </c>
      <c r="I734" t="str">
        <f t="shared" si="343"/>
        <v>Pueblo Libre</v>
      </c>
      <c r="J734" t="str">
        <f t="shared" si="343"/>
        <v>-</v>
      </c>
      <c r="K734" t="str">
        <f t="shared" si="343"/>
        <v>Pueblo Libre</v>
      </c>
      <c r="L734" t="str">
        <f t="shared" si="343"/>
        <v>Aplicativo Web</v>
      </c>
      <c r="M734" s="1">
        <f t="shared" si="343"/>
        <v>45013</v>
      </c>
      <c r="N734" t="str">
        <f t="shared" si="343"/>
        <v>BCP</v>
      </c>
      <c r="O734" s="14">
        <v>5</v>
      </c>
      <c r="P734" t="str">
        <f t="shared" ref="P734:R734" si="344">P733</f>
        <v>Farmacia</v>
      </c>
      <c r="Q734" t="str">
        <f t="shared" si="344"/>
        <v>U</v>
      </c>
      <c r="R734" t="str">
        <f t="shared" si="344"/>
        <v>Rodrigo</v>
      </c>
      <c r="T734" t="s">
        <v>1134</v>
      </c>
      <c r="U734" t="s">
        <v>1116</v>
      </c>
      <c r="V734" s="3">
        <f>X733</f>
        <v>1</v>
      </c>
      <c r="W734" t="s">
        <v>1137</v>
      </c>
      <c r="X734" s="9"/>
      <c r="Y734" s="9"/>
      <c r="Z734" t="s">
        <v>1131</v>
      </c>
    </row>
    <row r="735" spans="1:26">
      <c r="A735">
        <v>734</v>
      </c>
      <c r="B735" t="s">
        <v>2</v>
      </c>
      <c r="C735" t="s">
        <v>875</v>
      </c>
      <c r="E735">
        <v>75768944</v>
      </c>
      <c r="F735">
        <v>931302043</v>
      </c>
      <c r="G735" t="s">
        <v>876</v>
      </c>
      <c r="H735" s="7" t="s">
        <v>256</v>
      </c>
      <c r="I735" t="s">
        <v>79</v>
      </c>
      <c r="J735" t="s">
        <v>29</v>
      </c>
      <c r="K735" t="s">
        <v>2</v>
      </c>
      <c r="L735" t="s">
        <v>268</v>
      </c>
      <c r="M735" s="1">
        <v>45013</v>
      </c>
      <c r="N735" t="s">
        <v>56</v>
      </c>
      <c r="O735">
        <v>200</v>
      </c>
      <c r="P735" t="s">
        <v>842</v>
      </c>
      <c r="Q735" t="s">
        <v>10</v>
      </c>
      <c r="R735" t="s">
        <v>22</v>
      </c>
      <c r="T735" t="s">
        <v>1082</v>
      </c>
      <c r="U735" t="s">
        <v>1099</v>
      </c>
      <c r="V735" s="3" t="s">
        <v>1044</v>
      </c>
      <c r="W735" t="s">
        <v>1146</v>
      </c>
      <c r="X735" s="9">
        <v>10</v>
      </c>
      <c r="Y735" s="9" t="s">
        <v>1068</v>
      </c>
      <c r="Z735" t="s">
        <v>1143</v>
      </c>
    </row>
    <row r="736" spans="1:26">
      <c r="A736">
        <v>735</v>
      </c>
      <c r="B736" t="s">
        <v>2</v>
      </c>
      <c r="C736" t="s">
        <v>877</v>
      </c>
      <c r="E736">
        <v>73437967</v>
      </c>
      <c r="F736">
        <v>976188788</v>
      </c>
      <c r="G736" t="s">
        <v>2</v>
      </c>
      <c r="H736" t="s">
        <v>1042</v>
      </c>
      <c r="I736" t="s">
        <v>463</v>
      </c>
      <c r="J736" t="s">
        <v>878</v>
      </c>
      <c r="K736" t="s">
        <v>2</v>
      </c>
      <c r="L736" t="s">
        <v>268</v>
      </c>
      <c r="M736" s="1">
        <v>45013</v>
      </c>
      <c r="N736" t="s">
        <v>38</v>
      </c>
      <c r="O736" s="2">
        <f>1030-O737-O738-O739</f>
        <v>215</v>
      </c>
      <c r="P736" t="s">
        <v>30</v>
      </c>
      <c r="Q736" t="s">
        <v>10</v>
      </c>
      <c r="R736" t="s">
        <v>22</v>
      </c>
      <c r="T736" t="s">
        <v>1082</v>
      </c>
      <c r="U736" t="s">
        <v>1099</v>
      </c>
      <c r="V736" s="3" t="s">
        <v>1044</v>
      </c>
      <c r="W736" t="s">
        <v>1146</v>
      </c>
      <c r="X736" s="9"/>
      <c r="Y736" s="9"/>
      <c r="Z736" t="s">
        <v>1143</v>
      </c>
    </row>
    <row r="737" spans="1:26">
      <c r="A737">
        <v>736</v>
      </c>
      <c r="B737" t="s">
        <v>2</v>
      </c>
      <c r="C737" t="s">
        <v>877</v>
      </c>
      <c r="E737">
        <v>73437967</v>
      </c>
      <c r="F737">
        <v>976188788</v>
      </c>
      <c r="G737" t="s">
        <v>2</v>
      </c>
      <c r="H737" t="s">
        <v>1042</v>
      </c>
      <c r="I737" t="s">
        <v>463</v>
      </c>
      <c r="J737" t="s">
        <v>878</v>
      </c>
      <c r="K737" t="s">
        <v>2</v>
      </c>
      <c r="L737" t="s">
        <v>268</v>
      </c>
      <c r="M737" s="1">
        <v>45013</v>
      </c>
      <c r="N737" t="s">
        <v>38</v>
      </c>
      <c r="O737" s="16">
        <v>300</v>
      </c>
      <c r="P737" t="s">
        <v>30</v>
      </c>
      <c r="Q737" t="s">
        <v>10</v>
      </c>
      <c r="R737" t="s">
        <v>22</v>
      </c>
      <c r="T737" t="s">
        <v>1082</v>
      </c>
      <c r="U737" t="s">
        <v>1104</v>
      </c>
      <c r="V737" s="3" t="s">
        <v>1044</v>
      </c>
      <c r="W737" t="s">
        <v>1145</v>
      </c>
      <c r="X737" s="9"/>
      <c r="Y737" s="9"/>
      <c r="Z737" t="s">
        <v>1143</v>
      </c>
    </row>
    <row r="738" spans="1:26">
      <c r="A738">
        <v>737</v>
      </c>
      <c r="B738" t="s">
        <v>2</v>
      </c>
      <c r="C738" t="s">
        <v>877</v>
      </c>
      <c r="E738">
        <v>73437967</v>
      </c>
      <c r="F738">
        <v>976188788</v>
      </c>
      <c r="G738" t="s">
        <v>2</v>
      </c>
      <c r="H738" t="s">
        <v>1042</v>
      </c>
      <c r="I738" t="s">
        <v>463</v>
      </c>
      <c r="J738" t="s">
        <v>878</v>
      </c>
      <c r="K738" t="s">
        <v>2</v>
      </c>
      <c r="L738" t="s">
        <v>268</v>
      </c>
      <c r="M738" s="1">
        <v>45013</v>
      </c>
      <c r="N738" t="s">
        <v>38</v>
      </c>
      <c r="O738" s="16">
        <v>500</v>
      </c>
      <c r="P738" t="s">
        <v>30</v>
      </c>
      <c r="Q738" t="s">
        <v>10</v>
      </c>
      <c r="R738" t="s">
        <v>22</v>
      </c>
      <c r="T738" t="s">
        <v>1107</v>
      </c>
      <c r="U738" t="s">
        <v>1107</v>
      </c>
      <c r="V738" s="3">
        <v>2</v>
      </c>
      <c r="W738" t="s">
        <v>1140</v>
      </c>
      <c r="X738" s="9"/>
      <c r="Y738" s="9"/>
      <c r="Z738" t="s">
        <v>1138</v>
      </c>
    </row>
    <row r="739" spans="1:26">
      <c r="A739">
        <v>738</v>
      </c>
      <c r="B739" t="s">
        <v>2</v>
      </c>
      <c r="C739" t="s">
        <v>877</v>
      </c>
      <c r="E739">
        <v>73437967</v>
      </c>
      <c r="F739">
        <v>976188788</v>
      </c>
      <c r="G739" t="s">
        <v>2</v>
      </c>
      <c r="H739" t="s">
        <v>1042</v>
      </c>
      <c r="I739" t="s">
        <v>463</v>
      </c>
      <c r="J739" t="s">
        <v>878</v>
      </c>
      <c r="K739" t="s">
        <v>2</v>
      </c>
      <c r="L739" t="s">
        <v>268</v>
      </c>
      <c r="M739" s="1">
        <v>45013</v>
      </c>
      <c r="N739" t="s">
        <v>38</v>
      </c>
      <c r="O739" s="14">
        <v>15</v>
      </c>
      <c r="P739" t="s">
        <v>30</v>
      </c>
      <c r="Q739" t="s">
        <v>10</v>
      </c>
      <c r="R739" t="s">
        <v>22</v>
      </c>
      <c r="T739" t="s">
        <v>1134</v>
      </c>
      <c r="U739" t="s">
        <v>1116</v>
      </c>
      <c r="V739">
        <v>10</v>
      </c>
      <c r="W739" t="s">
        <v>1137</v>
      </c>
      <c r="X739" s="9"/>
      <c r="Y739" s="9"/>
      <c r="Z739" t="s">
        <v>1131</v>
      </c>
    </row>
    <row r="740" spans="1:26">
      <c r="A740">
        <v>739</v>
      </c>
      <c r="B740" t="s">
        <v>12</v>
      </c>
      <c r="C740" t="s">
        <v>879</v>
      </c>
      <c r="E740">
        <v>74298591</v>
      </c>
      <c r="F740">
        <v>926465124</v>
      </c>
      <c r="G740" t="s">
        <v>880</v>
      </c>
      <c r="H740" t="s">
        <v>48</v>
      </c>
      <c r="J740" t="s">
        <v>29</v>
      </c>
      <c r="K740" t="s">
        <v>2</v>
      </c>
      <c r="L740" t="s">
        <v>268</v>
      </c>
      <c r="M740" s="1">
        <v>45014</v>
      </c>
      <c r="N740" t="s">
        <v>8</v>
      </c>
      <c r="O740">
        <v>200</v>
      </c>
      <c r="P740" t="s">
        <v>216</v>
      </c>
      <c r="Q740" t="s">
        <v>10</v>
      </c>
      <c r="R740" t="s">
        <v>11</v>
      </c>
      <c r="T740" t="s">
        <v>1082</v>
      </c>
      <c r="U740" t="s">
        <v>1099</v>
      </c>
      <c r="V740" s="3" t="s">
        <v>1044</v>
      </c>
      <c r="W740" t="s">
        <v>1146</v>
      </c>
      <c r="X740" s="9">
        <v>10</v>
      </c>
      <c r="Y740" s="9" t="s">
        <v>1068</v>
      </c>
      <c r="Z740" t="s">
        <v>1143</v>
      </c>
    </row>
    <row r="741" spans="1:26">
      <c r="A741">
        <v>740</v>
      </c>
      <c r="B741" t="s">
        <v>2</v>
      </c>
      <c r="C741" t="s">
        <v>834</v>
      </c>
      <c r="E741" t="s">
        <v>2</v>
      </c>
      <c r="F741">
        <v>937540030</v>
      </c>
      <c r="G741" t="s">
        <v>2</v>
      </c>
      <c r="H741" t="s">
        <v>4</v>
      </c>
      <c r="I741" t="s">
        <v>15</v>
      </c>
      <c r="J741" t="s">
        <v>2</v>
      </c>
      <c r="K741" t="s">
        <v>835</v>
      </c>
      <c r="L741" t="s">
        <v>7</v>
      </c>
      <c r="M741" s="1">
        <v>45014</v>
      </c>
      <c r="N741" t="s">
        <v>21</v>
      </c>
      <c r="O741">
        <v>220</v>
      </c>
      <c r="P741" t="s">
        <v>9</v>
      </c>
      <c r="Q741" t="s">
        <v>10</v>
      </c>
      <c r="R741" t="s">
        <v>11</v>
      </c>
      <c r="T741" t="s">
        <v>1107</v>
      </c>
      <c r="U741" t="s">
        <v>1107</v>
      </c>
      <c r="V741" s="3" t="s">
        <v>1044</v>
      </c>
      <c r="W741" t="s">
        <v>1140</v>
      </c>
      <c r="X741" s="9"/>
      <c r="Y741" s="9"/>
      <c r="Z741" t="s">
        <v>1138</v>
      </c>
    </row>
    <row r="742" spans="1:26">
      <c r="A742">
        <v>741</v>
      </c>
      <c r="B742" t="s">
        <v>2</v>
      </c>
      <c r="C742" t="s">
        <v>360</v>
      </c>
      <c r="D742">
        <v>20601379377</v>
      </c>
      <c r="E742">
        <v>46047067</v>
      </c>
      <c r="F742">
        <v>933784155</v>
      </c>
      <c r="G742" t="s">
        <v>2</v>
      </c>
      <c r="H742" t="s">
        <v>48</v>
      </c>
      <c r="J742" t="s">
        <v>29</v>
      </c>
      <c r="K742" t="s">
        <v>2</v>
      </c>
      <c r="L742" t="s">
        <v>268</v>
      </c>
      <c r="M742" s="1">
        <v>45015</v>
      </c>
      <c r="N742" t="s">
        <v>38</v>
      </c>
      <c r="O742" s="2">
        <f>1210-O743-O744</f>
        <v>1120</v>
      </c>
      <c r="P742" t="s">
        <v>9</v>
      </c>
      <c r="Q742" t="s">
        <v>31</v>
      </c>
      <c r="R742" t="s">
        <v>11</v>
      </c>
      <c r="T742" t="s">
        <v>1082</v>
      </c>
      <c r="U742" t="s">
        <v>1104</v>
      </c>
      <c r="V742" s="3" t="s">
        <v>1048</v>
      </c>
      <c r="W742" t="s">
        <v>1145</v>
      </c>
      <c r="X742" s="9"/>
      <c r="Y742" s="9"/>
      <c r="Z742" t="s">
        <v>1143</v>
      </c>
    </row>
    <row r="743" spans="1:26">
      <c r="A743">
        <v>742</v>
      </c>
      <c r="B743" t="s">
        <v>2</v>
      </c>
      <c r="C743" t="s">
        <v>360</v>
      </c>
      <c r="D743">
        <v>20601379377</v>
      </c>
      <c r="E743">
        <v>46047067</v>
      </c>
      <c r="F743">
        <v>933784155</v>
      </c>
      <c r="G743" t="s">
        <v>2</v>
      </c>
      <c r="H743" t="s">
        <v>48</v>
      </c>
      <c r="J743" t="s">
        <v>29</v>
      </c>
      <c r="K743" t="s">
        <v>2</v>
      </c>
      <c r="L743" t="s">
        <v>268</v>
      </c>
      <c r="M743" s="1">
        <v>45015</v>
      </c>
      <c r="N743" t="s">
        <v>38</v>
      </c>
      <c r="O743" s="16">
        <v>40</v>
      </c>
      <c r="P743" t="s">
        <v>9</v>
      </c>
      <c r="Q743" t="s">
        <v>31</v>
      </c>
      <c r="R743" t="s">
        <v>11</v>
      </c>
      <c r="T743" t="s">
        <v>1133</v>
      </c>
      <c r="U743" t="s">
        <v>1114</v>
      </c>
      <c r="V743">
        <v>20</v>
      </c>
      <c r="W743" t="s">
        <v>1132</v>
      </c>
      <c r="X743" s="9"/>
      <c r="Y743" s="9"/>
      <c r="Z743" t="s">
        <v>1131</v>
      </c>
    </row>
    <row r="744" spans="1:26">
      <c r="A744">
        <v>743</v>
      </c>
      <c r="B744" t="s">
        <v>2</v>
      </c>
      <c r="C744" t="s">
        <v>360</v>
      </c>
      <c r="D744">
        <v>20601379377</v>
      </c>
      <c r="E744">
        <v>46047067</v>
      </c>
      <c r="F744">
        <v>933784155</v>
      </c>
      <c r="G744" t="s">
        <v>2</v>
      </c>
      <c r="H744" t="s">
        <v>48</v>
      </c>
      <c r="J744" t="s">
        <v>29</v>
      </c>
      <c r="K744" t="s">
        <v>2</v>
      </c>
      <c r="L744" t="s">
        <v>268</v>
      </c>
      <c r="M744" s="1">
        <v>45015</v>
      </c>
      <c r="N744" t="s">
        <v>38</v>
      </c>
      <c r="O744" s="16">
        <f>25*(V744/10)</f>
        <v>50</v>
      </c>
      <c r="P744" t="s">
        <v>9</v>
      </c>
      <c r="Q744" t="s">
        <v>31</v>
      </c>
      <c r="R744" t="s">
        <v>11</v>
      </c>
      <c r="T744" t="s">
        <v>1134</v>
      </c>
      <c r="U744" t="s">
        <v>1115</v>
      </c>
      <c r="V744">
        <v>20</v>
      </c>
      <c r="W744" t="s">
        <v>1137</v>
      </c>
      <c r="X744" s="9"/>
      <c r="Y744" s="9"/>
      <c r="Z744" t="s">
        <v>1131</v>
      </c>
    </row>
    <row r="745" spans="1:26">
      <c r="A745">
        <v>744</v>
      </c>
      <c r="B745" t="s">
        <v>2</v>
      </c>
      <c r="C745" t="s">
        <v>676</v>
      </c>
      <c r="E745">
        <v>71807200</v>
      </c>
      <c r="F745">
        <v>934867846</v>
      </c>
      <c r="G745" t="s">
        <v>2</v>
      </c>
      <c r="H745" t="s">
        <v>241</v>
      </c>
      <c r="I745" t="s">
        <v>241</v>
      </c>
      <c r="J745" t="s">
        <v>881</v>
      </c>
      <c r="K745" t="s">
        <v>2</v>
      </c>
      <c r="L745" t="s">
        <v>268</v>
      </c>
      <c r="M745" s="1">
        <v>45015</v>
      </c>
      <c r="N745" t="s">
        <v>8</v>
      </c>
      <c r="O745" s="5">
        <v>330</v>
      </c>
      <c r="P745" t="s">
        <v>234</v>
      </c>
      <c r="Q745" t="s">
        <v>10</v>
      </c>
      <c r="R745" t="s">
        <v>22</v>
      </c>
      <c r="T745" t="s">
        <v>1092</v>
      </c>
      <c r="U745" t="s">
        <v>1101</v>
      </c>
      <c r="V745" s="3" t="s">
        <v>1044</v>
      </c>
      <c r="W745" t="s">
        <v>1146</v>
      </c>
      <c r="X745" s="9"/>
      <c r="Y745" s="9"/>
      <c r="Z745" t="s">
        <v>1143</v>
      </c>
    </row>
    <row r="746" spans="1:26">
      <c r="A746">
        <v>745</v>
      </c>
      <c r="B746" t="s">
        <v>2</v>
      </c>
      <c r="C746" t="s">
        <v>676</v>
      </c>
      <c r="E746">
        <v>71807200</v>
      </c>
      <c r="F746">
        <v>934867846</v>
      </c>
      <c r="G746" t="s">
        <v>2</v>
      </c>
      <c r="H746" t="s">
        <v>241</v>
      </c>
      <c r="I746" t="s">
        <v>241</v>
      </c>
      <c r="J746" t="s">
        <v>881</v>
      </c>
      <c r="K746" t="s">
        <v>2</v>
      </c>
      <c r="L746" t="s">
        <v>268</v>
      </c>
      <c r="M746" s="1">
        <v>45015</v>
      </c>
      <c r="N746" t="s">
        <v>8</v>
      </c>
      <c r="O746" s="5">
        <v>160</v>
      </c>
      <c r="P746" t="s">
        <v>234</v>
      </c>
      <c r="Q746" t="s">
        <v>10</v>
      </c>
      <c r="R746" t="s">
        <v>22</v>
      </c>
      <c r="T746" t="s">
        <v>1108</v>
      </c>
      <c r="U746" t="s">
        <v>1108</v>
      </c>
      <c r="V746">
        <v>1</v>
      </c>
      <c r="W746" t="s">
        <v>1139</v>
      </c>
      <c r="X746" s="9"/>
      <c r="Y746" s="9"/>
      <c r="Z746" t="s">
        <v>1138</v>
      </c>
    </row>
    <row r="747" spans="1:26">
      <c r="A747">
        <v>746</v>
      </c>
      <c r="B747" t="s">
        <v>2</v>
      </c>
      <c r="C747" t="s">
        <v>676</v>
      </c>
      <c r="E747">
        <v>71807200</v>
      </c>
      <c r="F747">
        <v>934867846</v>
      </c>
      <c r="G747" t="s">
        <v>2</v>
      </c>
      <c r="H747" t="s">
        <v>241</v>
      </c>
      <c r="I747" t="s">
        <v>241</v>
      </c>
      <c r="J747" t="s">
        <v>881</v>
      </c>
      <c r="K747" t="s">
        <v>2</v>
      </c>
      <c r="L747" t="s">
        <v>268</v>
      </c>
      <c r="M747" s="1">
        <v>45015</v>
      </c>
      <c r="N747" t="s">
        <v>8</v>
      </c>
      <c r="O747" s="16">
        <v>20</v>
      </c>
      <c r="P747" t="s">
        <v>234</v>
      </c>
      <c r="Q747" t="s">
        <v>10</v>
      </c>
      <c r="R747" t="s">
        <v>22</v>
      </c>
      <c r="T747" t="s">
        <v>1134</v>
      </c>
      <c r="U747" t="s">
        <v>1115</v>
      </c>
      <c r="V747">
        <v>10</v>
      </c>
      <c r="W747" t="s">
        <v>1137</v>
      </c>
      <c r="X747" s="9"/>
      <c r="Y747" s="9"/>
      <c r="Z747" t="s">
        <v>1131</v>
      </c>
    </row>
    <row r="748" spans="1:26">
      <c r="A748">
        <v>747</v>
      </c>
      <c r="B748" t="s">
        <v>2</v>
      </c>
      <c r="C748" t="s">
        <v>882</v>
      </c>
      <c r="E748" t="s">
        <v>2</v>
      </c>
      <c r="F748">
        <v>982065619</v>
      </c>
      <c r="G748" t="s">
        <v>2</v>
      </c>
      <c r="H748" t="s">
        <v>4</v>
      </c>
      <c r="I748" t="s">
        <v>252</v>
      </c>
      <c r="J748" t="s">
        <v>2</v>
      </c>
      <c r="K748" t="s">
        <v>252</v>
      </c>
      <c r="L748" t="s">
        <v>7</v>
      </c>
      <c r="M748" s="1">
        <v>45016</v>
      </c>
      <c r="N748" t="s">
        <v>8</v>
      </c>
      <c r="O748">
        <v>440</v>
      </c>
      <c r="P748" t="s">
        <v>30</v>
      </c>
      <c r="Q748" t="s">
        <v>10</v>
      </c>
      <c r="R748" t="s">
        <v>11</v>
      </c>
      <c r="T748" t="s">
        <v>1092</v>
      </c>
      <c r="U748" t="s">
        <v>1096</v>
      </c>
      <c r="V748" s="3">
        <v>1</v>
      </c>
      <c r="W748" t="s">
        <v>1148</v>
      </c>
      <c r="X748" s="9"/>
      <c r="Y748" s="9"/>
      <c r="Z748" t="s">
        <v>1149</v>
      </c>
    </row>
    <row r="749" spans="1:26">
      <c r="A749">
        <v>748</v>
      </c>
      <c r="B749" t="s">
        <v>2</v>
      </c>
      <c r="C749" t="s">
        <v>7</v>
      </c>
      <c r="E749" t="s">
        <v>2</v>
      </c>
      <c r="F749">
        <v>931069156</v>
      </c>
      <c r="G749" t="s">
        <v>2</v>
      </c>
      <c r="H749" t="s">
        <v>4</v>
      </c>
      <c r="I749" t="s">
        <v>244</v>
      </c>
      <c r="J749" t="s">
        <v>2</v>
      </c>
      <c r="K749" t="s">
        <v>7</v>
      </c>
      <c r="L749" t="s">
        <v>7</v>
      </c>
      <c r="M749" s="1">
        <v>45017</v>
      </c>
      <c r="N749" t="s">
        <v>21</v>
      </c>
      <c r="O749" s="5">
        <f>1000-O750-O751</f>
        <v>440</v>
      </c>
      <c r="P749" t="s">
        <v>842</v>
      </c>
      <c r="Q749" t="s">
        <v>10</v>
      </c>
      <c r="R749" t="s">
        <v>11</v>
      </c>
      <c r="T749" t="s">
        <v>1092</v>
      </c>
      <c r="U749" t="s">
        <v>1105</v>
      </c>
      <c r="V749" s="3" t="s">
        <v>1044</v>
      </c>
      <c r="W749" t="s">
        <v>1148</v>
      </c>
      <c r="X749" s="9"/>
      <c r="Y749" s="9"/>
      <c r="Z749" t="s">
        <v>1149</v>
      </c>
    </row>
    <row r="750" spans="1:26">
      <c r="A750">
        <v>749</v>
      </c>
      <c r="B750" t="s">
        <v>2</v>
      </c>
      <c r="C750" t="s">
        <v>7</v>
      </c>
      <c r="E750" t="s">
        <v>2</v>
      </c>
      <c r="F750">
        <v>931069156</v>
      </c>
      <c r="G750" t="s">
        <v>2</v>
      </c>
      <c r="H750" t="s">
        <v>4</v>
      </c>
      <c r="I750" t="s">
        <v>244</v>
      </c>
      <c r="J750" t="s">
        <v>2</v>
      </c>
      <c r="K750" t="s">
        <v>7</v>
      </c>
      <c r="L750" t="s">
        <v>7</v>
      </c>
      <c r="M750" s="1">
        <v>45017</v>
      </c>
      <c r="N750" t="s">
        <v>21</v>
      </c>
      <c r="O750" s="17">
        <v>230</v>
      </c>
      <c r="P750" t="s">
        <v>842</v>
      </c>
      <c r="Q750" t="s">
        <v>10</v>
      </c>
      <c r="R750" t="s">
        <v>11</v>
      </c>
      <c r="T750" t="s">
        <v>1107</v>
      </c>
      <c r="U750" t="s">
        <v>1107</v>
      </c>
      <c r="V750">
        <v>1</v>
      </c>
      <c r="W750" t="s">
        <v>1140</v>
      </c>
      <c r="X750" s="9"/>
      <c r="Y750" s="9"/>
      <c r="Z750" t="s">
        <v>1138</v>
      </c>
    </row>
    <row r="751" spans="1:26">
      <c r="A751">
        <v>750</v>
      </c>
      <c r="B751" t="s">
        <v>2</v>
      </c>
      <c r="C751" t="s">
        <v>7</v>
      </c>
      <c r="E751" t="s">
        <v>2</v>
      </c>
      <c r="F751">
        <v>931069156</v>
      </c>
      <c r="G751" t="s">
        <v>2</v>
      </c>
      <c r="H751" t="s">
        <v>4</v>
      </c>
      <c r="I751" t="s">
        <v>244</v>
      </c>
      <c r="J751" t="s">
        <v>2</v>
      </c>
      <c r="K751" t="s">
        <v>7</v>
      </c>
      <c r="L751" t="s">
        <v>7</v>
      </c>
      <c r="M751" s="1">
        <v>45017</v>
      </c>
      <c r="N751" t="s">
        <v>21</v>
      </c>
      <c r="O751" s="17">
        <v>330</v>
      </c>
      <c r="P751" t="s">
        <v>842</v>
      </c>
      <c r="Q751" t="s">
        <v>10</v>
      </c>
      <c r="R751" t="s">
        <v>11</v>
      </c>
      <c r="T751" t="s">
        <v>1118</v>
      </c>
      <c r="U751" t="s">
        <v>1117</v>
      </c>
      <c r="V751">
        <v>1</v>
      </c>
      <c r="W751" t="s">
        <v>1085</v>
      </c>
      <c r="X751" s="9"/>
      <c r="Y751" s="9"/>
      <c r="Z751" t="s">
        <v>1141</v>
      </c>
    </row>
    <row r="752" spans="1:26">
      <c r="A752">
        <v>751</v>
      </c>
      <c r="B752" t="s">
        <v>12</v>
      </c>
      <c r="C752" t="s">
        <v>883</v>
      </c>
      <c r="D752">
        <v>20609120062</v>
      </c>
      <c r="E752" t="s">
        <v>2</v>
      </c>
      <c r="F752">
        <v>953505806</v>
      </c>
      <c r="G752" t="s">
        <v>884</v>
      </c>
      <c r="H752" t="s">
        <v>4</v>
      </c>
      <c r="I752" t="s">
        <v>420</v>
      </c>
      <c r="J752" t="s">
        <v>2</v>
      </c>
      <c r="K752" t="s">
        <v>885</v>
      </c>
      <c r="L752" t="s">
        <v>7</v>
      </c>
      <c r="M752" s="1">
        <v>45020</v>
      </c>
      <c r="N752" t="s">
        <v>8</v>
      </c>
      <c r="O752">
        <v>485</v>
      </c>
      <c r="P752" t="s">
        <v>134</v>
      </c>
      <c r="Q752" t="s">
        <v>10</v>
      </c>
      <c r="R752" t="s">
        <v>11</v>
      </c>
      <c r="T752" t="s">
        <v>1092</v>
      </c>
      <c r="U752" t="s">
        <v>1095</v>
      </c>
      <c r="V752" s="3">
        <v>1</v>
      </c>
      <c r="W752" t="s">
        <v>1145</v>
      </c>
      <c r="X752" s="9">
        <v>2</v>
      </c>
      <c r="Y752" s="9" t="s">
        <v>1084</v>
      </c>
      <c r="Z752" t="s">
        <v>1143</v>
      </c>
    </row>
    <row r="753" spans="1:26">
      <c r="A753">
        <v>752</v>
      </c>
      <c r="B753" t="str">
        <f t="shared" ref="B753:N753" si="345">B752</f>
        <v>FT</v>
      </c>
      <c r="C753" t="str">
        <f t="shared" si="345"/>
        <v>Marov Joyeria</v>
      </c>
      <c r="D753">
        <f t="shared" si="345"/>
        <v>20609120062</v>
      </c>
      <c r="E753" t="str">
        <f t="shared" si="345"/>
        <v>-</v>
      </c>
      <c r="F753">
        <f t="shared" si="345"/>
        <v>953505806</v>
      </c>
      <c r="G753" t="str">
        <f t="shared" si="345"/>
        <v>FT F001-105</v>
      </c>
      <c r="H753" t="str">
        <f t="shared" si="345"/>
        <v>Lima</v>
      </c>
      <c r="I753" t="str">
        <f t="shared" si="345"/>
        <v>Centro de Lima</v>
      </c>
      <c r="J753" t="str">
        <f t="shared" si="345"/>
        <v>-</v>
      </c>
      <c r="K753" t="str">
        <f t="shared" si="345"/>
        <v>Jr. Cruz del Sur 140-156 Surco Edificio Time</v>
      </c>
      <c r="L753" t="str">
        <f t="shared" si="345"/>
        <v>Oficina</v>
      </c>
      <c r="M753" s="1">
        <f t="shared" si="345"/>
        <v>45020</v>
      </c>
      <c r="N753" t="str">
        <f t="shared" si="345"/>
        <v>BCP</v>
      </c>
      <c r="O753" s="17">
        <f>25*(V753)</f>
        <v>75</v>
      </c>
      <c r="P753" t="str">
        <f t="shared" ref="P753:R753" si="346">P752</f>
        <v>Bodega</v>
      </c>
      <c r="Q753" t="str">
        <f t="shared" si="346"/>
        <v>U</v>
      </c>
      <c r="R753" t="str">
        <f t="shared" si="346"/>
        <v>Rodrigo</v>
      </c>
      <c r="T753" t="s">
        <v>1151</v>
      </c>
      <c r="U753" t="s">
        <v>1123</v>
      </c>
      <c r="V753" s="3">
        <v>3</v>
      </c>
      <c r="W753" t="s">
        <v>1135</v>
      </c>
      <c r="X753" s="9"/>
      <c r="Y753" s="9"/>
      <c r="Z753" t="s">
        <v>1136</v>
      </c>
    </row>
    <row r="754" spans="1:26">
      <c r="A754">
        <v>753</v>
      </c>
      <c r="B754" t="s">
        <v>12</v>
      </c>
      <c r="C754" t="s">
        <v>886</v>
      </c>
      <c r="D754">
        <v>20517470971</v>
      </c>
      <c r="E754" t="s">
        <v>2</v>
      </c>
      <c r="F754">
        <v>916410334</v>
      </c>
      <c r="G754" t="s">
        <v>887</v>
      </c>
      <c r="H754" t="s">
        <v>4</v>
      </c>
      <c r="I754" t="s">
        <v>244</v>
      </c>
      <c r="J754" t="s">
        <v>2</v>
      </c>
      <c r="K754" t="s">
        <v>7</v>
      </c>
      <c r="L754" t="s">
        <v>7</v>
      </c>
      <c r="M754" s="1">
        <v>45020</v>
      </c>
      <c r="N754" t="s">
        <v>8</v>
      </c>
      <c r="O754">
        <v>370</v>
      </c>
      <c r="P754" t="s">
        <v>52</v>
      </c>
      <c r="Q754" t="s">
        <v>10</v>
      </c>
      <c r="R754" t="s">
        <v>11</v>
      </c>
      <c r="T754" t="s">
        <v>1082</v>
      </c>
      <c r="U754" t="s">
        <v>1099</v>
      </c>
      <c r="V754" s="3" t="s">
        <v>1047</v>
      </c>
      <c r="W754" t="s">
        <v>1146</v>
      </c>
      <c r="X754" s="9">
        <v>20</v>
      </c>
      <c r="Y754" s="9" t="s">
        <v>1068</v>
      </c>
      <c r="Z754" t="s">
        <v>1143</v>
      </c>
    </row>
    <row r="755" spans="1:26">
      <c r="A755">
        <v>754</v>
      </c>
      <c r="B755" t="str">
        <f t="shared" ref="B755:N755" si="347">B754</f>
        <v>FT</v>
      </c>
      <c r="C755" t="str">
        <f t="shared" si="347"/>
        <v>Steve Manuel</v>
      </c>
      <c r="D755">
        <f t="shared" si="347"/>
        <v>20517470971</v>
      </c>
      <c r="E755" t="str">
        <f t="shared" si="347"/>
        <v>-</v>
      </c>
      <c r="F755">
        <f t="shared" si="347"/>
        <v>916410334</v>
      </c>
      <c r="G755" t="str">
        <f t="shared" si="347"/>
        <v>FT F001-106-107</v>
      </c>
      <c r="H755" t="str">
        <f t="shared" si="347"/>
        <v>Lima</v>
      </c>
      <c r="I755" t="str">
        <f t="shared" si="347"/>
        <v>Comas</v>
      </c>
      <c r="J755" t="str">
        <f t="shared" si="347"/>
        <v>-</v>
      </c>
      <c r="K755" t="str">
        <f t="shared" si="347"/>
        <v>Oficina</v>
      </c>
      <c r="L755" t="str">
        <f t="shared" si="347"/>
        <v>Oficina</v>
      </c>
      <c r="M755" s="1">
        <f t="shared" si="347"/>
        <v>45020</v>
      </c>
      <c r="N755" t="str">
        <f t="shared" si="347"/>
        <v>BCP</v>
      </c>
      <c r="O755" s="14">
        <v>30</v>
      </c>
      <c r="P755" t="s">
        <v>52</v>
      </c>
      <c r="Q755" t="str">
        <f t="shared" ref="Q755:R755" si="348">Q754</f>
        <v>U</v>
      </c>
      <c r="R755" t="str">
        <f t="shared" si="348"/>
        <v>Rodrigo</v>
      </c>
      <c r="T755" t="s">
        <v>1134</v>
      </c>
      <c r="U755" t="s">
        <v>1116</v>
      </c>
      <c r="V755" s="3">
        <f>X754</f>
        <v>20</v>
      </c>
      <c r="W755" t="s">
        <v>1137</v>
      </c>
      <c r="X755" s="9"/>
      <c r="Y755" s="9"/>
      <c r="Z755" t="s">
        <v>1131</v>
      </c>
    </row>
    <row r="756" spans="1:26">
      <c r="A756">
        <v>755</v>
      </c>
      <c r="B756" t="s">
        <v>2</v>
      </c>
      <c r="C756" t="s">
        <v>888</v>
      </c>
      <c r="E756" t="s">
        <v>2</v>
      </c>
      <c r="F756">
        <v>957341092</v>
      </c>
      <c r="G756" t="s">
        <v>2</v>
      </c>
      <c r="H756" t="s">
        <v>4</v>
      </c>
      <c r="I756" t="s">
        <v>420</v>
      </c>
      <c r="J756" t="s">
        <v>2</v>
      </c>
      <c r="K756" t="s">
        <v>420</v>
      </c>
      <c r="L756" t="s">
        <v>37</v>
      </c>
      <c r="M756" s="1">
        <v>45020</v>
      </c>
      <c r="N756" t="s">
        <v>8</v>
      </c>
      <c r="O756">
        <v>325</v>
      </c>
      <c r="P756" t="s">
        <v>889</v>
      </c>
      <c r="Q756" t="s">
        <v>10</v>
      </c>
      <c r="R756" t="s">
        <v>11</v>
      </c>
      <c r="T756" t="s">
        <v>1092</v>
      </c>
      <c r="U756" t="s">
        <v>1101</v>
      </c>
      <c r="V756" s="3">
        <v>1</v>
      </c>
      <c r="W756" t="s">
        <v>1146</v>
      </c>
      <c r="X756" s="9">
        <v>10</v>
      </c>
      <c r="Y756" s="9" t="s">
        <v>1065</v>
      </c>
      <c r="Z756" t="s">
        <v>1143</v>
      </c>
    </row>
    <row r="757" spans="1:26">
      <c r="A757">
        <v>756</v>
      </c>
      <c r="B757" t="str">
        <f t="shared" ref="B757:N757" si="349">B756</f>
        <v>-</v>
      </c>
      <c r="C757" t="str">
        <f t="shared" si="349"/>
        <v>Jhon Gustavo Salgado Aguirre</v>
      </c>
      <c r="E757" t="str">
        <f t="shared" si="349"/>
        <v>-</v>
      </c>
      <c r="F757">
        <f t="shared" si="349"/>
        <v>957341092</v>
      </c>
      <c r="G757" t="str">
        <f t="shared" si="349"/>
        <v>-</v>
      </c>
      <c r="H757" t="str">
        <f t="shared" si="349"/>
        <v>Lima</v>
      </c>
      <c r="I757" t="str">
        <f t="shared" si="349"/>
        <v>Centro de Lima</v>
      </c>
      <c r="J757" t="str">
        <f t="shared" si="349"/>
        <v>-</v>
      </c>
      <c r="K757" t="str">
        <f t="shared" si="349"/>
        <v>Centro de Lima</v>
      </c>
      <c r="L757" t="str">
        <f t="shared" si="349"/>
        <v>Redes sociales</v>
      </c>
      <c r="M757" s="1">
        <f t="shared" si="349"/>
        <v>45020</v>
      </c>
      <c r="N757" t="str">
        <f t="shared" si="349"/>
        <v>BCP</v>
      </c>
      <c r="O757" s="16">
        <f>25*(V757/10)</f>
        <v>25</v>
      </c>
      <c r="P757" t="str">
        <f t="shared" ref="P757:R757" si="350">P756</f>
        <v xml:space="preserve"> Farmacia </v>
      </c>
      <c r="Q757" t="str">
        <f t="shared" si="350"/>
        <v>U</v>
      </c>
      <c r="R757" t="str">
        <f t="shared" si="350"/>
        <v>Rodrigo</v>
      </c>
      <c r="T757" t="s">
        <v>1134</v>
      </c>
      <c r="U757" t="s">
        <v>1115</v>
      </c>
      <c r="V757" s="3">
        <f t="shared" ref="V757" si="351">X756</f>
        <v>10</v>
      </c>
      <c r="W757" t="s">
        <v>1137</v>
      </c>
      <c r="X757" s="9"/>
      <c r="Y757" s="9"/>
      <c r="Z757" t="s">
        <v>1131</v>
      </c>
    </row>
    <row r="758" spans="1:26">
      <c r="A758">
        <v>757</v>
      </c>
      <c r="B758" t="s">
        <v>2</v>
      </c>
      <c r="C758" t="s">
        <v>890</v>
      </c>
      <c r="E758">
        <v>44645021</v>
      </c>
      <c r="F758">
        <v>989928184</v>
      </c>
      <c r="G758" t="s">
        <v>2</v>
      </c>
      <c r="H758" t="s">
        <v>65</v>
      </c>
      <c r="J758" t="s">
        <v>29</v>
      </c>
      <c r="K758" t="s">
        <v>2</v>
      </c>
      <c r="L758" t="s">
        <v>268</v>
      </c>
      <c r="M758" s="1">
        <v>45020</v>
      </c>
      <c r="N758" t="s">
        <v>8</v>
      </c>
      <c r="O758">
        <v>315</v>
      </c>
      <c r="P758" t="s">
        <v>541</v>
      </c>
      <c r="Q758" t="s">
        <v>10</v>
      </c>
      <c r="R758" t="s">
        <v>11</v>
      </c>
      <c r="T758" t="s">
        <v>1092</v>
      </c>
      <c r="U758" t="s">
        <v>1101</v>
      </c>
      <c r="V758" s="3">
        <v>1</v>
      </c>
      <c r="W758" t="s">
        <v>1146</v>
      </c>
      <c r="X758" s="9">
        <v>10</v>
      </c>
      <c r="Y758" s="9" t="s">
        <v>1065</v>
      </c>
      <c r="Z758" t="s">
        <v>1143</v>
      </c>
    </row>
    <row r="759" spans="1:26">
      <c r="A759">
        <v>758</v>
      </c>
      <c r="B759" t="str">
        <f t="shared" ref="B759:N759" si="352">B758</f>
        <v>-</v>
      </c>
      <c r="C759" t="str">
        <f t="shared" si="352"/>
        <v>Abdias Joel Palomino Ruiz</v>
      </c>
      <c r="E759">
        <f t="shared" si="352"/>
        <v>44645021</v>
      </c>
      <c r="F759">
        <f t="shared" si="352"/>
        <v>989928184</v>
      </c>
      <c r="G759" t="str">
        <f t="shared" si="352"/>
        <v>-</v>
      </c>
      <c r="H759" t="str">
        <f t="shared" si="352"/>
        <v>Ica</v>
      </c>
      <c r="J759" t="str">
        <f t="shared" si="352"/>
        <v>Shalom</v>
      </c>
      <c r="K759" t="str">
        <f t="shared" si="352"/>
        <v>-</v>
      </c>
      <c r="L759" t="str">
        <f t="shared" si="352"/>
        <v>Aplicativo Web</v>
      </c>
      <c r="M759" s="1">
        <f t="shared" si="352"/>
        <v>45020</v>
      </c>
      <c r="N759" t="str">
        <f t="shared" si="352"/>
        <v>BCP</v>
      </c>
      <c r="O759" s="16">
        <f>25*(V759/10)</f>
        <v>25</v>
      </c>
      <c r="P759" t="str">
        <f t="shared" ref="P759:R759" si="353">P758</f>
        <v>Salón de Belleza</v>
      </c>
      <c r="Q759" t="str">
        <f t="shared" si="353"/>
        <v>U</v>
      </c>
      <c r="R759" t="str">
        <f t="shared" si="353"/>
        <v>Rodrigo</v>
      </c>
      <c r="T759" t="s">
        <v>1134</v>
      </c>
      <c r="U759" t="s">
        <v>1115</v>
      </c>
      <c r="V759" s="3">
        <f t="shared" ref="V759" si="354">X758</f>
        <v>10</v>
      </c>
      <c r="W759" t="s">
        <v>1137</v>
      </c>
      <c r="X759" s="9"/>
      <c r="Y759" s="9"/>
      <c r="Z759" t="s">
        <v>1131</v>
      </c>
    </row>
    <row r="760" spans="1:26">
      <c r="A760">
        <v>759</v>
      </c>
      <c r="B760" t="s">
        <v>2</v>
      </c>
      <c r="C760" t="s">
        <v>891</v>
      </c>
      <c r="E760">
        <v>70539991</v>
      </c>
      <c r="F760">
        <v>957571101</v>
      </c>
      <c r="G760" t="s">
        <v>2</v>
      </c>
      <c r="H760" t="s">
        <v>55</v>
      </c>
      <c r="J760" t="s">
        <v>147</v>
      </c>
      <c r="K760" t="s">
        <v>2</v>
      </c>
      <c r="L760" t="s">
        <v>268</v>
      </c>
      <c r="M760" s="1">
        <v>45020</v>
      </c>
      <c r="N760" t="s">
        <v>8</v>
      </c>
      <c r="O760">
        <v>480</v>
      </c>
      <c r="P760" t="s">
        <v>30</v>
      </c>
      <c r="Q760" t="s">
        <v>10</v>
      </c>
      <c r="R760" t="s">
        <v>22</v>
      </c>
      <c r="T760" t="s">
        <v>1092</v>
      </c>
      <c r="U760" t="s">
        <v>1105</v>
      </c>
      <c r="V760" s="3">
        <v>1</v>
      </c>
      <c r="W760" t="s">
        <v>1148</v>
      </c>
      <c r="X760" s="9">
        <v>1</v>
      </c>
      <c r="Y760" s="9" t="s">
        <v>1057</v>
      </c>
      <c r="Z760" t="s">
        <v>1149</v>
      </c>
    </row>
    <row r="761" spans="1:26">
      <c r="A761">
        <v>760</v>
      </c>
      <c r="B761" t="str">
        <f t="shared" ref="B761:N761" si="355">B760</f>
        <v>-</v>
      </c>
      <c r="C761" t="str">
        <f t="shared" si="355"/>
        <v>Salvador Edilberto Rodríguez Almanza</v>
      </c>
      <c r="E761">
        <f t="shared" si="355"/>
        <v>70539991</v>
      </c>
      <c r="F761">
        <f t="shared" si="355"/>
        <v>957571101</v>
      </c>
      <c r="G761" t="str">
        <f t="shared" si="355"/>
        <v>-</v>
      </c>
      <c r="H761" t="str">
        <f t="shared" si="355"/>
        <v>Tacna</v>
      </c>
      <c r="J761" t="str">
        <f t="shared" si="355"/>
        <v>Marvisur</v>
      </c>
      <c r="K761" t="str">
        <f t="shared" si="355"/>
        <v>-</v>
      </c>
      <c r="L761" t="str">
        <f t="shared" si="355"/>
        <v>Aplicativo Web</v>
      </c>
      <c r="M761" s="1">
        <f t="shared" si="355"/>
        <v>45020</v>
      </c>
      <c r="N761" t="str">
        <f t="shared" si="355"/>
        <v>BCP</v>
      </c>
      <c r="O761" s="17">
        <f>25*(V761)</f>
        <v>50</v>
      </c>
      <c r="P761" t="str">
        <f t="shared" ref="P761:R761" si="356">P760</f>
        <v>Otros</v>
      </c>
      <c r="Q761" t="str">
        <f t="shared" si="356"/>
        <v>U</v>
      </c>
      <c r="R761" t="str">
        <f t="shared" si="356"/>
        <v>Sergio</v>
      </c>
      <c r="T761" t="s">
        <v>1151</v>
      </c>
      <c r="U761" t="s">
        <v>1127</v>
      </c>
      <c r="V761" s="3">
        <v>2</v>
      </c>
      <c r="W761" t="s">
        <v>1135</v>
      </c>
      <c r="X761" s="9"/>
      <c r="Y761" s="9"/>
      <c r="Z761" t="s">
        <v>1136</v>
      </c>
    </row>
    <row r="762" spans="1:26">
      <c r="A762">
        <v>761</v>
      </c>
      <c r="B762" t="s">
        <v>2</v>
      </c>
      <c r="C762" t="s">
        <v>892</v>
      </c>
      <c r="E762">
        <v>23977649</v>
      </c>
      <c r="F762">
        <v>984006390</v>
      </c>
      <c r="G762" t="s">
        <v>2</v>
      </c>
      <c r="H762" t="s">
        <v>973</v>
      </c>
      <c r="J762" t="s">
        <v>893</v>
      </c>
      <c r="K762" t="s">
        <v>2</v>
      </c>
      <c r="L762" t="s">
        <v>268</v>
      </c>
      <c r="M762" s="1">
        <v>45020</v>
      </c>
      <c r="N762" t="s">
        <v>8</v>
      </c>
      <c r="O762" s="5">
        <f>855-O763-O764</f>
        <v>475</v>
      </c>
      <c r="P762" t="s">
        <v>30</v>
      </c>
      <c r="Q762" t="s">
        <v>10</v>
      </c>
      <c r="R762" t="s">
        <v>22</v>
      </c>
      <c r="T762" t="s">
        <v>1092</v>
      </c>
      <c r="U762" t="s">
        <v>1105</v>
      </c>
      <c r="V762" s="3">
        <v>1</v>
      </c>
      <c r="W762" t="s">
        <v>1148</v>
      </c>
      <c r="X762" s="9">
        <v>10</v>
      </c>
      <c r="Y762" s="9" t="s">
        <v>1065</v>
      </c>
      <c r="Z762" t="s">
        <v>1149</v>
      </c>
    </row>
    <row r="763" spans="1:26">
      <c r="A763">
        <v>762</v>
      </c>
      <c r="B763" t="str">
        <f t="shared" ref="B763:N763" si="357">B762</f>
        <v>-</v>
      </c>
      <c r="C763" t="str">
        <f t="shared" si="357"/>
        <v>José Antonio Lacuta Farfan</v>
      </c>
      <c r="E763">
        <f t="shared" si="357"/>
        <v>23977649</v>
      </c>
      <c r="F763">
        <f t="shared" si="357"/>
        <v>984006390</v>
      </c>
      <c r="G763" t="str">
        <f t="shared" si="357"/>
        <v>-</v>
      </c>
      <c r="H763" t="str">
        <f t="shared" si="357"/>
        <v>Cuzco</v>
      </c>
      <c r="J763" t="str">
        <f t="shared" si="357"/>
        <v>Machupicchu Cargo</v>
      </c>
      <c r="K763" t="str">
        <f t="shared" si="357"/>
        <v>-</v>
      </c>
      <c r="L763" t="str">
        <f t="shared" si="357"/>
        <v>Aplicativo Web</v>
      </c>
      <c r="M763" s="1">
        <f t="shared" si="357"/>
        <v>45020</v>
      </c>
      <c r="N763" t="str">
        <f t="shared" si="357"/>
        <v>BCP</v>
      </c>
      <c r="O763" s="16">
        <v>55</v>
      </c>
      <c r="P763" t="str">
        <f t="shared" ref="P763:R763" si="358">P762</f>
        <v>Otros</v>
      </c>
      <c r="Q763" t="str">
        <f t="shared" si="358"/>
        <v>U</v>
      </c>
      <c r="R763" t="str">
        <f t="shared" si="358"/>
        <v>Sergio</v>
      </c>
      <c r="T763" t="s">
        <v>1134</v>
      </c>
      <c r="U763" t="s">
        <v>1115</v>
      </c>
      <c r="V763" s="3">
        <v>20</v>
      </c>
      <c r="W763" t="s">
        <v>1137</v>
      </c>
      <c r="X763" s="9"/>
      <c r="Y763" s="9"/>
      <c r="Z763" t="s">
        <v>1131</v>
      </c>
    </row>
    <row r="764" spans="1:26">
      <c r="A764">
        <v>763</v>
      </c>
      <c r="B764" t="s">
        <v>2</v>
      </c>
      <c r="C764" t="s">
        <v>892</v>
      </c>
      <c r="E764">
        <v>23977649</v>
      </c>
      <c r="F764">
        <v>984006390</v>
      </c>
      <c r="G764" t="s">
        <v>2</v>
      </c>
      <c r="H764" t="s">
        <v>973</v>
      </c>
      <c r="J764" t="s">
        <v>893</v>
      </c>
      <c r="K764" t="s">
        <v>2</v>
      </c>
      <c r="L764" t="s">
        <v>268</v>
      </c>
      <c r="M764" s="1">
        <v>45020</v>
      </c>
      <c r="N764" t="s">
        <v>8</v>
      </c>
      <c r="O764" s="17">
        <f>25*(V764)</f>
        <v>325</v>
      </c>
      <c r="P764" t="s">
        <v>30</v>
      </c>
      <c r="Q764" t="s">
        <v>10</v>
      </c>
      <c r="R764" t="s">
        <v>22</v>
      </c>
      <c r="T764" t="s">
        <v>1151</v>
      </c>
      <c r="U764" t="s">
        <v>1127</v>
      </c>
      <c r="V764">
        <v>13</v>
      </c>
      <c r="W764" t="s">
        <v>1135</v>
      </c>
      <c r="Z764" t="s">
        <v>1136</v>
      </c>
    </row>
    <row r="765" spans="1:26">
      <c r="A765">
        <v>764</v>
      </c>
      <c r="B765" t="s">
        <v>12</v>
      </c>
      <c r="C765" t="s">
        <v>894</v>
      </c>
      <c r="D765">
        <v>10179035982</v>
      </c>
      <c r="E765" t="s">
        <v>2</v>
      </c>
      <c r="F765">
        <v>960222975</v>
      </c>
      <c r="G765" t="s">
        <v>895</v>
      </c>
      <c r="H765" t="s">
        <v>4</v>
      </c>
      <c r="I765" t="s">
        <v>420</v>
      </c>
      <c r="J765" t="s">
        <v>2</v>
      </c>
      <c r="K765" t="s">
        <v>896</v>
      </c>
      <c r="L765" t="s">
        <v>37</v>
      </c>
      <c r="M765" s="1">
        <v>45021</v>
      </c>
      <c r="N765" t="s">
        <v>38</v>
      </c>
      <c r="O765">
        <v>440</v>
      </c>
      <c r="P765" t="s">
        <v>30</v>
      </c>
      <c r="Q765" t="s">
        <v>10</v>
      </c>
      <c r="R765" t="s">
        <v>11</v>
      </c>
      <c r="T765" t="s">
        <v>1092</v>
      </c>
      <c r="U765" t="s">
        <v>1096</v>
      </c>
      <c r="V765" s="3">
        <v>1</v>
      </c>
      <c r="W765" t="s">
        <v>1148</v>
      </c>
      <c r="X765" t="s">
        <v>2</v>
      </c>
      <c r="Y765" t="s">
        <v>2</v>
      </c>
      <c r="Z765" t="s">
        <v>1149</v>
      </c>
    </row>
    <row r="766" spans="1:26">
      <c r="A766">
        <v>765</v>
      </c>
      <c r="B766" t="s">
        <v>23</v>
      </c>
      <c r="C766" t="s">
        <v>384</v>
      </c>
      <c r="E766" t="s">
        <v>2</v>
      </c>
      <c r="F766">
        <v>993104850</v>
      </c>
      <c r="G766" t="s">
        <v>2</v>
      </c>
      <c r="H766" t="s">
        <v>4</v>
      </c>
      <c r="I766" t="s">
        <v>420</v>
      </c>
      <c r="J766" t="s">
        <v>2</v>
      </c>
      <c r="K766" t="s">
        <v>495</v>
      </c>
      <c r="L766" t="s">
        <v>37</v>
      </c>
      <c r="M766" s="1">
        <v>45021</v>
      </c>
      <c r="N766" t="s">
        <v>8</v>
      </c>
      <c r="O766" s="16">
        <v>90</v>
      </c>
      <c r="P766" t="s">
        <v>30</v>
      </c>
      <c r="Q766" t="s">
        <v>10</v>
      </c>
      <c r="R766" t="s">
        <v>22</v>
      </c>
      <c r="T766" t="s">
        <v>1134</v>
      </c>
      <c r="U766" t="s">
        <v>1115</v>
      </c>
      <c r="V766" s="3">
        <v>3</v>
      </c>
      <c r="W766" t="s">
        <v>1137</v>
      </c>
      <c r="X766" t="s">
        <v>2</v>
      </c>
      <c r="Y766" t="s">
        <v>2</v>
      </c>
      <c r="Z766" t="s">
        <v>1131</v>
      </c>
    </row>
    <row r="767" spans="1:26">
      <c r="A767">
        <v>766</v>
      </c>
      <c r="B767" t="s">
        <v>12</v>
      </c>
      <c r="C767" t="s">
        <v>897</v>
      </c>
      <c r="E767" t="s">
        <v>2</v>
      </c>
      <c r="F767">
        <v>952849806</v>
      </c>
      <c r="G767" t="s">
        <v>898</v>
      </c>
      <c r="H767" t="s">
        <v>4</v>
      </c>
      <c r="I767" t="s">
        <v>899</v>
      </c>
      <c r="J767" t="s">
        <v>2</v>
      </c>
      <c r="K767" t="s">
        <v>899</v>
      </c>
      <c r="L767" t="s">
        <v>37</v>
      </c>
      <c r="M767" s="1">
        <v>45022</v>
      </c>
      <c r="N767" t="s">
        <v>8</v>
      </c>
      <c r="O767" s="5">
        <v>404.99</v>
      </c>
      <c r="P767" t="s">
        <v>134</v>
      </c>
      <c r="Q767" t="s">
        <v>10</v>
      </c>
      <c r="R767" t="s">
        <v>11</v>
      </c>
      <c r="T767" t="s">
        <v>1092</v>
      </c>
      <c r="U767" t="s">
        <v>1095</v>
      </c>
      <c r="V767" s="3">
        <v>1</v>
      </c>
      <c r="W767" t="s">
        <v>1145</v>
      </c>
      <c r="Z767" t="s">
        <v>1143</v>
      </c>
    </row>
    <row r="768" spans="1:26">
      <c r="A768">
        <v>767</v>
      </c>
      <c r="C768" t="s">
        <v>897</v>
      </c>
      <c r="F768">
        <v>952849806</v>
      </c>
      <c r="G768" t="s">
        <v>898</v>
      </c>
      <c r="H768" t="s">
        <v>4</v>
      </c>
      <c r="I768" t="s">
        <v>899</v>
      </c>
      <c r="K768" t="s">
        <v>899</v>
      </c>
      <c r="L768" t="s">
        <v>37</v>
      </c>
      <c r="M768" s="1">
        <v>45022</v>
      </c>
      <c r="N768" t="s">
        <v>8</v>
      </c>
      <c r="O768" s="17">
        <f>25*(V768)</f>
        <v>50</v>
      </c>
      <c r="P768" t="s">
        <v>134</v>
      </c>
      <c r="Q768" t="s">
        <v>10</v>
      </c>
      <c r="R768" t="s">
        <v>11</v>
      </c>
      <c r="T768" t="s">
        <v>1151</v>
      </c>
      <c r="U768" t="s">
        <v>1128</v>
      </c>
      <c r="V768">
        <v>2</v>
      </c>
      <c r="W768" t="s">
        <v>1135</v>
      </c>
      <c r="Z768" t="s">
        <v>1136</v>
      </c>
    </row>
    <row r="769" spans="1:26">
      <c r="A769">
        <v>768</v>
      </c>
      <c r="B769" t="s">
        <v>2</v>
      </c>
      <c r="C769" t="s">
        <v>900</v>
      </c>
      <c r="E769">
        <v>44126203</v>
      </c>
      <c r="F769">
        <v>918307218</v>
      </c>
      <c r="G769" t="s">
        <v>2</v>
      </c>
      <c r="H769" t="s">
        <v>681</v>
      </c>
      <c r="I769" t="s">
        <v>901</v>
      </c>
      <c r="J769" t="s">
        <v>29</v>
      </c>
      <c r="K769" t="s">
        <v>2</v>
      </c>
      <c r="L769" t="s">
        <v>268</v>
      </c>
      <c r="M769" s="1">
        <v>45024</v>
      </c>
      <c r="N769" t="s">
        <v>38</v>
      </c>
      <c r="O769">
        <v>200</v>
      </c>
      <c r="P769" t="s">
        <v>30</v>
      </c>
      <c r="Q769" t="s">
        <v>10</v>
      </c>
      <c r="R769" t="s">
        <v>11</v>
      </c>
      <c r="T769" t="s">
        <v>1082</v>
      </c>
      <c r="U769" t="s">
        <v>1099</v>
      </c>
      <c r="V769" s="3">
        <v>1</v>
      </c>
      <c r="W769" t="s">
        <v>1146</v>
      </c>
      <c r="Z769" t="s">
        <v>1143</v>
      </c>
    </row>
    <row r="770" spans="1:26">
      <c r="A770">
        <v>769</v>
      </c>
      <c r="B770" t="s">
        <v>2</v>
      </c>
      <c r="C770" t="s">
        <v>902</v>
      </c>
      <c r="E770">
        <v>42288856</v>
      </c>
      <c r="F770">
        <v>943611836</v>
      </c>
      <c r="G770" t="s">
        <v>2</v>
      </c>
      <c r="H770" t="s">
        <v>846</v>
      </c>
      <c r="I770" t="s">
        <v>82</v>
      </c>
      <c r="J770" t="s">
        <v>29</v>
      </c>
      <c r="K770" t="s">
        <v>2</v>
      </c>
      <c r="L770" t="s">
        <v>268</v>
      </c>
      <c r="M770" s="1">
        <v>45026</v>
      </c>
      <c r="N770" t="s">
        <v>56</v>
      </c>
      <c r="O770">
        <v>200</v>
      </c>
      <c r="P770" t="s">
        <v>30</v>
      </c>
      <c r="Q770" t="s">
        <v>10</v>
      </c>
      <c r="R770" t="s">
        <v>22</v>
      </c>
      <c r="T770" t="s">
        <v>1082</v>
      </c>
      <c r="U770" t="s">
        <v>1099</v>
      </c>
      <c r="V770" s="3">
        <v>1</v>
      </c>
      <c r="W770" t="s">
        <v>1146</v>
      </c>
      <c r="Z770" t="s">
        <v>1143</v>
      </c>
    </row>
    <row r="771" spans="1:26">
      <c r="A771">
        <v>770</v>
      </c>
      <c r="B771" t="s">
        <v>12</v>
      </c>
      <c r="C771" t="s">
        <v>903</v>
      </c>
      <c r="E771">
        <v>73049798</v>
      </c>
      <c r="F771">
        <v>944449320</v>
      </c>
      <c r="G771" t="s">
        <v>904</v>
      </c>
      <c r="H771" t="s">
        <v>55</v>
      </c>
      <c r="J771" t="s">
        <v>29</v>
      </c>
      <c r="K771" t="s">
        <v>2</v>
      </c>
      <c r="L771" t="s">
        <v>268</v>
      </c>
      <c r="M771" s="1">
        <v>45027</v>
      </c>
      <c r="N771" t="s">
        <v>56</v>
      </c>
      <c r="O771">
        <v>220</v>
      </c>
      <c r="P771" t="s">
        <v>30</v>
      </c>
      <c r="Q771" t="s">
        <v>10</v>
      </c>
      <c r="R771" t="s">
        <v>11</v>
      </c>
      <c r="T771" t="s">
        <v>1133</v>
      </c>
      <c r="U771" t="s">
        <v>1115</v>
      </c>
      <c r="V771" s="3">
        <v>40</v>
      </c>
      <c r="W771" t="s">
        <v>1132</v>
      </c>
      <c r="Z771" t="s">
        <v>1131</v>
      </c>
    </row>
    <row r="772" spans="1:26">
      <c r="A772">
        <v>771</v>
      </c>
      <c r="B772" t="str">
        <f t="shared" ref="B772:G772" si="359">B771</f>
        <v>FT</v>
      </c>
      <c r="C772" t="str">
        <f t="shared" si="359"/>
        <v>Miguel Antonio Rivera Gutierrez</v>
      </c>
      <c r="E772">
        <f t="shared" si="359"/>
        <v>73049798</v>
      </c>
      <c r="F772">
        <f t="shared" si="359"/>
        <v>944449320</v>
      </c>
      <c r="G772" t="str">
        <f t="shared" si="359"/>
        <v>FT F001-110</v>
      </c>
      <c r="H772" t="s">
        <v>55</v>
      </c>
      <c r="J772" t="s">
        <v>29</v>
      </c>
      <c r="L772" t="s">
        <v>268</v>
      </c>
      <c r="M772" s="1">
        <v>45027</v>
      </c>
      <c r="N772" t="s">
        <v>56</v>
      </c>
      <c r="O772" s="14">
        <v>360</v>
      </c>
      <c r="P772" t="s">
        <v>30</v>
      </c>
      <c r="Q772" t="s">
        <v>10</v>
      </c>
      <c r="R772" t="s">
        <v>11</v>
      </c>
      <c r="T772" t="s">
        <v>1111</v>
      </c>
      <c r="U772" t="s">
        <v>1112</v>
      </c>
      <c r="V772">
        <v>1</v>
      </c>
      <c r="W772" t="s">
        <v>1145</v>
      </c>
      <c r="Z772" t="s">
        <v>1144</v>
      </c>
    </row>
    <row r="773" spans="1:26">
      <c r="A773">
        <v>772</v>
      </c>
      <c r="B773" t="s">
        <v>12</v>
      </c>
      <c r="C773" t="s">
        <v>905</v>
      </c>
      <c r="E773">
        <v>45045363</v>
      </c>
      <c r="F773">
        <v>990236786</v>
      </c>
      <c r="G773" t="s">
        <v>906</v>
      </c>
      <c r="H773" s="7" t="s">
        <v>256</v>
      </c>
      <c r="I773" t="s">
        <v>79</v>
      </c>
      <c r="J773" t="s">
        <v>257</v>
      </c>
      <c r="K773" t="s">
        <v>2</v>
      </c>
      <c r="L773" t="s">
        <v>268</v>
      </c>
      <c r="M773" s="1">
        <v>45027</v>
      </c>
      <c r="N773" t="s">
        <v>8</v>
      </c>
      <c r="O773">
        <v>205</v>
      </c>
      <c r="P773" t="s">
        <v>889</v>
      </c>
      <c r="Q773" t="s">
        <v>10</v>
      </c>
      <c r="R773" t="s">
        <v>22</v>
      </c>
      <c r="T773" t="s">
        <v>1092</v>
      </c>
      <c r="U773" t="s">
        <v>1100</v>
      </c>
      <c r="V773" s="3">
        <v>1</v>
      </c>
      <c r="W773" t="s">
        <v>1146</v>
      </c>
      <c r="Z773" t="s">
        <v>1144</v>
      </c>
    </row>
    <row r="774" spans="1:26">
      <c r="A774">
        <v>773</v>
      </c>
      <c r="B774" t="str">
        <f t="shared" ref="B774:G774" si="360">B773</f>
        <v>FT</v>
      </c>
      <c r="C774" t="str">
        <f t="shared" si="360"/>
        <v>Diego Antonio Tuanama Perez</v>
      </c>
      <c r="E774">
        <f t="shared" si="360"/>
        <v>45045363</v>
      </c>
      <c r="F774">
        <f t="shared" si="360"/>
        <v>990236786</v>
      </c>
      <c r="G774" t="str">
        <f t="shared" si="360"/>
        <v>FT F001-111</v>
      </c>
      <c r="H774" s="7" t="s">
        <v>256</v>
      </c>
      <c r="I774" t="s">
        <v>79</v>
      </c>
      <c r="J774" t="s">
        <v>257</v>
      </c>
      <c r="K774" t="s">
        <v>2</v>
      </c>
      <c r="L774" t="s">
        <v>268</v>
      </c>
      <c r="M774" s="1">
        <v>45027</v>
      </c>
      <c r="N774" t="s">
        <v>8</v>
      </c>
      <c r="O774" s="14">
        <v>15</v>
      </c>
      <c r="P774" t="s">
        <v>889</v>
      </c>
      <c r="Q774" t="s">
        <v>10</v>
      </c>
      <c r="R774" t="s">
        <v>22</v>
      </c>
      <c r="T774" t="s">
        <v>1134</v>
      </c>
      <c r="U774" t="s">
        <v>1116</v>
      </c>
      <c r="V774">
        <v>10</v>
      </c>
      <c r="W774" t="s">
        <v>1137</v>
      </c>
      <c r="Z774" t="s">
        <v>1131</v>
      </c>
    </row>
    <row r="775" spans="1:26">
      <c r="A775">
        <v>774</v>
      </c>
      <c r="B775" t="s">
        <v>12</v>
      </c>
      <c r="C775" t="s">
        <v>907</v>
      </c>
      <c r="E775">
        <v>70183531</v>
      </c>
      <c r="F775">
        <v>935503491</v>
      </c>
      <c r="G775" t="s">
        <v>908</v>
      </c>
      <c r="H775" t="s">
        <v>48</v>
      </c>
      <c r="J775" t="s">
        <v>147</v>
      </c>
      <c r="K775" t="s">
        <v>2</v>
      </c>
      <c r="L775" t="s">
        <v>268</v>
      </c>
      <c r="M775" s="1">
        <v>45027</v>
      </c>
      <c r="N775" t="s">
        <v>8</v>
      </c>
      <c r="O775">
        <v>205</v>
      </c>
      <c r="P775" t="s">
        <v>134</v>
      </c>
      <c r="Q775" t="s">
        <v>10</v>
      </c>
      <c r="R775" t="s">
        <v>22</v>
      </c>
      <c r="T775" t="s">
        <v>1092</v>
      </c>
      <c r="U775" t="s">
        <v>1100</v>
      </c>
      <c r="V775" s="3">
        <v>1</v>
      </c>
      <c r="W775" t="s">
        <v>1146</v>
      </c>
      <c r="Z775" t="s">
        <v>1144</v>
      </c>
    </row>
    <row r="776" spans="1:26">
      <c r="A776">
        <v>775</v>
      </c>
      <c r="B776" t="str">
        <f t="shared" ref="B776:G776" si="361">B775</f>
        <v>FT</v>
      </c>
      <c r="C776" t="str">
        <f t="shared" si="361"/>
        <v>Jhon Alex Vilca Quispe</v>
      </c>
      <c r="E776">
        <f t="shared" si="361"/>
        <v>70183531</v>
      </c>
      <c r="F776">
        <f t="shared" si="361"/>
        <v>935503491</v>
      </c>
      <c r="G776" t="str">
        <f t="shared" si="361"/>
        <v>FT F001-112</v>
      </c>
      <c r="H776" t="s">
        <v>48</v>
      </c>
      <c r="J776" t="s">
        <v>147</v>
      </c>
      <c r="K776" t="s">
        <v>2</v>
      </c>
      <c r="L776" t="s">
        <v>268</v>
      </c>
      <c r="M776" s="1">
        <v>45027</v>
      </c>
      <c r="N776" t="s">
        <v>8</v>
      </c>
      <c r="O776" s="14">
        <v>15</v>
      </c>
      <c r="P776" t="s">
        <v>134</v>
      </c>
      <c r="Q776" t="s">
        <v>10</v>
      </c>
      <c r="R776" t="s">
        <v>22</v>
      </c>
      <c r="T776" t="s">
        <v>1134</v>
      </c>
      <c r="U776" t="s">
        <v>1116</v>
      </c>
      <c r="V776">
        <v>10</v>
      </c>
      <c r="W776" t="s">
        <v>1137</v>
      </c>
      <c r="Z776" t="s">
        <v>1131</v>
      </c>
    </row>
    <row r="777" spans="1:26">
      <c r="A777">
        <v>776</v>
      </c>
      <c r="B777" t="s">
        <v>2</v>
      </c>
      <c r="C777" t="s">
        <v>909</v>
      </c>
      <c r="E777" t="s">
        <v>2</v>
      </c>
      <c r="F777">
        <v>916764333</v>
      </c>
      <c r="G777" t="s">
        <v>2</v>
      </c>
      <c r="H777" t="s">
        <v>4</v>
      </c>
      <c r="I777" t="s">
        <v>244</v>
      </c>
      <c r="J777" t="s">
        <v>2</v>
      </c>
      <c r="K777" t="s">
        <v>910</v>
      </c>
      <c r="L777" t="s">
        <v>7</v>
      </c>
      <c r="M777" s="1">
        <v>45027</v>
      </c>
      <c r="N777" t="s">
        <v>8</v>
      </c>
      <c r="O777">
        <v>430</v>
      </c>
      <c r="P777" t="s">
        <v>30</v>
      </c>
      <c r="Q777" t="s">
        <v>10</v>
      </c>
      <c r="R777" t="s">
        <v>11</v>
      </c>
      <c r="T777" t="s">
        <v>1092</v>
      </c>
      <c r="U777" t="s">
        <v>1094</v>
      </c>
      <c r="V777" s="3">
        <v>1</v>
      </c>
      <c r="W777" t="s">
        <v>1148</v>
      </c>
      <c r="Z777" t="s">
        <v>1149</v>
      </c>
    </row>
    <row r="778" spans="1:26">
      <c r="A778">
        <v>777</v>
      </c>
      <c r="B778" t="s">
        <v>2</v>
      </c>
      <c r="C778" t="s">
        <v>911</v>
      </c>
      <c r="E778" t="s">
        <v>2</v>
      </c>
      <c r="F778">
        <v>996610624</v>
      </c>
      <c r="G778" t="s">
        <v>2</v>
      </c>
      <c r="H778" t="s">
        <v>4</v>
      </c>
      <c r="I778" t="s">
        <v>252</v>
      </c>
      <c r="J778" t="s">
        <v>2</v>
      </c>
      <c r="K778" t="s">
        <v>912</v>
      </c>
      <c r="L778" t="s">
        <v>37</v>
      </c>
      <c r="M778" s="1">
        <v>45027</v>
      </c>
      <c r="N778" t="s">
        <v>8</v>
      </c>
      <c r="O778">
        <v>220</v>
      </c>
      <c r="P778" t="s">
        <v>889</v>
      </c>
      <c r="Q778" t="s">
        <v>10</v>
      </c>
      <c r="R778" t="s">
        <v>11</v>
      </c>
      <c r="T778" t="s">
        <v>1092</v>
      </c>
      <c r="U778" t="s">
        <v>1100</v>
      </c>
      <c r="V778" s="3">
        <v>1</v>
      </c>
      <c r="W778" t="s">
        <v>1146</v>
      </c>
      <c r="Z778" t="s">
        <v>1144</v>
      </c>
    </row>
    <row r="779" spans="1:26">
      <c r="A779">
        <v>778</v>
      </c>
      <c r="B779" t="s">
        <v>2</v>
      </c>
      <c r="C779" t="s">
        <v>913</v>
      </c>
      <c r="E779" t="s">
        <v>2</v>
      </c>
      <c r="F779">
        <v>924724550</v>
      </c>
      <c r="G779" t="s">
        <v>2</v>
      </c>
      <c r="H779" t="s">
        <v>4</v>
      </c>
      <c r="I779" t="s">
        <v>58</v>
      </c>
      <c r="J779" t="s">
        <v>2</v>
      </c>
      <c r="K779" t="s">
        <v>914</v>
      </c>
      <c r="L779" t="s">
        <v>7</v>
      </c>
      <c r="M779" s="1">
        <v>45027</v>
      </c>
      <c r="N779" t="s">
        <v>21</v>
      </c>
      <c r="O779">
        <v>200</v>
      </c>
      <c r="P779" t="s">
        <v>134</v>
      </c>
      <c r="Q779" t="s">
        <v>10</v>
      </c>
      <c r="R779" t="s">
        <v>11</v>
      </c>
      <c r="T779" t="s">
        <v>1082</v>
      </c>
      <c r="U779" t="s">
        <v>1099</v>
      </c>
      <c r="V779" s="3">
        <v>1</v>
      </c>
      <c r="W779" t="s">
        <v>1146</v>
      </c>
      <c r="Z779" t="s">
        <v>1143</v>
      </c>
    </row>
    <row r="780" spans="1:26" s="18" customFormat="1">
      <c r="A780">
        <v>779</v>
      </c>
      <c r="B780" s="18" t="s">
        <v>12</v>
      </c>
      <c r="C780" s="18" t="s">
        <v>915</v>
      </c>
      <c r="D780"/>
      <c r="E780" s="18">
        <v>74290976</v>
      </c>
      <c r="F780" s="18">
        <v>942469517</v>
      </c>
      <c r="G780" s="18" t="s">
        <v>916</v>
      </c>
      <c r="H780" s="18" t="s">
        <v>423</v>
      </c>
      <c r="I780" s="18" t="s">
        <v>36</v>
      </c>
      <c r="J780" s="18" t="s">
        <v>917</v>
      </c>
      <c r="K780" s="18" t="s">
        <v>2</v>
      </c>
      <c r="L780" s="18" t="s">
        <v>268</v>
      </c>
      <c r="M780" s="21">
        <v>45028</v>
      </c>
      <c r="N780" s="18" t="s">
        <v>38</v>
      </c>
      <c r="O780" s="22">
        <f>1660-O781-O782-O783</f>
        <v>920</v>
      </c>
      <c r="P780" s="19" t="s">
        <v>52</v>
      </c>
      <c r="Q780" s="18" t="s">
        <v>10</v>
      </c>
      <c r="R780" s="18" t="s">
        <v>22</v>
      </c>
      <c r="T780" s="18" t="s">
        <v>1092</v>
      </c>
      <c r="U780" s="18" t="s">
        <v>1105</v>
      </c>
      <c r="V780" s="23">
        <v>2</v>
      </c>
      <c r="W780" s="18" t="s">
        <v>1148</v>
      </c>
      <c r="Z780" s="18" t="s">
        <v>1149</v>
      </c>
    </row>
    <row r="781" spans="1:26" s="18" customFormat="1">
      <c r="A781">
        <v>780</v>
      </c>
      <c r="B781" s="18" t="s">
        <v>12</v>
      </c>
      <c r="C781" s="18" t="s">
        <v>915</v>
      </c>
      <c r="D781"/>
      <c r="E781" s="18">
        <v>74290976</v>
      </c>
      <c r="F781" s="18">
        <v>942469517</v>
      </c>
      <c r="G781" s="18" t="s">
        <v>916</v>
      </c>
      <c r="H781" s="18" t="s">
        <v>423</v>
      </c>
      <c r="I781" s="18" t="s">
        <v>36</v>
      </c>
      <c r="J781" s="18" t="s">
        <v>917</v>
      </c>
      <c r="K781" s="18" t="s">
        <v>2</v>
      </c>
      <c r="L781" s="18" t="s">
        <v>268</v>
      </c>
      <c r="M781" s="21">
        <v>45028</v>
      </c>
      <c r="N781" s="18" t="s">
        <v>38</v>
      </c>
      <c r="O781" s="24">
        <v>50</v>
      </c>
      <c r="P781" s="19" t="s">
        <v>52</v>
      </c>
      <c r="Q781" s="18" t="s">
        <v>10</v>
      </c>
      <c r="R781" s="18" t="s">
        <v>22</v>
      </c>
      <c r="T781" s="18" t="s">
        <v>1151</v>
      </c>
      <c r="U781" s="18" t="s">
        <v>1127</v>
      </c>
      <c r="V781" s="23">
        <v>2</v>
      </c>
      <c r="W781" s="18" t="s">
        <v>1135</v>
      </c>
      <c r="Z781" s="18" t="s">
        <v>1136</v>
      </c>
    </row>
    <row r="782" spans="1:26" s="18" customFormat="1">
      <c r="A782">
        <v>781</v>
      </c>
      <c r="B782" s="18" t="str">
        <f t="shared" ref="B782:B783" si="362">B781</f>
        <v>FT</v>
      </c>
      <c r="C782" s="18" t="s">
        <v>915</v>
      </c>
      <c r="D782"/>
      <c r="E782" s="18">
        <f t="shared" ref="E782:G783" si="363">E781</f>
        <v>74290976</v>
      </c>
      <c r="F782" s="18">
        <f t="shared" si="363"/>
        <v>942469517</v>
      </c>
      <c r="G782" s="18" t="str">
        <f t="shared" si="363"/>
        <v>FT F001-113</v>
      </c>
      <c r="H782" s="18" t="s">
        <v>423</v>
      </c>
      <c r="I782" s="18" t="s">
        <v>36</v>
      </c>
      <c r="J782" s="18" t="s">
        <v>917</v>
      </c>
      <c r="K782" s="18" t="s">
        <v>2</v>
      </c>
      <c r="L782" s="18" t="s">
        <v>268</v>
      </c>
      <c r="M782" s="21">
        <v>45028</v>
      </c>
      <c r="N782" s="18" t="s">
        <v>38</v>
      </c>
      <c r="O782" s="25">
        <v>580</v>
      </c>
      <c r="P782" s="18" t="s">
        <v>52</v>
      </c>
      <c r="Q782" s="18" t="s">
        <v>10</v>
      </c>
      <c r="R782" s="18" t="s">
        <v>22</v>
      </c>
      <c r="T782" s="18" t="s">
        <v>1092</v>
      </c>
      <c r="U782" s="18" t="s">
        <v>1106</v>
      </c>
      <c r="V782" s="18">
        <v>2</v>
      </c>
      <c r="W782" s="18" t="s">
        <v>1139</v>
      </c>
      <c r="Z782" s="18" t="s">
        <v>1138</v>
      </c>
    </row>
    <row r="783" spans="1:26" s="18" customFormat="1">
      <c r="A783">
        <v>782</v>
      </c>
      <c r="B783" s="18" t="str">
        <f t="shared" si="362"/>
        <v>FT</v>
      </c>
      <c r="C783" s="18" t="s">
        <v>915</v>
      </c>
      <c r="D783"/>
      <c r="E783" s="18">
        <f t="shared" si="363"/>
        <v>74290976</v>
      </c>
      <c r="F783" s="18">
        <f t="shared" si="363"/>
        <v>942469517</v>
      </c>
      <c r="G783" s="18" t="str">
        <f t="shared" si="363"/>
        <v>FT F001-113</v>
      </c>
      <c r="H783" s="18" t="s">
        <v>423</v>
      </c>
      <c r="I783" s="18" t="s">
        <v>36</v>
      </c>
      <c r="J783" s="18" t="s">
        <v>917</v>
      </c>
      <c r="K783" s="18" t="s">
        <v>2</v>
      </c>
      <c r="L783" s="18" t="s">
        <v>268</v>
      </c>
      <c r="M783" s="21">
        <v>45028</v>
      </c>
      <c r="N783" s="18" t="s">
        <v>38</v>
      </c>
      <c r="O783" s="25">
        <v>110</v>
      </c>
      <c r="P783" s="18" t="s">
        <v>52</v>
      </c>
      <c r="Q783" s="18" t="s">
        <v>10</v>
      </c>
      <c r="R783" s="18" t="s">
        <v>22</v>
      </c>
      <c r="T783" s="18" t="s">
        <v>1133</v>
      </c>
      <c r="U783" s="18" t="s">
        <v>1114</v>
      </c>
      <c r="V783" s="18">
        <v>20</v>
      </c>
      <c r="W783" s="18" t="s">
        <v>1132</v>
      </c>
      <c r="Z783" s="18" t="s">
        <v>1131</v>
      </c>
    </row>
    <row r="784" spans="1:26">
      <c r="A784">
        <v>783</v>
      </c>
      <c r="B784" t="s">
        <v>12</v>
      </c>
      <c r="C784" t="s">
        <v>918</v>
      </c>
      <c r="E784" t="s">
        <v>2</v>
      </c>
      <c r="F784">
        <v>992509434</v>
      </c>
      <c r="G784" t="s">
        <v>919</v>
      </c>
      <c r="H784" t="s">
        <v>4</v>
      </c>
      <c r="I784" t="s">
        <v>164</v>
      </c>
      <c r="J784" t="s">
        <v>2</v>
      </c>
      <c r="K784" t="s">
        <v>920</v>
      </c>
      <c r="L784" t="s">
        <v>37</v>
      </c>
      <c r="M784" s="1">
        <v>45028</v>
      </c>
      <c r="N784" t="s">
        <v>21</v>
      </c>
      <c r="O784">
        <v>375</v>
      </c>
      <c r="P784" t="s">
        <v>30</v>
      </c>
      <c r="Q784" t="s">
        <v>10</v>
      </c>
      <c r="R784" t="s">
        <v>11</v>
      </c>
      <c r="T784" t="s">
        <v>1092</v>
      </c>
      <c r="U784" t="s">
        <v>1093</v>
      </c>
      <c r="V784" s="3">
        <v>1</v>
      </c>
      <c r="W784" t="s">
        <v>1148</v>
      </c>
      <c r="Z784" t="s">
        <v>1149</v>
      </c>
    </row>
    <row r="785" spans="1:26">
      <c r="A785">
        <v>784</v>
      </c>
      <c r="B785" t="str">
        <f>B784</f>
        <v>FT</v>
      </c>
      <c r="C785" t="s">
        <v>918</v>
      </c>
      <c r="E785" t="str">
        <f t="shared" ref="E785:G785" si="364">E784</f>
        <v>-</v>
      </c>
      <c r="F785">
        <f t="shared" si="364"/>
        <v>992509434</v>
      </c>
      <c r="G785" t="str">
        <f t="shared" si="364"/>
        <v>FT F001-114</v>
      </c>
      <c r="H785" t="s">
        <v>4</v>
      </c>
      <c r="I785" t="s">
        <v>164</v>
      </c>
      <c r="J785" t="s">
        <v>2</v>
      </c>
      <c r="K785" t="s">
        <v>920</v>
      </c>
      <c r="L785" t="s">
        <v>37</v>
      </c>
      <c r="M785" s="1">
        <v>45028</v>
      </c>
      <c r="N785" t="s">
        <v>21</v>
      </c>
      <c r="O785" s="16">
        <f>25*(V785/10)</f>
        <v>25</v>
      </c>
      <c r="P785" t="s">
        <v>30</v>
      </c>
      <c r="Q785" t="s">
        <v>10</v>
      </c>
      <c r="R785" t="s">
        <v>11</v>
      </c>
      <c r="T785" t="s">
        <v>1134</v>
      </c>
      <c r="U785" t="s">
        <v>1115</v>
      </c>
      <c r="V785">
        <v>10</v>
      </c>
      <c r="W785" t="s">
        <v>1137</v>
      </c>
      <c r="Z785" t="s">
        <v>1131</v>
      </c>
    </row>
    <row r="786" spans="1:26">
      <c r="A786">
        <v>785</v>
      </c>
      <c r="B786" t="s">
        <v>12</v>
      </c>
      <c r="C786" t="s">
        <v>921</v>
      </c>
      <c r="D786">
        <v>10448364491</v>
      </c>
      <c r="E786" t="s">
        <v>2</v>
      </c>
      <c r="F786">
        <v>980806820</v>
      </c>
      <c r="G786" t="s">
        <v>922</v>
      </c>
      <c r="H786" t="s">
        <v>4</v>
      </c>
      <c r="I786" t="s">
        <v>164</v>
      </c>
      <c r="J786" t="s">
        <v>2</v>
      </c>
      <c r="K786" t="s">
        <v>164</v>
      </c>
      <c r="L786" t="s">
        <v>37</v>
      </c>
      <c r="M786" s="1">
        <v>45028</v>
      </c>
      <c r="N786" t="s">
        <v>8</v>
      </c>
      <c r="O786">
        <v>365</v>
      </c>
      <c r="P786" t="s">
        <v>9</v>
      </c>
      <c r="Q786" t="s">
        <v>10</v>
      </c>
      <c r="R786" t="s">
        <v>11</v>
      </c>
      <c r="T786" t="s">
        <v>1092</v>
      </c>
      <c r="U786" t="s">
        <v>1093</v>
      </c>
      <c r="V786" s="3">
        <v>1</v>
      </c>
      <c r="W786" t="s">
        <v>1148</v>
      </c>
      <c r="Z786" t="s">
        <v>1149</v>
      </c>
    </row>
    <row r="787" spans="1:26">
      <c r="A787">
        <v>786</v>
      </c>
      <c r="B787" t="str">
        <f>B786</f>
        <v>FT</v>
      </c>
      <c r="C787" t="s">
        <v>921</v>
      </c>
      <c r="D787">
        <f t="shared" ref="D787:G787" si="365">D786</f>
        <v>10448364491</v>
      </c>
      <c r="E787" t="str">
        <f t="shared" si="365"/>
        <v>-</v>
      </c>
      <c r="F787">
        <f t="shared" si="365"/>
        <v>980806820</v>
      </c>
      <c r="G787" t="str">
        <f t="shared" si="365"/>
        <v>FT F001-124</v>
      </c>
      <c r="H787" t="s">
        <v>4</v>
      </c>
      <c r="I787" t="s">
        <v>164</v>
      </c>
      <c r="J787" t="s">
        <v>2</v>
      </c>
      <c r="K787" t="s">
        <v>164</v>
      </c>
      <c r="L787" t="s">
        <v>37</v>
      </c>
      <c r="M787" s="1">
        <v>45028</v>
      </c>
      <c r="N787" t="s">
        <v>8</v>
      </c>
      <c r="O787" s="16">
        <f>25*(V787/10)</f>
        <v>25</v>
      </c>
      <c r="P787" t="s">
        <v>9</v>
      </c>
      <c r="Q787" t="s">
        <v>10</v>
      </c>
      <c r="R787" t="s">
        <v>11</v>
      </c>
      <c r="T787" t="s">
        <v>1134</v>
      </c>
      <c r="U787" t="s">
        <v>1115</v>
      </c>
      <c r="V787">
        <v>10</v>
      </c>
      <c r="W787" t="s">
        <v>1137</v>
      </c>
      <c r="Z787" t="s">
        <v>1131</v>
      </c>
    </row>
    <row r="788" spans="1:26">
      <c r="A788">
        <v>787</v>
      </c>
      <c r="B788" t="s">
        <v>2</v>
      </c>
      <c r="C788" t="s">
        <v>923</v>
      </c>
      <c r="E788" t="s">
        <v>2</v>
      </c>
      <c r="F788">
        <v>999918096</v>
      </c>
      <c r="G788" t="s">
        <v>2</v>
      </c>
      <c r="H788" t="s">
        <v>4</v>
      </c>
      <c r="I788" t="s">
        <v>58</v>
      </c>
      <c r="J788" t="s">
        <v>2</v>
      </c>
      <c r="K788" t="s">
        <v>924</v>
      </c>
      <c r="L788" t="s">
        <v>7</v>
      </c>
      <c r="M788" s="1">
        <v>45028</v>
      </c>
      <c r="N788" t="s">
        <v>56</v>
      </c>
      <c r="O788">
        <v>470</v>
      </c>
      <c r="P788" t="s">
        <v>30</v>
      </c>
      <c r="Q788" t="s">
        <v>10</v>
      </c>
      <c r="R788" t="s">
        <v>11</v>
      </c>
      <c r="T788" t="s">
        <v>1092</v>
      </c>
      <c r="U788" t="s">
        <v>1105</v>
      </c>
      <c r="V788" s="3">
        <v>1</v>
      </c>
      <c r="W788" t="s">
        <v>1148</v>
      </c>
      <c r="Z788" t="s">
        <v>1149</v>
      </c>
    </row>
    <row r="789" spans="1:26">
      <c r="A789">
        <v>788</v>
      </c>
      <c r="B789" t="str">
        <f t="shared" ref="B789:G789" si="366">B788</f>
        <v>-</v>
      </c>
      <c r="C789" t="str">
        <f t="shared" si="366"/>
        <v>Diego Aliaga</v>
      </c>
      <c r="E789" t="str">
        <f t="shared" si="366"/>
        <v>-</v>
      </c>
      <c r="F789">
        <f t="shared" si="366"/>
        <v>999918096</v>
      </c>
      <c r="G789" t="str">
        <f t="shared" si="366"/>
        <v>-</v>
      </c>
      <c r="H789" t="s">
        <v>4</v>
      </c>
      <c r="I789" t="s">
        <v>58</v>
      </c>
      <c r="J789" t="s">
        <v>2</v>
      </c>
      <c r="K789" t="s">
        <v>924</v>
      </c>
      <c r="L789" t="s">
        <v>7</v>
      </c>
      <c r="M789" s="1">
        <v>45028</v>
      </c>
      <c r="N789" t="s">
        <v>56</v>
      </c>
      <c r="O789" s="17">
        <v>40</v>
      </c>
      <c r="P789" t="s">
        <v>30</v>
      </c>
      <c r="Q789" t="s">
        <v>10</v>
      </c>
      <c r="R789" t="s">
        <v>11</v>
      </c>
      <c r="T789" t="s">
        <v>1151</v>
      </c>
      <c r="U789" t="s">
        <v>1120</v>
      </c>
      <c r="V789">
        <v>2</v>
      </c>
      <c r="W789" t="s">
        <v>1135</v>
      </c>
      <c r="Z789" t="s">
        <v>1136</v>
      </c>
    </row>
    <row r="790" spans="1:26">
      <c r="A790">
        <v>789</v>
      </c>
      <c r="B790" t="s">
        <v>2</v>
      </c>
      <c r="C790" t="s">
        <v>925</v>
      </c>
      <c r="E790" t="s">
        <v>2</v>
      </c>
      <c r="F790">
        <v>962276965</v>
      </c>
      <c r="G790" t="s">
        <v>2</v>
      </c>
      <c r="H790" t="s">
        <v>4</v>
      </c>
      <c r="I790" t="s">
        <v>94</v>
      </c>
      <c r="J790" t="s">
        <v>2</v>
      </c>
      <c r="K790" t="s">
        <v>634</v>
      </c>
      <c r="L790" t="s">
        <v>7</v>
      </c>
      <c r="M790" s="1">
        <v>45028</v>
      </c>
      <c r="N790" t="s">
        <v>8</v>
      </c>
      <c r="O790">
        <v>200</v>
      </c>
      <c r="P790" t="s">
        <v>9</v>
      </c>
      <c r="Q790" t="s">
        <v>10</v>
      </c>
      <c r="R790" t="s">
        <v>11</v>
      </c>
      <c r="T790" t="s">
        <v>1082</v>
      </c>
      <c r="U790" t="s">
        <v>1099</v>
      </c>
      <c r="V790" s="3">
        <v>1</v>
      </c>
      <c r="W790" t="s">
        <v>1146</v>
      </c>
      <c r="Z790" t="s">
        <v>1143</v>
      </c>
    </row>
    <row r="791" spans="1:26">
      <c r="A791">
        <v>790</v>
      </c>
      <c r="B791" t="s">
        <v>2</v>
      </c>
      <c r="C791" t="s">
        <v>926</v>
      </c>
      <c r="E791">
        <v>46224192</v>
      </c>
      <c r="F791">
        <v>966415455</v>
      </c>
      <c r="G791" t="s">
        <v>2</v>
      </c>
      <c r="H791" t="s">
        <v>927</v>
      </c>
      <c r="I791" t="s">
        <v>405</v>
      </c>
      <c r="J791" t="s">
        <v>147</v>
      </c>
      <c r="K791" t="s">
        <v>2</v>
      </c>
      <c r="L791" t="s">
        <v>268</v>
      </c>
      <c r="M791" s="1">
        <v>45028</v>
      </c>
      <c r="N791" t="s">
        <v>8</v>
      </c>
      <c r="O791">
        <v>200</v>
      </c>
      <c r="P791" t="s">
        <v>9</v>
      </c>
      <c r="Q791" t="s">
        <v>10</v>
      </c>
      <c r="R791" t="s">
        <v>22</v>
      </c>
      <c r="T791" t="s">
        <v>1082</v>
      </c>
      <c r="U791" t="s">
        <v>1099</v>
      </c>
      <c r="V791" s="3">
        <v>1</v>
      </c>
      <c r="W791" t="s">
        <v>1146</v>
      </c>
      <c r="Z791" t="s">
        <v>1143</v>
      </c>
    </row>
    <row r="792" spans="1:26">
      <c r="A792">
        <v>791</v>
      </c>
      <c r="B792" t="s">
        <v>12</v>
      </c>
      <c r="C792" t="s">
        <v>928</v>
      </c>
      <c r="D792">
        <v>20608209744</v>
      </c>
      <c r="E792" t="s">
        <v>2</v>
      </c>
      <c r="F792">
        <v>974796948</v>
      </c>
      <c r="G792" t="s">
        <v>929</v>
      </c>
      <c r="H792" t="s">
        <v>4</v>
      </c>
      <c r="I792" t="s">
        <v>144</v>
      </c>
      <c r="J792" t="s">
        <v>2</v>
      </c>
      <c r="K792" t="s">
        <v>144</v>
      </c>
      <c r="L792" t="s">
        <v>268</v>
      </c>
      <c r="M792" s="1">
        <v>45028</v>
      </c>
      <c r="N792" t="s">
        <v>56</v>
      </c>
      <c r="O792" s="5">
        <f>760-O793</f>
        <v>490</v>
      </c>
      <c r="P792" t="s">
        <v>9</v>
      </c>
      <c r="Q792" t="s">
        <v>10</v>
      </c>
      <c r="R792" t="s">
        <v>22</v>
      </c>
      <c r="T792" t="s">
        <v>1092</v>
      </c>
      <c r="U792" t="s">
        <v>1105</v>
      </c>
      <c r="V792" s="3">
        <v>1</v>
      </c>
      <c r="W792" t="s">
        <v>1148</v>
      </c>
      <c r="Z792" t="s">
        <v>1149</v>
      </c>
    </row>
    <row r="793" spans="1:26">
      <c r="A793">
        <v>792</v>
      </c>
      <c r="B793" t="str">
        <f t="shared" ref="B793:G793" si="367">B792</f>
        <v>FT</v>
      </c>
      <c r="C793" t="str">
        <f t="shared" si="367"/>
        <v>Miguel Rios</v>
      </c>
      <c r="D793">
        <f t="shared" si="367"/>
        <v>20608209744</v>
      </c>
      <c r="E793" t="str">
        <f t="shared" si="367"/>
        <v>-</v>
      </c>
      <c r="F793">
        <f t="shared" si="367"/>
        <v>974796948</v>
      </c>
      <c r="G793" t="str">
        <f t="shared" si="367"/>
        <v>FT F001-115</v>
      </c>
      <c r="H793" t="s">
        <v>4</v>
      </c>
      <c r="I793" t="s">
        <v>144</v>
      </c>
      <c r="J793" t="s">
        <v>2</v>
      </c>
      <c r="K793" t="s">
        <v>144</v>
      </c>
      <c r="L793" t="s">
        <v>268</v>
      </c>
      <c r="M793" s="1">
        <v>45028</v>
      </c>
      <c r="N793" t="s">
        <v>56</v>
      </c>
      <c r="O793" s="17">
        <v>270</v>
      </c>
      <c r="P793" t="s">
        <v>9</v>
      </c>
      <c r="Q793" t="s">
        <v>10</v>
      </c>
      <c r="R793" t="s">
        <v>22</v>
      </c>
      <c r="T793" t="s">
        <v>1151</v>
      </c>
      <c r="U793" t="s">
        <v>1122</v>
      </c>
      <c r="V793">
        <v>8</v>
      </c>
      <c r="W793" t="s">
        <v>1135</v>
      </c>
      <c r="Z793" t="s">
        <v>1136</v>
      </c>
    </row>
    <row r="794" spans="1:26">
      <c r="A794">
        <v>793</v>
      </c>
      <c r="B794" t="s">
        <v>12</v>
      </c>
      <c r="C794" t="s">
        <v>13</v>
      </c>
      <c r="D794">
        <v>20608133161</v>
      </c>
      <c r="E794" t="s">
        <v>2</v>
      </c>
      <c r="F794">
        <v>926767316</v>
      </c>
      <c r="G794" t="s">
        <v>930</v>
      </c>
      <c r="H794" t="s">
        <v>4</v>
      </c>
      <c r="I794" t="s">
        <v>15</v>
      </c>
      <c r="J794" t="s">
        <v>2</v>
      </c>
      <c r="K794" t="s">
        <v>16</v>
      </c>
      <c r="L794" t="s">
        <v>268</v>
      </c>
      <c r="M794" s="1">
        <v>45029</v>
      </c>
      <c r="N794" t="s">
        <v>8</v>
      </c>
      <c r="O794">
        <v>370</v>
      </c>
      <c r="P794" t="s">
        <v>101</v>
      </c>
      <c r="Q794" t="s">
        <v>10</v>
      </c>
      <c r="R794" t="s">
        <v>11</v>
      </c>
      <c r="T794" t="s">
        <v>1092</v>
      </c>
      <c r="U794" t="s">
        <v>1095</v>
      </c>
      <c r="V794" s="3">
        <v>1</v>
      </c>
      <c r="W794" t="s">
        <v>1145</v>
      </c>
      <c r="Z794" t="s">
        <v>1143</v>
      </c>
    </row>
    <row r="795" spans="1:26">
      <c r="A795">
        <v>794</v>
      </c>
      <c r="B795" t="s">
        <v>12</v>
      </c>
      <c r="C795" t="s">
        <v>931</v>
      </c>
      <c r="D795">
        <v>10200702285</v>
      </c>
      <c r="E795">
        <v>20070228</v>
      </c>
      <c r="F795">
        <v>969838326</v>
      </c>
      <c r="G795" t="s">
        <v>932</v>
      </c>
      <c r="H795" t="s">
        <v>266</v>
      </c>
      <c r="J795" t="s">
        <v>147</v>
      </c>
      <c r="K795" t="s">
        <v>2</v>
      </c>
      <c r="L795" t="s">
        <v>268</v>
      </c>
      <c r="M795" s="1">
        <v>45030</v>
      </c>
      <c r="N795" t="s">
        <v>8</v>
      </c>
      <c r="O795" s="2">
        <v>459.99</v>
      </c>
      <c r="P795" t="s">
        <v>9</v>
      </c>
      <c r="Q795" t="s">
        <v>10</v>
      </c>
      <c r="R795" t="s">
        <v>11</v>
      </c>
      <c r="T795" t="s">
        <v>1092</v>
      </c>
      <c r="U795" t="s">
        <v>1105</v>
      </c>
      <c r="V795" s="3">
        <v>1</v>
      </c>
      <c r="W795" t="s">
        <v>1148</v>
      </c>
      <c r="Z795" t="s">
        <v>1149</v>
      </c>
    </row>
    <row r="796" spans="1:26">
      <c r="A796">
        <v>795</v>
      </c>
      <c r="B796" t="s">
        <v>12</v>
      </c>
      <c r="C796" t="s">
        <v>931</v>
      </c>
      <c r="D796">
        <v>10200702285</v>
      </c>
      <c r="E796">
        <v>20070228</v>
      </c>
      <c r="F796">
        <v>969838326</v>
      </c>
      <c r="G796" t="s">
        <v>932</v>
      </c>
      <c r="H796" t="s">
        <v>266</v>
      </c>
      <c r="J796" t="s">
        <v>147</v>
      </c>
      <c r="K796" t="s">
        <v>2</v>
      </c>
      <c r="L796" t="s">
        <v>268</v>
      </c>
      <c r="M796" s="1">
        <v>45030</v>
      </c>
      <c r="N796" t="s">
        <v>8</v>
      </c>
      <c r="O796" s="2">
        <v>400</v>
      </c>
      <c r="P796" t="s">
        <v>9</v>
      </c>
      <c r="Q796" t="s">
        <v>10</v>
      </c>
      <c r="R796" t="s">
        <v>11</v>
      </c>
      <c r="T796" t="s">
        <v>1092</v>
      </c>
      <c r="U796" t="s">
        <v>1096</v>
      </c>
      <c r="V796">
        <v>1</v>
      </c>
      <c r="W796" t="s">
        <v>1148</v>
      </c>
      <c r="Z796" t="s">
        <v>1149</v>
      </c>
    </row>
    <row r="797" spans="1:26">
      <c r="A797">
        <v>796</v>
      </c>
      <c r="B797" t="str">
        <f t="shared" ref="B797:G797" si="368">B795</f>
        <v>FT</v>
      </c>
      <c r="C797" t="str">
        <f t="shared" si="368"/>
        <v>Ticllacuri De La Cruz Dina</v>
      </c>
      <c r="D797">
        <f t="shared" si="368"/>
        <v>10200702285</v>
      </c>
      <c r="E797">
        <f t="shared" si="368"/>
        <v>20070228</v>
      </c>
      <c r="F797">
        <f t="shared" si="368"/>
        <v>969838326</v>
      </c>
      <c r="G797" t="str">
        <f t="shared" si="368"/>
        <v>FT F001-117</v>
      </c>
      <c r="H797" t="s">
        <v>266</v>
      </c>
      <c r="J797" t="s">
        <v>147</v>
      </c>
      <c r="K797" t="s">
        <v>2</v>
      </c>
      <c r="L797" t="s">
        <v>268</v>
      </c>
      <c r="M797" s="1">
        <v>45030</v>
      </c>
      <c r="N797" t="s">
        <v>8</v>
      </c>
      <c r="O797" s="2">
        <v>450</v>
      </c>
      <c r="P797" t="s">
        <v>9</v>
      </c>
      <c r="Q797" t="s">
        <v>10</v>
      </c>
      <c r="R797" t="s">
        <v>11</v>
      </c>
      <c r="T797" t="str">
        <f t="shared" ref="T797" si="369">T796</f>
        <v>Xprinter</v>
      </c>
      <c r="U797" t="s">
        <v>1106</v>
      </c>
      <c r="V797">
        <v>2</v>
      </c>
      <c r="W797" t="s">
        <v>1139</v>
      </c>
      <c r="Z797" t="s">
        <v>1138</v>
      </c>
    </row>
    <row r="798" spans="1:26">
      <c r="A798">
        <v>797</v>
      </c>
      <c r="B798" t="s">
        <v>12</v>
      </c>
      <c r="C798" t="s">
        <v>647</v>
      </c>
      <c r="E798">
        <v>20606086459</v>
      </c>
      <c r="F798">
        <v>913004278</v>
      </c>
      <c r="G798" t="s">
        <v>933</v>
      </c>
      <c r="H798" t="s">
        <v>4</v>
      </c>
      <c r="I798" t="s">
        <v>329</v>
      </c>
      <c r="J798" t="s">
        <v>2</v>
      </c>
      <c r="K798" t="s">
        <v>329</v>
      </c>
      <c r="L798" t="s">
        <v>37</v>
      </c>
      <c r="M798" s="1">
        <v>45030</v>
      </c>
      <c r="N798" t="s">
        <v>8</v>
      </c>
      <c r="O798" s="2">
        <v>1050</v>
      </c>
      <c r="P798" t="s">
        <v>234</v>
      </c>
      <c r="Q798" t="s">
        <v>10</v>
      </c>
      <c r="R798" t="s">
        <v>22</v>
      </c>
      <c r="T798" t="s">
        <v>1092</v>
      </c>
      <c r="U798" t="s">
        <v>1100</v>
      </c>
      <c r="V798" s="3">
        <v>6</v>
      </c>
      <c r="W798" t="s">
        <v>1146</v>
      </c>
      <c r="Z798" t="s">
        <v>1144</v>
      </c>
    </row>
    <row r="799" spans="1:26">
      <c r="A799">
        <v>798</v>
      </c>
      <c r="B799" t="s">
        <v>2</v>
      </c>
      <c r="C799" t="s">
        <v>934</v>
      </c>
      <c r="E799" t="s">
        <v>2</v>
      </c>
      <c r="F799">
        <v>933240275</v>
      </c>
      <c r="G799" t="s">
        <v>2</v>
      </c>
      <c r="H799" t="s">
        <v>4</v>
      </c>
      <c r="I799" t="s">
        <v>244</v>
      </c>
      <c r="J799" t="s">
        <v>2</v>
      </c>
      <c r="K799" t="s">
        <v>935</v>
      </c>
      <c r="L799" t="s">
        <v>7</v>
      </c>
      <c r="M799" s="1">
        <v>45030</v>
      </c>
      <c r="N799" t="s">
        <v>21</v>
      </c>
      <c r="O799" s="2">
        <f>1150-O800</f>
        <v>750</v>
      </c>
      <c r="P799" t="s">
        <v>30</v>
      </c>
      <c r="Q799" t="s">
        <v>10</v>
      </c>
      <c r="R799" t="s">
        <v>11</v>
      </c>
      <c r="T799" t="s">
        <v>1092</v>
      </c>
      <c r="U799" t="s">
        <v>1101</v>
      </c>
      <c r="V799" s="3">
        <v>2</v>
      </c>
      <c r="W799" t="s">
        <v>1146</v>
      </c>
      <c r="Z799" t="s">
        <v>1143</v>
      </c>
    </row>
    <row r="800" spans="1:26">
      <c r="A800">
        <v>799</v>
      </c>
      <c r="B800" t="str">
        <f t="shared" ref="B800:G800" si="370">B799</f>
        <v>-</v>
      </c>
      <c r="C800" t="str">
        <f t="shared" si="370"/>
        <v>Leo Risco de Wizard med EIRL</v>
      </c>
      <c r="E800" t="str">
        <f t="shared" si="370"/>
        <v>-</v>
      </c>
      <c r="F800">
        <f t="shared" si="370"/>
        <v>933240275</v>
      </c>
      <c r="G800" t="str">
        <f t="shared" si="370"/>
        <v>-</v>
      </c>
      <c r="H800" t="s">
        <v>4</v>
      </c>
      <c r="I800" t="s">
        <v>244</v>
      </c>
      <c r="J800" t="s">
        <v>2</v>
      </c>
      <c r="K800" t="s">
        <v>935</v>
      </c>
      <c r="L800" t="s">
        <v>7</v>
      </c>
      <c r="M800" s="1">
        <v>45030</v>
      </c>
      <c r="N800" t="s">
        <v>21</v>
      </c>
      <c r="O800" s="2">
        <v>400</v>
      </c>
      <c r="P800" t="s">
        <v>30</v>
      </c>
      <c r="Q800" t="s">
        <v>10</v>
      </c>
      <c r="R800" t="s">
        <v>11</v>
      </c>
      <c r="T800" t="s">
        <v>1092</v>
      </c>
      <c r="U800" t="s">
        <v>1093</v>
      </c>
      <c r="V800">
        <v>1</v>
      </c>
      <c r="W800" t="s">
        <v>1148</v>
      </c>
      <c r="Z800" t="s">
        <v>1149</v>
      </c>
    </row>
    <row r="801" spans="1:26">
      <c r="A801">
        <v>800</v>
      </c>
      <c r="B801" t="s">
        <v>2</v>
      </c>
      <c r="C801" t="s">
        <v>909</v>
      </c>
      <c r="E801" t="s">
        <v>2</v>
      </c>
      <c r="F801">
        <v>916764333</v>
      </c>
      <c r="G801" t="s">
        <v>2</v>
      </c>
      <c r="H801" t="s">
        <v>4</v>
      </c>
      <c r="I801" t="s">
        <v>244</v>
      </c>
      <c r="J801" t="s">
        <v>2</v>
      </c>
      <c r="K801" t="s">
        <v>910</v>
      </c>
      <c r="L801" t="s">
        <v>7</v>
      </c>
      <c r="M801" s="1">
        <v>45031</v>
      </c>
      <c r="N801" t="s">
        <v>21</v>
      </c>
      <c r="O801">
        <v>400</v>
      </c>
      <c r="P801" t="s">
        <v>1081</v>
      </c>
      <c r="Q801" t="s">
        <v>10</v>
      </c>
      <c r="R801" t="s">
        <v>11</v>
      </c>
      <c r="T801" t="s">
        <v>1092</v>
      </c>
      <c r="U801" t="s">
        <v>1093</v>
      </c>
      <c r="V801" s="3">
        <v>1</v>
      </c>
      <c r="W801" t="s">
        <v>1148</v>
      </c>
      <c r="Z801" t="s">
        <v>1149</v>
      </c>
    </row>
    <row r="802" spans="1:26">
      <c r="A802">
        <v>801</v>
      </c>
      <c r="B802" t="s">
        <v>2</v>
      </c>
      <c r="C802" t="s">
        <v>936</v>
      </c>
      <c r="E802" t="s">
        <v>2</v>
      </c>
      <c r="F802">
        <v>989321949</v>
      </c>
      <c r="G802" t="s">
        <v>2</v>
      </c>
      <c r="H802" t="s">
        <v>4</v>
      </c>
      <c r="I802" t="s">
        <v>244</v>
      </c>
      <c r="J802" t="s">
        <v>2</v>
      </c>
      <c r="K802" t="s">
        <v>7</v>
      </c>
      <c r="L802" t="s">
        <v>7</v>
      </c>
      <c r="M802" s="1">
        <v>45033</v>
      </c>
      <c r="N802" t="s">
        <v>21</v>
      </c>
      <c r="O802">
        <v>190</v>
      </c>
      <c r="P802" t="s">
        <v>234</v>
      </c>
      <c r="Q802" t="s">
        <v>10</v>
      </c>
      <c r="R802" t="s">
        <v>22</v>
      </c>
      <c r="T802" t="str">
        <f t="shared" ref="T802" si="371">T801</f>
        <v>Xprinter</v>
      </c>
      <c r="U802" t="s">
        <v>1106</v>
      </c>
      <c r="V802" s="3">
        <v>1</v>
      </c>
      <c r="W802" t="s">
        <v>1139</v>
      </c>
      <c r="Z802" t="s">
        <v>1138</v>
      </c>
    </row>
    <row r="803" spans="1:26">
      <c r="A803">
        <v>802</v>
      </c>
      <c r="B803" t="s">
        <v>2</v>
      </c>
      <c r="C803" t="s">
        <v>937</v>
      </c>
      <c r="E803" t="s">
        <v>2</v>
      </c>
      <c r="F803">
        <v>978896512</v>
      </c>
      <c r="G803" t="s">
        <v>2</v>
      </c>
      <c r="H803" t="s">
        <v>4</v>
      </c>
      <c r="I803" t="s">
        <v>938</v>
      </c>
      <c r="J803" t="s">
        <v>2</v>
      </c>
      <c r="K803" t="s">
        <v>938</v>
      </c>
      <c r="L803" t="s">
        <v>268</v>
      </c>
      <c r="M803" s="1">
        <v>45035</v>
      </c>
      <c r="N803" t="s">
        <v>21</v>
      </c>
      <c r="O803">
        <v>400</v>
      </c>
      <c r="P803" t="s">
        <v>541</v>
      </c>
      <c r="Q803" t="s">
        <v>10</v>
      </c>
      <c r="R803" t="s">
        <v>11</v>
      </c>
      <c r="T803" t="s">
        <v>1092</v>
      </c>
      <c r="U803" t="s">
        <v>1093</v>
      </c>
      <c r="V803" s="3">
        <v>1</v>
      </c>
      <c r="W803" t="s">
        <v>1148</v>
      </c>
      <c r="Z803" t="s">
        <v>1149</v>
      </c>
    </row>
    <row r="804" spans="1:26">
      <c r="A804">
        <v>803</v>
      </c>
      <c r="B804" t="str">
        <f t="shared" ref="B804:G804" si="372">B803</f>
        <v>-</v>
      </c>
      <c r="C804" t="str">
        <f t="shared" si="372"/>
        <v>Israel Tintaya Quispe</v>
      </c>
      <c r="E804" t="str">
        <f t="shared" si="372"/>
        <v>-</v>
      </c>
      <c r="F804">
        <f t="shared" si="372"/>
        <v>978896512</v>
      </c>
      <c r="G804" t="str">
        <f t="shared" si="372"/>
        <v>-</v>
      </c>
      <c r="H804" t="s">
        <v>4</v>
      </c>
      <c r="I804" t="s">
        <v>938</v>
      </c>
      <c r="J804" t="s">
        <v>2</v>
      </c>
      <c r="K804" t="s">
        <v>938</v>
      </c>
      <c r="L804" t="s">
        <v>268</v>
      </c>
      <c r="M804" s="1">
        <v>45035</v>
      </c>
      <c r="N804" t="s">
        <v>21</v>
      </c>
      <c r="O804" s="14">
        <v>130</v>
      </c>
      <c r="P804" t="s">
        <v>541</v>
      </c>
      <c r="Q804" t="s">
        <v>10</v>
      </c>
      <c r="R804" t="s">
        <v>11</v>
      </c>
      <c r="T804" t="s">
        <v>1133</v>
      </c>
      <c r="U804" t="s">
        <v>1114</v>
      </c>
      <c r="V804">
        <v>10</v>
      </c>
      <c r="W804" t="s">
        <v>1132</v>
      </c>
      <c r="Z804" t="s">
        <v>1131</v>
      </c>
    </row>
    <row r="805" spans="1:26">
      <c r="A805">
        <v>804</v>
      </c>
      <c r="B805" t="s">
        <v>12</v>
      </c>
      <c r="C805" t="s">
        <v>939</v>
      </c>
      <c r="D805">
        <v>20545645034</v>
      </c>
      <c r="E805" t="s">
        <v>2</v>
      </c>
      <c r="F805">
        <v>945053727</v>
      </c>
      <c r="G805" t="s">
        <v>940</v>
      </c>
      <c r="H805" t="s">
        <v>4</v>
      </c>
      <c r="I805" t="s">
        <v>420</v>
      </c>
      <c r="J805" t="s">
        <v>2</v>
      </c>
      <c r="K805" t="s">
        <v>941</v>
      </c>
      <c r="L805" t="s">
        <v>37</v>
      </c>
      <c r="M805" s="1">
        <v>45036</v>
      </c>
      <c r="N805" t="s">
        <v>21</v>
      </c>
      <c r="O805">
        <v>430</v>
      </c>
      <c r="P805" t="s">
        <v>234</v>
      </c>
      <c r="Q805" t="s">
        <v>10</v>
      </c>
      <c r="R805" t="s">
        <v>22</v>
      </c>
      <c r="T805" t="s">
        <v>1092</v>
      </c>
      <c r="U805" t="s">
        <v>1096</v>
      </c>
      <c r="V805" s="3">
        <v>1</v>
      </c>
      <c r="W805" t="s">
        <v>1148</v>
      </c>
      <c r="Z805" t="s">
        <v>1149</v>
      </c>
    </row>
    <row r="806" spans="1:26">
      <c r="A806">
        <v>805</v>
      </c>
      <c r="B806" t="str">
        <f t="shared" ref="B806:G806" si="373">B805</f>
        <v>FT</v>
      </c>
      <c r="C806" t="str">
        <f t="shared" si="373"/>
        <v>Corporación Textiles Classica Sport S.A.C.</v>
      </c>
      <c r="D806">
        <f t="shared" si="373"/>
        <v>20545645034</v>
      </c>
      <c r="E806" t="str">
        <f t="shared" si="373"/>
        <v>-</v>
      </c>
      <c r="F806">
        <f t="shared" si="373"/>
        <v>945053727</v>
      </c>
      <c r="G806" t="str">
        <f t="shared" si="373"/>
        <v>FT F001-119</v>
      </c>
      <c r="H806" t="s">
        <v>4</v>
      </c>
      <c r="I806" t="s">
        <v>420</v>
      </c>
      <c r="J806" t="s">
        <v>2</v>
      </c>
      <c r="K806" t="s">
        <v>941</v>
      </c>
      <c r="L806" t="s">
        <v>37</v>
      </c>
      <c r="M806" s="1">
        <v>45036</v>
      </c>
      <c r="N806" t="s">
        <v>21</v>
      </c>
      <c r="O806">
        <v>230</v>
      </c>
      <c r="P806" t="s">
        <v>234</v>
      </c>
      <c r="Q806" t="s">
        <v>10</v>
      </c>
      <c r="R806" t="s">
        <v>22</v>
      </c>
      <c r="T806" t="s">
        <v>1118</v>
      </c>
      <c r="U806" t="s">
        <v>1117</v>
      </c>
      <c r="V806">
        <v>1</v>
      </c>
      <c r="W806" t="s">
        <v>1085</v>
      </c>
      <c r="Z806" t="s">
        <v>1141</v>
      </c>
    </row>
    <row r="807" spans="1:26">
      <c r="A807">
        <v>806</v>
      </c>
      <c r="B807" t="s">
        <v>12</v>
      </c>
      <c r="C807" t="s">
        <v>942</v>
      </c>
      <c r="D807">
        <v>20609608812</v>
      </c>
      <c r="E807">
        <v>73119841</v>
      </c>
      <c r="F807">
        <v>993662972</v>
      </c>
      <c r="G807" t="s">
        <v>943</v>
      </c>
      <c r="H807" t="s">
        <v>77</v>
      </c>
      <c r="I807" t="s">
        <v>782</v>
      </c>
      <c r="J807" t="s">
        <v>29</v>
      </c>
      <c r="K807" t="s">
        <v>2</v>
      </c>
      <c r="L807" t="s">
        <v>268</v>
      </c>
      <c r="M807" s="1">
        <v>45036</v>
      </c>
      <c r="N807" t="s">
        <v>8</v>
      </c>
      <c r="O807">
        <v>200</v>
      </c>
      <c r="P807" t="s">
        <v>9</v>
      </c>
      <c r="Q807" t="s">
        <v>10</v>
      </c>
      <c r="R807" t="s">
        <v>11</v>
      </c>
      <c r="T807" t="s">
        <v>1082</v>
      </c>
      <c r="U807" t="s">
        <v>1099</v>
      </c>
      <c r="V807" s="3">
        <v>1</v>
      </c>
      <c r="W807" t="s">
        <v>1146</v>
      </c>
      <c r="Z807" t="s">
        <v>1143</v>
      </c>
    </row>
    <row r="808" spans="1:26">
      <c r="A808">
        <v>807</v>
      </c>
      <c r="B808" t="s">
        <v>2</v>
      </c>
      <c r="C808" t="s">
        <v>944</v>
      </c>
      <c r="E808">
        <v>42751272</v>
      </c>
      <c r="F808">
        <v>948912010</v>
      </c>
      <c r="G808" t="s">
        <v>2</v>
      </c>
      <c r="H808" t="s">
        <v>681</v>
      </c>
      <c r="J808" t="s">
        <v>29</v>
      </c>
      <c r="K808" t="s">
        <v>2</v>
      </c>
      <c r="L808" t="s">
        <v>268</v>
      </c>
      <c r="M808" s="1">
        <v>45036</v>
      </c>
      <c r="N808" t="s">
        <v>8</v>
      </c>
      <c r="O808">
        <v>325</v>
      </c>
      <c r="P808" t="s">
        <v>541</v>
      </c>
      <c r="Q808" t="s">
        <v>10</v>
      </c>
      <c r="R808" t="s">
        <v>11</v>
      </c>
      <c r="T808" t="s">
        <v>1092</v>
      </c>
      <c r="U808" t="s">
        <v>1101</v>
      </c>
      <c r="V808" s="3">
        <v>1</v>
      </c>
      <c r="W808" t="s">
        <v>1146</v>
      </c>
      <c r="Z808" t="s">
        <v>1143</v>
      </c>
    </row>
    <row r="809" spans="1:26">
      <c r="A809">
        <v>808</v>
      </c>
      <c r="B809" t="str">
        <f t="shared" ref="B809:G809" si="374">B808</f>
        <v>-</v>
      </c>
      <c r="C809" t="str">
        <f t="shared" si="374"/>
        <v>Alex Valdivia De La Cruz</v>
      </c>
      <c r="E809">
        <f t="shared" si="374"/>
        <v>42751272</v>
      </c>
      <c r="F809">
        <f t="shared" si="374"/>
        <v>948912010</v>
      </c>
      <c r="G809" t="str">
        <f t="shared" si="374"/>
        <v>-</v>
      </c>
      <c r="H809" t="s">
        <v>681</v>
      </c>
      <c r="J809" t="s">
        <v>29</v>
      </c>
      <c r="K809" t="s">
        <v>2</v>
      </c>
      <c r="L809" t="s">
        <v>268</v>
      </c>
      <c r="M809" s="1">
        <v>45036</v>
      </c>
      <c r="N809" t="s">
        <v>8</v>
      </c>
      <c r="O809" s="16">
        <f>25*(V809/10)</f>
        <v>25</v>
      </c>
      <c r="P809" t="s">
        <v>541</v>
      </c>
      <c r="Q809" t="str">
        <f t="shared" ref="Q809:R809" si="375">Q808</f>
        <v>U</v>
      </c>
      <c r="R809" t="str">
        <f t="shared" si="375"/>
        <v>Rodrigo</v>
      </c>
      <c r="T809" t="s">
        <v>1134</v>
      </c>
      <c r="U809" t="s">
        <v>1115</v>
      </c>
      <c r="V809">
        <v>10</v>
      </c>
      <c r="W809" t="s">
        <v>1137</v>
      </c>
      <c r="Z809" t="s">
        <v>1131</v>
      </c>
    </row>
    <row r="810" spans="1:26">
      <c r="A810">
        <v>809</v>
      </c>
      <c r="B810" t="s">
        <v>12</v>
      </c>
      <c r="C810" t="s">
        <v>945</v>
      </c>
      <c r="D810">
        <v>10106823095</v>
      </c>
      <c r="E810" t="s">
        <v>2</v>
      </c>
      <c r="F810">
        <v>985346268</v>
      </c>
      <c r="G810" t="s">
        <v>946</v>
      </c>
      <c r="H810" t="s">
        <v>4</v>
      </c>
      <c r="I810" t="s">
        <v>244</v>
      </c>
      <c r="J810" t="s">
        <v>2</v>
      </c>
      <c r="K810" t="s">
        <v>7</v>
      </c>
      <c r="L810" t="s">
        <v>7</v>
      </c>
      <c r="M810" s="1">
        <v>45037</v>
      </c>
      <c r="N810" t="s">
        <v>8</v>
      </c>
      <c r="O810">
        <v>360</v>
      </c>
      <c r="P810" t="s">
        <v>234</v>
      </c>
      <c r="Q810" t="s">
        <v>10</v>
      </c>
      <c r="R810" t="s">
        <v>11</v>
      </c>
      <c r="T810" t="s">
        <v>1092</v>
      </c>
      <c r="U810" t="s">
        <v>1093</v>
      </c>
      <c r="V810" s="3">
        <v>1</v>
      </c>
      <c r="W810" t="s">
        <v>1148</v>
      </c>
      <c r="Z810" t="s">
        <v>1149</v>
      </c>
    </row>
    <row r="811" spans="1:26">
      <c r="A811">
        <v>810</v>
      </c>
      <c r="B811" t="str">
        <f t="shared" ref="B811:G811" si="376">B810</f>
        <v>FT</v>
      </c>
      <c r="C811" t="str">
        <f t="shared" si="376"/>
        <v>Quinte Obregon Jardy Peeter</v>
      </c>
      <c r="D811">
        <f t="shared" si="376"/>
        <v>10106823095</v>
      </c>
      <c r="E811" t="str">
        <f t="shared" si="376"/>
        <v>-</v>
      </c>
      <c r="F811">
        <f t="shared" si="376"/>
        <v>985346268</v>
      </c>
      <c r="G811" t="str">
        <f t="shared" si="376"/>
        <v>FT F001-120</v>
      </c>
      <c r="H811" t="s">
        <v>4</v>
      </c>
      <c r="I811" t="s">
        <v>244</v>
      </c>
      <c r="J811" t="s">
        <v>2</v>
      </c>
      <c r="K811" t="s">
        <v>7</v>
      </c>
      <c r="L811" t="s">
        <v>7</v>
      </c>
      <c r="M811" s="1">
        <v>45037</v>
      </c>
      <c r="N811" t="s">
        <v>8</v>
      </c>
      <c r="O811">
        <v>300</v>
      </c>
      <c r="P811" t="s">
        <v>234</v>
      </c>
      <c r="Q811" t="s">
        <v>10</v>
      </c>
      <c r="R811" t="s">
        <v>11</v>
      </c>
      <c r="T811" t="s">
        <v>1133</v>
      </c>
      <c r="U811" t="s">
        <v>1114</v>
      </c>
      <c r="V811">
        <v>30</v>
      </c>
      <c r="W811" t="s">
        <v>1132</v>
      </c>
      <c r="Z811" t="s">
        <v>1131</v>
      </c>
    </row>
    <row r="812" spans="1:26">
      <c r="A812">
        <v>811</v>
      </c>
      <c r="B812" t="s">
        <v>12</v>
      </c>
      <c r="C812" t="s">
        <v>947</v>
      </c>
      <c r="D812">
        <v>2060601260</v>
      </c>
      <c r="E812">
        <v>41560724</v>
      </c>
      <c r="F812">
        <v>923840135</v>
      </c>
      <c r="G812" t="s">
        <v>948</v>
      </c>
      <c r="H812" t="s">
        <v>846</v>
      </c>
      <c r="I812" t="s">
        <v>82</v>
      </c>
      <c r="J812" t="s">
        <v>949</v>
      </c>
      <c r="K812" t="s">
        <v>2</v>
      </c>
      <c r="L812" t="s">
        <v>37</v>
      </c>
      <c r="M812" s="1">
        <v>45038</v>
      </c>
      <c r="N812" t="s">
        <v>8</v>
      </c>
      <c r="O812">
        <v>315</v>
      </c>
      <c r="P812" t="s">
        <v>234</v>
      </c>
      <c r="Q812" t="s">
        <v>10</v>
      </c>
      <c r="R812" t="s">
        <v>11</v>
      </c>
      <c r="T812" t="s">
        <v>1092</v>
      </c>
      <c r="U812" t="s">
        <v>1101</v>
      </c>
      <c r="V812" s="3">
        <v>1</v>
      </c>
      <c r="W812" t="s">
        <v>1146</v>
      </c>
      <c r="Z812" t="s">
        <v>1143</v>
      </c>
    </row>
    <row r="813" spans="1:26">
      <c r="A813">
        <v>812</v>
      </c>
      <c r="B813" t="str">
        <f t="shared" ref="B813:G813" si="377">B812</f>
        <v>FT</v>
      </c>
      <c r="C813" t="str">
        <f t="shared" si="377"/>
        <v>Rodrigo Cruz Acuña</v>
      </c>
      <c r="D813">
        <f t="shared" si="377"/>
        <v>2060601260</v>
      </c>
      <c r="E813">
        <f t="shared" si="377"/>
        <v>41560724</v>
      </c>
      <c r="F813">
        <f t="shared" si="377"/>
        <v>923840135</v>
      </c>
      <c r="G813" t="str">
        <f t="shared" si="377"/>
        <v>FT F001-121</v>
      </c>
      <c r="H813" t="s">
        <v>846</v>
      </c>
      <c r="I813" t="s">
        <v>82</v>
      </c>
      <c r="J813" t="s">
        <v>949</v>
      </c>
      <c r="K813" t="s">
        <v>2</v>
      </c>
      <c r="L813" t="s">
        <v>37</v>
      </c>
      <c r="M813" s="1">
        <v>45038</v>
      </c>
      <c r="N813" t="s">
        <v>8</v>
      </c>
      <c r="O813" s="16">
        <f>25*(V813/10)</f>
        <v>25</v>
      </c>
      <c r="P813" t="s">
        <v>234</v>
      </c>
      <c r="Q813" t="str">
        <f t="shared" ref="Q813:R813" si="378">Q812</f>
        <v>U</v>
      </c>
      <c r="R813" t="str">
        <f t="shared" si="378"/>
        <v>Rodrigo</v>
      </c>
      <c r="T813" t="s">
        <v>1134</v>
      </c>
      <c r="U813" t="s">
        <v>1115</v>
      </c>
      <c r="V813">
        <v>10</v>
      </c>
      <c r="W813" t="s">
        <v>1137</v>
      </c>
      <c r="Z813" t="s">
        <v>1131</v>
      </c>
    </row>
    <row r="814" spans="1:26">
      <c r="A814">
        <v>813</v>
      </c>
      <c r="B814" t="s">
        <v>12</v>
      </c>
      <c r="C814" t="s">
        <v>950</v>
      </c>
      <c r="D814">
        <v>10054053024</v>
      </c>
      <c r="E814">
        <v>5405302</v>
      </c>
      <c r="F814">
        <v>989908189</v>
      </c>
      <c r="G814" t="s">
        <v>951</v>
      </c>
      <c r="H814" t="s">
        <v>44</v>
      </c>
      <c r="J814" t="s">
        <v>178</v>
      </c>
      <c r="K814" t="s">
        <v>2</v>
      </c>
      <c r="L814" t="s">
        <v>37</v>
      </c>
      <c r="M814" s="1">
        <v>45038</v>
      </c>
      <c r="N814" t="s">
        <v>38</v>
      </c>
      <c r="O814" s="2">
        <f>725-O815-O816</f>
        <v>370</v>
      </c>
      <c r="P814" t="s">
        <v>234</v>
      </c>
      <c r="Q814" t="s">
        <v>10</v>
      </c>
      <c r="R814" t="s">
        <v>11</v>
      </c>
      <c r="T814" t="s">
        <v>1092</v>
      </c>
      <c r="U814" t="s">
        <v>1096</v>
      </c>
      <c r="V814" s="3">
        <v>1</v>
      </c>
      <c r="W814" t="s">
        <v>1148</v>
      </c>
      <c r="Z814" t="s">
        <v>1149</v>
      </c>
    </row>
    <row r="815" spans="1:26">
      <c r="A815">
        <v>814</v>
      </c>
      <c r="B815" t="str">
        <f t="shared" ref="B815:G816" si="379">B813</f>
        <v>FT</v>
      </c>
      <c r="C815" t="str">
        <f t="shared" si="379"/>
        <v>Rodrigo Cruz Acuña</v>
      </c>
      <c r="D815">
        <f t="shared" si="379"/>
        <v>2060601260</v>
      </c>
      <c r="E815">
        <f t="shared" si="379"/>
        <v>41560724</v>
      </c>
      <c r="F815">
        <f t="shared" si="379"/>
        <v>923840135</v>
      </c>
      <c r="G815" t="str">
        <f t="shared" si="379"/>
        <v>FT F001-121</v>
      </c>
      <c r="H815" t="s">
        <v>44</v>
      </c>
      <c r="J815" t="s">
        <v>178</v>
      </c>
      <c r="K815" t="s">
        <v>2</v>
      </c>
      <c r="L815" t="s">
        <v>37</v>
      </c>
      <c r="M815" s="1">
        <v>45038</v>
      </c>
      <c r="N815" t="s">
        <v>38</v>
      </c>
      <c r="O815" s="16">
        <f>25*(V815/10)</f>
        <v>25</v>
      </c>
      <c r="P815" t="s">
        <v>234</v>
      </c>
      <c r="Q815" t="str">
        <f t="shared" ref="Q815:R816" si="380">Q813</f>
        <v>U</v>
      </c>
      <c r="R815" t="str">
        <f t="shared" si="380"/>
        <v>Rodrigo</v>
      </c>
      <c r="T815" t="s">
        <v>1134</v>
      </c>
      <c r="U815" t="s">
        <v>1115</v>
      </c>
      <c r="V815">
        <v>10</v>
      </c>
      <c r="W815" t="s">
        <v>1137</v>
      </c>
      <c r="Z815" t="s">
        <v>1131</v>
      </c>
    </row>
    <row r="816" spans="1:26">
      <c r="A816">
        <v>815</v>
      </c>
      <c r="B816" t="str">
        <f t="shared" si="379"/>
        <v>FT</v>
      </c>
      <c r="C816" t="str">
        <f t="shared" si="379"/>
        <v>Luis Alberto Murrieta</v>
      </c>
      <c r="D816">
        <f t="shared" si="379"/>
        <v>10054053024</v>
      </c>
      <c r="E816">
        <f t="shared" si="379"/>
        <v>5405302</v>
      </c>
      <c r="F816">
        <f t="shared" si="379"/>
        <v>989908189</v>
      </c>
      <c r="G816" t="str">
        <f t="shared" si="379"/>
        <v>FT F001-123</v>
      </c>
      <c r="H816" t="s">
        <v>44</v>
      </c>
      <c r="J816" t="s">
        <v>178</v>
      </c>
      <c r="K816" t="s">
        <v>2</v>
      </c>
      <c r="L816" t="s">
        <v>37</v>
      </c>
      <c r="M816" s="1">
        <v>45038</v>
      </c>
      <c r="N816" t="s">
        <v>38</v>
      </c>
      <c r="O816" s="16">
        <v>330</v>
      </c>
      <c r="P816" t="s">
        <v>234</v>
      </c>
      <c r="Q816" t="str">
        <f t="shared" si="380"/>
        <v>U</v>
      </c>
      <c r="R816" t="str">
        <f t="shared" si="380"/>
        <v>Rodrigo</v>
      </c>
      <c r="T816" t="s">
        <v>1119</v>
      </c>
      <c r="U816" s="12" t="s">
        <v>1142</v>
      </c>
      <c r="V816" s="3">
        <v>1</v>
      </c>
      <c r="W816" t="s">
        <v>1086</v>
      </c>
      <c r="Z816" t="s">
        <v>1141</v>
      </c>
    </row>
    <row r="817" spans="1:26">
      <c r="A817">
        <v>816</v>
      </c>
      <c r="B817" t="s">
        <v>2</v>
      </c>
      <c r="C817" t="s">
        <v>952</v>
      </c>
      <c r="E817">
        <v>42701191</v>
      </c>
      <c r="F817">
        <v>944910967</v>
      </c>
      <c r="G817" t="s">
        <v>2</v>
      </c>
      <c r="H817" t="s">
        <v>241</v>
      </c>
      <c r="I817" t="s">
        <v>241</v>
      </c>
      <c r="J817" t="s">
        <v>953</v>
      </c>
      <c r="K817" t="s">
        <v>2</v>
      </c>
      <c r="L817" t="s">
        <v>37</v>
      </c>
      <c r="M817" s="1">
        <v>45038</v>
      </c>
      <c r="N817" t="s">
        <v>8</v>
      </c>
      <c r="O817">
        <v>320</v>
      </c>
      <c r="P817" t="s">
        <v>30</v>
      </c>
      <c r="Q817" t="s">
        <v>10</v>
      </c>
      <c r="R817" t="s">
        <v>22</v>
      </c>
      <c r="T817" t="s">
        <v>1082</v>
      </c>
      <c r="U817" t="s">
        <v>1104</v>
      </c>
      <c r="V817" s="3">
        <v>1</v>
      </c>
      <c r="W817" t="s">
        <v>1146</v>
      </c>
      <c r="Z817" t="s">
        <v>1143</v>
      </c>
    </row>
    <row r="818" spans="1:26">
      <c r="A818">
        <v>817</v>
      </c>
      <c r="B818" t="s">
        <v>12</v>
      </c>
      <c r="C818" t="s">
        <v>954</v>
      </c>
      <c r="D818">
        <v>10734583958</v>
      </c>
      <c r="E818">
        <v>73458395</v>
      </c>
      <c r="F818">
        <v>999545886</v>
      </c>
      <c r="G818" t="s">
        <v>955</v>
      </c>
      <c r="H818" s="7" t="s">
        <v>256</v>
      </c>
      <c r="I818" t="s">
        <v>79</v>
      </c>
      <c r="J818" t="s">
        <v>956</v>
      </c>
      <c r="K818" t="s">
        <v>2</v>
      </c>
      <c r="L818" t="s">
        <v>37</v>
      </c>
      <c r="M818" s="1">
        <v>45040</v>
      </c>
      <c r="N818" t="s">
        <v>8</v>
      </c>
      <c r="O818" s="2">
        <f>1000-O819-O820</f>
        <v>470</v>
      </c>
      <c r="P818" t="s">
        <v>9</v>
      </c>
      <c r="Q818" t="s">
        <v>10</v>
      </c>
      <c r="R818" t="s">
        <v>11</v>
      </c>
      <c r="T818" t="s">
        <v>1092</v>
      </c>
      <c r="U818" t="s">
        <v>1105</v>
      </c>
      <c r="V818" s="3">
        <v>1</v>
      </c>
      <c r="W818" t="s">
        <v>1148</v>
      </c>
      <c r="Z818" t="s">
        <v>1149</v>
      </c>
    </row>
    <row r="819" spans="1:26">
      <c r="A819">
        <v>818</v>
      </c>
      <c r="B819" t="str">
        <f t="shared" ref="B819:G820" si="381">B818</f>
        <v>FT</v>
      </c>
      <c r="C819" t="str">
        <f t="shared" si="381"/>
        <v>Jennifer Micaela Ruiz Portocarrero</v>
      </c>
      <c r="D819">
        <f t="shared" si="381"/>
        <v>10734583958</v>
      </c>
      <c r="E819">
        <f t="shared" si="381"/>
        <v>73458395</v>
      </c>
      <c r="F819">
        <f t="shared" si="381"/>
        <v>999545886</v>
      </c>
      <c r="G819" t="str">
        <f t="shared" si="381"/>
        <v>FT F001-125</v>
      </c>
      <c r="H819" s="7" t="s">
        <v>256</v>
      </c>
      <c r="I819" t="s">
        <v>79</v>
      </c>
      <c r="J819" t="s">
        <v>956</v>
      </c>
      <c r="K819" t="s">
        <v>2</v>
      </c>
      <c r="L819" t="s">
        <v>37</v>
      </c>
      <c r="M819" s="1">
        <v>45040</v>
      </c>
      <c r="N819" t="s">
        <v>8</v>
      </c>
      <c r="O819" s="2">
        <v>450</v>
      </c>
      <c r="P819" t="s">
        <v>9</v>
      </c>
      <c r="Q819" t="str">
        <f t="shared" ref="Q819:R820" si="382">Q818</f>
        <v>U</v>
      </c>
      <c r="R819" t="str">
        <f t="shared" si="382"/>
        <v>Rodrigo</v>
      </c>
      <c r="T819" t="s">
        <v>1119</v>
      </c>
      <c r="U819" s="12" t="s">
        <v>1142</v>
      </c>
      <c r="V819">
        <v>1</v>
      </c>
      <c r="W819" t="s">
        <v>1066</v>
      </c>
      <c r="Z819" t="s">
        <v>1141</v>
      </c>
    </row>
    <row r="820" spans="1:26">
      <c r="A820">
        <v>819</v>
      </c>
      <c r="B820" t="str">
        <f t="shared" si="381"/>
        <v>FT</v>
      </c>
      <c r="C820" t="str">
        <f t="shared" si="381"/>
        <v>Jennifer Micaela Ruiz Portocarrero</v>
      </c>
      <c r="D820">
        <f t="shared" si="381"/>
        <v>10734583958</v>
      </c>
      <c r="E820">
        <f t="shared" si="381"/>
        <v>73458395</v>
      </c>
      <c r="F820">
        <f t="shared" si="381"/>
        <v>999545886</v>
      </c>
      <c r="G820" t="str">
        <f t="shared" si="381"/>
        <v>FT F001-125</v>
      </c>
      <c r="H820" s="7" t="s">
        <v>256</v>
      </c>
      <c r="I820" t="s">
        <v>79</v>
      </c>
      <c r="J820" t="s">
        <v>956</v>
      </c>
      <c r="K820" t="s">
        <v>2</v>
      </c>
      <c r="L820" t="s">
        <v>37</v>
      </c>
      <c r="M820" s="1">
        <v>45040</v>
      </c>
      <c r="N820" t="s">
        <v>8</v>
      </c>
      <c r="O820" s="16">
        <v>80</v>
      </c>
      <c r="P820" t="s">
        <v>9</v>
      </c>
      <c r="Q820" t="str">
        <f t="shared" si="382"/>
        <v>U</v>
      </c>
      <c r="R820" t="str">
        <f t="shared" si="382"/>
        <v>Rodrigo</v>
      </c>
      <c r="T820" t="s">
        <v>1073</v>
      </c>
      <c r="U820" t="s">
        <v>1125</v>
      </c>
      <c r="V820">
        <v>8</v>
      </c>
      <c r="W820" t="s">
        <v>1073</v>
      </c>
      <c r="Z820" t="s">
        <v>1141</v>
      </c>
    </row>
    <row r="821" spans="1:26">
      <c r="A821">
        <v>820</v>
      </c>
      <c r="B821" t="s">
        <v>2</v>
      </c>
      <c r="C821" t="s">
        <v>957</v>
      </c>
      <c r="E821">
        <v>72521048</v>
      </c>
      <c r="F821">
        <v>929596055</v>
      </c>
      <c r="G821" t="s">
        <v>2</v>
      </c>
      <c r="H821" t="s">
        <v>514</v>
      </c>
      <c r="I821" t="s">
        <v>74</v>
      </c>
      <c r="J821" t="s">
        <v>958</v>
      </c>
      <c r="K821" t="s">
        <v>2</v>
      </c>
      <c r="L821" t="s">
        <v>37</v>
      </c>
      <c r="M821" s="1">
        <v>45040</v>
      </c>
      <c r="N821" t="s">
        <v>56</v>
      </c>
      <c r="O821">
        <v>205</v>
      </c>
      <c r="P821" t="s">
        <v>216</v>
      </c>
      <c r="Q821" t="s">
        <v>10</v>
      </c>
      <c r="R821" t="s">
        <v>22</v>
      </c>
      <c r="T821" t="s">
        <v>1092</v>
      </c>
      <c r="U821" t="s">
        <v>1100</v>
      </c>
      <c r="V821" s="3">
        <v>1</v>
      </c>
      <c r="W821" t="s">
        <v>1146</v>
      </c>
      <c r="Z821" t="s">
        <v>1144</v>
      </c>
    </row>
    <row r="822" spans="1:26">
      <c r="A822">
        <v>821</v>
      </c>
      <c r="B822" t="str">
        <f>B821</f>
        <v>-</v>
      </c>
      <c r="C822" t="s">
        <v>957</v>
      </c>
      <c r="E822">
        <v>72521048</v>
      </c>
      <c r="F822">
        <v>929596055</v>
      </c>
      <c r="G822" t="str">
        <f>G821</f>
        <v>-</v>
      </c>
      <c r="H822" t="s">
        <v>514</v>
      </c>
      <c r="I822" t="s">
        <v>74</v>
      </c>
      <c r="J822" t="s">
        <v>958</v>
      </c>
      <c r="K822" t="s">
        <v>2</v>
      </c>
      <c r="L822" t="s">
        <v>37</v>
      </c>
      <c r="M822" s="1">
        <v>45040</v>
      </c>
      <c r="N822" t="s">
        <v>56</v>
      </c>
      <c r="O822" s="14">
        <v>15</v>
      </c>
      <c r="P822" t="s">
        <v>216</v>
      </c>
      <c r="Q822" t="str">
        <f t="shared" ref="Q822:R822" si="383">Q821</f>
        <v>U</v>
      </c>
      <c r="R822" t="str">
        <f t="shared" si="383"/>
        <v>Sergio</v>
      </c>
      <c r="T822" t="s">
        <v>1134</v>
      </c>
      <c r="U822" t="s">
        <v>1116</v>
      </c>
      <c r="V822">
        <v>10</v>
      </c>
      <c r="W822" t="s">
        <v>1137</v>
      </c>
      <c r="Z822" t="s">
        <v>1131</v>
      </c>
    </row>
    <row r="823" spans="1:26">
      <c r="A823">
        <v>822</v>
      </c>
      <c r="B823" t="s">
        <v>12</v>
      </c>
      <c r="C823" t="s">
        <v>921</v>
      </c>
      <c r="D823">
        <v>10448364491</v>
      </c>
      <c r="E823" t="s">
        <v>2</v>
      </c>
      <c r="F823">
        <v>980806820</v>
      </c>
      <c r="G823" t="s">
        <v>922</v>
      </c>
      <c r="H823" t="s">
        <v>4</v>
      </c>
      <c r="I823" t="s">
        <v>164</v>
      </c>
      <c r="J823" t="s">
        <v>2</v>
      </c>
      <c r="K823" t="s">
        <v>164</v>
      </c>
      <c r="L823" t="s">
        <v>37</v>
      </c>
      <c r="M823" s="1">
        <v>45041</v>
      </c>
      <c r="N823" t="s">
        <v>8</v>
      </c>
      <c r="O823" s="5">
        <f>899.98-O824-O825</f>
        <v>609.98</v>
      </c>
      <c r="P823" t="s">
        <v>234</v>
      </c>
      <c r="Q823" t="s">
        <v>10</v>
      </c>
      <c r="R823" t="s">
        <v>11</v>
      </c>
      <c r="T823" t="s">
        <v>1119</v>
      </c>
      <c r="U823" s="12" t="s">
        <v>1142</v>
      </c>
      <c r="V823" s="3">
        <v>2</v>
      </c>
      <c r="W823" t="s">
        <v>1086</v>
      </c>
      <c r="Z823" t="s">
        <v>1141</v>
      </c>
    </row>
    <row r="824" spans="1:26">
      <c r="A824">
        <v>823</v>
      </c>
      <c r="B824" t="str">
        <f t="shared" ref="B824:G825" si="384">B823</f>
        <v>FT</v>
      </c>
      <c r="C824" t="str">
        <f t="shared" si="384"/>
        <v>Paola Salazar</v>
      </c>
      <c r="D824">
        <f t="shared" si="384"/>
        <v>10448364491</v>
      </c>
      <c r="E824" t="str">
        <f t="shared" si="384"/>
        <v>-</v>
      </c>
      <c r="F824">
        <f t="shared" si="384"/>
        <v>980806820</v>
      </c>
      <c r="G824" t="str">
        <f t="shared" si="384"/>
        <v>FT F001-124</v>
      </c>
      <c r="H824" t="s">
        <v>4</v>
      </c>
      <c r="I824" t="s">
        <v>164</v>
      </c>
      <c r="J824" t="s">
        <v>2</v>
      </c>
      <c r="K824" t="s">
        <v>164</v>
      </c>
      <c r="L824" t="s">
        <v>37</v>
      </c>
      <c r="M824" s="1">
        <v>45041</v>
      </c>
      <c r="N824" t="s">
        <v>8</v>
      </c>
      <c r="O824" s="5">
        <v>210</v>
      </c>
      <c r="P824" t="s">
        <v>234</v>
      </c>
      <c r="Q824" t="str">
        <f t="shared" ref="Q824:R825" si="385">Q823</f>
        <v>U</v>
      </c>
      <c r="R824" t="str">
        <f t="shared" si="385"/>
        <v>Rodrigo</v>
      </c>
      <c r="T824" t="s">
        <v>1108</v>
      </c>
      <c r="U824" t="s">
        <v>1108</v>
      </c>
      <c r="V824">
        <v>2</v>
      </c>
      <c r="W824" t="s">
        <v>1139</v>
      </c>
      <c r="Z824" t="s">
        <v>1138</v>
      </c>
    </row>
    <row r="825" spans="1:26">
      <c r="A825">
        <v>824</v>
      </c>
      <c r="B825" t="str">
        <f t="shared" si="384"/>
        <v>FT</v>
      </c>
      <c r="C825" t="str">
        <f t="shared" si="384"/>
        <v>Paola Salazar</v>
      </c>
      <c r="D825">
        <f t="shared" si="384"/>
        <v>10448364491</v>
      </c>
      <c r="E825" t="str">
        <f t="shared" si="384"/>
        <v>-</v>
      </c>
      <c r="F825">
        <f t="shared" si="384"/>
        <v>980806820</v>
      </c>
      <c r="G825" t="str">
        <f t="shared" si="384"/>
        <v>FT F001-124</v>
      </c>
      <c r="H825" t="s">
        <v>4</v>
      </c>
      <c r="I825" t="s">
        <v>164</v>
      </c>
      <c r="J825" t="s">
        <v>2</v>
      </c>
      <c r="K825" t="s">
        <v>164</v>
      </c>
      <c r="L825" t="s">
        <v>37</v>
      </c>
      <c r="M825" s="1">
        <v>45041</v>
      </c>
      <c r="N825" t="s">
        <v>8</v>
      </c>
      <c r="O825" s="17">
        <v>80</v>
      </c>
      <c r="P825" t="s">
        <v>234</v>
      </c>
      <c r="Q825" t="str">
        <f t="shared" si="385"/>
        <v>U</v>
      </c>
      <c r="R825" t="str">
        <f t="shared" si="385"/>
        <v>Rodrigo</v>
      </c>
      <c r="T825" t="s">
        <v>1073</v>
      </c>
      <c r="U825" t="s">
        <v>1125</v>
      </c>
      <c r="V825">
        <v>8</v>
      </c>
      <c r="W825" t="s">
        <v>1073</v>
      </c>
      <c r="Z825" t="s">
        <v>1141</v>
      </c>
    </row>
    <row r="826" spans="1:26">
      <c r="A826">
        <v>825</v>
      </c>
      <c r="B826" t="s">
        <v>2</v>
      </c>
      <c r="C826" t="s">
        <v>959</v>
      </c>
      <c r="E826">
        <v>74058690</v>
      </c>
      <c r="F826">
        <v>983378701</v>
      </c>
      <c r="G826" t="s">
        <v>2</v>
      </c>
      <c r="H826" t="s">
        <v>973</v>
      </c>
      <c r="J826" t="s">
        <v>29</v>
      </c>
      <c r="K826" t="s">
        <v>2</v>
      </c>
      <c r="L826" t="s">
        <v>268</v>
      </c>
      <c r="M826" s="1">
        <v>45041</v>
      </c>
      <c r="N826" t="s">
        <v>56</v>
      </c>
      <c r="O826" s="5">
        <v>400</v>
      </c>
      <c r="P826" t="s">
        <v>52</v>
      </c>
      <c r="Q826" t="s">
        <v>10</v>
      </c>
      <c r="R826" t="s">
        <v>22</v>
      </c>
      <c r="T826" t="s">
        <v>1092</v>
      </c>
      <c r="U826" t="s">
        <v>1095</v>
      </c>
      <c r="V826" s="3">
        <v>1</v>
      </c>
      <c r="W826" t="s">
        <v>1145</v>
      </c>
      <c r="Z826" t="s">
        <v>1143</v>
      </c>
    </row>
    <row r="827" spans="1:26">
      <c r="A827">
        <v>826</v>
      </c>
      <c r="B827" t="str">
        <f t="shared" ref="B827:G827" si="386">B826</f>
        <v>-</v>
      </c>
      <c r="C827" t="str">
        <f t="shared" si="386"/>
        <v>Alex Lyndon Espinoza Chañe</v>
      </c>
      <c r="E827">
        <f t="shared" si="386"/>
        <v>74058690</v>
      </c>
      <c r="F827">
        <f t="shared" si="386"/>
        <v>983378701</v>
      </c>
      <c r="G827" t="str">
        <f t="shared" si="386"/>
        <v>-</v>
      </c>
      <c r="H827" t="s">
        <v>973</v>
      </c>
      <c r="J827" t="s">
        <v>29</v>
      </c>
      <c r="K827" t="s">
        <v>2</v>
      </c>
      <c r="L827" t="s">
        <v>268</v>
      </c>
      <c r="M827" s="1">
        <v>45041</v>
      </c>
      <c r="N827" t="s">
        <v>56</v>
      </c>
      <c r="O827" s="5">
        <v>250</v>
      </c>
      <c r="P827" t="s">
        <v>52</v>
      </c>
      <c r="Q827" t="str">
        <f t="shared" ref="Q827:R827" si="387">Q826</f>
        <v>U</v>
      </c>
      <c r="R827" t="str">
        <f t="shared" si="387"/>
        <v>Sergio</v>
      </c>
      <c r="T827" t="str">
        <f t="shared" ref="T827" si="388">T826</f>
        <v>Xprinter</v>
      </c>
      <c r="U827" t="s">
        <v>1106</v>
      </c>
      <c r="V827">
        <v>1</v>
      </c>
      <c r="W827" t="s">
        <v>1139</v>
      </c>
      <c r="Z827" t="s">
        <v>1138</v>
      </c>
    </row>
    <row r="828" spans="1:26">
      <c r="A828">
        <v>827</v>
      </c>
      <c r="B828" t="s">
        <v>2</v>
      </c>
      <c r="C828" t="s">
        <v>960</v>
      </c>
      <c r="E828">
        <v>70091724</v>
      </c>
      <c r="F828">
        <v>980832430</v>
      </c>
      <c r="G828" t="s">
        <v>2</v>
      </c>
      <c r="H828" t="s">
        <v>4</v>
      </c>
      <c r="I828" t="s">
        <v>538</v>
      </c>
      <c r="J828" t="s">
        <v>29</v>
      </c>
      <c r="K828" t="s">
        <v>2</v>
      </c>
      <c r="L828" t="s">
        <v>268</v>
      </c>
      <c r="M828" s="1">
        <v>45043</v>
      </c>
      <c r="N828" t="s">
        <v>8</v>
      </c>
      <c r="O828">
        <v>195</v>
      </c>
      <c r="P828" t="s">
        <v>9</v>
      </c>
      <c r="Q828" t="s">
        <v>10</v>
      </c>
      <c r="R828" t="s">
        <v>11</v>
      </c>
      <c r="T828" t="s">
        <v>1082</v>
      </c>
      <c r="U828" t="s">
        <v>1099</v>
      </c>
      <c r="V828" s="3">
        <v>1</v>
      </c>
      <c r="W828" t="s">
        <v>1146</v>
      </c>
      <c r="Z828" t="s">
        <v>1143</v>
      </c>
    </row>
    <row r="829" spans="1:26">
      <c r="A829">
        <v>828</v>
      </c>
      <c r="B829" t="str">
        <f t="shared" ref="B829:G829" si="389">B828</f>
        <v>-</v>
      </c>
      <c r="C829" t="str">
        <f t="shared" si="389"/>
        <v>Melissa Shirlie Perez Torres</v>
      </c>
      <c r="E829">
        <f t="shared" si="389"/>
        <v>70091724</v>
      </c>
      <c r="F829">
        <f t="shared" si="389"/>
        <v>980832430</v>
      </c>
      <c r="G829" t="str">
        <f t="shared" si="389"/>
        <v>-</v>
      </c>
      <c r="H829" t="s">
        <v>4</v>
      </c>
      <c r="I829" t="s">
        <v>538</v>
      </c>
      <c r="J829" t="s">
        <v>29</v>
      </c>
      <c r="K829" t="s">
        <v>2</v>
      </c>
      <c r="L829" t="s">
        <v>268</v>
      </c>
      <c r="M829" s="1">
        <v>45043</v>
      </c>
      <c r="N829" t="s">
        <v>8</v>
      </c>
      <c r="O829" s="14">
        <v>30</v>
      </c>
      <c r="P829" t="s">
        <v>9</v>
      </c>
      <c r="Q829" t="str">
        <f t="shared" ref="Q829:R829" si="390">Q828</f>
        <v>U</v>
      </c>
      <c r="R829" t="str">
        <f t="shared" si="390"/>
        <v>Rodrigo</v>
      </c>
      <c r="T829" t="s">
        <v>1134</v>
      </c>
      <c r="U829" t="s">
        <v>1116</v>
      </c>
      <c r="V829">
        <v>20</v>
      </c>
      <c r="W829" t="s">
        <v>1137</v>
      </c>
      <c r="Z829" t="s">
        <v>1131</v>
      </c>
    </row>
    <row r="830" spans="1:26">
      <c r="A830">
        <v>829</v>
      </c>
      <c r="B830" t="s">
        <v>12</v>
      </c>
      <c r="C830" t="s">
        <v>961</v>
      </c>
      <c r="D830">
        <v>20544391055</v>
      </c>
      <c r="E830" t="s">
        <v>2</v>
      </c>
      <c r="F830">
        <v>973997714</v>
      </c>
      <c r="G830" t="s">
        <v>962</v>
      </c>
      <c r="H830" t="s">
        <v>4</v>
      </c>
      <c r="I830" t="s">
        <v>963</v>
      </c>
      <c r="J830" t="s">
        <v>2</v>
      </c>
      <c r="K830" t="s">
        <v>963</v>
      </c>
      <c r="L830" t="s">
        <v>37</v>
      </c>
      <c r="M830" s="1">
        <v>45044</v>
      </c>
      <c r="N830" t="s">
        <v>8</v>
      </c>
      <c r="O830">
        <v>319.99</v>
      </c>
      <c r="P830" t="s">
        <v>9</v>
      </c>
      <c r="Q830" t="s">
        <v>10</v>
      </c>
      <c r="R830" t="s">
        <v>11</v>
      </c>
      <c r="T830" t="s">
        <v>1082</v>
      </c>
      <c r="U830" t="s">
        <v>1104</v>
      </c>
      <c r="V830" s="3">
        <v>1</v>
      </c>
      <c r="W830" t="s">
        <v>1145</v>
      </c>
      <c r="Z830" t="s">
        <v>1143</v>
      </c>
    </row>
    <row r="831" spans="1:26">
      <c r="A831">
        <v>830</v>
      </c>
      <c r="B831" t="s">
        <v>2</v>
      </c>
      <c r="C831" t="s">
        <v>964</v>
      </c>
      <c r="E831">
        <v>21867567</v>
      </c>
      <c r="F831">
        <v>956664972</v>
      </c>
      <c r="G831" t="s">
        <v>2</v>
      </c>
      <c r="H831" t="s">
        <v>65</v>
      </c>
      <c r="I831" t="s">
        <v>774</v>
      </c>
      <c r="J831" t="s">
        <v>29</v>
      </c>
      <c r="K831" t="s">
        <v>2</v>
      </c>
      <c r="L831" t="s">
        <v>268</v>
      </c>
      <c r="M831" s="1">
        <v>45044</v>
      </c>
      <c r="N831" t="s">
        <v>8</v>
      </c>
      <c r="O831">
        <v>185</v>
      </c>
      <c r="P831" t="s">
        <v>30</v>
      </c>
      <c r="Q831" t="s">
        <v>10</v>
      </c>
      <c r="R831" t="s">
        <v>11</v>
      </c>
      <c r="T831" t="s">
        <v>1082</v>
      </c>
      <c r="U831" t="s">
        <v>1099</v>
      </c>
      <c r="V831" s="3">
        <v>1</v>
      </c>
      <c r="W831" t="s">
        <v>1146</v>
      </c>
      <c r="Z831" t="s">
        <v>1143</v>
      </c>
    </row>
    <row r="832" spans="1:26">
      <c r="A832">
        <v>831</v>
      </c>
      <c r="B832" t="str">
        <f t="shared" ref="B832:G832" si="391">B831</f>
        <v>-</v>
      </c>
      <c r="C832" t="str">
        <f t="shared" si="391"/>
        <v>José Antonio Carbajal Hernández</v>
      </c>
      <c r="E832">
        <f t="shared" si="391"/>
        <v>21867567</v>
      </c>
      <c r="F832">
        <f t="shared" si="391"/>
        <v>956664972</v>
      </c>
      <c r="G832" t="str">
        <f t="shared" si="391"/>
        <v>-</v>
      </c>
      <c r="H832" t="s">
        <v>65</v>
      </c>
      <c r="I832" t="s">
        <v>774</v>
      </c>
      <c r="J832" t="s">
        <v>29</v>
      </c>
      <c r="K832" t="s">
        <v>2</v>
      </c>
      <c r="L832" t="s">
        <v>268</v>
      </c>
      <c r="M832" s="1">
        <v>45044</v>
      </c>
      <c r="N832" t="s">
        <v>8</v>
      </c>
      <c r="O832" s="14">
        <v>15</v>
      </c>
      <c r="P832" t="s">
        <v>30</v>
      </c>
      <c r="Q832" t="str">
        <f t="shared" ref="Q832:R832" si="392">Q831</f>
        <v>U</v>
      </c>
      <c r="R832" t="str">
        <f t="shared" si="392"/>
        <v>Rodrigo</v>
      </c>
      <c r="T832" t="s">
        <v>1134</v>
      </c>
      <c r="U832" t="s">
        <v>1116</v>
      </c>
      <c r="V832">
        <v>10</v>
      </c>
      <c r="W832" t="s">
        <v>1137</v>
      </c>
      <c r="Z832" t="s">
        <v>1131</v>
      </c>
    </row>
    <row r="833" spans="1:26">
      <c r="A833">
        <v>832</v>
      </c>
      <c r="B833" t="s">
        <v>2</v>
      </c>
      <c r="C833" t="s">
        <v>965</v>
      </c>
      <c r="E833">
        <v>45901323</v>
      </c>
      <c r="F833">
        <v>995723818</v>
      </c>
      <c r="G833" t="s">
        <v>2</v>
      </c>
      <c r="H833" t="s">
        <v>1089</v>
      </c>
      <c r="I833" t="s">
        <v>966</v>
      </c>
      <c r="J833" t="s">
        <v>29</v>
      </c>
      <c r="K833" t="s">
        <v>2</v>
      </c>
      <c r="L833" t="s">
        <v>37</v>
      </c>
      <c r="M833" s="1">
        <v>45044</v>
      </c>
      <c r="N833" t="s">
        <v>8</v>
      </c>
      <c r="O833">
        <v>470</v>
      </c>
      <c r="P833" t="s">
        <v>9</v>
      </c>
      <c r="Q833" t="s">
        <v>10</v>
      </c>
      <c r="R833" t="s">
        <v>22</v>
      </c>
      <c r="T833" t="s">
        <v>1092</v>
      </c>
      <c r="U833" t="s">
        <v>1105</v>
      </c>
      <c r="V833" s="3">
        <v>1</v>
      </c>
      <c r="W833" t="s">
        <v>1148</v>
      </c>
      <c r="Z833" t="s">
        <v>1149</v>
      </c>
    </row>
    <row r="834" spans="1:26">
      <c r="A834">
        <v>833</v>
      </c>
      <c r="B834" t="str">
        <f t="shared" ref="B834:G834" si="393">B833</f>
        <v>-</v>
      </c>
      <c r="C834" t="str">
        <f t="shared" si="393"/>
        <v>Luis Alberto Vásquez Fernandez</v>
      </c>
      <c r="E834">
        <f t="shared" si="393"/>
        <v>45901323</v>
      </c>
      <c r="F834">
        <f t="shared" si="393"/>
        <v>995723818</v>
      </c>
      <c r="G834" t="str">
        <f t="shared" si="393"/>
        <v>-</v>
      </c>
      <c r="H834" t="s">
        <v>1089</v>
      </c>
      <c r="I834" t="s">
        <v>966</v>
      </c>
      <c r="J834" t="s">
        <v>29</v>
      </c>
      <c r="K834" t="s">
        <v>2</v>
      </c>
      <c r="L834" t="s">
        <v>37</v>
      </c>
      <c r="M834" s="1">
        <v>45044</v>
      </c>
      <c r="N834" t="s">
        <v>8</v>
      </c>
      <c r="O834" s="17">
        <f>25*(V834)</f>
        <v>50</v>
      </c>
      <c r="P834" t="s">
        <v>9</v>
      </c>
      <c r="Q834" t="str">
        <f t="shared" ref="Q834:R834" si="394">Q833</f>
        <v>U</v>
      </c>
      <c r="R834" t="str">
        <f t="shared" si="394"/>
        <v>Sergio</v>
      </c>
      <c r="T834" t="s">
        <v>1151</v>
      </c>
      <c r="U834" t="s">
        <v>1127</v>
      </c>
      <c r="V834">
        <v>2</v>
      </c>
      <c r="W834" t="s">
        <v>1135</v>
      </c>
      <c r="Z834" t="s">
        <v>1136</v>
      </c>
    </row>
    <row r="835" spans="1:26">
      <c r="A835">
        <v>834</v>
      </c>
      <c r="B835" t="s">
        <v>12</v>
      </c>
      <c r="C835" t="s">
        <v>967</v>
      </c>
      <c r="E835">
        <v>41267020</v>
      </c>
      <c r="F835">
        <v>986653389</v>
      </c>
      <c r="G835" t="s">
        <v>968</v>
      </c>
      <c r="H835" t="s">
        <v>4</v>
      </c>
      <c r="I835" t="s">
        <v>969</v>
      </c>
      <c r="J835" t="s">
        <v>29</v>
      </c>
      <c r="K835" t="s">
        <v>2</v>
      </c>
      <c r="L835" t="s">
        <v>268</v>
      </c>
      <c r="M835" s="1">
        <v>45048</v>
      </c>
      <c r="N835" t="s">
        <v>8</v>
      </c>
      <c r="O835">
        <v>130</v>
      </c>
      <c r="P835" t="s">
        <v>30</v>
      </c>
      <c r="Q835" t="s">
        <v>10</v>
      </c>
      <c r="R835" t="s">
        <v>11</v>
      </c>
      <c r="T835" t="s">
        <v>1133</v>
      </c>
      <c r="U835" t="s">
        <v>1114</v>
      </c>
      <c r="V835" s="3">
        <v>20</v>
      </c>
      <c r="W835" t="s">
        <v>1132</v>
      </c>
      <c r="Z835" t="s">
        <v>1131</v>
      </c>
    </row>
    <row r="836" spans="1:26">
      <c r="A836">
        <v>835</v>
      </c>
      <c r="B836" t="s">
        <v>2</v>
      </c>
      <c r="C836" t="s">
        <v>970</v>
      </c>
      <c r="E836" t="s">
        <v>2</v>
      </c>
      <c r="F836">
        <v>944455601</v>
      </c>
      <c r="G836" t="s">
        <v>2</v>
      </c>
      <c r="H836" t="s">
        <v>4</v>
      </c>
      <c r="I836" t="s">
        <v>748</v>
      </c>
      <c r="J836" t="s">
        <v>2</v>
      </c>
      <c r="K836" t="s">
        <v>748</v>
      </c>
      <c r="L836" t="s">
        <v>268</v>
      </c>
      <c r="M836" s="1">
        <v>45048</v>
      </c>
      <c r="N836" t="s">
        <v>8</v>
      </c>
      <c r="O836">
        <v>320</v>
      </c>
      <c r="P836" t="s">
        <v>134</v>
      </c>
      <c r="Q836" t="s">
        <v>10</v>
      </c>
      <c r="R836" t="s">
        <v>11</v>
      </c>
      <c r="T836" t="s">
        <v>1082</v>
      </c>
      <c r="U836" t="s">
        <v>1104</v>
      </c>
      <c r="V836" s="3">
        <v>1</v>
      </c>
      <c r="W836" t="s">
        <v>1145</v>
      </c>
      <c r="Z836" t="s">
        <v>1143</v>
      </c>
    </row>
    <row r="837" spans="1:26">
      <c r="A837">
        <v>836</v>
      </c>
      <c r="B837" t="s">
        <v>2</v>
      </c>
      <c r="C837" t="s">
        <v>971</v>
      </c>
      <c r="E837">
        <v>80488293</v>
      </c>
      <c r="F837">
        <v>931394132</v>
      </c>
      <c r="G837" t="s">
        <v>2</v>
      </c>
      <c r="H837" t="s">
        <v>514</v>
      </c>
      <c r="I837" t="s">
        <v>74</v>
      </c>
      <c r="J837" t="s">
        <v>613</v>
      </c>
      <c r="K837" t="s">
        <v>2</v>
      </c>
      <c r="L837" t="s">
        <v>268</v>
      </c>
      <c r="M837" s="1">
        <v>45048</v>
      </c>
      <c r="N837" t="s">
        <v>8</v>
      </c>
      <c r="O837">
        <v>185</v>
      </c>
      <c r="P837" t="s">
        <v>234</v>
      </c>
      <c r="Q837" t="s">
        <v>10</v>
      </c>
      <c r="R837" t="s">
        <v>22</v>
      </c>
      <c r="T837" t="s">
        <v>1082</v>
      </c>
      <c r="U837" t="s">
        <v>1099</v>
      </c>
      <c r="V837" s="3">
        <v>1</v>
      </c>
      <c r="W837" t="s">
        <v>1146</v>
      </c>
      <c r="Z837" t="s">
        <v>1143</v>
      </c>
    </row>
    <row r="838" spans="1:26">
      <c r="A838">
        <v>837</v>
      </c>
      <c r="B838" t="str">
        <f>B837</f>
        <v>-</v>
      </c>
      <c r="C838" t="s">
        <v>971</v>
      </c>
      <c r="E838">
        <v>80488293</v>
      </c>
      <c r="F838">
        <v>931394132</v>
      </c>
      <c r="G838" t="str">
        <f>G837</f>
        <v>-</v>
      </c>
      <c r="H838" t="s">
        <v>514</v>
      </c>
      <c r="I838" t="str">
        <f t="shared" ref="I838" si="395">I837</f>
        <v>Talara</v>
      </c>
      <c r="J838" t="s">
        <v>613</v>
      </c>
      <c r="K838" t="s">
        <v>2</v>
      </c>
      <c r="L838" t="s">
        <v>268</v>
      </c>
      <c r="M838" s="1">
        <v>45048</v>
      </c>
      <c r="N838" t="s">
        <v>8</v>
      </c>
      <c r="O838" s="14">
        <v>15</v>
      </c>
      <c r="P838" t="s">
        <v>234</v>
      </c>
      <c r="Q838" t="str">
        <f t="shared" ref="Q838:R838" si="396">Q837</f>
        <v>U</v>
      </c>
      <c r="R838" t="str">
        <f t="shared" si="396"/>
        <v>Sergio</v>
      </c>
      <c r="T838" t="s">
        <v>1134</v>
      </c>
      <c r="U838" t="s">
        <v>1116</v>
      </c>
      <c r="V838">
        <v>10</v>
      </c>
      <c r="W838" t="s">
        <v>1137</v>
      </c>
      <c r="Z838" t="s">
        <v>1131</v>
      </c>
    </row>
    <row r="839" spans="1:26">
      <c r="A839">
        <v>838</v>
      </c>
      <c r="B839" t="s">
        <v>2</v>
      </c>
      <c r="C839" t="s">
        <v>972</v>
      </c>
      <c r="E839">
        <v>5258467</v>
      </c>
      <c r="F839">
        <v>931508226</v>
      </c>
      <c r="G839" t="s">
        <v>2</v>
      </c>
      <c r="H839" t="s">
        <v>973</v>
      </c>
      <c r="J839" t="s">
        <v>29</v>
      </c>
      <c r="K839" t="s">
        <v>2</v>
      </c>
      <c r="L839" t="s">
        <v>37</v>
      </c>
      <c r="M839" s="1">
        <v>45048</v>
      </c>
      <c r="N839" t="s">
        <v>8</v>
      </c>
      <c r="O839">
        <v>368</v>
      </c>
      <c r="P839" t="s">
        <v>234</v>
      </c>
      <c r="Q839" t="s">
        <v>10</v>
      </c>
      <c r="R839" t="s">
        <v>22</v>
      </c>
      <c r="T839" t="s">
        <v>1082</v>
      </c>
      <c r="U839" t="s">
        <v>1099</v>
      </c>
      <c r="V839" s="3">
        <v>2</v>
      </c>
      <c r="W839" t="s">
        <v>1146</v>
      </c>
      <c r="Z839" t="s">
        <v>1143</v>
      </c>
    </row>
    <row r="840" spans="1:26">
      <c r="A840">
        <v>839</v>
      </c>
      <c r="B840" t="str">
        <f t="shared" ref="B840:G840" si="397">B839</f>
        <v>-</v>
      </c>
      <c r="C840" t="str">
        <f t="shared" si="397"/>
        <v>Yeimar Andres Castelblanco Murillo</v>
      </c>
      <c r="E840">
        <f t="shared" si="397"/>
        <v>5258467</v>
      </c>
      <c r="F840">
        <f t="shared" si="397"/>
        <v>931508226</v>
      </c>
      <c r="G840" t="str">
        <f t="shared" si="397"/>
        <v>-</v>
      </c>
      <c r="H840" t="s">
        <v>973</v>
      </c>
      <c r="J840" t="s">
        <v>29</v>
      </c>
      <c r="K840" t="s">
        <v>2</v>
      </c>
      <c r="L840" t="s">
        <v>37</v>
      </c>
      <c r="M840" s="1">
        <v>45048</v>
      </c>
      <c r="N840" t="s">
        <v>8</v>
      </c>
      <c r="O840" s="14">
        <v>30</v>
      </c>
      <c r="P840" t="s">
        <v>234</v>
      </c>
      <c r="Q840" t="str">
        <f t="shared" ref="Q840:R840" si="398">Q839</f>
        <v>U</v>
      </c>
      <c r="R840" t="str">
        <f t="shared" si="398"/>
        <v>Sergio</v>
      </c>
      <c r="T840" t="s">
        <v>1134</v>
      </c>
      <c r="U840" t="s">
        <v>1116</v>
      </c>
      <c r="V840">
        <v>20</v>
      </c>
      <c r="W840" t="s">
        <v>1137</v>
      </c>
      <c r="Z840" t="s">
        <v>1131</v>
      </c>
    </row>
    <row r="841" spans="1:26">
      <c r="A841">
        <v>840</v>
      </c>
      <c r="B841" t="s">
        <v>2</v>
      </c>
      <c r="C841" t="s">
        <v>974</v>
      </c>
      <c r="E841">
        <v>18091094</v>
      </c>
      <c r="F841">
        <v>950010978</v>
      </c>
      <c r="G841" t="s">
        <v>2</v>
      </c>
      <c r="H841" t="s">
        <v>514</v>
      </c>
      <c r="I841" t="s">
        <v>975</v>
      </c>
      <c r="J841" t="s">
        <v>29</v>
      </c>
      <c r="K841" t="s">
        <v>2</v>
      </c>
      <c r="L841" t="s">
        <v>268</v>
      </c>
      <c r="M841" s="1">
        <v>45048</v>
      </c>
      <c r="N841" t="s">
        <v>8</v>
      </c>
      <c r="O841">
        <v>400</v>
      </c>
      <c r="P841" t="s">
        <v>9</v>
      </c>
      <c r="Q841" t="s">
        <v>10</v>
      </c>
      <c r="R841" t="s">
        <v>11</v>
      </c>
      <c r="T841" t="s">
        <v>1092</v>
      </c>
      <c r="U841" t="s">
        <v>1093</v>
      </c>
      <c r="V841" s="3">
        <v>1</v>
      </c>
      <c r="W841" t="s">
        <v>1148</v>
      </c>
      <c r="Z841" t="s">
        <v>1149</v>
      </c>
    </row>
    <row r="842" spans="1:26">
      <c r="A842">
        <v>841</v>
      </c>
      <c r="B842" t="s">
        <v>12</v>
      </c>
      <c r="C842" t="s">
        <v>976</v>
      </c>
      <c r="D842">
        <v>20610633456</v>
      </c>
      <c r="E842">
        <v>42006965</v>
      </c>
      <c r="F842">
        <v>979894191</v>
      </c>
      <c r="G842" t="s">
        <v>977</v>
      </c>
      <c r="H842" t="s">
        <v>229</v>
      </c>
      <c r="J842" t="s">
        <v>978</v>
      </c>
      <c r="K842" t="s">
        <v>2</v>
      </c>
      <c r="L842" t="s">
        <v>268</v>
      </c>
      <c r="M842" s="1">
        <v>45049</v>
      </c>
      <c r="N842" t="s">
        <v>8</v>
      </c>
      <c r="O842">
        <v>349</v>
      </c>
      <c r="P842" t="s">
        <v>30</v>
      </c>
      <c r="Q842" t="s">
        <v>10</v>
      </c>
      <c r="R842" t="s">
        <v>11</v>
      </c>
      <c r="T842" t="s">
        <v>1092</v>
      </c>
      <c r="U842" t="s">
        <v>1096</v>
      </c>
      <c r="V842" s="3">
        <v>1</v>
      </c>
      <c r="W842" t="s">
        <v>1148</v>
      </c>
      <c r="Z842" t="s">
        <v>1149</v>
      </c>
    </row>
    <row r="843" spans="1:26">
      <c r="A843">
        <v>842</v>
      </c>
      <c r="B843" t="s">
        <v>12</v>
      </c>
      <c r="C843" t="s">
        <v>979</v>
      </c>
      <c r="D843">
        <v>10465649637</v>
      </c>
      <c r="E843" t="s">
        <v>2</v>
      </c>
      <c r="F843">
        <v>933257751</v>
      </c>
      <c r="G843" t="s">
        <v>980</v>
      </c>
      <c r="H843" t="s">
        <v>4</v>
      </c>
      <c r="I843" t="s">
        <v>244</v>
      </c>
      <c r="J843" t="s">
        <v>2</v>
      </c>
      <c r="K843" t="s">
        <v>7</v>
      </c>
      <c r="L843" t="s">
        <v>7</v>
      </c>
      <c r="M843" s="1">
        <v>45049</v>
      </c>
      <c r="N843" t="s">
        <v>21</v>
      </c>
      <c r="O843">
        <v>460</v>
      </c>
      <c r="P843" t="s">
        <v>134</v>
      </c>
      <c r="Q843" t="s">
        <v>10</v>
      </c>
      <c r="R843" t="s">
        <v>22</v>
      </c>
      <c r="T843" t="s">
        <v>1092</v>
      </c>
      <c r="U843" t="s">
        <v>1105</v>
      </c>
      <c r="V843" s="3">
        <v>1</v>
      </c>
      <c r="W843" t="s">
        <v>1148</v>
      </c>
      <c r="Z843" t="s">
        <v>1149</v>
      </c>
    </row>
    <row r="844" spans="1:26">
      <c r="A844">
        <v>843</v>
      </c>
      <c r="B844" t="str">
        <f t="shared" ref="B844:G845" si="399">B843</f>
        <v>FT</v>
      </c>
      <c r="C844" t="str">
        <f t="shared" si="399"/>
        <v>Repuestos Vitate</v>
      </c>
      <c r="D844">
        <f t="shared" si="399"/>
        <v>10465649637</v>
      </c>
      <c r="E844" t="str">
        <f t="shared" si="399"/>
        <v>-</v>
      </c>
      <c r="F844">
        <f t="shared" si="399"/>
        <v>933257751</v>
      </c>
      <c r="G844" t="str">
        <f t="shared" si="399"/>
        <v>FT F001-131</v>
      </c>
      <c r="H844" t="s">
        <v>4</v>
      </c>
      <c r="I844" t="s">
        <v>244</v>
      </c>
      <c r="J844" t="s">
        <v>2</v>
      </c>
      <c r="K844" t="s">
        <v>7</v>
      </c>
      <c r="L844" t="s">
        <v>7</v>
      </c>
      <c r="M844" s="1">
        <v>45049</v>
      </c>
      <c r="N844" t="s">
        <v>21</v>
      </c>
      <c r="O844" s="16">
        <f>25*(V844/10)</f>
        <v>25</v>
      </c>
      <c r="P844" t="s">
        <v>134</v>
      </c>
      <c r="Q844" t="str">
        <f t="shared" ref="Q844:R845" si="400">Q843</f>
        <v>U</v>
      </c>
      <c r="R844" t="str">
        <f t="shared" si="400"/>
        <v>Sergio</v>
      </c>
      <c r="T844" t="s">
        <v>1134</v>
      </c>
      <c r="U844" t="s">
        <v>1115</v>
      </c>
      <c r="V844">
        <v>10</v>
      </c>
      <c r="W844" t="s">
        <v>1137</v>
      </c>
      <c r="Z844" t="s">
        <v>1131</v>
      </c>
    </row>
    <row r="845" spans="1:26">
      <c r="A845">
        <v>844</v>
      </c>
      <c r="B845" t="str">
        <f t="shared" si="399"/>
        <v>FT</v>
      </c>
      <c r="C845" t="str">
        <f t="shared" si="399"/>
        <v>Repuestos Vitate</v>
      </c>
      <c r="D845">
        <f t="shared" si="399"/>
        <v>10465649637</v>
      </c>
      <c r="E845" t="str">
        <f t="shared" si="399"/>
        <v>-</v>
      </c>
      <c r="F845">
        <f t="shared" si="399"/>
        <v>933257751</v>
      </c>
      <c r="G845" t="str">
        <f t="shared" si="399"/>
        <v>FT F001-131</v>
      </c>
      <c r="H845" t="s">
        <v>4</v>
      </c>
      <c r="I845" t="s">
        <v>244</v>
      </c>
      <c r="J845" t="s">
        <v>2</v>
      </c>
      <c r="K845" t="s">
        <v>7</v>
      </c>
      <c r="L845" t="s">
        <v>7</v>
      </c>
      <c r="M845" s="1">
        <v>45049</v>
      </c>
      <c r="N845" t="s">
        <v>21</v>
      </c>
      <c r="O845" s="17">
        <v>30</v>
      </c>
      <c r="P845" t="s">
        <v>134</v>
      </c>
      <c r="Q845" t="str">
        <f t="shared" si="400"/>
        <v>U</v>
      </c>
      <c r="R845" t="str">
        <f t="shared" si="400"/>
        <v>Sergio</v>
      </c>
      <c r="T845" t="s">
        <v>1151</v>
      </c>
      <c r="U845" t="s">
        <v>1127</v>
      </c>
      <c r="V845">
        <v>1</v>
      </c>
      <c r="W845" t="s">
        <v>1135</v>
      </c>
      <c r="Z845" t="s">
        <v>1136</v>
      </c>
    </row>
    <row r="846" spans="1:26">
      <c r="A846">
        <v>845</v>
      </c>
      <c r="B846" t="s">
        <v>12</v>
      </c>
      <c r="C846" t="s">
        <v>981</v>
      </c>
      <c r="D846">
        <v>20601510007</v>
      </c>
      <c r="E846">
        <v>16785306</v>
      </c>
      <c r="F846">
        <v>941190505</v>
      </c>
      <c r="G846" t="s">
        <v>982</v>
      </c>
      <c r="H846" t="s">
        <v>681</v>
      </c>
      <c r="J846" t="s">
        <v>29</v>
      </c>
      <c r="K846" t="s">
        <v>2</v>
      </c>
      <c r="L846" t="s">
        <v>268</v>
      </c>
      <c r="M846" s="1">
        <v>45049</v>
      </c>
      <c r="N846" t="s">
        <v>983</v>
      </c>
      <c r="O846">
        <v>450</v>
      </c>
      <c r="P846" t="s">
        <v>9</v>
      </c>
      <c r="Q846" t="s">
        <v>10</v>
      </c>
      <c r="R846" t="s">
        <v>22</v>
      </c>
      <c r="T846" t="s">
        <v>1092</v>
      </c>
      <c r="U846" t="s">
        <v>1105</v>
      </c>
      <c r="V846" s="3">
        <v>1</v>
      </c>
      <c r="W846" t="s">
        <v>1148</v>
      </c>
      <c r="Z846" t="s">
        <v>1149</v>
      </c>
    </row>
    <row r="847" spans="1:26">
      <c r="A847">
        <v>846</v>
      </c>
      <c r="B847" t="str">
        <f t="shared" ref="B847:G848" si="401">B846</f>
        <v>FT</v>
      </c>
      <c r="C847" t="str">
        <f t="shared" si="401"/>
        <v>Juan Carlos Ascoy Zuloeta</v>
      </c>
      <c r="D847">
        <f t="shared" si="401"/>
        <v>20601510007</v>
      </c>
      <c r="E847">
        <f t="shared" si="401"/>
        <v>16785306</v>
      </c>
      <c r="F847">
        <f t="shared" si="401"/>
        <v>941190505</v>
      </c>
      <c r="G847" t="str">
        <f t="shared" si="401"/>
        <v>FT F001-132</v>
      </c>
      <c r="H847" t="s">
        <v>681</v>
      </c>
      <c r="J847" t="s">
        <v>29</v>
      </c>
      <c r="K847" t="s">
        <v>2</v>
      </c>
      <c r="L847" t="s">
        <v>268</v>
      </c>
      <c r="M847" s="1">
        <v>45049</v>
      </c>
      <c r="N847" t="s">
        <v>983</v>
      </c>
      <c r="O847">
        <v>325</v>
      </c>
      <c r="P847" t="s">
        <v>9</v>
      </c>
      <c r="Q847" t="str">
        <f t="shared" ref="Q847:R848" si="402">Q846</f>
        <v>U</v>
      </c>
      <c r="R847" t="str">
        <f t="shared" si="402"/>
        <v>Sergio</v>
      </c>
      <c r="T847" t="s">
        <v>1092</v>
      </c>
      <c r="U847" t="s">
        <v>1101</v>
      </c>
      <c r="V847">
        <v>1</v>
      </c>
      <c r="W847" t="s">
        <v>1146</v>
      </c>
      <c r="Z847" t="s">
        <v>1143</v>
      </c>
    </row>
    <row r="848" spans="1:26" ht="16" customHeight="1">
      <c r="A848">
        <v>847</v>
      </c>
      <c r="B848" t="str">
        <f t="shared" si="401"/>
        <v>FT</v>
      </c>
      <c r="C848" t="str">
        <f t="shared" si="401"/>
        <v>Juan Carlos Ascoy Zuloeta</v>
      </c>
      <c r="D848">
        <f t="shared" si="401"/>
        <v>20601510007</v>
      </c>
      <c r="E848">
        <f t="shared" si="401"/>
        <v>16785306</v>
      </c>
      <c r="F848">
        <f t="shared" si="401"/>
        <v>941190505</v>
      </c>
      <c r="G848" t="str">
        <f t="shared" si="401"/>
        <v>FT F001-132</v>
      </c>
      <c r="H848" t="s">
        <v>681</v>
      </c>
      <c r="J848" t="s">
        <v>29</v>
      </c>
      <c r="K848" t="s">
        <v>2</v>
      </c>
      <c r="L848" t="s">
        <v>268</v>
      </c>
      <c r="M848" s="1">
        <v>45049</v>
      </c>
      <c r="N848" t="s">
        <v>983</v>
      </c>
      <c r="O848" s="16">
        <f>25*(V848/10)</f>
        <v>25</v>
      </c>
      <c r="P848" t="s">
        <v>9</v>
      </c>
      <c r="Q848" t="str">
        <f t="shared" si="402"/>
        <v>U</v>
      </c>
      <c r="R848" t="str">
        <f t="shared" si="402"/>
        <v>Sergio</v>
      </c>
      <c r="T848" t="s">
        <v>1134</v>
      </c>
      <c r="U848" t="s">
        <v>1115</v>
      </c>
      <c r="V848">
        <v>10</v>
      </c>
      <c r="W848" t="s">
        <v>1137</v>
      </c>
      <c r="Z848" t="s">
        <v>1131</v>
      </c>
    </row>
    <row r="849" spans="1:26">
      <c r="A849">
        <v>848</v>
      </c>
      <c r="B849" t="s">
        <v>12</v>
      </c>
      <c r="C849" t="s">
        <v>984</v>
      </c>
      <c r="D849">
        <v>10486524788</v>
      </c>
      <c r="E849" t="s">
        <v>2</v>
      </c>
      <c r="F849">
        <v>976519889</v>
      </c>
      <c r="G849" t="s">
        <v>985</v>
      </c>
      <c r="H849" t="s">
        <v>4</v>
      </c>
      <c r="I849" t="s">
        <v>58</v>
      </c>
      <c r="J849" t="s">
        <v>2</v>
      </c>
      <c r="K849" t="s">
        <v>986</v>
      </c>
      <c r="L849" t="s">
        <v>7</v>
      </c>
      <c r="M849" s="1">
        <v>45049</v>
      </c>
      <c r="N849" t="s">
        <v>21</v>
      </c>
      <c r="O849">
        <v>500</v>
      </c>
      <c r="P849" t="s">
        <v>134</v>
      </c>
      <c r="Q849" t="s">
        <v>10</v>
      </c>
      <c r="R849" t="s">
        <v>22</v>
      </c>
      <c r="T849" t="s">
        <v>1092</v>
      </c>
      <c r="U849" t="s">
        <v>1096</v>
      </c>
      <c r="V849" s="3">
        <v>1</v>
      </c>
      <c r="W849" t="s">
        <v>1148</v>
      </c>
      <c r="Z849" t="s">
        <v>1149</v>
      </c>
    </row>
    <row r="850" spans="1:26">
      <c r="A850">
        <v>849</v>
      </c>
      <c r="B850" t="str">
        <f t="shared" ref="B850:G850" si="403">B849</f>
        <v>FT</v>
      </c>
      <c r="C850" t="str">
        <f t="shared" si="403"/>
        <v>Flores Cadillo Anival Fernando</v>
      </c>
      <c r="D850">
        <f t="shared" si="403"/>
        <v>10486524788</v>
      </c>
      <c r="E850" t="str">
        <f t="shared" si="403"/>
        <v>-</v>
      </c>
      <c r="F850">
        <f t="shared" si="403"/>
        <v>976519889</v>
      </c>
      <c r="G850" t="str">
        <f t="shared" si="403"/>
        <v>FT F001-133</v>
      </c>
      <c r="H850" t="s">
        <v>4</v>
      </c>
      <c r="I850" t="s">
        <v>58</v>
      </c>
      <c r="J850" t="s">
        <v>2</v>
      </c>
      <c r="K850" t="s">
        <v>986</v>
      </c>
      <c r="L850" t="s">
        <v>7</v>
      </c>
      <c r="M850" s="1">
        <v>45049</v>
      </c>
      <c r="N850" t="s">
        <v>21</v>
      </c>
      <c r="O850" s="16">
        <f>25*(V850/10)</f>
        <v>50</v>
      </c>
      <c r="P850" t="s">
        <v>134</v>
      </c>
      <c r="Q850" t="str">
        <f t="shared" ref="Q850:R850" si="404">Q849</f>
        <v>U</v>
      </c>
      <c r="R850" t="str">
        <f t="shared" si="404"/>
        <v>Sergio</v>
      </c>
      <c r="T850" t="s">
        <v>1134</v>
      </c>
      <c r="U850" t="s">
        <v>1115</v>
      </c>
      <c r="V850">
        <v>20</v>
      </c>
      <c r="W850" t="s">
        <v>1137</v>
      </c>
      <c r="Z850" t="s">
        <v>1131</v>
      </c>
    </row>
    <row r="851" spans="1:26">
      <c r="A851">
        <v>850</v>
      </c>
      <c r="B851" t="s">
        <v>2</v>
      </c>
      <c r="C851" t="s">
        <v>987</v>
      </c>
      <c r="E851">
        <v>71249808</v>
      </c>
      <c r="F851">
        <v>948427643</v>
      </c>
      <c r="G851" t="s">
        <v>2</v>
      </c>
      <c r="H851" t="s">
        <v>4</v>
      </c>
      <c r="I851" t="s">
        <v>538</v>
      </c>
      <c r="J851" t="s">
        <v>29</v>
      </c>
      <c r="K851" t="s">
        <v>2</v>
      </c>
      <c r="L851" t="s">
        <v>268</v>
      </c>
      <c r="M851" s="1">
        <v>45049</v>
      </c>
      <c r="N851" t="s">
        <v>8</v>
      </c>
      <c r="O851">
        <v>385</v>
      </c>
      <c r="P851" t="s">
        <v>234</v>
      </c>
      <c r="Q851" t="s">
        <v>10</v>
      </c>
      <c r="R851" t="s">
        <v>11</v>
      </c>
      <c r="T851" t="s">
        <v>1097</v>
      </c>
      <c r="U851" t="s">
        <v>1102</v>
      </c>
      <c r="V851" s="3">
        <v>1</v>
      </c>
      <c r="W851" t="s">
        <v>1145</v>
      </c>
      <c r="Z851" t="s">
        <v>1144</v>
      </c>
    </row>
    <row r="852" spans="1:26">
      <c r="A852">
        <v>851</v>
      </c>
      <c r="B852" t="str">
        <f t="shared" ref="B852:G852" si="405">B851</f>
        <v>-</v>
      </c>
      <c r="C852" t="str">
        <f t="shared" si="405"/>
        <v>Keyko Anabel Estrada Fabian</v>
      </c>
      <c r="E852">
        <f t="shared" si="405"/>
        <v>71249808</v>
      </c>
      <c r="F852">
        <f t="shared" si="405"/>
        <v>948427643</v>
      </c>
      <c r="G852" t="str">
        <f t="shared" si="405"/>
        <v>-</v>
      </c>
      <c r="H852" t="s">
        <v>4</v>
      </c>
      <c r="I852" t="s">
        <v>538</v>
      </c>
      <c r="J852" t="s">
        <v>29</v>
      </c>
      <c r="K852" t="s">
        <v>2</v>
      </c>
      <c r="L852" t="s">
        <v>268</v>
      </c>
      <c r="M852" s="1">
        <v>45049</v>
      </c>
      <c r="N852" t="s">
        <v>8</v>
      </c>
      <c r="O852" s="14">
        <v>15</v>
      </c>
      <c r="P852" t="s">
        <v>234</v>
      </c>
      <c r="Q852" t="str">
        <f t="shared" ref="Q852:R852" si="406">Q851</f>
        <v>U</v>
      </c>
      <c r="R852" t="str">
        <f t="shared" si="406"/>
        <v>Rodrigo</v>
      </c>
      <c r="T852" t="s">
        <v>1134</v>
      </c>
      <c r="U852" t="s">
        <v>1116</v>
      </c>
      <c r="V852">
        <v>10</v>
      </c>
      <c r="W852" t="s">
        <v>1137</v>
      </c>
      <c r="Z852" t="s">
        <v>1131</v>
      </c>
    </row>
    <row r="853" spans="1:26">
      <c r="A853">
        <v>852</v>
      </c>
      <c r="B853" t="s">
        <v>2</v>
      </c>
      <c r="C853" t="s">
        <v>988</v>
      </c>
      <c r="E853">
        <v>43856754</v>
      </c>
      <c r="F853">
        <v>979300376</v>
      </c>
      <c r="G853" t="s">
        <v>2</v>
      </c>
      <c r="H853" t="s">
        <v>355</v>
      </c>
      <c r="J853" t="s">
        <v>147</v>
      </c>
      <c r="K853" t="s">
        <v>2</v>
      </c>
      <c r="L853" t="s">
        <v>268</v>
      </c>
      <c r="M853" s="1">
        <v>45049</v>
      </c>
      <c r="N853" t="s">
        <v>56</v>
      </c>
      <c r="O853" s="14">
        <v>185</v>
      </c>
      <c r="P853" t="s">
        <v>216</v>
      </c>
      <c r="Q853" t="s">
        <v>10</v>
      </c>
      <c r="R853" t="s">
        <v>22</v>
      </c>
      <c r="T853" t="s">
        <v>1082</v>
      </c>
      <c r="U853" t="s">
        <v>1099</v>
      </c>
      <c r="V853" s="3">
        <v>1</v>
      </c>
      <c r="W853" t="s">
        <v>1146</v>
      </c>
      <c r="Z853" t="s">
        <v>1143</v>
      </c>
    </row>
    <row r="854" spans="1:26">
      <c r="A854">
        <v>853</v>
      </c>
      <c r="B854" t="str">
        <f t="shared" ref="B854:G854" si="407">B853</f>
        <v>-</v>
      </c>
      <c r="C854" t="str">
        <f t="shared" si="407"/>
        <v>Enzo Alvarado Aznaran</v>
      </c>
      <c r="E854">
        <f t="shared" si="407"/>
        <v>43856754</v>
      </c>
      <c r="F854">
        <f t="shared" si="407"/>
        <v>979300376</v>
      </c>
      <c r="G854" t="str">
        <f t="shared" si="407"/>
        <v>-</v>
      </c>
      <c r="H854" t="s">
        <v>355</v>
      </c>
      <c r="J854" t="s">
        <v>147</v>
      </c>
      <c r="K854" t="s">
        <v>2</v>
      </c>
      <c r="L854" t="s">
        <v>268</v>
      </c>
      <c r="M854" s="1">
        <v>45049</v>
      </c>
      <c r="N854" t="s">
        <v>56</v>
      </c>
      <c r="O854" s="14">
        <v>15</v>
      </c>
      <c r="P854" t="s">
        <v>216</v>
      </c>
      <c r="Q854" t="str">
        <f t="shared" ref="Q854:R854" si="408">Q853</f>
        <v>U</v>
      </c>
      <c r="R854" t="str">
        <f t="shared" si="408"/>
        <v>Sergio</v>
      </c>
      <c r="T854" t="s">
        <v>1134</v>
      </c>
      <c r="U854" t="s">
        <v>1116</v>
      </c>
      <c r="V854">
        <v>10</v>
      </c>
      <c r="W854" t="s">
        <v>1137</v>
      </c>
      <c r="Z854" t="s">
        <v>1131</v>
      </c>
    </row>
    <row r="855" spans="1:26">
      <c r="A855">
        <v>854</v>
      </c>
      <c r="B855" t="s">
        <v>2</v>
      </c>
      <c r="C855" t="s">
        <v>989</v>
      </c>
      <c r="E855" t="s">
        <v>2</v>
      </c>
      <c r="F855">
        <v>987968540</v>
      </c>
      <c r="G855" t="s">
        <v>2</v>
      </c>
      <c r="H855" t="s">
        <v>4</v>
      </c>
      <c r="I855" t="s">
        <v>144</v>
      </c>
      <c r="J855" t="s">
        <v>2</v>
      </c>
      <c r="K855" t="s">
        <v>144</v>
      </c>
      <c r="L855" t="s">
        <v>268</v>
      </c>
      <c r="M855" s="1">
        <v>45049</v>
      </c>
      <c r="N855" t="s">
        <v>21</v>
      </c>
      <c r="O855" s="17">
        <f>625-O856-O857</f>
        <v>450</v>
      </c>
      <c r="P855" t="s">
        <v>9</v>
      </c>
      <c r="Q855" t="s">
        <v>10</v>
      </c>
      <c r="R855" t="s">
        <v>22</v>
      </c>
      <c r="T855" t="s">
        <v>1092</v>
      </c>
      <c r="U855" t="s">
        <v>1095</v>
      </c>
      <c r="V855" s="3">
        <v>1</v>
      </c>
      <c r="W855" t="s">
        <v>1145</v>
      </c>
      <c r="Z855" t="s">
        <v>1143</v>
      </c>
    </row>
    <row r="856" spans="1:26">
      <c r="A856">
        <v>855</v>
      </c>
      <c r="B856" t="s">
        <v>2</v>
      </c>
      <c r="C856" t="s">
        <v>989</v>
      </c>
      <c r="E856" t="s">
        <v>2</v>
      </c>
      <c r="F856">
        <v>987968541</v>
      </c>
      <c r="G856" t="s">
        <v>2</v>
      </c>
      <c r="H856" t="s">
        <v>4</v>
      </c>
      <c r="I856" t="s">
        <v>144</v>
      </c>
      <c r="J856" t="s">
        <v>2</v>
      </c>
      <c r="K856" t="s">
        <v>144</v>
      </c>
      <c r="L856" t="s">
        <v>268</v>
      </c>
      <c r="M856" s="1">
        <v>45049</v>
      </c>
      <c r="N856" t="s">
        <v>21</v>
      </c>
      <c r="O856" s="16">
        <f>25*(V856/10)</f>
        <v>25</v>
      </c>
      <c r="P856" t="s">
        <v>9</v>
      </c>
      <c r="Q856" t="str">
        <f t="shared" ref="Q856:R857" si="409">Q855</f>
        <v>U</v>
      </c>
      <c r="R856" t="str">
        <f t="shared" si="409"/>
        <v>Sergio</v>
      </c>
      <c r="T856" t="s">
        <v>1134</v>
      </c>
      <c r="U856" t="s">
        <v>1115</v>
      </c>
      <c r="V856">
        <v>10</v>
      </c>
      <c r="W856" t="s">
        <v>1137</v>
      </c>
      <c r="Z856" t="s">
        <v>1131</v>
      </c>
    </row>
    <row r="857" spans="1:26">
      <c r="A857">
        <v>856</v>
      </c>
      <c r="B857" t="s">
        <v>2</v>
      </c>
      <c r="C857" t="s">
        <v>989</v>
      </c>
      <c r="E857" t="s">
        <v>2</v>
      </c>
      <c r="F857">
        <v>987968542</v>
      </c>
      <c r="G857" t="s">
        <v>2</v>
      </c>
      <c r="H857" t="s">
        <v>4</v>
      </c>
      <c r="I857" t="s">
        <v>144</v>
      </c>
      <c r="J857" t="s">
        <v>2</v>
      </c>
      <c r="K857" t="s">
        <v>144</v>
      </c>
      <c r="L857" t="s">
        <v>268</v>
      </c>
      <c r="M857" s="1">
        <v>45049</v>
      </c>
      <c r="N857" t="s">
        <v>21</v>
      </c>
      <c r="O857" s="17">
        <f>25*(V857)</f>
        <v>150</v>
      </c>
      <c r="P857" t="s">
        <v>9</v>
      </c>
      <c r="Q857" t="str">
        <f t="shared" si="409"/>
        <v>U</v>
      </c>
      <c r="R857" t="str">
        <f t="shared" si="409"/>
        <v>Sergio</v>
      </c>
      <c r="T857" t="s">
        <v>1151</v>
      </c>
      <c r="U857" t="s">
        <v>1127</v>
      </c>
      <c r="V857">
        <v>6</v>
      </c>
      <c r="W857" t="s">
        <v>1135</v>
      </c>
      <c r="Z857" t="s">
        <v>1136</v>
      </c>
    </row>
    <row r="858" spans="1:26">
      <c r="A858">
        <v>857</v>
      </c>
      <c r="B858" t="s">
        <v>0</v>
      </c>
      <c r="C858" t="s">
        <v>990</v>
      </c>
      <c r="E858">
        <v>42623628</v>
      </c>
      <c r="F858">
        <v>933483119</v>
      </c>
      <c r="G858" t="s">
        <v>991</v>
      </c>
      <c r="H858" t="s">
        <v>4</v>
      </c>
      <c r="I858" t="s">
        <v>244</v>
      </c>
      <c r="J858" t="s">
        <v>2</v>
      </c>
      <c r="K858" t="s">
        <v>7</v>
      </c>
      <c r="L858" t="s">
        <v>7</v>
      </c>
      <c r="M858" s="1">
        <v>45050</v>
      </c>
      <c r="N858" t="s">
        <v>21</v>
      </c>
      <c r="O858">
        <v>200</v>
      </c>
      <c r="P858" t="s">
        <v>216</v>
      </c>
      <c r="Q858" t="s">
        <v>10</v>
      </c>
      <c r="R858" t="s">
        <v>22</v>
      </c>
      <c r="T858" t="s">
        <v>1082</v>
      </c>
      <c r="U858" t="s">
        <v>1099</v>
      </c>
      <c r="V858" s="3">
        <v>1</v>
      </c>
      <c r="W858" t="s">
        <v>1146</v>
      </c>
      <c r="Z858" t="s">
        <v>1143</v>
      </c>
    </row>
    <row r="859" spans="1:26">
      <c r="A859">
        <v>858</v>
      </c>
      <c r="B859" t="s">
        <v>2</v>
      </c>
      <c r="C859" t="s">
        <v>992</v>
      </c>
      <c r="E859">
        <v>45174131</v>
      </c>
      <c r="F859">
        <v>988855540</v>
      </c>
      <c r="G859" t="s">
        <v>2</v>
      </c>
      <c r="H859" t="s">
        <v>89</v>
      </c>
      <c r="J859" t="s">
        <v>29</v>
      </c>
      <c r="K859" t="s">
        <v>2</v>
      </c>
      <c r="L859" t="s">
        <v>268</v>
      </c>
      <c r="M859" s="1">
        <v>45050</v>
      </c>
      <c r="N859" t="s">
        <v>8</v>
      </c>
      <c r="O859">
        <v>200</v>
      </c>
      <c r="P859" t="s">
        <v>30</v>
      </c>
      <c r="Q859" t="s">
        <v>10</v>
      </c>
      <c r="R859" t="s">
        <v>11</v>
      </c>
      <c r="T859" t="s">
        <v>1082</v>
      </c>
      <c r="U859" t="s">
        <v>1099</v>
      </c>
      <c r="V859" s="3">
        <v>1</v>
      </c>
      <c r="W859" t="s">
        <v>1146</v>
      </c>
      <c r="Z859" t="s">
        <v>1143</v>
      </c>
    </row>
    <row r="860" spans="1:26">
      <c r="A860">
        <v>859</v>
      </c>
      <c r="B860" t="s">
        <v>2</v>
      </c>
      <c r="C860" t="s">
        <v>993</v>
      </c>
      <c r="E860" t="s">
        <v>2</v>
      </c>
      <c r="F860">
        <v>913484035</v>
      </c>
      <c r="G860" t="s">
        <v>2</v>
      </c>
      <c r="H860" t="s">
        <v>4</v>
      </c>
      <c r="I860" t="s">
        <v>994</v>
      </c>
      <c r="J860" t="s">
        <v>2</v>
      </c>
      <c r="K860" t="s">
        <v>995</v>
      </c>
      <c r="L860" t="s">
        <v>37</v>
      </c>
      <c r="M860" s="1">
        <v>45050</v>
      </c>
      <c r="N860" t="s">
        <v>21</v>
      </c>
      <c r="O860">
        <v>200</v>
      </c>
      <c r="P860" t="s">
        <v>234</v>
      </c>
      <c r="Q860" t="s">
        <v>10</v>
      </c>
      <c r="R860" t="s">
        <v>11</v>
      </c>
      <c r="T860" t="s">
        <v>1082</v>
      </c>
      <c r="U860" t="s">
        <v>1099</v>
      </c>
      <c r="V860" s="3">
        <v>1</v>
      </c>
      <c r="W860" t="s">
        <v>1146</v>
      </c>
      <c r="Z860" t="s">
        <v>1143</v>
      </c>
    </row>
    <row r="861" spans="1:26">
      <c r="A861">
        <v>860</v>
      </c>
      <c r="B861" t="s">
        <v>2</v>
      </c>
      <c r="C861" t="s">
        <v>996</v>
      </c>
      <c r="E861">
        <v>44166417</v>
      </c>
      <c r="F861">
        <v>988988799</v>
      </c>
      <c r="G861" t="s">
        <v>2</v>
      </c>
      <c r="H861" t="s">
        <v>199</v>
      </c>
      <c r="I861" t="s">
        <v>997</v>
      </c>
      <c r="J861" t="s">
        <v>147</v>
      </c>
      <c r="K861" t="s">
        <v>2</v>
      </c>
      <c r="L861" t="s">
        <v>268</v>
      </c>
      <c r="M861" s="1">
        <v>45050</v>
      </c>
      <c r="N861" t="s">
        <v>8</v>
      </c>
      <c r="O861">
        <v>440</v>
      </c>
      <c r="P861" t="s">
        <v>30</v>
      </c>
      <c r="Q861" t="s">
        <v>10</v>
      </c>
      <c r="R861" t="s">
        <v>11</v>
      </c>
      <c r="T861" t="s">
        <v>1092</v>
      </c>
      <c r="U861" t="s">
        <v>1093</v>
      </c>
      <c r="V861" s="3">
        <v>1</v>
      </c>
      <c r="W861" t="s">
        <v>1148</v>
      </c>
      <c r="Z861" t="s">
        <v>1149</v>
      </c>
    </row>
    <row r="862" spans="1:26">
      <c r="A862">
        <v>861</v>
      </c>
      <c r="B862" t="str">
        <f t="shared" ref="B862:G862" si="410">B861</f>
        <v>-</v>
      </c>
      <c r="C862" t="str">
        <f t="shared" si="410"/>
        <v>Ademir Prado Rodriguez</v>
      </c>
      <c r="E862">
        <f t="shared" si="410"/>
        <v>44166417</v>
      </c>
      <c r="F862">
        <f t="shared" si="410"/>
        <v>988988799</v>
      </c>
      <c r="G862" t="str">
        <f t="shared" si="410"/>
        <v>-</v>
      </c>
      <c r="H862" t="s">
        <v>199</v>
      </c>
      <c r="I862" t="s">
        <v>997</v>
      </c>
      <c r="J862" t="s">
        <v>147</v>
      </c>
      <c r="K862" t="s">
        <v>2</v>
      </c>
      <c r="L862" t="s">
        <v>268</v>
      </c>
      <c r="M862" s="1">
        <v>45050</v>
      </c>
      <c r="N862" t="s">
        <v>8</v>
      </c>
      <c r="O862" s="16">
        <f>25*(V862/10)</f>
        <v>25</v>
      </c>
      <c r="P862" t="s">
        <v>30</v>
      </c>
      <c r="Q862" t="str">
        <f t="shared" ref="Q862:R862" si="411">Q861</f>
        <v>U</v>
      </c>
      <c r="R862" t="str">
        <f t="shared" si="411"/>
        <v>Rodrigo</v>
      </c>
      <c r="T862" t="s">
        <v>1134</v>
      </c>
      <c r="U862" t="s">
        <v>1115</v>
      </c>
      <c r="V862">
        <v>10</v>
      </c>
      <c r="W862" t="s">
        <v>1137</v>
      </c>
      <c r="Z862" t="s">
        <v>1131</v>
      </c>
    </row>
    <row r="863" spans="1:26">
      <c r="A863">
        <v>862</v>
      </c>
      <c r="B863" t="s">
        <v>2</v>
      </c>
      <c r="C863" t="s">
        <v>998</v>
      </c>
      <c r="E863">
        <v>70549800</v>
      </c>
      <c r="F863">
        <v>951125377</v>
      </c>
      <c r="G863" t="s">
        <v>2</v>
      </c>
      <c r="H863" t="s">
        <v>846</v>
      </c>
      <c r="I863" t="s">
        <v>999</v>
      </c>
      <c r="J863" t="s">
        <v>1000</v>
      </c>
      <c r="K863" t="s">
        <v>2</v>
      </c>
      <c r="L863" t="s">
        <v>268</v>
      </c>
      <c r="M863" s="1">
        <v>45051</v>
      </c>
      <c r="N863" t="s">
        <v>8</v>
      </c>
      <c r="O863">
        <v>190</v>
      </c>
      <c r="P863" t="s">
        <v>9</v>
      </c>
      <c r="Q863" t="s">
        <v>10</v>
      </c>
      <c r="R863" t="s">
        <v>22</v>
      </c>
      <c r="T863" t="s">
        <v>1082</v>
      </c>
      <c r="U863" t="s">
        <v>1099</v>
      </c>
      <c r="V863" s="3">
        <v>1</v>
      </c>
      <c r="W863" t="s">
        <v>1146</v>
      </c>
      <c r="Z863" t="s">
        <v>1143</v>
      </c>
    </row>
    <row r="864" spans="1:26">
      <c r="A864">
        <v>863</v>
      </c>
      <c r="B864" t="str">
        <f t="shared" ref="B864:G864" si="412">B863</f>
        <v>-</v>
      </c>
      <c r="C864" t="str">
        <f t="shared" si="412"/>
        <v>Yecsily Fiorela Murga Pirca</v>
      </c>
      <c r="E864">
        <f t="shared" si="412"/>
        <v>70549800</v>
      </c>
      <c r="F864">
        <f t="shared" si="412"/>
        <v>951125377</v>
      </c>
      <c r="G864" t="str">
        <f t="shared" si="412"/>
        <v>-</v>
      </c>
      <c r="H864" t="s">
        <v>846</v>
      </c>
      <c r="I864" t="s">
        <v>999</v>
      </c>
      <c r="J864" t="s">
        <v>1000</v>
      </c>
      <c r="K864" t="s">
        <v>2</v>
      </c>
      <c r="L864" t="s">
        <v>268</v>
      </c>
      <c r="M864" s="1">
        <v>45051</v>
      </c>
      <c r="N864" t="s">
        <v>8</v>
      </c>
      <c r="O864" s="14">
        <v>99.99</v>
      </c>
      <c r="P864" t="s">
        <v>9</v>
      </c>
      <c r="Q864" t="str">
        <f t="shared" ref="Q864:R864" si="413">Q863</f>
        <v>U</v>
      </c>
      <c r="R864" t="str">
        <f t="shared" si="413"/>
        <v>Sergio</v>
      </c>
      <c r="T864" t="s">
        <v>1134</v>
      </c>
      <c r="U864" t="s">
        <v>1116</v>
      </c>
      <c r="V864">
        <v>60</v>
      </c>
      <c r="W864" t="s">
        <v>1137</v>
      </c>
      <c r="Z864" t="s">
        <v>1131</v>
      </c>
    </row>
    <row r="865" spans="1:26">
      <c r="A865">
        <v>864</v>
      </c>
      <c r="B865" t="s">
        <v>2</v>
      </c>
      <c r="C865" t="s">
        <v>1001</v>
      </c>
      <c r="E865">
        <v>44088140</v>
      </c>
      <c r="F865">
        <v>998422843</v>
      </c>
      <c r="G865" t="s">
        <v>2</v>
      </c>
      <c r="H865" t="s">
        <v>846</v>
      </c>
      <c r="I865" t="s">
        <v>847</v>
      </c>
      <c r="J865" t="s">
        <v>1002</v>
      </c>
      <c r="K865" t="s">
        <v>2</v>
      </c>
      <c r="L865" t="s">
        <v>268</v>
      </c>
      <c r="M865" s="1">
        <v>45051</v>
      </c>
      <c r="N865" t="s">
        <v>8</v>
      </c>
      <c r="O865">
        <v>229.99</v>
      </c>
      <c r="P865" t="s">
        <v>134</v>
      </c>
      <c r="Q865" t="s">
        <v>10</v>
      </c>
      <c r="R865" t="s">
        <v>11</v>
      </c>
      <c r="T865" t="s">
        <v>1082</v>
      </c>
      <c r="U865" t="s">
        <v>1099</v>
      </c>
      <c r="V865" s="3">
        <v>1</v>
      </c>
      <c r="W865" t="s">
        <v>1146</v>
      </c>
      <c r="Z865" t="s">
        <v>1143</v>
      </c>
    </row>
    <row r="866" spans="1:26">
      <c r="A866">
        <v>865</v>
      </c>
      <c r="B866" t="str">
        <f t="shared" ref="B866:G866" si="414">B865</f>
        <v>-</v>
      </c>
      <c r="C866" t="str">
        <f t="shared" si="414"/>
        <v>Elva Trujillo Ramirez</v>
      </c>
      <c r="E866">
        <f t="shared" si="414"/>
        <v>44088140</v>
      </c>
      <c r="F866">
        <f t="shared" si="414"/>
        <v>998422843</v>
      </c>
      <c r="G866" t="str">
        <f t="shared" si="414"/>
        <v>-</v>
      </c>
      <c r="H866" t="s">
        <v>846</v>
      </c>
      <c r="I866" t="s">
        <v>847</v>
      </c>
      <c r="J866" t="s">
        <v>1002</v>
      </c>
      <c r="K866" t="s">
        <v>2</v>
      </c>
      <c r="L866" t="s">
        <v>268</v>
      </c>
      <c r="M866" s="1">
        <v>45051</v>
      </c>
      <c r="N866" t="s">
        <v>8</v>
      </c>
      <c r="O866" s="19">
        <v>130</v>
      </c>
      <c r="P866" t="s">
        <v>134</v>
      </c>
      <c r="Q866" t="str">
        <f t="shared" ref="Q866:R866" si="415">Q865</f>
        <v>U</v>
      </c>
      <c r="R866" t="str">
        <f t="shared" si="415"/>
        <v>Rodrigo</v>
      </c>
      <c r="T866" t="s">
        <v>1134</v>
      </c>
      <c r="U866" t="s">
        <v>1116</v>
      </c>
      <c r="V866">
        <v>110</v>
      </c>
      <c r="W866" t="s">
        <v>1137</v>
      </c>
      <c r="Z866" t="s">
        <v>1131</v>
      </c>
    </row>
    <row r="867" spans="1:26">
      <c r="A867">
        <v>866</v>
      </c>
      <c r="B867" t="s">
        <v>2</v>
      </c>
      <c r="C867" t="s">
        <v>1003</v>
      </c>
      <c r="F867">
        <v>921964723</v>
      </c>
      <c r="G867" t="s">
        <v>2</v>
      </c>
      <c r="H867" t="s">
        <v>4</v>
      </c>
      <c r="I867" t="s">
        <v>183</v>
      </c>
      <c r="J867" t="s">
        <v>2</v>
      </c>
      <c r="K867" t="s">
        <v>183</v>
      </c>
      <c r="L867" t="s">
        <v>7</v>
      </c>
      <c r="M867" s="1">
        <v>45051</v>
      </c>
      <c r="N867" t="s">
        <v>8</v>
      </c>
      <c r="O867">
        <v>425</v>
      </c>
      <c r="P867" t="s">
        <v>52</v>
      </c>
      <c r="Q867" t="s">
        <v>10</v>
      </c>
      <c r="R867" t="s">
        <v>22</v>
      </c>
      <c r="T867" t="s">
        <v>1092</v>
      </c>
      <c r="U867" t="s">
        <v>1095</v>
      </c>
      <c r="V867" s="3">
        <v>1</v>
      </c>
      <c r="W867" t="s">
        <v>1145</v>
      </c>
      <c r="Z867" t="s">
        <v>1143</v>
      </c>
    </row>
    <row r="868" spans="1:26">
      <c r="A868">
        <v>867</v>
      </c>
      <c r="B868" t="str">
        <f t="shared" ref="B868:G868" si="416">B867</f>
        <v>-</v>
      </c>
      <c r="C868" t="str">
        <f t="shared" si="416"/>
        <v xml:space="preserve">Nan </v>
      </c>
      <c r="F868">
        <f t="shared" si="416"/>
        <v>921964723</v>
      </c>
      <c r="G868" t="str">
        <f t="shared" si="416"/>
        <v>-</v>
      </c>
      <c r="H868" t="s">
        <v>4</v>
      </c>
      <c r="I868" t="s">
        <v>183</v>
      </c>
      <c r="J868" t="s">
        <v>2</v>
      </c>
      <c r="K868" t="s">
        <v>183</v>
      </c>
      <c r="L868" t="s">
        <v>7</v>
      </c>
      <c r="M868" s="1">
        <v>45051</v>
      </c>
      <c r="N868" t="s">
        <v>8</v>
      </c>
      <c r="O868" s="17">
        <f>25*(V868)</f>
        <v>25</v>
      </c>
      <c r="P868" t="s">
        <v>52</v>
      </c>
      <c r="Q868" t="str">
        <f t="shared" ref="Q868:R868" si="417">Q867</f>
        <v>U</v>
      </c>
      <c r="R868" t="str">
        <f t="shared" si="417"/>
        <v>Sergio</v>
      </c>
      <c r="T868" t="s">
        <v>1151</v>
      </c>
      <c r="U868" t="s">
        <v>1127</v>
      </c>
      <c r="V868">
        <v>1</v>
      </c>
      <c r="W868" t="s">
        <v>1135</v>
      </c>
      <c r="Z868" t="s">
        <v>1136</v>
      </c>
    </row>
    <row r="869" spans="1:26">
      <c r="A869">
        <v>868</v>
      </c>
      <c r="B869" t="s">
        <v>2</v>
      </c>
      <c r="C869" t="s">
        <v>1004</v>
      </c>
      <c r="F869">
        <v>942935806</v>
      </c>
      <c r="G869" t="s">
        <v>2</v>
      </c>
      <c r="H869" t="s">
        <v>4</v>
      </c>
      <c r="I869" t="s">
        <v>364</v>
      </c>
      <c r="J869" t="s">
        <v>2</v>
      </c>
      <c r="K869" t="s">
        <v>765</v>
      </c>
      <c r="L869" t="s">
        <v>268</v>
      </c>
      <c r="M869" s="1">
        <v>45052</v>
      </c>
      <c r="N869" t="s">
        <v>8</v>
      </c>
      <c r="O869">
        <v>185</v>
      </c>
      <c r="P869" t="s">
        <v>234</v>
      </c>
      <c r="Q869" t="s">
        <v>10</v>
      </c>
      <c r="R869" t="s">
        <v>11</v>
      </c>
      <c r="T869" t="s">
        <v>1082</v>
      </c>
      <c r="U869" t="s">
        <v>1099</v>
      </c>
      <c r="V869" s="3">
        <v>1</v>
      </c>
      <c r="W869" t="s">
        <v>1146</v>
      </c>
      <c r="Z869" t="s">
        <v>1143</v>
      </c>
    </row>
    <row r="870" spans="1:26">
      <c r="A870">
        <v>869</v>
      </c>
      <c r="B870" t="str">
        <f t="shared" ref="B870:G870" si="418">B869</f>
        <v>-</v>
      </c>
      <c r="C870" t="str">
        <f t="shared" si="418"/>
        <v>Diana Zamora</v>
      </c>
      <c r="F870">
        <f t="shared" si="418"/>
        <v>942935806</v>
      </c>
      <c r="G870" t="str">
        <f t="shared" si="418"/>
        <v>-</v>
      </c>
      <c r="H870" t="s">
        <v>4</v>
      </c>
      <c r="I870" t="s">
        <v>364</v>
      </c>
      <c r="J870" t="s">
        <v>2</v>
      </c>
      <c r="K870" t="s">
        <v>765</v>
      </c>
      <c r="L870" t="s">
        <v>268</v>
      </c>
      <c r="M870" s="1">
        <v>45052</v>
      </c>
      <c r="N870" t="s">
        <v>8</v>
      </c>
      <c r="O870" s="14">
        <v>15</v>
      </c>
      <c r="P870" t="s">
        <v>234</v>
      </c>
      <c r="Q870" t="str">
        <f t="shared" ref="Q870:R870" si="419">Q869</f>
        <v>U</v>
      </c>
      <c r="R870" t="str">
        <f t="shared" si="419"/>
        <v>Rodrigo</v>
      </c>
      <c r="T870" t="s">
        <v>1134</v>
      </c>
      <c r="U870" t="s">
        <v>1116</v>
      </c>
      <c r="V870">
        <v>10</v>
      </c>
      <c r="W870" t="s">
        <v>1137</v>
      </c>
      <c r="Z870" t="s">
        <v>1131</v>
      </c>
    </row>
    <row r="871" spans="1:26">
      <c r="A871">
        <v>870</v>
      </c>
      <c r="B871" t="s">
        <v>12</v>
      </c>
      <c r="C871" t="s">
        <v>1005</v>
      </c>
      <c r="D871">
        <v>20601880297</v>
      </c>
      <c r="E871">
        <v>45696453</v>
      </c>
      <c r="F871">
        <v>944633116</v>
      </c>
      <c r="G871" t="s">
        <v>1006</v>
      </c>
      <c r="H871" t="s">
        <v>199</v>
      </c>
      <c r="J871" t="s">
        <v>147</v>
      </c>
      <c r="K871" t="s">
        <v>2</v>
      </c>
      <c r="L871" t="s">
        <v>268</v>
      </c>
      <c r="M871" s="1">
        <v>45054</v>
      </c>
      <c r="N871" t="s">
        <v>8</v>
      </c>
      <c r="O871">
        <v>415</v>
      </c>
      <c r="P871" t="s">
        <v>134</v>
      </c>
      <c r="Q871" t="s">
        <v>10</v>
      </c>
      <c r="R871" t="s">
        <v>22</v>
      </c>
      <c r="T871" t="s">
        <v>1092</v>
      </c>
      <c r="U871" t="s">
        <v>1094</v>
      </c>
      <c r="V871" s="3">
        <v>1</v>
      </c>
      <c r="W871" t="s">
        <v>1148</v>
      </c>
      <c r="Z871" t="s">
        <v>1149</v>
      </c>
    </row>
    <row r="872" spans="1:26">
      <c r="A872">
        <v>871</v>
      </c>
      <c r="B872" t="str">
        <f t="shared" ref="B872:E872" si="420">B871</f>
        <v>FT</v>
      </c>
      <c r="C872" t="str">
        <f t="shared" si="420"/>
        <v>Edwin Quispesivana Apaza</v>
      </c>
      <c r="D872">
        <f t="shared" si="420"/>
        <v>20601880297</v>
      </c>
      <c r="E872">
        <f t="shared" si="420"/>
        <v>45696453</v>
      </c>
      <c r="F872">
        <v>944633116</v>
      </c>
      <c r="G872" t="s">
        <v>1006</v>
      </c>
      <c r="H872" t="s">
        <v>199</v>
      </c>
      <c r="J872" t="s">
        <v>147</v>
      </c>
      <c r="K872" t="s">
        <v>2</v>
      </c>
      <c r="L872" t="s">
        <v>268</v>
      </c>
      <c r="M872" s="1">
        <v>45054</v>
      </c>
      <c r="N872" t="s">
        <v>8</v>
      </c>
      <c r="O872" s="16">
        <f>25*(V872/10)</f>
        <v>25</v>
      </c>
      <c r="P872" t="s">
        <v>134</v>
      </c>
      <c r="Q872" t="str">
        <f t="shared" ref="Q872:R872" si="421">Q871</f>
        <v>U</v>
      </c>
      <c r="R872" t="str">
        <f t="shared" si="421"/>
        <v>Sergio</v>
      </c>
      <c r="T872" t="s">
        <v>1134</v>
      </c>
      <c r="U872" t="s">
        <v>1115</v>
      </c>
      <c r="V872">
        <v>10</v>
      </c>
      <c r="W872" t="s">
        <v>1137</v>
      </c>
      <c r="Z872" t="s">
        <v>1131</v>
      </c>
    </row>
    <row r="873" spans="1:26">
      <c r="A873">
        <v>872</v>
      </c>
      <c r="B873" t="s">
        <v>2</v>
      </c>
      <c r="C873" t="s">
        <v>1007</v>
      </c>
      <c r="F873">
        <v>942903760</v>
      </c>
      <c r="G873" t="s">
        <v>2</v>
      </c>
      <c r="H873" t="s">
        <v>4</v>
      </c>
      <c r="I873" t="s">
        <v>15</v>
      </c>
      <c r="J873" t="s">
        <v>2</v>
      </c>
      <c r="K873" t="s">
        <v>1008</v>
      </c>
      <c r="L873" t="s">
        <v>37</v>
      </c>
      <c r="M873" s="1">
        <v>45054</v>
      </c>
      <c r="N873" t="s">
        <v>8</v>
      </c>
      <c r="O873">
        <v>340</v>
      </c>
      <c r="P873" t="s">
        <v>30</v>
      </c>
      <c r="Q873" t="s">
        <v>10</v>
      </c>
      <c r="R873" t="s">
        <v>11</v>
      </c>
      <c r="T873" t="s">
        <v>1082</v>
      </c>
      <c r="U873" t="s">
        <v>1104</v>
      </c>
      <c r="V873" s="3">
        <v>1</v>
      </c>
      <c r="W873" t="s">
        <v>1146</v>
      </c>
      <c r="Z873" t="s">
        <v>1143</v>
      </c>
    </row>
    <row r="874" spans="1:26">
      <c r="A874">
        <v>873</v>
      </c>
      <c r="B874" t="str">
        <f t="shared" ref="B874:C874" si="422">B873</f>
        <v>-</v>
      </c>
      <c r="C874" t="str">
        <f t="shared" si="422"/>
        <v xml:space="preserve">Kevin Omar Sandoval </v>
      </c>
      <c r="F874">
        <v>942903760</v>
      </c>
      <c r="G874" t="str">
        <f>G873</f>
        <v>-</v>
      </c>
      <c r="H874" t="s">
        <v>4</v>
      </c>
      <c r="I874" t="s">
        <v>15</v>
      </c>
      <c r="J874" t="s">
        <v>2</v>
      </c>
      <c r="K874" t="s">
        <v>1008</v>
      </c>
      <c r="L874" t="s">
        <v>37</v>
      </c>
      <c r="M874" s="1">
        <v>45054</v>
      </c>
      <c r="N874" t="s">
        <v>8</v>
      </c>
      <c r="O874" s="14">
        <v>30</v>
      </c>
      <c r="P874" t="s">
        <v>30</v>
      </c>
      <c r="Q874" t="str">
        <f t="shared" ref="Q874:R874" si="423">Q873</f>
        <v>U</v>
      </c>
      <c r="R874" t="str">
        <f t="shared" si="423"/>
        <v>Rodrigo</v>
      </c>
      <c r="T874" t="s">
        <v>1134</v>
      </c>
      <c r="U874" t="s">
        <v>1116</v>
      </c>
      <c r="V874">
        <v>20</v>
      </c>
      <c r="W874" t="s">
        <v>1137</v>
      </c>
      <c r="Z874" t="s">
        <v>1131</v>
      </c>
    </row>
    <row r="875" spans="1:26">
      <c r="A875">
        <v>874</v>
      </c>
      <c r="B875" t="s">
        <v>2</v>
      </c>
      <c r="C875" t="s">
        <v>1009</v>
      </c>
      <c r="F875">
        <v>963636421</v>
      </c>
      <c r="G875" t="s">
        <v>2</v>
      </c>
      <c r="H875" t="s">
        <v>4</v>
      </c>
      <c r="I875" t="s">
        <v>1010</v>
      </c>
      <c r="J875" t="s">
        <v>2</v>
      </c>
      <c r="K875" t="s">
        <v>1010</v>
      </c>
      <c r="L875" t="s">
        <v>37</v>
      </c>
      <c r="M875" s="1">
        <v>45054</v>
      </c>
      <c r="N875" t="s">
        <v>8</v>
      </c>
      <c r="O875">
        <v>435</v>
      </c>
      <c r="P875" t="s">
        <v>9</v>
      </c>
      <c r="Q875" t="s">
        <v>10</v>
      </c>
      <c r="R875" t="s">
        <v>11</v>
      </c>
      <c r="T875" t="s">
        <v>1092</v>
      </c>
      <c r="U875" t="s">
        <v>1095</v>
      </c>
      <c r="V875" s="3">
        <v>1</v>
      </c>
      <c r="W875" t="s">
        <v>1145</v>
      </c>
      <c r="Z875" t="s">
        <v>1143</v>
      </c>
    </row>
    <row r="876" spans="1:26">
      <c r="A876">
        <v>875</v>
      </c>
      <c r="B876" t="str">
        <f t="shared" ref="B876:C876" si="424">B875</f>
        <v>-</v>
      </c>
      <c r="C876" t="str">
        <f t="shared" si="424"/>
        <v>Miguel Rivera</v>
      </c>
      <c r="F876">
        <v>963636421</v>
      </c>
      <c r="G876" t="str">
        <f>G875</f>
        <v>-</v>
      </c>
      <c r="H876" t="s">
        <v>4</v>
      </c>
      <c r="I876" t="s">
        <v>1010</v>
      </c>
      <c r="J876" t="s">
        <v>2</v>
      </c>
      <c r="K876" t="s">
        <v>1010</v>
      </c>
      <c r="L876" t="s">
        <v>37</v>
      </c>
      <c r="M876" s="1">
        <v>45054</v>
      </c>
      <c r="N876" t="s">
        <v>8</v>
      </c>
      <c r="O876" s="16">
        <f>25*(V876/10)</f>
        <v>15</v>
      </c>
      <c r="P876" t="s">
        <v>9</v>
      </c>
      <c r="Q876" t="str">
        <f t="shared" ref="Q876:R876" si="425">Q875</f>
        <v>U</v>
      </c>
      <c r="R876" t="str">
        <f t="shared" si="425"/>
        <v>Rodrigo</v>
      </c>
      <c r="T876" t="s">
        <v>1134</v>
      </c>
      <c r="U876" t="s">
        <v>1115</v>
      </c>
      <c r="V876">
        <v>6</v>
      </c>
      <c r="W876" t="s">
        <v>1137</v>
      </c>
      <c r="Z876" t="s">
        <v>1131</v>
      </c>
    </row>
    <row r="877" spans="1:26">
      <c r="A877">
        <v>876</v>
      </c>
      <c r="B877" t="s">
        <v>2</v>
      </c>
      <c r="C877" t="s">
        <v>1011</v>
      </c>
      <c r="E877">
        <v>47390883</v>
      </c>
      <c r="F877">
        <v>926673224</v>
      </c>
      <c r="G877" t="s">
        <v>2</v>
      </c>
      <c r="H877" t="s">
        <v>199</v>
      </c>
      <c r="J877" t="s">
        <v>29</v>
      </c>
      <c r="K877" t="s">
        <v>2</v>
      </c>
      <c r="L877" t="s">
        <v>37</v>
      </c>
      <c r="M877" s="1">
        <v>45055</v>
      </c>
      <c r="N877" t="s">
        <v>56</v>
      </c>
      <c r="O877">
        <v>455</v>
      </c>
      <c r="P877" t="s">
        <v>1076</v>
      </c>
      <c r="Q877" t="s">
        <v>10</v>
      </c>
      <c r="R877" t="s">
        <v>22</v>
      </c>
      <c r="T877" t="s">
        <v>1092</v>
      </c>
      <c r="U877" t="s">
        <v>1100</v>
      </c>
      <c r="V877" s="3">
        <v>2</v>
      </c>
      <c r="W877" t="s">
        <v>1146</v>
      </c>
      <c r="Z877" t="s">
        <v>1143</v>
      </c>
    </row>
    <row r="878" spans="1:26">
      <c r="A878">
        <v>877</v>
      </c>
      <c r="B878" t="str">
        <f t="shared" ref="B878:E878" si="426">B877</f>
        <v>-</v>
      </c>
      <c r="C878" t="str">
        <f t="shared" si="426"/>
        <v>Junior Rafael Mora Leon</v>
      </c>
      <c r="E878">
        <f t="shared" si="426"/>
        <v>47390883</v>
      </c>
      <c r="F878">
        <v>926673224</v>
      </c>
      <c r="G878" t="str">
        <f>G877</f>
        <v>-</v>
      </c>
      <c r="H878" t="s">
        <v>199</v>
      </c>
      <c r="J878" t="s">
        <v>29</v>
      </c>
      <c r="K878" t="s">
        <v>2</v>
      </c>
      <c r="L878" t="s">
        <v>37</v>
      </c>
      <c r="M878" s="1">
        <v>45055</v>
      </c>
      <c r="N878" t="s">
        <v>56</v>
      </c>
      <c r="O878" s="14">
        <v>15</v>
      </c>
      <c r="P878" t="s">
        <v>1076</v>
      </c>
      <c r="Q878" t="str">
        <f t="shared" ref="Q878:R878" si="427">Q877</f>
        <v>U</v>
      </c>
      <c r="R878" t="str">
        <f t="shared" si="427"/>
        <v>Sergio</v>
      </c>
      <c r="T878" t="s">
        <v>1134</v>
      </c>
      <c r="U878" t="s">
        <v>1116</v>
      </c>
      <c r="V878">
        <v>10</v>
      </c>
      <c r="W878" t="s">
        <v>1137</v>
      </c>
      <c r="Z878" t="s">
        <v>1131</v>
      </c>
    </row>
    <row r="879" spans="1:26">
      <c r="A879">
        <v>878</v>
      </c>
      <c r="B879" t="s">
        <v>12</v>
      </c>
      <c r="C879" t="s">
        <v>1012</v>
      </c>
      <c r="D879">
        <v>20608099311</v>
      </c>
      <c r="E879" t="s">
        <v>2</v>
      </c>
      <c r="F879">
        <v>970785500</v>
      </c>
      <c r="G879" t="s">
        <v>1013</v>
      </c>
      <c r="H879" t="s">
        <v>4</v>
      </c>
      <c r="I879" t="s">
        <v>364</v>
      </c>
      <c r="J879" t="s">
        <v>2</v>
      </c>
      <c r="K879" t="s">
        <v>364</v>
      </c>
      <c r="L879" t="s">
        <v>37</v>
      </c>
      <c r="M879" s="1">
        <v>45056</v>
      </c>
      <c r="N879" t="s">
        <v>56</v>
      </c>
      <c r="O879">
        <v>470</v>
      </c>
      <c r="P879" t="s">
        <v>541</v>
      </c>
      <c r="Q879" t="s">
        <v>10</v>
      </c>
      <c r="R879" t="s">
        <v>11</v>
      </c>
      <c r="T879" t="s">
        <v>1092</v>
      </c>
      <c r="U879" t="s">
        <v>1105</v>
      </c>
      <c r="V879" s="3">
        <v>1</v>
      </c>
      <c r="W879" t="s">
        <v>1148</v>
      </c>
      <c r="Z879" t="s">
        <v>1149</v>
      </c>
    </row>
    <row r="880" spans="1:26">
      <c r="A880">
        <v>879</v>
      </c>
      <c r="B880" t="s">
        <v>12</v>
      </c>
      <c r="C880" t="s">
        <v>1012</v>
      </c>
      <c r="D880">
        <v>20608099312</v>
      </c>
      <c r="E880" t="s">
        <v>2</v>
      </c>
      <c r="F880">
        <v>970785501</v>
      </c>
      <c r="G880" t="s">
        <v>1013</v>
      </c>
      <c r="H880" t="s">
        <v>4</v>
      </c>
      <c r="I880" t="s">
        <v>364</v>
      </c>
      <c r="J880" t="s">
        <v>2</v>
      </c>
      <c r="K880" t="s">
        <v>364</v>
      </c>
      <c r="L880" t="s">
        <v>37</v>
      </c>
      <c r="M880" s="1">
        <v>45056</v>
      </c>
      <c r="N880" t="s">
        <v>56</v>
      </c>
      <c r="O880">
        <v>28</v>
      </c>
      <c r="P880" t="s">
        <v>541</v>
      </c>
      <c r="Q880" t="str">
        <f t="shared" ref="Q880:R880" si="428">Q879</f>
        <v>U</v>
      </c>
      <c r="R880" t="str">
        <f t="shared" si="428"/>
        <v>Rodrigo</v>
      </c>
      <c r="T880" t="s">
        <v>1134</v>
      </c>
      <c r="U880" t="s">
        <v>1116</v>
      </c>
      <c r="V880">
        <v>20</v>
      </c>
      <c r="W880" t="s">
        <v>1137</v>
      </c>
      <c r="Z880" t="s">
        <v>1131</v>
      </c>
    </row>
    <row r="881" spans="1:26">
      <c r="A881">
        <v>880</v>
      </c>
      <c r="B881" t="s">
        <v>12</v>
      </c>
      <c r="C881" t="s">
        <v>1014</v>
      </c>
      <c r="D881">
        <v>20543298655</v>
      </c>
      <c r="E881" t="s">
        <v>2</v>
      </c>
      <c r="F881">
        <v>955365688</v>
      </c>
      <c r="G881" t="s">
        <v>1015</v>
      </c>
      <c r="H881" t="s">
        <v>4</v>
      </c>
      <c r="I881" t="s">
        <v>400</v>
      </c>
      <c r="J881" t="s">
        <v>2</v>
      </c>
      <c r="K881" t="s">
        <v>400</v>
      </c>
      <c r="L881" t="s">
        <v>37</v>
      </c>
      <c r="M881" s="1">
        <v>45056</v>
      </c>
      <c r="N881" t="s">
        <v>21</v>
      </c>
      <c r="O881">
        <v>455</v>
      </c>
      <c r="P881" t="s">
        <v>52</v>
      </c>
      <c r="Q881" t="s">
        <v>10</v>
      </c>
      <c r="R881" t="s">
        <v>11</v>
      </c>
      <c r="T881" t="s">
        <v>1092</v>
      </c>
      <c r="U881" t="s">
        <v>1105</v>
      </c>
      <c r="V881" s="3">
        <v>1</v>
      </c>
      <c r="W881" t="s">
        <v>1148</v>
      </c>
      <c r="Z881" t="s">
        <v>1149</v>
      </c>
    </row>
    <row r="882" spans="1:26">
      <c r="A882">
        <v>881</v>
      </c>
      <c r="B882" t="s">
        <v>12</v>
      </c>
      <c r="C882" t="s">
        <v>1014</v>
      </c>
      <c r="D882">
        <v>20543298656</v>
      </c>
      <c r="E882" t="s">
        <v>2</v>
      </c>
      <c r="F882">
        <v>955365689</v>
      </c>
      <c r="G882" t="s">
        <v>1015</v>
      </c>
      <c r="H882" t="s">
        <v>4</v>
      </c>
      <c r="I882" t="s">
        <v>400</v>
      </c>
      <c r="J882" t="s">
        <v>2</v>
      </c>
      <c r="K882" t="s">
        <v>400</v>
      </c>
      <c r="L882" t="s">
        <v>37</v>
      </c>
      <c r="M882" s="1">
        <v>45056</v>
      </c>
      <c r="N882" t="s">
        <v>21</v>
      </c>
      <c r="O882" s="14">
        <v>25</v>
      </c>
      <c r="P882" t="s">
        <v>52</v>
      </c>
      <c r="Q882" t="str">
        <f t="shared" ref="Q882:R882" si="429">Q881</f>
        <v>U</v>
      </c>
      <c r="R882" t="str">
        <f t="shared" si="429"/>
        <v>Rodrigo</v>
      </c>
      <c r="T882" t="s">
        <v>1151</v>
      </c>
      <c r="U882" t="s">
        <v>1122</v>
      </c>
      <c r="V882">
        <v>1</v>
      </c>
      <c r="W882" t="s">
        <v>1135</v>
      </c>
      <c r="Z882" t="s">
        <v>1136</v>
      </c>
    </row>
    <row r="883" spans="1:26">
      <c r="A883">
        <v>882</v>
      </c>
      <c r="B883" t="s">
        <v>12</v>
      </c>
      <c r="C883" t="s">
        <v>1016</v>
      </c>
      <c r="D883">
        <v>20607665037</v>
      </c>
      <c r="E883" t="s">
        <v>2</v>
      </c>
      <c r="F883">
        <v>984738360</v>
      </c>
      <c r="G883" t="s">
        <v>1017</v>
      </c>
      <c r="H883" t="s">
        <v>4</v>
      </c>
      <c r="I883" t="s">
        <v>244</v>
      </c>
      <c r="J883" t="s">
        <v>2</v>
      </c>
      <c r="K883" t="s">
        <v>7</v>
      </c>
      <c r="L883" t="s">
        <v>7</v>
      </c>
      <c r="M883" s="1">
        <v>45056</v>
      </c>
      <c r="N883" t="s">
        <v>8</v>
      </c>
      <c r="O883" s="14">
        <v>170</v>
      </c>
      <c r="P883" t="s">
        <v>1076</v>
      </c>
      <c r="Q883" t="s">
        <v>10</v>
      </c>
      <c r="R883" t="s">
        <v>22</v>
      </c>
      <c r="T883" t="s">
        <v>1134</v>
      </c>
      <c r="U883" t="s">
        <v>1115</v>
      </c>
      <c r="V883" s="3">
        <v>70</v>
      </c>
      <c r="W883" t="s">
        <v>1137</v>
      </c>
      <c r="Z883" t="s">
        <v>1131</v>
      </c>
    </row>
    <row r="884" spans="1:26">
      <c r="A884">
        <v>883</v>
      </c>
      <c r="B884" t="s">
        <v>12</v>
      </c>
      <c r="C884" t="s">
        <v>1018</v>
      </c>
      <c r="D884">
        <v>10726500156</v>
      </c>
      <c r="E884">
        <v>72650015</v>
      </c>
      <c r="F884">
        <v>930110369</v>
      </c>
      <c r="G884" t="s">
        <v>1021</v>
      </c>
      <c r="H884" t="s">
        <v>927</v>
      </c>
      <c r="I884" t="s">
        <v>405</v>
      </c>
      <c r="J884" t="s">
        <v>147</v>
      </c>
      <c r="K884" t="s">
        <v>2</v>
      </c>
      <c r="L884" t="s">
        <v>268</v>
      </c>
      <c r="M884" s="1">
        <v>45056</v>
      </c>
      <c r="N884" t="s">
        <v>56</v>
      </c>
      <c r="O884">
        <v>200</v>
      </c>
      <c r="P884" t="s">
        <v>134</v>
      </c>
      <c r="Q884" t="s">
        <v>10</v>
      </c>
      <c r="R884" t="s">
        <v>11</v>
      </c>
      <c r="T884" t="s">
        <v>1082</v>
      </c>
      <c r="U884" t="s">
        <v>1099</v>
      </c>
      <c r="V884" s="3">
        <v>1</v>
      </c>
      <c r="W884" t="s">
        <v>1146</v>
      </c>
      <c r="Z884" t="s">
        <v>1143</v>
      </c>
    </row>
    <row r="885" spans="1:26">
      <c r="A885">
        <v>884</v>
      </c>
      <c r="B885" t="s">
        <v>12</v>
      </c>
      <c r="C885" t="s">
        <v>1018</v>
      </c>
      <c r="D885">
        <v>10726500156</v>
      </c>
      <c r="E885">
        <v>72650015</v>
      </c>
      <c r="F885">
        <v>930110369</v>
      </c>
      <c r="G885" t="s">
        <v>1021</v>
      </c>
      <c r="H885" t="s">
        <v>927</v>
      </c>
      <c r="I885" t="s">
        <v>405</v>
      </c>
      <c r="J885" t="s">
        <v>147</v>
      </c>
      <c r="K885" t="s">
        <v>2</v>
      </c>
      <c r="L885" t="s">
        <v>268</v>
      </c>
      <c r="M885" s="1">
        <v>45056</v>
      </c>
      <c r="N885" t="s">
        <v>56</v>
      </c>
      <c r="O885">
        <v>24.3</v>
      </c>
      <c r="P885" t="s">
        <v>134</v>
      </c>
      <c r="Q885" t="s">
        <v>10</v>
      </c>
      <c r="R885" t="s">
        <v>11</v>
      </c>
      <c r="T885" t="s">
        <v>1134</v>
      </c>
      <c r="U885" t="s">
        <v>1116</v>
      </c>
      <c r="V885">
        <v>10</v>
      </c>
      <c r="W885" t="s">
        <v>1137</v>
      </c>
      <c r="Z885" t="s">
        <v>1131</v>
      </c>
    </row>
    <row r="886" spans="1:26">
      <c r="A886">
        <v>885</v>
      </c>
      <c r="B886" t="s">
        <v>2</v>
      </c>
      <c r="C886" t="s">
        <v>1019</v>
      </c>
      <c r="E886">
        <v>46795023</v>
      </c>
      <c r="F886">
        <v>973451942</v>
      </c>
      <c r="G886" t="s">
        <v>2</v>
      </c>
      <c r="H886" t="s">
        <v>65</v>
      </c>
      <c r="J886" t="s">
        <v>29</v>
      </c>
      <c r="K886" t="s">
        <v>2</v>
      </c>
      <c r="L886" t="s">
        <v>268</v>
      </c>
      <c r="M886" s="1">
        <v>45056</v>
      </c>
      <c r="N886" t="s">
        <v>8</v>
      </c>
      <c r="O886">
        <v>185</v>
      </c>
      <c r="P886" t="s">
        <v>134</v>
      </c>
      <c r="Q886" t="s">
        <v>10</v>
      </c>
      <c r="R886" t="s">
        <v>22</v>
      </c>
      <c r="T886" t="s">
        <v>1082</v>
      </c>
      <c r="U886" t="s">
        <v>1099</v>
      </c>
      <c r="V886" s="3">
        <v>1</v>
      </c>
      <c r="W886" t="s">
        <v>1146</v>
      </c>
      <c r="Z886" t="s">
        <v>1143</v>
      </c>
    </row>
    <row r="887" spans="1:26">
      <c r="A887">
        <v>886</v>
      </c>
      <c r="B887" t="s">
        <v>2</v>
      </c>
      <c r="C887" t="s">
        <v>1019</v>
      </c>
      <c r="E887">
        <v>46795023</v>
      </c>
      <c r="F887">
        <v>973451942</v>
      </c>
      <c r="G887" t="s">
        <v>2</v>
      </c>
      <c r="H887" t="s">
        <v>65</v>
      </c>
      <c r="J887" t="s">
        <v>29</v>
      </c>
      <c r="K887" t="s">
        <v>2</v>
      </c>
      <c r="L887" t="s">
        <v>268</v>
      </c>
      <c r="M887" s="1">
        <v>45056</v>
      </c>
      <c r="N887" s="18" t="s">
        <v>8</v>
      </c>
      <c r="O887">
        <v>15</v>
      </c>
      <c r="P887" t="s">
        <v>134</v>
      </c>
      <c r="Q887" t="s">
        <v>10</v>
      </c>
      <c r="R887" t="s">
        <v>22</v>
      </c>
      <c r="T887" t="s">
        <v>1134</v>
      </c>
      <c r="U887" t="s">
        <v>1116</v>
      </c>
      <c r="V887">
        <v>10</v>
      </c>
      <c r="W887" t="s">
        <v>1137</v>
      </c>
      <c r="Z887" t="s">
        <v>1131</v>
      </c>
    </row>
    <row r="888" spans="1:26">
      <c r="A888">
        <v>887</v>
      </c>
      <c r="B888" t="s">
        <v>12</v>
      </c>
      <c r="C888" t="s">
        <v>1020</v>
      </c>
      <c r="D888">
        <v>10432857323</v>
      </c>
      <c r="E888">
        <v>43285732</v>
      </c>
      <c r="F888">
        <v>968469894</v>
      </c>
      <c r="G888" t="s">
        <v>1110</v>
      </c>
      <c r="H888" t="s">
        <v>4</v>
      </c>
      <c r="I888" t="s">
        <v>244</v>
      </c>
      <c r="J888" t="s">
        <v>2</v>
      </c>
      <c r="K888" t="s">
        <v>7</v>
      </c>
      <c r="L888" t="s">
        <v>7</v>
      </c>
      <c r="M888" s="1">
        <v>45057</v>
      </c>
      <c r="N888" t="s">
        <v>21</v>
      </c>
      <c r="O888" s="2">
        <v>480</v>
      </c>
      <c r="P888" t="s">
        <v>134</v>
      </c>
      <c r="Q888" t="s">
        <v>10</v>
      </c>
      <c r="R888" t="s">
        <v>11</v>
      </c>
      <c r="T888" t="s">
        <v>1092</v>
      </c>
      <c r="U888" t="s">
        <v>1105</v>
      </c>
      <c r="V888" s="3">
        <v>1</v>
      </c>
      <c r="W888" t="s">
        <v>1148</v>
      </c>
      <c r="Z888" t="s">
        <v>1149</v>
      </c>
    </row>
    <row r="889" spans="1:26">
      <c r="A889">
        <v>888</v>
      </c>
      <c r="B889" t="s">
        <v>12</v>
      </c>
      <c r="C889" t="s">
        <v>1020</v>
      </c>
      <c r="D889">
        <v>10432857323</v>
      </c>
      <c r="E889">
        <v>43285732</v>
      </c>
      <c r="F889">
        <v>968469894</v>
      </c>
      <c r="G889" t="s">
        <v>1110</v>
      </c>
      <c r="H889" t="s">
        <v>4</v>
      </c>
      <c r="I889" t="s">
        <v>244</v>
      </c>
      <c r="J889" t="s">
        <v>2</v>
      </c>
      <c r="K889" t="s">
        <v>7</v>
      </c>
      <c r="L889" t="s">
        <v>7</v>
      </c>
      <c r="M889" s="1">
        <v>45057</v>
      </c>
      <c r="N889" t="s">
        <v>21</v>
      </c>
      <c r="O889" s="2">
        <v>240</v>
      </c>
      <c r="P889" t="s">
        <v>134</v>
      </c>
      <c r="Q889" t="s">
        <v>10</v>
      </c>
      <c r="R889" t="s">
        <v>11</v>
      </c>
      <c r="T889" t="s">
        <v>1119</v>
      </c>
      <c r="U889" s="12" t="s">
        <v>1142</v>
      </c>
      <c r="V889">
        <v>1</v>
      </c>
      <c r="W889" t="s">
        <v>1066</v>
      </c>
      <c r="Z889" t="s">
        <v>1141</v>
      </c>
    </row>
    <row r="890" spans="1:26">
      <c r="A890">
        <v>889</v>
      </c>
      <c r="B890" t="s">
        <v>12</v>
      </c>
      <c r="C890" t="s">
        <v>1020</v>
      </c>
      <c r="D890">
        <v>10432857323</v>
      </c>
      <c r="E890">
        <v>43285732</v>
      </c>
      <c r="F890">
        <v>968469894</v>
      </c>
      <c r="G890" t="s">
        <v>1110</v>
      </c>
      <c r="H890" t="s">
        <v>4</v>
      </c>
      <c r="I890" t="s">
        <v>244</v>
      </c>
      <c r="J890" t="s">
        <v>2</v>
      </c>
      <c r="K890" t="s">
        <v>7</v>
      </c>
      <c r="L890" t="s">
        <v>7</v>
      </c>
      <c r="M890" s="1">
        <v>45057</v>
      </c>
      <c r="N890" t="s">
        <v>21</v>
      </c>
      <c r="O890" s="2">
        <v>160</v>
      </c>
      <c r="P890" t="s">
        <v>134</v>
      </c>
      <c r="Q890" t="s">
        <v>10</v>
      </c>
      <c r="R890" t="s">
        <v>11</v>
      </c>
      <c r="T890" t="s">
        <v>1092</v>
      </c>
      <c r="U890" t="s">
        <v>1106</v>
      </c>
      <c r="V890">
        <v>1</v>
      </c>
      <c r="W890" t="s">
        <v>1139</v>
      </c>
      <c r="Z890" t="s">
        <v>1138</v>
      </c>
    </row>
    <row r="891" spans="1:26">
      <c r="A891">
        <v>890</v>
      </c>
      <c r="B891" t="s">
        <v>12</v>
      </c>
      <c r="C891" t="s">
        <v>1020</v>
      </c>
      <c r="D891">
        <v>10432857323</v>
      </c>
      <c r="E891">
        <v>43285732</v>
      </c>
      <c r="F891">
        <v>968469894</v>
      </c>
      <c r="G891" t="s">
        <v>1110</v>
      </c>
      <c r="H891" t="s">
        <v>4</v>
      </c>
      <c r="I891" t="s">
        <v>244</v>
      </c>
      <c r="J891" t="s">
        <v>2</v>
      </c>
      <c r="K891" t="s">
        <v>7</v>
      </c>
      <c r="L891" t="s">
        <v>7</v>
      </c>
      <c r="M891" s="1">
        <v>45057</v>
      </c>
      <c r="N891" t="s">
        <v>21</v>
      </c>
      <c r="O891" s="2">
        <v>220</v>
      </c>
      <c r="P891" t="s">
        <v>134</v>
      </c>
      <c r="Q891" t="s">
        <v>10</v>
      </c>
      <c r="R891" t="s">
        <v>11</v>
      </c>
      <c r="T891" t="s">
        <v>1073</v>
      </c>
      <c r="U891" t="s">
        <v>1125</v>
      </c>
      <c r="V891">
        <v>8</v>
      </c>
      <c r="W891" t="s">
        <v>1073</v>
      </c>
      <c r="Z891" t="s">
        <v>1141</v>
      </c>
    </row>
    <row r="892" spans="1:26">
      <c r="A892">
        <v>891</v>
      </c>
      <c r="B892" t="s">
        <v>23</v>
      </c>
      <c r="C892" t="s">
        <v>365</v>
      </c>
      <c r="F892">
        <v>987117816</v>
      </c>
      <c r="G892" t="s">
        <v>2</v>
      </c>
      <c r="H892" t="s">
        <v>4</v>
      </c>
      <c r="I892" t="s">
        <v>58</v>
      </c>
      <c r="J892" t="s">
        <v>2</v>
      </c>
      <c r="K892" t="s">
        <v>58</v>
      </c>
      <c r="L892" t="s">
        <v>7</v>
      </c>
      <c r="M892" s="1">
        <v>45057</v>
      </c>
      <c r="N892" t="s">
        <v>8</v>
      </c>
      <c r="O892">
        <v>30</v>
      </c>
      <c r="P892" t="s">
        <v>234</v>
      </c>
      <c r="Q892" t="s">
        <v>10</v>
      </c>
      <c r="R892" t="s">
        <v>22</v>
      </c>
      <c r="T892" t="s">
        <v>1134</v>
      </c>
      <c r="U892" t="s">
        <v>1121</v>
      </c>
      <c r="V892" s="3">
        <v>10</v>
      </c>
      <c r="W892" t="s">
        <v>1137</v>
      </c>
      <c r="Z892" t="s">
        <v>1131</v>
      </c>
    </row>
    <row r="893" spans="1:26">
      <c r="A893">
        <v>892</v>
      </c>
      <c r="B893" t="s">
        <v>2</v>
      </c>
      <c r="C893" t="s">
        <v>1152</v>
      </c>
      <c r="D893" s="35">
        <v>10097190254</v>
      </c>
      <c r="E893" s="36">
        <v>9719025</v>
      </c>
      <c r="F893">
        <v>935576406</v>
      </c>
      <c r="G893" s="35"/>
      <c r="H893" t="s">
        <v>4</v>
      </c>
      <c r="I893" t="s">
        <v>383</v>
      </c>
      <c r="J893" t="s">
        <v>2</v>
      </c>
      <c r="K893" t="s">
        <v>383</v>
      </c>
      <c r="L893" t="s">
        <v>37</v>
      </c>
      <c r="M893" s="1">
        <v>45057</v>
      </c>
      <c r="N893" t="s">
        <v>21</v>
      </c>
      <c r="O893">
        <v>200</v>
      </c>
      <c r="P893" t="s">
        <v>541</v>
      </c>
      <c r="Q893" t="s">
        <v>10</v>
      </c>
      <c r="R893" t="s">
        <v>22</v>
      </c>
      <c r="T893" t="s">
        <v>1082</v>
      </c>
      <c r="U893" t="s">
        <v>1099</v>
      </c>
      <c r="V893" s="3">
        <v>1</v>
      </c>
      <c r="W893" t="s">
        <v>1146</v>
      </c>
      <c r="Z893" t="s">
        <v>1143</v>
      </c>
    </row>
    <row r="894" spans="1:26">
      <c r="A894">
        <v>893</v>
      </c>
      <c r="B894" s="37"/>
      <c r="C894" s="14" t="s">
        <v>1153</v>
      </c>
      <c r="E894" s="38"/>
      <c r="F894" s="14">
        <v>940871421</v>
      </c>
      <c r="H894" t="s">
        <v>4</v>
      </c>
      <c r="I894" t="s">
        <v>90</v>
      </c>
      <c r="K894" t="s">
        <v>1184</v>
      </c>
      <c r="L894" t="s">
        <v>268</v>
      </c>
      <c r="M894" s="1">
        <v>45058</v>
      </c>
      <c r="N894" s="14" t="s">
        <v>8</v>
      </c>
      <c r="O894" s="20">
        <v>795</v>
      </c>
      <c r="P894" t="s">
        <v>1076</v>
      </c>
      <c r="Q894" t="s">
        <v>10</v>
      </c>
      <c r="R894" t="s">
        <v>11</v>
      </c>
      <c r="T894" t="s">
        <v>1092</v>
      </c>
      <c r="U894" t="s">
        <v>1096</v>
      </c>
      <c r="V894" s="3">
        <v>2</v>
      </c>
      <c r="W894" t="s">
        <v>1148</v>
      </c>
      <c r="Z894" t="s">
        <v>1149</v>
      </c>
    </row>
    <row r="895" spans="1:26">
      <c r="A895">
        <v>894</v>
      </c>
      <c r="B895" s="37"/>
      <c r="C895" s="45" t="str">
        <f t="shared" ref="C895:H895" si="430">C894</f>
        <v>Edgar Castillo</v>
      </c>
      <c r="D895" s="37"/>
      <c r="E895" s="38"/>
      <c r="F895" s="45">
        <f t="shared" si="430"/>
        <v>940871421</v>
      </c>
      <c r="G895" s="37"/>
      <c r="H895" s="37" t="str">
        <f t="shared" si="430"/>
        <v>Lima</v>
      </c>
      <c r="I895" s="37" t="str">
        <f t="shared" ref="I895:I896" si="431">I894</f>
        <v>La victoria</v>
      </c>
      <c r="J895" s="37">
        <f>J894</f>
        <v>0</v>
      </c>
      <c r="K895" s="37" t="str">
        <f t="shared" ref="K895:K914" si="432">K894</f>
        <v>Estacion del Tren Grau</v>
      </c>
      <c r="L895" s="37" t="str">
        <f>L894</f>
        <v>Aplicativo Web</v>
      </c>
      <c r="M895" s="1">
        <v>45058</v>
      </c>
      <c r="N895" s="14" t="s">
        <v>8</v>
      </c>
      <c r="O895" s="20">
        <v>5</v>
      </c>
      <c r="P895" t="s">
        <v>1076</v>
      </c>
      <c r="Q895" t="s">
        <v>10</v>
      </c>
      <c r="R895" t="s">
        <v>11</v>
      </c>
      <c r="T895" t="s">
        <v>1134</v>
      </c>
      <c r="U895" t="s">
        <v>1115</v>
      </c>
      <c r="V895" s="3">
        <v>2</v>
      </c>
      <c r="W895" t="s">
        <v>1137</v>
      </c>
      <c r="Z895" t="s">
        <v>1131</v>
      </c>
    </row>
    <row r="896" spans="1:26">
      <c r="A896">
        <v>895</v>
      </c>
      <c r="B896" s="37" t="s">
        <v>12</v>
      </c>
      <c r="C896" s="14" t="s">
        <v>1154</v>
      </c>
      <c r="D896">
        <v>20600855604</v>
      </c>
      <c r="E896" s="38">
        <v>48533591</v>
      </c>
      <c r="F896" s="14">
        <v>982284454</v>
      </c>
      <c r="G896" t="s">
        <v>1185</v>
      </c>
      <c r="H896" t="s">
        <v>199</v>
      </c>
      <c r="I896" s="37" t="str">
        <f t="shared" si="431"/>
        <v>La victoria</v>
      </c>
      <c r="J896" t="s">
        <v>29</v>
      </c>
      <c r="K896" s="1" t="str">
        <f t="shared" si="432"/>
        <v>Estacion del Tren Grau</v>
      </c>
      <c r="L896" t="s">
        <v>37</v>
      </c>
      <c r="M896" s="1">
        <v>45059</v>
      </c>
      <c r="N896" s="14" t="s">
        <v>8</v>
      </c>
      <c r="O896" s="20">
        <v>189</v>
      </c>
      <c r="P896" t="s">
        <v>541</v>
      </c>
      <c r="Q896" t="s">
        <v>10</v>
      </c>
      <c r="R896" t="s">
        <v>11</v>
      </c>
      <c r="T896" t="s">
        <v>1082</v>
      </c>
      <c r="U896" t="s">
        <v>1099</v>
      </c>
      <c r="V896" s="3">
        <v>1</v>
      </c>
      <c r="W896" t="s">
        <v>1146</v>
      </c>
      <c r="Z896" t="s">
        <v>1143</v>
      </c>
    </row>
    <row r="897" spans="1:26">
      <c r="A897">
        <v>896</v>
      </c>
      <c r="B897" s="37" t="str">
        <f t="shared" ref="B897:D897" si="433">B896</f>
        <v>FT</v>
      </c>
      <c r="C897" s="45" t="str">
        <f t="shared" si="433"/>
        <v>Mickell Jonathan Romero Ocola</v>
      </c>
      <c r="D897" s="37">
        <f t="shared" si="433"/>
        <v>20600855604</v>
      </c>
      <c r="E897" s="38">
        <f t="shared" ref="E897:E902" si="434">E896</f>
        <v>48533591</v>
      </c>
      <c r="F897" s="45">
        <f t="shared" ref="F897:I897" si="435">F896</f>
        <v>982284454</v>
      </c>
      <c r="G897" s="37" t="str">
        <f t="shared" si="435"/>
        <v>FT F001-142</v>
      </c>
      <c r="H897" s="37" t="str">
        <f t="shared" si="435"/>
        <v>Arequipa</v>
      </c>
      <c r="I897" s="37" t="str">
        <f t="shared" si="435"/>
        <v>La victoria</v>
      </c>
      <c r="J897" s="37" t="str">
        <f t="shared" ref="J897:J903" si="436">J896</f>
        <v>Shalom</v>
      </c>
      <c r="K897" s="1" t="str">
        <f t="shared" si="432"/>
        <v>Estacion del Tren Grau</v>
      </c>
      <c r="L897" s="37" t="str">
        <f>L896</f>
        <v>Redes sociales</v>
      </c>
      <c r="M897" s="1">
        <v>45059</v>
      </c>
      <c r="N897" s="14" t="s">
        <v>8</v>
      </c>
      <c r="O897" s="20">
        <v>10</v>
      </c>
      <c r="P897" t="s">
        <v>541</v>
      </c>
      <c r="Q897" t="s">
        <v>10</v>
      </c>
      <c r="R897" t="s">
        <v>11</v>
      </c>
      <c r="T897" t="s">
        <v>1134</v>
      </c>
      <c r="U897" t="s">
        <v>1116</v>
      </c>
      <c r="V897">
        <v>5</v>
      </c>
      <c r="W897" t="s">
        <v>1137</v>
      </c>
      <c r="Z897" t="s">
        <v>1131</v>
      </c>
    </row>
    <row r="898" spans="1:26">
      <c r="A898">
        <v>897</v>
      </c>
      <c r="B898" s="39" t="s">
        <v>12</v>
      </c>
      <c r="C898" s="40" t="s">
        <v>945</v>
      </c>
      <c r="D898" s="41">
        <v>10106823095</v>
      </c>
      <c r="E898" s="42">
        <f t="shared" si="434"/>
        <v>48533591</v>
      </c>
      <c r="F898" s="40">
        <v>985346268</v>
      </c>
      <c r="G898" s="41" t="s">
        <v>1186</v>
      </c>
      <c r="H898" s="41" t="s">
        <v>4</v>
      </c>
      <c r="I898" t="s">
        <v>244</v>
      </c>
      <c r="J898" s="39" t="str">
        <f t="shared" si="436"/>
        <v>Shalom</v>
      </c>
      <c r="K898" s="47" t="str">
        <f t="shared" si="432"/>
        <v>Estacion del Tren Grau</v>
      </c>
      <c r="L898" t="s">
        <v>7</v>
      </c>
      <c r="M898" s="47">
        <v>45059</v>
      </c>
      <c r="N898" s="14" t="s">
        <v>8</v>
      </c>
      <c r="O898" s="22">
        <v>300</v>
      </c>
      <c r="P898" t="s">
        <v>9</v>
      </c>
      <c r="Q898" s="41" t="s">
        <v>31</v>
      </c>
      <c r="R898" t="s">
        <v>11</v>
      </c>
      <c r="T898" t="s">
        <v>1092</v>
      </c>
      <c r="U898" t="s">
        <v>1093</v>
      </c>
      <c r="V898" s="3">
        <v>1</v>
      </c>
      <c r="W898" t="s">
        <v>1148</v>
      </c>
      <c r="Z898" t="s">
        <v>1149</v>
      </c>
    </row>
    <row r="899" spans="1:26">
      <c r="A899">
        <v>898</v>
      </c>
      <c r="B899" s="39" t="str">
        <f t="shared" ref="B899:B900" si="437">B898</f>
        <v>FT</v>
      </c>
      <c r="C899" s="43" t="str">
        <f>C898</f>
        <v>Quinte Obregon Jardy Peeter</v>
      </c>
      <c r="D899" s="39">
        <f t="shared" ref="D899:D904" si="438">D898</f>
        <v>10106823095</v>
      </c>
      <c r="E899" s="42">
        <f t="shared" si="434"/>
        <v>48533591</v>
      </c>
      <c r="F899" s="43">
        <f>F898</f>
        <v>985346268</v>
      </c>
      <c r="G899" s="39" t="str">
        <f t="shared" ref="G899:G900" si="439">G898</f>
        <v>FT F001-143</v>
      </c>
      <c r="H899" s="39" t="str">
        <f t="shared" ref="H899:I899" si="440">H898</f>
        <v>Lima</v>
      </c>
      <c r="I899" s="37" t="str">
        <f t="shared" si="440"/>
        <v>Comas</v>
      </c>
      <c r="J899" s="39" t="str">
        <f t="shared" si="436"/>
        <v>Shalom</v>
      </c>
      <c r="K899" s="47" t="str">
        <f t="shared" si="432"/>
        <v>Estacion del Tren Grau</v>
      </c>
      <c r="L899" s="37" t="str">
        <f>L898</f>
        <v>Oficina</v>
      </c>
      <c r="M899" s="47">
        <v>45059</v>
      </c>
      <c r="N899" s="14" t="s">
        <v>8</v>
      </c>
      <c r="O899" s="22">
        <v>60</v>
      </c>
      <c r="P899" t="s">
        <v>9</v>
      </c>
      <c r="Q899" s="41" t="s">
        <v>31</v>
      </c>
      <c r="R899" t="s">
        <v>11</v>
      </c>
      <c r="T899" t="s">
        <v>1133</v>
      </c>
      <c r="U899" t="s">
        <v>1114</v>
      </c>
      <c r="V899" s="3">
        <v>3</v>
      </c>
      <c r="W899" t="s">
        <v>1132</v>
      </c>
      <c r="Z899" t="s">
        <v>1131</v>
      </c>
    </row>
    <row r="900" spans="1:26">
      <c r="A900">
        <v>899</v>
      </c>
      <c r="B900" s="39" t="str">
        <f t="shared" si="437"/>
        <v>FT</v>
      </c>
      <c r="C900" s="41" t="s">
        <v>1155</v>
      </c>
      <c r="D900" s="39">
        <f t="shared" si="438"/>
        <v>10106823095</v>
      </c>
      <c r="E900" s="39">
        <f t="shared" si="434"/>
        <v>48533591</v>
      </c>
      <c r="F900" s="41">
        <v>934134598</v>
      </c>
      <c r="G900" s="39" t="str">
        <f t="shared" si="439"/>
        <v>FT F001-143</v>
      </c>
      <c r="H900" s="41" t="s">
        <v>4</v>
      </c>
      <c r="I900" s="41" t="s">
        <v>94</v>
      </c>
      <c r="J900" s="39" t="str">
        <f t="shared" si="436"/>
        <v>Shalom</v>
      </c>
      <c r="K900" s="47" t="str">
        <f t="shared" si="432"/>
        <v>Estacion del Tren Grau</v>
      </c>
      <c r="L900" t="s">
        <v>268</v>
      </c>
      <c r="M900" s="47">
        <v>45061</v>
      </c>
      <c r="N900" t="s">
        <v>8</v>
      </c>
      <c r="O900" s="48">
        <v>480</v>
      </c>
      <c r="P900" t="s">
        <v>30</v>
      </c>
      <c r="Q900" s="41" t="s">
        <v>31</v>
      </c>
      <c r="R900" t="s">
        <v>11</v>
      </c>
      <c r="T900" t="s">
        <v>1092</v>
      </c>
      <c r="U900" t="s">
        <v>1096</v>
      </c>
      <c r="V900" s="3">
        <v>2</v>
      </c>
      <c r="W900" t="s">
        <v>1148</v>
      </c>
      <c r="Z900" t="s">
        <v>1149</v>
      </c>
    </row>
    <row r="901" spans="1:26">
      <c r="A901">
        <v>900</v>
      </c>
      <c r="B901" s="39" t="str">
        <f t="shared" ref="B901:C901" si="441">B900</f>
        <v>FT</v>
      </c>
      <c r="C901" s="39" t="str">
        <f t="shared" si="441"/>
        <v xml:space="preserve">Silvia </v>
      </c>
      <c r="D901" s="39">
        <f t="shared" si="438"/>
        <v>10106823095</v>
      </c>
      <c r="E901" s="39">
        <f t="shared" si="434"/>
        <v>48533591</v>
      </c>
      <c r="F901" s="39">
        <f t="shared" ref="F901:I901" si="442">F900</f>
        <v>934134598</v>
      </c>
      <c r="G901" s="39" t="str">
        <f t="shared" si="442"/>
        <v>FT F001-143</v>
      </c>
      <c r="H901" s="39" t="str">
        <f t="shared" si="442"/>
        <v>Lima</v>
      </c>
      <c r="I901" s="39" t="str">
        <f t="shared" si="442"/>
        <v>Puente piedra</v>
      </c>
      <c r="J901" s="39" t="str">
        <f t="shared" si="436"/>
        <v>Shalom</v>
      </c>
      <c r="K901" s="47" t="str">
        <f t="shared" si="432"/>
        <v>Estacion del Tren Grau</v>
      </c>
      <c r="L901" s="37" t="str">
        <f t="shared" ref="L901:N901" si="443">L900</f>
        <v>Aplicativo Web</v>
      </c>
      <c r="M901" s="47">
        <f t="shared" si="443"/>
        <v>45061</v>
      </c>
      <c r="N901" s="37" t="str">
        <f t="shared" si="443"/>
        <v>BCP</v>
      </c>
      <c r="O901" s="48">
        <v>30</v>
      </c>
      <c r="P901" t="s">
        <v>30</v>
      </c>
      <c r="Q901" s="41" t="s">
        <v>31</v>
      </c>
      <c r="R901" t="s">
        <v>11</v>
      </c>
      <c r="T901" t="s">
        <v>1134</v>
      </c>
      <c r="U901" t="s">
        <v>1115</v>
      </c>
      <c r="V901" s="3">
        <v>20</v>
      </c>
      <c r="W901" t="s">
        <v>1137</v>
      </c>
      <c r="Z901" t="s">
        <v>1131</v>
      </c>
    </row>
    <row r="902" spans="1:26">
      <c r="A902">
        <v>901</v>
      </c>
      <c r="B902" s="37" t="s">
        <v>12</v>
      </c>
      <c r="C902" s="14" t="s">
        <v>1156</v>
      </c>
      <c r="D902" s="37">
        <f t="shared" si="438"/>
        <v>10106823095</v>
      </c>
      <c r="E902" s="38">
        <f t="shared" si="434"/>
        <v>48533591</v>
      </c>
      <c r="F902" s="14">
        <v>975221750</v>
      </c>
      <c r="G902" t="s">
        <v>1187</v>
      </c>
      <c r="H902" s="41" t="s">
        <v>4</v>
      </c>
      <c r="I902" t="s">
        <v>183</v>
      </c>
      <c r="J902" s="37" t="str">
        <f t="shared" si="436"/>
        <v>Shalom</v>
      </c>
      <c r="K902" s="1" t="str">
        <f t="shared" si="432"/>
        <v>Estacion del Tren Grau</v>
      </c>
      <c r="L902" t="s">
        <v>37</v>
      </c>
      <c r="M902" s="1">
        <v>45061</v>
      </c>
      <c r="N902" t="s">
        <v>8</v>
      </c>
      <c r="O902" s="20">
        <v>30</v>
      </c>
      <c r="P902" t="s">
        <v>30</v>
      </c>
      <c r="Q902" t="s">
        <v>10</v>
      </c>
      <c r="R902" t="s">
        <v>11</v>
      </c>
      <c r="T902" t="s">
        <v>1151</v>
      </c>
      <c r="U902" t="s">
        <v>1124</v>
      </c>
      <c r="V902" s="3">
        <v>1</v>
      </c>
      <c r="W902" t="s">
        <v>1135</v>
      </c>
      <c r="X902" s="9"/>
      <c r="Y902" s="9"/>
      <c r="Z902" t="s">
        <v>1136</v>
      </c>
    </row>
    <row r="903" spans="1:26">
      <c r="A903">
        <v>902</v>
      </c>
      <c r="B903" s="37" t="str">
        <f t="shared" ref="B903:C903" si="444">B902</f>
        <v>FT</v>
      </c>
      <c r="C903" s="45" t="str">
        <f t="shared" si="444"/>
        <v>Samuel Maximo Espinoza M.</v>
      </c>
      <c r="D903" s="37">
        <f t="shared" si="438"/>
        <v>10106823095</v>
      </c>
      <c r="E903" s="38">
        <f t="shared" ref="E903:H903" si="445">E902</f>
        <v>48533591</v>
      </c>
      <c r="F903" s="45">
        <f t="shared" si="445"/>
        <v>975221750</v>
      </c>
      <c r="G903" s="37" t="str">
        <f t="shared" si="445"/>
        <v>FT F001-145</v>
      </c>
      <c r="H903" s="39" t="str">
        <f t="shared" si="445"/>
        <v>Lima</v>
      </c>
      <c r="I903" s="37" t="str">
        <f t="shared" ref="I903:I904" si="446">I902</f>
        <v>Carabayllo</v>
      </c>
      <c r="J903" s="37" t="str">
        <f t="shared" si="436"/>
        <v>Shalom</v>
      </c>
      <c r="K903" s="1" t="str">
        <f t="shared" si="432"/>
        <v>Estacion del Tren Grau</v>
      </c>
      <c r="L903" s="37" t="str">
        <f t="shared" ref="L903:N903" si="447">L902</f>
        <v>Redes sociales</v>
      </c>
      <c r="M903" s="1">
        <f t="shared" si="447"/>
        <v>45061</v>
      </c>
      <c r="N903" s="37" t="str">
        <f t="shared" si="447"/>
        <v>BCP</v>
      </c>
      <c r="O903" s="20">
        <v>480</v>
      </c>
      <c r="P903" t="s">
        <v>30</v>
      </c>
      <c r="Q903" t="s">
        <v>10</v>
      </c>
      <c r="R903" t="s">
        <v>11</v>
      </c>
      <c r="T903" t="s">
        <v>1092</v>
      </c>
      <c r="U903" t="s">
        <v>1105</v>
      </c>
      <c r="V903" s="3">
        <v>1</v>
      </c>
      <c r="W903" t="s">
        <v>1148</v>
      </c>
      <c r="Z903" t="s">
        <v>1149</v>
      </c>
    </row>
    <row r="904" spans="1:26">
      <c r="A904">
        <v>903</v>
      </c>
      <c r="B904" s="37" t="s">
        <v>12</v>
      </c>
      <c r="C904" s="14" t="s">
        <v>1157</v>
      </c>
      <c r="D904" s="37">
        <f t="shared" si="438"/>
        <v>10106823095</v>
      </c>
      <c r="E904" s="38">
        <v>41417644</v>
      </c>
      <c r="F904" s="14">
        <v>969383070</v>
      </c>
      <c r="G904" t="s">
        <v>1188</v>
      </c>
      <c r="H904" t="s">
        <v>229</v>
      </c>
      <c r="I904" s="37" t="str">
        <f t="shared" si="446"/>
        <v>Carabayllo</v>
      </c>
      <c r="J904" t="s">
        <v>29</v>
      </c>
      <c r="K904" s="1" t="str">
        <f t="shared" si="432"/>
        <v>Estacion del Tren Grau</v>
      </c>
      <c r="L904" t="s">
        <v>37</v>
      </c>
      <c r="M904" s="1">
        <v>45061</v>
      </c>
      <c r="N904" t="s">
        <v>8</v>
      </c>
      <c r="O904" s="20">
        <v>385</v>
      </c>
      <c r="P904" t="s">
        <v>30</v>
      </c>
      <c r="Q904" t="s">
        <v>10</v>
      </c>
      <c r="R904" t="s">
        <v>11</v>
      </c>
      <c r="T904" t="s">
        <v>1097</v>
      </c>
      <c r="U904" t="s">
        <v>1102</v>
      </c>
      <c r="V904" s="3" t="s">
        <v>1044</v>
      </c>
      <c r="W904" t="s">
        <v>1145</v>
      </c>
      <c r="X904" s="9">
        <v>10</v>
      </c>
      <c r="Y904" s="9" t="s">
        <v>1065</v>
      </c>
      <c r="Z904" t="s">
        <v>1144</v>
      </c>
    </row>
    <row r="905" spans="1:26">
      <c r="A905">
        <v>904</v>
      </c>
      <c r="B905" s="37" t="str">
        <f t="shared" ref="B905:D905" si="448">B904</f>
        <v>FT</v>
      </c>
      <c r="C905" s="45" t="str">
        <f t="shared" si="448"/>
        <v>Flavio Salazar Carrasco</v>
      </c>
      <c r="D905" s="37">
        <f t="shared" si="448"/>
        <v>10106823095</v>
      </c>
      <c r="E905" s="38">
        <f t="shared" ref="E905:E906" si="449">E904</f>
        <v>41417644</v>
      </c>
      <c r="F905" s="45">
        <f t="shared" ref="F905:I905" si="450">F904</f>
        <v>969383070</v>
      </c>
      <c r="G905" s="37" t="str">
        <f t="shared" si="450"/>
        <v>FT F001-144</v>
      </c>
      <c r="H905" s="37" t="str">
        <f t="shared" si="450"/>
        <v>Chiclayo</v>
      </c>
      <c r="I905" s="37" t="str">
        <f t="shared" si="450"/>
        <v>Carabayllo</v>
      </c>
      <c r="J905" s="37" t="str">
        <f t="shared" ref="J905:J906" si="451">J904</f>
        <v>Shalom</v>
      </c>
      <c r="K905" s="1" t="str">
        <f t="shared" si="432"/>
        <v>Estacion del Tren Grau</v>
      </c>
      <c r="L905" s="37" t="str">
        <f t="shared" ref="L905:N905" si="452">L904</f>
        <v>Redes sociales</v>
      </c>
      <c r="M905" s="1">
        <f t="shared" si="452"/>
        <v>45061</v>
      </c>
      <c r="N905" s="37" t="str">
        <f t="shared" si="452"/>
        <v>BCP</v>
      </c>
      <c r="O905" s="20">
        <v>15</v>
      </c>
      <c r="P905" t="s">
        <v>30</v>
      </c>
      <c r="Q905" t="s">
        <v>10</v>
      </c>
      <c r="R905" t="s">
        <v>11</v>
      </c>
      <c r="T905" t="s">
        <v>1134</v>
      </c>
      <c r="U905" t="s">
        <v>1115</v>
      </c>
      <c r="V905" s="3">
        <v>10</v>
      </c>
      <c r="W905" t="s">
        <v>1137</v>
      </c>
      <c r="Z905" t="s">
        <v>1131</v>
      </c>
    </row>
    <row r="906" spans="1:26" s="26" customFormat="1">
      <c r="A906">
        <v>905</v>
      </c>
      <c r="B906" s="50" t="s">
        <v>12</v>
      </c>
      <c r="C906" s="51" t="s">
        <v>1014</v>
      </c>
      <c r="D906" s="26">
        <v>20543298655</v>
      </c>
      <c r="E906" s="52">
        <f t="shared" si="449"/>
        <v>41417644</v>
      </c>
      <c r="F906" s="51">
        <v>955365688</v>
      </c>
      <c r="G906" s="26" t="s">
        <v>1189</v>
      </c>
      <c r="H906" s="26" t="s">
        <v>4</v>
      </c>
      <c r="I906" s="26" t="s">
        <v>400</v>
      </c>
      <c r="J906" s="50" t="str">
        <f t="shared" si="451"/>
        <v>Shalom</v>
      </c>
      <c r="K906" s="27" t="str">
        <f t="shared" si="432"/>
        <v>Estacion del Tren Grau</v>
      </c>
      <c r="L906" s="26" t="s">
        <v>37</v>
      </c>
      <c r="M906" s="27">
        <v>45061</v>
      </c>
      <c r="N906" s="26" t="s">
        <v>21</v>
      </c>
      <c r="O906" s="53">
        <v>100</v>
      </c>
      <c r="P906" t="s">
        <v>30</v>
      </c>
      <c r="Q906" s="26" t="s">
        <v>10</v>
      </c>
      <c r="R906" t="s">
        <v>11</v>
      </c>
      <c r="T906" t="s">
        <v>1151</v>
      </c>
      <c r="U906" t="s">
        <v>1123</v>
      </c>
      <c r="V906" s="3">
        <v>2</v>
      </c>
      <c r="W906" t="s">
        <v>1135</v>
      </c>
      <c r="Z906" t="s">
        <v>1136</v>
      </c>
    </row>
    <row r="907" spans="1:26">
      <c r="A907">
        <v>906</v>
      </c>
      <c r="B907" s="39" t="str">
        <f t="shared" ref="B907:B910" si="453">B906</f>
        <v>FT</v>
      </c>
      <c r="C907" s="40" t="s">
        <v>1011</v>
      </c>
      <c r="D907" s="39">
        <f t="shared" ref="D907:D910" si="454">D906</f>
        <v>20543298655</v>
      </c>
      <c r="E907" s="42">
        <v>47390883</v>
      </c>
      <c r="F907" s="40">
        <v>926673224</v>
      </c>
      <c r="G907" s="39" t="str">
        <f t="shared" ref="G907:G910" si="455">G906</f>
        <v>FT F001-146</v>
      </c>
      <c r="H907" t="s">
        <v>199</v>
      </c>
      <c r="I907" s="39" t="str">
        <f>I906</f>
        <v>San Luis</v>
      </c>
      <c r="J907" t="s">
        <v>29</v>
      </c>
      <c r="K907" s="47" t="str">
        <f t="shared" si="432"/>
        <v>Estacion del Tren Grau</v>
      </c>
      <c r="L907" t="s">
        <v>37</v>
      </c>
      <c r="M907" s="47">
        <v>45062</v>
      </c>
      <c r="N907" t="s">
        <v>8</v>
      </c>
      <c r="O907" s="48">
        <v>475</v>
      </c>
      <c r="P907" t="s">
        <v>30</v>
      </c>
      <c r="Q907" s="41" t="s">
        <v>31</v>
      </c>
      <c r="R907" t="s">
        <v>22</v>
      </c>
      <c r="T907" t="s">
        <v>1082</v>
      </c>
      <c r="U907" t="s">
        <v>1099</v>
      </c>
      <c r="V907" s="3">
        <v>3</v>
      </c>
      <c r="W907" t="s">
        <v>1146</v>
      </c>
      <c r="Z907" t="s">
        <v>1143</v>
      </c>
    </row>
    <row r="908" spans="1:26">
      <c r="A908">
        <v>907</v>
      </c>
      <c r="B908" s="37" t="str">
        <f t="shared" si="453"/>
        <v>FT</v>
      </c>
      <c r="C908" s="14" t="s">
        <v>1158</v>
      </c>
      <c r="D908" s="37">
        <f t="shared" si="454"/>
        <v>20543298655</v>
      </c>
      <c r="E908" s="38">
        <v>849473</v>
      </c>
      <c r="F908" s="14">
        <v>935465904</v>
      </c>
      <c r="G908" s="37" t="str">
        <f t="shared" si="455"/>
        <v>FT F001-146</v>
      </c>
      <c r="H908" t="s">
        <v>1087</v>
      </c>
      <c r="I908" t="s">
        <v>1190</v>
      </c>
      <c r="J908" t="s">
        <v>147</v>
      </c>
      <c r="K908" s="1" t="str">
        <f t="shared" si="432"/>
        <v>Estacion del Tren Grau</v>
      </c>
      <c r="L908" t="s">
        <v>37</v>
      </c>
      <c r="M908" s="1">
        <v>45062</v>
      </c>
      <c r="N908" t="s">
        <v>8</v>
      </c>
      <c r="O908" s="20">
        <v>790</v>
      </c>
      <c r="P908" t="s">
        <v>30</v>
      </c>
      <c r="Q908" t="s">
        <v>10</v>
      </c>
      <c r="R908" t="s">
        <v>11</v>
      </c>
      <c r="T908" t="s">
        <v>1092</v>
      </c>
      <c r="U908" t="s">
        <v>1093</v>
      </c>
      <c r="V908" s="3">
        <v>2</v>
      </c>
      <c r="W908" t="s">
        <v>1148</v>
      </c>
      <c r="Z908" t="s">
        <v>1149</v>
      </c>
    </row>
    <row r="909" spans="1:26">
      <c r="A909">
        <v>908</v>
      </c>
      <c r="B909" s="37" t="str">
        <f t="shared" si="453"/>
        <v>FT</v>
      </c>
      <c r="C909" s="45" t="str">
        <f>C908</f>
        <v>Luis Vela Diaz</v>
      </c>
      <c r="D909" s="37">
        <f t="shared" si="454"/>
        <v>20543298655</v>
      </c>
      <c r="E909" s="38">
        <f t="shared" ref="E909:F909" si="456">E908</f>
        <v>849473</v>
      </c>
      <c r="F909" s="45">
        <f t="shared" si="456"/>
        <v>935465904</v>
      </c>
      <c r="G909" s="37" t="str">
        <f t="shared" si="455"/>
        <v>FT F001-146</v>
      </c>
      <c r="H909" s="37" t="str">
        <f>H908</f>
        <v>Loreto</v>
      </c>
      <c r="I909" s="37" t="str">
        <f t="shared" ref="I909:I910" si="457">I908</f>
        <v>Yurimaguas</v>
      </c>
      <c r="J909" s="37" t="str">
        <f>J908</f>
        <v>Marvisur</v>
      </c>
      <c r="K909" s="1" t="str">
        <f t="shared" si="432"/>
        <v>Estacion del Tren Grau</v>
      </c>
      <c r="L909" s="37" t="str">
        <f t="shared" ref="L909:N909" si="458">L908</f>
        <v>Redes sociales</v>
      </c>
      <c r="M909" s="1">
        <f t="shared" si="458"/>
        <v>45062</v>
      </c>
      <c r="N909" s="37" t="str">
        <f t="shared" si="458"/>
        <v>BCP</v>
      </c>
      <c r="O909" s="20">
        <v>180</v>
      </c>
      <c r="P909" t="s">
        <v>30</v>
      </c>
      <c r="Q909" t="s">
        <v>10</v>
      </c>
      <c r="R909" t="s">
        <v>11</v>
      </c>
      <c r="T909" t="s">
        <v>1134</v>
      </c>
      <c r="U909" t="s">
        <v>1115</v>
      </c>
      <c r="V909" s="3">
        <v>60</v>
      </c>
      <c r="W909" t="s">
        <v>1137</v>
      </c>
      <c r="Z909" t="s">
        <v>1131</v>
      </c>
    </row>
    <row r="910" spans="1:26">
      <c r="A910">
        <v>909</v>
      </c>
      <c r="B910" s="37" t="str">
        <f t="shared" si="453"/>
        <v>FT</v>
      </c>
      <c r="C910" s="14" t="s">
        <v>1159</v>
      </c>
      <c r="D910" s="37">
        <f t="shared" si="454"/>
        <v>20543298655</v>
      </c>
      <c r="E910" s="38">
        <v>72127609</v>
      </c>
      <c r="F910" s="14">
        <v>997479255</v>
      </c>
      <c r="G910" s="37" t="str">
        <f t="shared" si="455"/>
        <v>FT F001-146</v>
      </c>
      <c r="H910" t="s">
        <v>77</v>
      </c>
      <c r="I910" s="37" t="str">
        <f t="shared" si="457"/>
        <v>Yurimaguas</v>
      </c>
      <c r="J910" t="s">
        <v>29</v>
      </c>
      <c r="K910" s="1" t="str">
        <f t="shared" si="432"/>
        <v>Estacion del Tren Grau</v>
      </c>
      <c r="L910" t="s">
        <v>37</v>
      </c>
      <c r="M910" s="1">
        <v>45063</v>
      </c>
      <c r="N910" t="s">
        <v>56</v>
      </c>
      <c r="O910" s="20">
        <v>309.89999999999998</v>
      </c>
      <c r="P910" t="s">
        <v>1076</v>
      </c>
      <c r="Q910" t="s">
        <v>10</v>
      </c>
      <c r="R910" t="s">
        <v>11</v>
      </c>
      <c r="T910" t="s">
        <v>1082</v>
      </c>
      <c r="U910" t="s">
        <v>1104</v>
      </c>
      <c r="V910" s="3" t="s">
        <v>1044</v>
      </c>
      <c r="W910" t="s">
        <v>1145</v>
      </c>
      <c r="Z910" t="s">
        <v>1143</v>
      </c>
    </row>
    <row r="911" spans="1:26">
      <c r="A911">
        <v>910</v>
      </c>
      <c r="B911" s="37" t="str">
        <f t="shared" ref="B911:J911" si="459">B910</f>
        <v>FT</v>
      </c>
      <c r="C911" s="45" t="str">
        <f t="shared" si="459"/>
        <v>Ruth Encarnacion Espinoza</v>
      </c>
      <c r="D911" s="37">
        <f t="shared" si="459"/>
        <v>20543298655</v>
      </c>
      <c r="E911" s="38">
        <f t="shared" si="459"/>
        <v>72127609</v>
      </c>
      <c r="F911" s="45">
        <f t="shared" si="459"/>
        <v>997479255</v>
      </c>
      <c r="G911" s="37" t="str">
        <f t="shared" si="459"/>
        <v>FT F001-146</v>
      </c>
      <c r="H911" s="37" t="str">
        <f t="shared" si="459"/>
        <v>Huanuco</v>
      </c>
      <c r="I911" s="37" t="str">
        <f t="shared" si="459"/>
        <v>Yurimaguas</v>
      </c>
      <c r="J911" s="37" t="str">
        <f t="shared" si="459"/>
        <v>Shalom</v>
      </c>
      <c r="K911" s="1" t="str">
        <f t="shared" si="432"/>
        <v>Estacion del Tren Grau</v>
      </c>
      <c r="L911" s="37" t="str">
        <f t="shared" ref="L911:N911" si="460">L910</f>
        <v>Redes sociales</v>
      </c>
      <c r="M911" s="1">
        <f t="shared" si="460"/>
        <v>45063</v>
      </c>
      <c r="N911" s="37" t="str">
        <f t="shared" si="460"/>
        <v>Interbank</v>
      </c>
      <c r="O911" s="20">
        <v>35</v>
      </c>
      <c r="P911" t="s">
        <v>1076</v>
      </c>
      <c r="Q911" t="s">
        <v>10</v>
      </c>
      <c r="R911" t="s">
        <v>11</v>
      </c>
      <c r="T911" t="s">
        <v>1134</v>
      </c>
      <c r="U911" t="s">
        <v>1115</v>
      </c>
      <c r="V911" s="3">
        <v>20</v>
      </c>
      <c r="W911" t="s">
        <v>1137</v>
      </c>
      <c r="Z911" t="s">
        <v>1131</v>
      </c>
    </row>
    <row r="912" spans="1:26">
      <c r="A912">
        <v>911</v>
      </c>
      <c r="B912" s="37" t="s">
        <v>12</v>
      </c>
      <c r="C912" s="14" t="s">
        <v>1160</v>
      </c>
      <c r="D912" s="38">
        <v>10205851386</v>
      </c>
      <c r="E912" s="38">
        <v>20585138</v>
      </c>
      <c r="F912" s="14">
        <v>964998343</v>
      </c>
      <c r="G912" t="s">
        <v>1191</v>
      </c>
      <c r="H912" t="s">
        <v>1042</v>
      </c>
      <c r="I912" t="s">
        <v>1217</v>
      </c>
      <c r="J912" t="s">
        <v>1192</v>
      </c>
      <c r="K912" s="37" t="str">
        <f t="shared" si="432"/>
        <v>Estacion del Tren Grau</v>
      </c>
      <c r="L912" t="s">
        <v>37</v>
      </c>
      <c r="M912" s="1">
        <v>45064</v>
      </c>
      <c r="N912" t="s">
        <v>8</v>
      </c>
      <c r="O912" s="20">
        <v>304.99</v>
      </c>
      <c r="P912" t="s">
        <v>234</v>
      </c>
      <c r="Q912" t="s">
        <v>10</v>
      </c>
      <c r="R912" t="s">
        <v>11</v>
      </c>
      <c r="T912" t="s">
        <v>1082</v>
      </c>
      <c r="U912" t="s">
        <v>1104</v>
      </c>
      <c r="V912" s="3" t="s">
        <v>1044</v>
      </c>
      <c r="W912" t="s">
        <v>1145</v>
      </c>
      <c r="Z912" t="s">
        <v>1143</v>
      </c>
    </row>
    <row r="913" spans="1:26">
      <c r="A913">
        <v>912</v>
      </c>
      <c r="B913" s="37" t="str">
        <f t="shared" ref="B913:I913" si="461">B912</f>
        <v>FT</v>
      </c>
      <c r="C913" s="45" t="str">
        <f t="shared" si="461"/>
        <v>Amilcar Lopez Salazar</v>
      </c>
      <c r="D913" s="38">
        <f t="shared" si="461"/>
        <v>10205851386</v>
      </c>
      <c r="E913" s="38">
        <f t="shared" si="461"/>
        <v>20585138</v>
      </c>
      <c r="F913" s="45">
        <f t="shared" si="461"/>
        <v>964998343</v>
      </c>
      <c r="G913" s="37" t="str">
        <f t="shared" si="461"/>
        <v>FT F001-147</v>
      </c>
      <c r="H913" s="37" t="str">
        <f t="shared" si="461"/>
        <v>Junin</v>
      </c>
      <c r="I913" s="37" t="str">
        <f t="shared" si="461"/>
        <v>Pichanaki</v>
      </c>
      <c r="J913" s="37" t="str">
        <f t="shared" ref="J913:J919" si="462">J912</f>
        <v>Transporte Carga Selva Central</v>
      </c>
      <c r="K913" s="37" t="str">
        <f t="shared" si="432"/>
        <v>Estacion del Tren Grau</v>
      </c>
      <c r="L913" s="37" t="str">
        <f t="shared" ref="L913:N913" si="463">L912</f>
        <v>Redes sociales</v>
      </c>
      <c r="M913" s="1">
        <f t="shared" si="463"/>
        <v>45064</v>
      </c>
      <c r="N913" s="37" t="str">
        <f t="shared" si="463"/>
        <v>BCP</v>
      </c>
      <c r="O913" s="20">
        <v>15</v>
      </c>
      <c r="P913" t="s">
        <v>234</v>
      </c>
      <c r="Q913" t="s">
        <v>10</v>
      </c>
      <c r="R913" t="s">
        <v>11</v>
      </c>
      <c r="T913" t="s">
        <v>1134</v>
      </c>
      <c r="U913" t="s">
        <v>1115</v>
      </c>
      <c r="V913" s="3">
        <v>10</v>
      </c>
      <c r="W913" t="s">
        <v>1137</v>
      </c>
      <c r="Z913" t="s">
        <v>1131</v>
      </c>
    </row>
    <row r="914" spans="1:26">
      <c r="A914">
        <v>913</v>
      </c>
      <c r="B914" s="37" t="s">
        <v>12</v>
      </c>
      <c r="C914" s="14" t="s">
        <v>1161</v>
      </c>
      <c r="D914">
        <v>10103234137</v>
      </c>
      <c r="E914" s="38">
        <v>10323413</v>
      </c>
      <c r="F914" s="14">
        <v>986034097</v>
      </c>
      <c r="G914" t="s">
        <v>1193</v>
      </c>
      <c r="H914" t="s">
        <v>4</v>
      </c>
      <c r="I914" t="s">
        <v>252</v>
      </c>
      <c r="J914" s="37" t="str">
        <f t="shared" si="462"/>
        <v>Transporte Carga Selva Central</v>
      </c>
      <c r="K914" s="1" t="str">
        <f t="shared" si="432"/>
        <v>Estacion del Tren Grau</v>
      </c>
      <c r="L914" t="s">
        <v>37</v>
      </c>
      <c r="M914" s="1">
        <v>45065</v>
      </c>
      <c r="N914" t="s">
        <v>21</v>
      </c>
      <c r="O914" s="20">
        <v>380</v>
      </c>
      <c r="P914" t="s">
        <v>9</v>
      </c>
      <c r="Q914" t="s">
        <v>10</v>
      </c>
      <c r="R914" t="s">
        <v>22</v>
      </c>
      <c r="T914" t="s">
        <v>1082</v>
      </c>
      <c r="U914" t="s">
        <v>1099</v>
      </c>
      <c r="V914" s="3">
        <v>2</v>
      </c>
      <c r="W914" t="s">
        <v>1146</v>
      </c>
      <c r="Z914" t="s">
        <v>1143</v>
      </c>
    </row>
    <row r="915" spans="1:26">
      <c r="A915">
        <v>914</v>
      </c>
      <c r="B915" s="37" t="str">
        <f t="shared" ref="B915:B922" si="464">B914</f>
        <v>FT</v>
      </c>
      <c r="C915" s="45" t="str">
        <f>C914</f>
        <v>Oscar Lopez Allcca</v>
      </c>
      <c r="D915" s="37">
        <f t="shared" ref="D915:D916" si="465">D914</f>
        <v>10103234137</v>
      </c>
      <c r="E915" s="38">
        <f t="shared" ref="E915:E918" si="466">E914</f>
        <v>10323413</v>
      </c>
      <c r="F915" s="45">
        <f>F914</f>
        <v>986034097</v>
      </c>
      <c r="G915" s="37" t="str">
        <f t="shared" ref="G915:G916" si="467">G914</f>
        <v>FT F001-148</v>
      </c>
      <c r="H915" s="37" t="str">
        <f t="shared" ref="H915:I915" si="468">H914</f>
        <v>Lima</v>
      </c>
      <c r="I915" s="37" t="str">
        <f t="shared" si="468"/>
        <v>Ventanilla</v>
      </c>
      <c r="J915" s="37" t="str">
        <f t="shared" si="462"/>
        <v>Transporte Carga Selva Central</v>
      </c>
      <c r="K915" s="1" t="str">
        <f t="shared" ref="K915:N915" si="469">K914</f>
        <v>Estacion del Tren Grau</v>
      </c>
      <c r="L915" s="37" t="str">
        <f t="shared" si="469"/>
        <v>Redes sociales</v>
      </c>
      <c r="M915" s="1">
        <f t="shared" si="469"/>
        <v>45065</v>
      </c>
      <c r="N915" s="37" t="str">
        <f t="shared" si="469"/>
        <v>Efectivo</v>
      </c>
      <c r="O915" s="20">
        <v>20</v>
      </c>
      <c r="P915" t="s">
        <v>9</v>
      </c>
      <c r="Q915" t="s">
        <v>10</v>
      </c>
      <c r="R915" t="s">
        <v>22</v>
      </c>
      <c r="T915" t="s">
        <v>1134</v>
      </c>
      <c r="U915" t="s">
        <v>1116</v>
      </c>
      <c r="V915">
        <v>20</v>
      </c>
      <c r="W915" t="s">
        <v>1137</v>
      </c>
      <c r="Z915" t="s">
        <v>1131</v>
      </c>
    </row>
    <row r="916" spans="1:26">
      <c r="A916">
        <v>915</v>
      </c>
      <c r="B916" s="37" t="str">
        <f t="shared" si="464"/>
        <v>FT</v>
      </c>
      <c r="C916" s="14" t="s">
        <v>1162</v>
      </c>
      <c r="D916" s="37">
        <f t="shared" si="465"/>
        <v>10103234137</v>
      </c>
      <c r="E916" s="38">
        <f t="shared" si="466"/>
        <v>10323413</v>
      </c>
      <c r="F916" s="14">
        <v>925231524</v>
      </c>
      <c r="G916" s="37" t="str">
        <f t="shared" si="467"/>
        <v>FT F001-148</v>
      </c>
      <c r="H916" t="s">
        <v>4</v>
      </c>
      <c r="I916" t="s">
        <v>380</v>
      </c>
      <c r="J916" s="37" t="str">
        <f t="shared" si="462"/>
        <v>Transporte Carga Selva Central</v>
      </c>
      <c r="K916" t="s">
        <v>1194</v>
      </c>
      <c r="L916" t="s">
        <v>37</v>
      </c>
      <c r="M916" s="1">
        <v>45065</v>
      </c>
      <c r="N916" t="s">
        <v>21</v>
      </c>
      <c r="O916" s="20">
        <v>185</v>
      </c>
      <c r="P916" t="s">
        <v>134</v>
      </c>
      <c r="Q916" t="s">
        <v>10</v>
      </c>
      <c r="R916" t="s">
        <v>11</v>
      </c>
      <c r="T916" t="s">
        <v>1082</v>
      </c>
      <c r="U916" t="s">
        <v>1099</v>
      </c>
      <c r="V916" s="3">
        <v>1</v>
      </c>
      <c r="W916" t="s">
        <v>1146</v>
      </c>
      <c r="Z916" t="s">
        <v>1143</v>
      </c>
    </row>
    <row r="917" spans="1:26">
      <c r="A917">
        <v>916</v>
      </c>
      <c r="B917" s="37" t="str">
        <f t="shared" si="464"/>
        <v>FT</v>
      </c>
      <c r="C917" s="45" t="str">
        <f t="shared" ref="C917:D917" si="470">C916</f>
        <v>Alex Callejon</v>
      </c>
      <c r="D917" s="37">
        <f t="shared" si="470"/>
        <v>10103234137</v>
      </c>
      <c r="E917" s="38">
        <f t="shared" si="466"/>
        <v>10323413</v>
      </c>
      <c r="F917" s="45">
        <f t="shared" ref="F917:I917" si="471">F916</f>
        <v>925231524</v>
      </c>
      <c r="G917" s="37" t="str">
        <f t="shared" si="471"/>
        <v>FT F001-148</v>
      </c>
      <c r="H917" s="37" t="str">
        <f t="shared" si="471"/>
        <v>Lima</v>
      </c>
      <c r="I917" s="37" t="str">
        <f t="shared" si="471"/>
        <v>Callao</v>
      </c>
      <c r="J917" s="37" t="str">
        <f t="shared" si="462"/>
        <v>Transporte Carga Selva Central</v>
      </c>
      <c r="K917" s="37" t="str">
        <f t="shared" ref="K917:K925" si="472">K916</f>
        <v>Aeropueto Jorge Chavez</v>
      </c>
      <c r="L917" s="37" t="str">
        <f t="shared" ref="L917:N917" si="473">L916</f>
        <v>Redes sociales</v>
      </c>
      <c r="M917" s="1">
        <f t="shared" si="473"/>
        <v>45065</v>
      </c>
      <c r="N917" s="37" t="str">
        <f t="shared" si="473"/>
        <v>Efectivo</v>
      </c>
      <c r="O917" s="20">
        <v>15</v>
      </c>
      <c r="P917" t="s">
        <v>134</v>
      </c>
      <c r="Q917" t="s">
        <v>10</v>
      </c>
      <c r="R917" t="s">
        <v>11</v>
      </c>
      <c r="T917" t="s">
        <v>1134</v>
      </c>
      <c r="U917" t="s">
        <v>1116</v>
      </c>
      <c r="V917">
        <v>10</v>
      </c>
      <c r="W917" t="s">
        <v>1137</v>
      </c>
      <c r="Z917" t="s">
        <v>1131</v>
      </c>
    </row>
    <row r="918" spans="1:26">
      <c r="A918">
        <v>917</v>
      </c>
      <c r="B918" s="37" t="str">
        <f t="shared" si="464"/>
        <v>FT</v>
      </c>
      <c r="C918" s="14" t="s">
        <v>1163</v>
      </c>
      <c r="D918">
        <v>20610989072</v>
      </c>
      <c r="E918" s="38">
        <f t="shared" si="466"/>
        <v>10323413</v>
      </c>
      <c r="F918" s="14">
        <v>947474037</v>
      </c>
      <c r="G918" t="s">
        <v>1195</v>
      </c>
      <c r="H918" t="s">
        <v>4</v>
      </c>
      <c r="I918" t="s">
        <v>1208</v>
      </c>
      <c r="J918" s="37" t="str">
        <f t="shared" si="462"/>
        <v>Transporte Carga Selva Central</v>
      </c>
      <c r="K918" s="1" t="str">
        <f t="shared" si="472"/>
        <v>Aeropueto Jorge Chavez</v>
      </c>
      <c r="L918" t="s">
        <v>37</v>
      </c>
      <c r="M918" s="1">
        <v>45066</v>
      </c>
      <c r="N918" t="s">
        <v>8</v>
      </c>
      <c r="O918" s="20">
        <v>185</v>
      </c>
      <c r="P918" t="s">
        <v>134</v>
      </c>
      <c r="Q918" t="s">
        <v>10</v>
      </c>
      <c r="R918" t="s">
        <v>11</v>
      </c>
      <c r="T918" t="s">
        <v>1082</v>
      </c>
      <c r="U918" t="s">
        <v>1099</v>
      </c>
      <c r="V918" s="3">
        <v>1</v>
      </c>
      <c r="W918" t="s">
        <v>1146</v>
      </c>
      <c r="Z918" t="s">
        <v>1143</v>
      </c>
    </row>
    <row r="919" spans="1:26">
      <c r="A919">
        <v>918</v>
      </c>
      <c r="B919" s="37" t="str">
        <f t="shared" si="464"/>
        <v>FT</v>
      </c>
      <c r="C919" s="45" t="str">
        <f>C918</f>
        <v>Diana Karen Gutierrez</v>
      </c>
      <c r="D919" s="37">
        <f t="shared" ref="D919:D922" si="474">D918</f>
        <v>20610989072</v>
      </c>
      <c r="E919" s="38">
        <f t="shared" ref="E919:F919" si="475">E918</f>
        <v>10323413</v>
      </c>
      <c r="F919" s="45">
        <f t="shared" si="475"/>
        <v>947474037</v>
      </c>
      <c r="G919" s="37" t="str">
        <f t="shared" ref="G919:G922" si="476">G918</f>
        <v>FT F001-150</v>
      </c>
      <c r="H919" s="37" t="str">
        <f>H918</f>
        <v>Lima</v>
      </c>
      <c r="I919" s="37" t="str">
        <f t="shared" ref="I919:I920" si="477">I918</f>
        <v>San luis</v>
      </c>
      <c r="J919" s="37" t="str">
        <f t="shared" si="462"/>
        <v>Transporte Carga Selva Central</v>
      </c>
      <c r="K919" s="1" t="str">
        <f t="shared" si="472"/>
        <v>Aeropueto Jorge Chavez</v>
      </c>
      <c r="L919" s="37" t="str">
        <f t="shared" ref="L919:N919" si="478">L918</f>
        <v>Redes sociales</v>
      </c>
      <c r="M919" s="1">
        <f t="shared" si="478"/>
        <v>45066</v>
      </c>
      <c r="N919" s="37" t="str">
        <f t="shared" si="478"/>
        <v>BCP</v>
      </c>
      <c r="O919" s="20">
        <v>15</v>
      </c>
      <c r="P919" t="s">
        <v>134</v>
      </c>
      <c r="Q919" t="s">
        <v>10</v>
      </c>
      <c r="R919" t="s">
        <v>11</v>
      </c>
      <c r="T919" t="s">
        <v>1134</v>
      </c>
      <c r="U919" t="s">
        <v>1116</v>
      </c>
      <c r="V919">
        <v>20</v>
      </c>
      <c r="W919" t="s">
        <v>1137</v>
      </c>
      <c r="Z919" t="s">
        <v>1131</v>
      </c>
    </row>
    <row r="920" spans="1:26">
      <c r="A920">
        <v>919</v>
      </c>
      <c r="B920" s="37" t="str">
        <f t="shared" si="464"/>
        <v>FT</v>
      </c>
      <c r="C920" s="14" t="s">
        <v>1164</v>
      </c>
      <c r="D920" s="37">
        <f t="shared" si="474"/>
        <v>20610989072</v>
      </c>
      <c r="E920" s="38">
        <v>43118652</v>
      </c>
      <c r="F920" s="14">
        <v>959127794</v>
      </c>
      <c r="G920" s="37" t="str">
        <f t="shared" si="476"/>
        <v>FT F001-150</v>
      </c>
      <c r="H920" t="s">
        <v>1196</v>
      </c>
      <c r="I920" s="37" t="str">
        <f t="shared" si="477"/>
        <v>San luis</v>
      </c>
      <c r="J920" t="s">
        <v>29</v>
      </c>
      <c r="K920" s="1" t="str">
        <f t="shared" si="472"/>
        <v>Aeropueto Jorge Chavez</v>
      </c>
      <c r="L920" t="s">
        <v>37</v>
      </c>
      <c r="M920" s="1">
        <v>45066</v>
      </c>
      <c r="N920" t="s">
        <v>56</v>
      </c>
      <c r="O920" s="20">
        <v>185</v>
      </c>
      <c r="P920" t="s">
        <v>541</v>
      </c>
      <c r="Q920" t="s">
        <v>10</v>
      </c>
      <c r="R920" t="s">
        <v>11</v>
      </c>
      <c r="T920" t="s">
        <v>1082</v>
      </c>
      <c r="U920" t="s">
        <v>1099</v>
      </c>
      <c r="V920" s="3">
        <v>1</v>
      </c>
      <c r="W920" t="s">
        <v>1146</v>
      </c>
      <c r="Z920" t="s">
        <v>1143</v>
      </c>
    </row>
    <row r="921" spans="1:26">
      <c r="A921">
        <v>920</v>
      </c>
      <c r="B921" s="37" t="str">
        <f t="shared" si="464"/>
        <v>FT</v>
      </c>
      <c r="C921" s="45" t="str">
        <f>C920</f>
        <v>Ivan Zamora Luque</v>
      </c>
      <c r="D921" s="37">
        <f t="shared" si="474"/>
        <v>20610989072</v>
      </c>
      <c r="E921" s="38">
        <f t="shared" ref="E921:F921" si="479">E920</f>
        <v>43118652</v>
      </c>
      <c r="F921" s="45">
        <f t="shared" si="479"/>
        <v>959127794</v>
      </c>
      <c r="G921" s="37" t="str">
        <f t="shared" si="476"/>
        <v>FT F001-150</v>
      </c>
      <c r="H921" s="37" t="str">
        <f t="shared" ref="H921:J921" si="480">H920</f>
        <v>Cusco</v>
      </c>
      <c r="I921" s="37" t="str">
        <f t="shared" si="480"/>
        <v>San luis</v>
      </c>
      <c r="J921" s="37" t="str">
        <f t="shared" si="480"/>
        <v>Shalom</v>
      </c>
      <c r="K921" s="1" t="str">
        <f t="shared" si="472"/>
        <v>Aeropueto Jorge Chavez</v>
      </c>
      <c r="L921" s="37" t="str">
        <f t="shared" ref="L921:N921" si="481">L920</f>
        <v>Redes sociales</v>
      </c>
      <c r="M921" s="1">
        <f t="shared" si="481"/>
        <v>45066</v>
      </c>
      <c r="N921" s="37" t="str">
        <f t="shared" si="481"/>
        <v>Interbank</v>
      </c>
      <c r="O921" s="20">
        <v>15</v>
      </c>
      <c r="P921" t="s">
        <v>541</v>
      </c>
      <c r="Q921" t="s">
        <v>10</v>
      </c>
      <c r="R921" t="s">
        <v>11</v>
      </c>
      <c r="T921" t="s">
        <v>1134</v>
      </c>
      <c r="U921" t="s">
        <v>1116</v>
      </c>
      <c r="V921">
        <v>10</v>
      </c>
      <c r="W921" t="s">
        <v>1137</v>
      </c>
      <c r="Z921" t="s">
        <v>1131</v>
      </c>
    </row>
    <row r="922" spans="1:26">
      <c r="A922">
        <v>921</v>
      </c>
      <c r="B922" s="37" t="str">
        <f t="shared" si="464"/>
        <v>FT</v>
      </c>
      <c r="C922" s="14" t="s">
        <v>1165</v>
      </c>
      <c r="D922" s="37">
        <f t="shared" si="474"/>
        <v>20610989072</v>
      </c>
      <c r="E922" s="38">
        <v>2834007</v>
      </c>
      <c r="F922" s="14">
        <v>912980086</v>
      </c>
      <c r="G922" s="37" t="str">
        <f t="shared" si="476"/>
        <v>FT F001-150</v>
      </c>
      <c r="H922" t="s">
        <v>514</v>
      </c>
      <c r="I922" t="s">
        <v>643</v>
      </c>
      <c r="J922" t="s">
        <v>29</v>
      </c>
      <c r="K922" s="1" t="str">
        <f t="shared" si="472"/>
        <v>Aeropueto Jorge Chavez</v>
      </c>
      <c r="L922" t="s">
        <v>37</v>
      </c>
      <c r="M922" s="1">
        <v>45066</v>
      </c>
      <c r="N922" t="s">
        <v>8</v>
      </c>
      <c r="O922" s="20">
        <v>185</v>
      </c>
      <c r="P922" t="s">
        <v>134</v>
      </c>
      <c r="Q922" t="s">
        <v>10</v>
      </c>
      <c r="R922" t="s">
        <v>22</v>
      </c>
      <c r="T922" t="s">
        <v>1082</v>
      </c>
      <c r="U922" t="s">
        <v>1099</v>
      </c>
      <c r="V922" s="3">
        <v>1</v>
      </c>
      <c r="W922" t="s">
        <v>1146</v>
      </c>
      <c r="Z922" t="s">
        <v>1143</v>
      </c>
    </row>
    <row r="923" spans="1:26">
      <c r="A923">
        <v>922</v>
      </c>
      <c r="B923" s="37" t="str">
        <f t="shared" ref="B923:D923" si="482">B922</f>
        <v>FT</v>
      </c>
      <c r="C923" s="45" t="str">
        <f t="shared" si="482"/>
        <v>Catalina Chumacero Elias</v>
      </c>
      <c r="D923" s="37">
        <f t="shared" si="482"/>
        <v>20610989072</v>
      </c>
      <c r="E923" s="38">
        <f t="shared" ref="E923:E924" si="483">E922</f>
        <v>2834007</v>
      </c>
      <c r="F923" s="45">
        <f t="shared" ref="F923:I923" si="484">F922</f>
        <v>912980086</v>
      </c>
      <c r="G923" s="37" t="str">
        <f t="shared" si="484"/>
        <v>FT F001-150</v>
      </c>
      <c r="H923" s="37" t="str">
        <f t="shared" si="484"/>
        <v>Piura</v>
      </c>
      <c r="I923" s="37" t="str">
        <f t="shared" si="484"/>
        <v>Sechura Piura</v>
      </c>
      <c r="J923" s="37" t="str">
        <f t="shared" ref="J923:J924" si="485">J922</f>
        <v>Shalom</v>
      </c>
      <c r="K923" s="1" t="str">
        <f t="shared" si="472"/>
        <v>Aeropueto Jorge Chavez</v>
      </c>
      <c r="L923" s="37" t="str">
        <f t="shared" ref="L923:N923" si="486">L922</f>
        <v>Redes sociales</v>
      </c>
      <c r="M923" s="1">
        <f t="shared" si="486"/>
        <v>45066</v>
      </c>
      <c r="N923" s="37" t="str">
        <f t="shared" si="486"/>
        <v>BCP</v>
      </c>
      <c r="O923" s="20">
        <v>15</v>
      </c>
      <c r="P923" t="s">
        <v>134</v>
      </c>
      <c r="Q923" t="s">
        <v>10</v>
      </c>
      <c r="R923" t="s">
        <v>22</v>
      </c>
      <c r="T923" t="s">
        <v>1134</v>
      </c>
      <c r="U923" t="s">
        <v>1116</v>
      </c>
      <c r="V923">
        <v>10</v>
      </c>
      <c r="W923" t="s">
        <v>1137</v>
      </c>
      <c r="Z923" t="s">
        <v>1131</v>
      </c>
    </row>
    <row r="924" spans="1:26" s="26" customFormat="1">
      <c r="A924">
        <v>923</v>
      </c>
      <c r="B924" s="50" t="s">
        <v>12</v>
      </c>
      <c r="C924" s="51" t="s">
        <v>1014</v>
      </c>
      <c r="D924" s="26">
        <v>20543298655</v>
      </c>
      <c r="E924" s="52">
        <f t="shared" si="483"/>
        <v>2834007</v>
      </c>
      <c r="F924" s="51">
        <v>955365688</v>
      </c>
      <c r="G924" s="26" t="s">
        <v>1197</v>
      </c>
      <c r="H924" s="26" t="s">
        <v>4</v>
      </c>
      <c r="I924" s="26" t="s">
        <v>1208</v>
      </c>
      <c r="J924" s="50" t="str">
        <f t="shared" si="485"/>
        <v>Shalom</v>
      </c>
      <c r="K924" s="27" t="str">
        <f t="shared" si="472"/>
        <v>Aeropueto Jorge Chavez</v>
      </c>
      <c r="L924" s="26" t="s">
        <v>268</v>
      </c>
      <c r="M924" s="27">
        <v>45068</v>
      </c>
      <c r="N924" s="51" t="s">
        <v>21</v>
      </c>
      <c r="O924" s="53">
        <v>100</v>
      </c>
      <c r="P924" t="s">
        <v>134</v>
      </c>
      <c r="Q924" t="s">
        <v>10</v>
      </c>
      <c r="R924" s="26" t="s">
        <v>22</v>
      </c>
      <c r="T924" t="s">
        <v>1151</v>
      </c>
      <c r="U924" t="s">
        <v>1123</v>
      </c>
      <c r="V924" s="3">
        <v>2</v>
      </c>
      <c r="W924" t="s">
        <v>1135</v>
      </c>
      <c r="X924" s="9"/>
      <c r="Y924" s="9"/>
      <c r="Z924" t="s">
        <v>1136</v>
      </c>
    </row>
    <row r="925" spans="1:26">
      <c r="A925">
        <v>924</v>
      </c>
      <c r="B925" s="37" t="str">
        <f t="shared" ref="B925:B939" si="487">B924</f>
        <v>FT</v>
      </c>
      <c r="C925" s="14" t="s">
        <v>1166</v>
      </c>
      <c r="D925" s="37">
        <f t="shared" ref="D925:D929" si="488">D924</f>
        <v>20543298655</v>
      </c>
      <c r="E925" s="38">
        <v>70415199</v>
      </c>
      <c r="F925" s="14">
        <v>983359309</v>
      </c>
      <c r="G925" s="37" t="str">
        <f t="shared" ref="G925:G942" si="489">G924</f>
        <v>FT F001-149</v>
      </c>
      <c r="H925" s="41" t="s">
        <v>973</v>
      </c>
      <c r="I925" s="37" t="str">
        <f>I924</f>
        <v>San luis</v>
      </c>
      <c r="J925" t="s">
        <v>29</v>
      </c>
      <c r="K925" s="1" t="str">
        <f t="shared" si="472"/>
        <v>Aeropueto Jorge Chavez</v>
      </c>
      <c r="L925" t="s">
        <v>37</v>
      </c>
      <c r="M925" s="1">
        <v>45068</v>
      </c>
      <c r="N925" t="s">
        <v>8</v>
      </c>
      <c r="O925" s="20">
        <v>185</v>
      </c>
      <c r="P925" t="s">
        <v>541</v>
      </c>
      <c r="Q925" t="s">
        <v>10</v>
      </c>
      <c r="R925" t="s">
        <v>11</v>
      </c>
      <c r="T925" t="s">
        <v>1082</v>
      </c>
      <c r="U925" t="s">
        <v>1099</v>
      </c>
      <c r="V925" s="3">
        <v>1</v>
      </c>
      <c r="W925" t="s">
        <v>1146</v>
      </c>
      <c r="Z925" t="s">
        <v>1143</v>
      </c>
    </row>
    <row r="926" spans="1:26">
      <c r="A926">
        <v>925</v>
      </c>
      <c r="B926" s="37" t="str">
        <f t="shared" si="487"/>
        <v>FT</v>
      </c>
      <c r="C926" s="45" t="str">
        <f>C925</f>
        <v>Lucy Marilia Charca Benito</v>
      </c>
      <c r="D926" s="37">
        <f t="shared" si="488"/>
        <v>20543298655</v>
      </c>
      <c r="E926" s="38">
        <f t="shared" ref="E926:E927" si="490">E925</f>
        <v>70415199</v>
      </c>
      <c r="F926" s="45">
        <f>F925</f>
        <v>983359309</v>
      </c>
      <c r="G926" s="37" t="str">
        <f t="shared" si="489"/>
        <v>FT F001-149</v>
      </c>
      <c r="H926" s="39" t="str">
        <f t="shared" ref="H926:I926" si="491">H925</f>
        <v>Cuzco</v>
      </c>
      <c r="I926" s="37" t="str">
        <f t="shared" si="491"/>
        <v>San luis</v>
      </c>
      <c r="J926" s="37" t="str">
        <f t="shared" ref="J926:J932" si="492">J925</f>
        <v>Shalom</v>
      </c>
      <c r="K926" s="1" t="str">
        <f t="shared" ref="K926:N926" si="493">K925</f>
        <v>Aeropueto Jorge Chavez</v>
      </c>
      <c r="L926" s="37" t="str">
        <f t="shared" si="493"/>
        <v>Redes sociales</v>
      </c>
      <c r="M926" s="1">
        <f t="shared" si="493"/>
        <v>45068</v>
      </c>
      <c r="N926" s="37" t="str">
        <f t="shared" si="493"/>
        <v>BCP</v>
      </c>
      <c r="O926" s="20">
        <v>14</v>
      </c>
      <c r="P926" t="s">
        <v>541</v>
      </c>
      <c r="Q926" t="s">
        <v>10</v>
      </c>
      <c r="R926" t="s">
        <v>11</v>
      </c>
      <c r="T926" t="s">
        <v>1134</v>
      </c>
      <c r="U926" t="s">
        <v>1116</v>
      </c>
      <c r="V926">
        <v>10</v>
      </c>
      <c r="W926" t="s">
        <v>1137</v>
      </c>
      <c r="Z926" t="s">
        <v>1131</v>
      </c>
    </row>
    <row r="927" spans="1:26">
      <c r="A927">
        <v>926</v>
      </c>
      <c r="B927" s="37" t="str">
        <f t="shared" si="487"/>
        <v>FT</v>
      </c>
      <c r="C927" s="14" t="s">
        <v>1167</v>
      </c>
      <c r="D927" s="37">
        <f t="shared" si="488"/>
        <v>20543298655</v>
      </c>
      <c r="E927" s="38">
        <f t="shared" si="490"/>
        <v>70415199</v>
      </c>
      <c r="F927" s="14">
        <v>943583560</v>
      </c>
      <c r="G927" s="37" t="str">
        <f t="shared" si="489"/>
        <v>FT F001-149</v>
      </c>
      <c r="H927" t="s">
        <v>4</v>
      </c>
      <c r="I927" t="s">
        <v>329</v>
      </c>
      <c r="J927" s="37" t="str">
        <f t="shared" si="492"/>
        <v>Shalom</v>
      </c>
      <c r="K927" t="s">
        <v>1209</v>
      </c>
      <c r="L927" t="s">
        <v>268</v>
      </c>
      <c r="M927" s="1">
        <v>45068</v>
      </c>
      <c r="N927" t="s">
        <v>8</v>
      </c>
      <c r="O927" s="20">
        <v>335</v>
      </c>
      <c r="P927" t="s">
        <v>1076</v>
      </c>
      <c r="Q927" t="s">
        <v>10</v>
      </c>
      <c r="R927" t="s">
        <v>22</v>
      </c>
      <c r="T927" t="s">
        <v>1092</v>
      </c>
      <c r="U927" t="s">
        <v>1101</v>
      </c>
      <c r="V927" s="3" t="s">
        <v>1044</v>
      </c>
      <c r="W927" t="s">
        <v>1146</v>
      </c>
      <c r="X927" s="9" t="s">
        <v>2</v>
      </c>
      <c r="Y927" s="9" t="s">
        <v>2</v>
      </c>
      <c r="Z927" t="s">
        <v>1143</v>
      </c>
    </row>
    <row r="928" spans="1:26">
      <c r="A928">
        <v>927</v>
      </c>
      <c r="B928" s="37" t="str">
        <f t="shared" si="487"/>
        <v>FT</v>
      </c>
      <c r="C928" s="45" t="str">
        <f>C927</f>
        <v>Solgas</v>
      </c>
      <c r="D928" s="37">
        <f t="shared" si="488"/>
        <v>20543298655</v>
      </c>
      <c r="E928" s="38">
        <f t="shared" ref="E928:F928" si="494">E927</f>
        <v>70415199</v>
      </c>
      <c r="F928" s="45">
        <f t="shared" si="494"/>
        <v>943583560</v>
      </c>
      <c r="G928" s="37" t="str">
        <f t="shared" si="489"/>
        <v>FT F001-149</v>
      </c>
      <c r="H928" s="37" t="str">
        <f t="shared" ref="H928:I928" si="495">H927</f>
        <v>Lima</v>
      </c>
      <c r="I928" s="37" t="str">
        <f t="shared" si="495"/>
        <v>San Borja</v>
      </c>
      <c r="J928" s="37" t="str">
        <f t="shared" si="492"/>
        <v>Shalom</v>
      </c>
      <c r="K928" s="37" t="str">
        <f t="shared" ref="K928:N928" si="496">K927</f>
        <v>Estacion sur</v>
      </c>
      <c r="L928" s="37" t="str">
        <f t="shared" si="496"/>
        <v>Aplicativo Web</v>
      </c>
      <c r="M928" s="1">
        <f t="shared" si="496"/>
        <v>45068</v>
      </c>
      <c r="N928" s="37" t="str">
        <f t="shared" si="496"/>
        <v>BCP</v>
      </c>
      <c r="O928" s="20">
        <v>15</v>
      </c>
      <c r="P928" t="s">
        <v>1076</v>
      </c>
      <c r="Q928" t="s">
        <v>10</v>
      </c>
      <c r="R928" t="s">
        <v>22</v>
      </c>
      <c r="T928" t="s">
        <v>1134</v>
      </c>
      <c r="U928" t="s">
        <v>1115</v>
      </c>
      <c r="V928" s="3">
        <v>10</v>
      </c>
      <c r="W928" t="s">
        <v>1137</v>
      </c>
      <c r="Z928" t="s">
        <v>1131</v>
      </c>
    </row>
    <row r="929" spans="1:26">
      <c r="A929">
        <v>928</v>
      </c>
      <c r="B929" s="37" t="str">
        <f t="shared" si="487"/>
        <v>FT</v>
      </c>
      <c r="C929" s="14" t="s">
        <v>1168</v>
      </c>
      <c r="D929" s="37">
        <f t="shared" si="488"/>
        <v>20543298655</v>
      </c>
      <c r="E929">
        <v>4323830</v>
      </c>
      <c r="F929" s="14">
        <v>924794107</v>
      </c>
      <c r="G929" s="37" t="str">
        <f t="shared" si="489"/>
        <v>FT F001-149</v>
      </c>
      <c r="H929" t="s">
        <v>4</v>
      </c>
      <c r="I929" t="s">
        <v>1215</v>
      </c>
      <c r="J929" s="37" t="str">
        <f t="shared" si="492"/>
        <v>Shalom</v>
      </c>
      <c r="K929" t="s">
        <v>1210</v>
      </c>
      <c r="L929" t="s">
        <v>268</v>
      </c>
      <c r="M929" s="1">
        <v>45068</v>
      </c>
      <c r="N929" t="s">
        <v>21</v>
      </c>
      <c r="O929" s="20">
        <v>430</v>
      </c>
      <c r="P929" t="s">
        <v>9</v>
      </c>
      <c r="Q929" t="s">
        <v>10</v>
      </c>
      <c r="R929" t="s">
        <v>11</v>
      </c>
      <c r="T929" t="s">
        <v>1092</v>
      </c>
      <c r="U929" t="s">
        <v>1105</v>
      </c>
      <c r="V929" s="3">
        <v>1</v>
      </c>
      <c r="W929" t="s">
        <v>1148</v>
      </c>
      <c r="Z929" t="s">
        <v>1149</v>
      </c>
    </row>
    <row r="930" spans="1:26">
      <c r="A930">
        <v>929</v>
      </c>
      <c r="B930" s="37" t="str">
        <f t="shared" si="487"/>
        <v>FT</v>
      </c>
      <c r="C930" s="45" t="str">
        <f t="shared" ref="C930:D931" si="497">C929</f>
        <v>Salvador René</v>
      </c>
      <c r="D930" s="37">
        <f t="shared" si="497"/>
        <v>20543298655</v>
      </c>
      <c r="E930" s="37">
        <f t="shared" ref="E930:E932" si="498">E929</f>
        <v>4323830</v>
      </c>
      <c r="F930" s="45">
        <f t="shared" ref="F930:F931" si="499">F929</f>
        <v>924794107</v>
      </c>
      <c r="G930" s="37" t="str">
        <f t="shared" si="489"/>
        <v>FT F001-149</v>
      </c>
      <c r="H930" s="37" t="str">
        <f t="shared" ref="H930:I931" si="500">H929</f>
        <v>Lima</v>
      </c>
      <c r="I930" s="37" t="str">
        <f t="shared" si="500"/>
        <v>Pro</v>
      </c>
      <c r="J930" s="37" t="str">
        <f t="shared" si="492"/>
        <v>Shalom</v>
      </c>
      <c r="K930" s="37" t="str">
        <f t="shared" ref="K930:K939" si="501">K929</f>
        <v>Unicachi unicachi</v>
      </c>
      <c r="L930" s="37" t="str">
        <f t="shared" ref="L930:N931" si="502">L929</f>
        <v>Aplicativo Web</v>
      </c>
      <c r="M930" s="1">
        <f t="shared" si="502"/>
        <v>45068</v>
      </c>
      <c r="N930" s="37" t="str">
        <f t="shared" si="502"/>
        <v>Efectivo</v>
      </c>
      <c r="O930" s="20">
        <v>25</v>
      </c>
      <c r="P930" t="s">
        <v>9</v>
      </c>
      <c r="Q930" t="s">
        <v>10</v>
      </c>
      <c r="R930" t="s">
        <v>11</v>
      </c>
      <c r="T930" t="s">
        <v>1151</v>
      </c>
      <c r="U930" t="s">
        <v>1127</v>
      </c>
      <c r="V930" s="3">
        <v>1</v>
      </c>
      <c r="W930" t="s">
        <v>1135</v>
      </c>
      <c r="X930" s="9"/>
      <c r="Y930" s="9"/>
      <c r="Z930" t="s">
        <v>1136</v>
      </c>
    </row>
    <row r="931" spans="1:26">
      <c r="A931">
        <v>930</v>
      </c>
      <c r="B931" s="37" t="str">
        <f t="shared" si="487"/>
        <v>FT</v>
      </c>
      <c r="C931" s="45" t="str">
        <f t="shared" si="497"/>
        <v>Salvador René</v>
      </c>
      <c r="D931" s="37">
        <f t="shared" si="497"/>
        <v>20543298655</v>
      </c>
      <c r="E931" s="37">
        <f t="shared" si="498"/>
        <v>4323830</v>
      </c>
      <c r="F931" s="45">
        <f t="shared" si="499"/>
        <v>924794107</v>
      </c>
      <c r="G931" s="37" t="str">
        <f t="shared" si="489"/>
        <v>FT F001-149</v>
      </c>
      <c r="H931" s="37" t="str">
        <f t="shared" si="500"/>
        <v>Lima</v>
      </c>
      <c r="I931" s="37" t="str">
        <f t="shared" si="500"/>
        <v>Pro</v>
      </c>
      <c r="J931" s="37" t="str">
        <f t="shared" si="492"/>
        <v>Shalom</v>
      </c>
      <c r="K931" s="37" t="str">
        <f t="shared" si="501"/>
        <v>Unicachi unicachi</v>
      </c>
      <c r="L931" s="37" t="str">
        <f t="shared" si="502"/>
        <v>Aplicativo Web</v>
      </c>
      <c r="M931" s="1">
        <f t="shared" si="502"/>
        <v>45068</v>
      </c>
      <c r="N931" s="37" t="str">
        <f t="shared" si="502"/>
        <v>Efectivo</v>
      </c>
      <c r="O931" s="20">
        <v>75</v>
      </c>
      <c r="P931" t="s">
        <v>9</v>
      </c>
      <c r="Q931" t="s">
        <v>10</v>
      </c>
      <c r="R931" t="s">
        <v>11</v>
      </c>
      <c r="T931" t="s">
        <v>1151</v>
      </c>
      <c r="U931" t="s">
        <v>1120</v>
      </c>
      <c r="V931">
        <v>3</v>
      </c>
      <c r="W931" t="s">
        <v>1135</v>
      </c>
      <c r="Z931" t="s">
        <v>1136</v>
      </c>
    </row>
    <row r="932" spans="1:26">
      <c r="A932">
        <v>931</v>
      </c>
      <c r="B932" s="37" t="str">
        <f t="shared" si="487"/>
        <v>FT</v>
      </c>
      <c r="C932" s="14" t="s">
        <v>1169</v>
      </c>
      <c r="D932">
        <v>20569313687</v>
      </c>
      <c r="E932" s="38">
        <f t="shared" si="498"/>
        <v>4323830</v>
      </c>
      <c r="F932" s="14">
        <v>942089454</v>
      </c>
      <c r="G932" s="37" t="str">
        <f t="shared" si="489"/>
        <v>FT F001-149</v>
      </c>
      <c r="H932" t="s">
        <v>4</v>
      </c>
      <c r="I932" t="s">
        <v>244</v>
      </c>
      <c r="J932" s="37" t="str">
        <f t="shared" si="492"/>
        <v>Shalom</v>
      </c>
      <c r="K932" s="1" t="str">
        <f t="shared" si="501"/>
        <v>Unicachi unicachi</v>
      </c>
      <c r="L932" t="s">
        <v>7</v>
      </c>
      <c r="M932" s="1">
        <v>45069</v>
      </c>
      <c r="N932" t="s">
        <v>8</v>
      </c>
      <c r="O932" s="20">
        <v>355</v>
      </c>
      <c r="P932" t="s">
        <v>1076</v>
      </c>
      <c r="Q932" t="s">
        <v>10</v>
      </c>
      <c r="R932" t="s">
        <v>22</v>
      </c>
      <c r="T932" t="s">
        <v>1092</v>
      </c>
      <c r="U932" t="s">
        <v>1093</v>
      </c>
      <c r="V932" s="3">
        <v>1</v>
      </c>
      <c r="W932" t="s">
        <v>1148</v>
      </c>
      <c r="Z932" t="s">
        <v>1149</v>
      </c>
    </row>
    <row r="933" spans="1:26">
      <c r="A933">
        <v>932</v>
      </c>
      <c r="B933" s="37" t="str">
        <f t="shared" si="487"/>
        <v>FT</v>
      </c>
      <c r="C933" s="45" t="str">
        <f>C932</f>
        <v>Yahir Migul Abarca Perez</v>
      </c>
      <c r="D933" s="37">
        <f t="shared" ref="D933:D939" si="503">D932</f>
        <v>20569313687</v>
      </c>
      <c r="E933" s="38">
        <f t="shared" ref="E933:F933" si="504">E932</f>
        <v>4323830</v>
      </c>
      <c r="F933" s="45">
        <f t="shared" si="504"/>
        <v>942089454</v>
      </c>
      <c r="G933" s="37" t="str">
        <f t="shared" si="489"/>
        <v>FT F001-149</v>
      </c>
      <c r="H933" s="37" t="str">
        <f t="shared" ref="H933:J933" si="505">H932</f>
        <v>Lima</v>
      </c>
      <c r="I933" s="37" t="str">
        <f t="shared" si="505"/>
        <v>Comas</v>
      </c>
      <c r="J933" s="37" t="str">
        <f t="shared" si="505"/>
        <v>Shalom</v>
      </c>
      <c r="K933" s="1" t="str">
        <f t="shared" si="501"/>
        <v>Unicachi unicachi</v>
      </c>
      <c r="L933" s="37" t="str">
        <f t="shared" ref="L933:N933" si="506">L932</f>
        <v>Oficina</v>
      </c>
      <c r="M933" s="1">
        <f t="shared" si="506"/>
        <v>45069</v>
      </c>
      <c r="N933" s="37" t="str">
        <f t="shared" si="506"/>
        <v>BCP</v>
      </c>
      <c r="O933" s="20">
        <v>15</v>
      </c>
      <c r="P933" t="s">
        <v>1076</v>
      </c>
      <c r="Q933" t="s">
        <v>10</v>
      </c>
      <c r="R933" t="s">
        <v>22</v>
      </c>
      <c r="T933" t="s">
        <v>1134</v>
      </c>
      <c r="U933" t="s">
        <v>1115</v>
      </c>
      <c r="V933" s="3">
        <v>10</v>
      </c>
      <c r="W933" t="s">
        <v>1137</v>
      </c>
      <c r="Z933" t="s">
        <v>1131</v>
      </c>
    </row>
    <row r="934" spans="1:26">
      <c r="A934">
        <v>933</v>
      </c>
      <c r="B934" s="37" t="str">
        <f t="shared" si="487"/>
        <v>FT</v>
      </c>
      <c r="C934" s="14" t="s">
        <v>1170</v>
      </c>
      <c r="D934" s="37">
        <f t="shared" si="503"/>
        <v>20569313687</v>
      </c>
      <c r="E934" s="38">
        <v>43758087</v>
      </c>
      <c r="F934" s="14">
        <v>977799713</v>
      </c>
      <c r="G934" s="37" t="str">
        <f t="shared" si="489"/>
        <v>FT F001-149</v>
      </c>
      <c r="H934" t="s">
        <v>552</v>
      </c>
      <c r="I934" t="s">
        <v>1198</v>
      </c>
      <c r="J934" t="s">
        <v>29</v>
      </c>
      <c r="K934" s="1" t="str">
        <f t="shared" si="501"/>
        <v>Unicachi unicachi</v>
      </c>
      <c r="L934" t="s">
        <v>37</v>
      </c>
      <c r="M934" s="1">
        <v>45069</v>
      </c>
      <c r="N934" t="s">
        <v>56</v>
      </c>
      <c r="O934" s="20">
        <v>190</v>
      </c>
      <c r="P934" t="s">
        <v>134</v>
      </c>
      <c r="Q934" t="s">
        <v>10</v>
      </c>
      <c r="R934" t="s">
        <v>22</v>
      </c>
      <c r="T934" t="s">
        <v>1082</v>
      </c>
      <c r="U934" t="s">
        <v>1099</v>
      </c>
      <c r="V934" s="3">
        <v>1</v>
      </c>
      <c r="W934" t="s">
        <v>1146</v>
      </c>
      <c r="Z934" t="s">
        <v>1143</v>
      </c>
    </row>
    <row r="935" spans="1:26">
      <c r="A935">
        <v>934</v>
      </c>
      <c r="B935" s="37" t="str">
        <f t="shared" si="487"/>
        <v>FT</v>
      </c>
      <c r="C935" s="14" t="s">
        <v>1171</v>
      </c>
      <c r="D935" s="37">
        <f t="shared" si="503"/>
        <v>20569313687</v>
      </c>
      <c r="E935" s="38">
        <v>46954495</v>
      </c>
      <c r="F935" s="14">
        <v>929773287</v>
      </c>
      <c r="G935" s="37" t="str">
        <f t="shared" si="489"/>
        <v>FT F001-149</v>
      </c>
      <c r="H935" t="s">
        <v>1087</v>
      </c>
      <c r="I935" t="s">
        <v>44</v>
      </c>
      <c r="J935" t="s">
        <v>1199</v>
      </c>
      <c r="K935" s="1" t="str">
        <f t="shared" si="501"/>
        <v>Unicachi unicachi</v>
      </c>
      <c r="L935" t="s">
        <v>37</v>
      </c>
      <c r="M935" s="1">
        <v>45070</v>
      </c>
      <c r="N935" t="s">
        <v>56</v>
      </c>
      <c r="O935" s="20">
        <v>185</v>
      </c>
      <c r="P935" t="s">
        <v>541</v>
      </c>
      <c r="Q935" t="s">
        <v>10</v>
      </c>
      <c r="R935" t="s">
        <v>22</v>
      </c>
      <c r="T935" t="s">
        <v>1082</v>
      </c>
      <c r="U935" t="s">
        <v>1099</v>
      </c>
      <c r="V935" s="3">
        <v>1</v>
      </c>
      <c r="W935" t="s">
        <v>1146</v>
      </c>
      <c r="Z935" t="s">
        <v>1143</v>
      </c>
    </row>
    <row r="936" spans="1:26">
      <c r="A936">
        <v>935</v>
      </c>
      <c r="B936" s="37" t="str">
        <f t="shared" si="487"/>
        <v>FT</v>
      </c>
      <c r="C936" s="45" t="str">
        <f>C935</f>
        <v>Clara Milagros Acosta Pezo</v>
      </c>
      <c r="D936" s="37">
        <f t="shared" si="503"/>
        <v>20569313687</v>
      </c>
      <c r="E936" s="38">
        <f t="shared" ref="E936:F936" si="507">E935</f>
        <v>46954495</v>
      </c>
      <c r="F936" s="45">
        <f t="shared" si="507"/>
        <v>929773287</v>
      </c>
      <c r="G936" s="37" t="str">
        <f t="shared" si="489"/>
        <v>FT F001-149</v>
      </c>
      <c r="H936" s="37" t="str">
        <f>H935</f>
        <v>Loreto</v>
      </c>
      <c r="I936" s="37" t="str">
        <f t="shared" ref="I936:I937" si="508">I935</f>
        <v>Iquitos</v>
      </c>
      <c r="J936" s="37" t="str">
        <f>J935</f>
        <v>Transver</v>
      </c>
      <c r="K936" s="1" t="str">
        <f t="shared" si="501"/>
        <v>Unicachi unicachi</v>
      </c>
      <c r="L936" s="37" t="str">
        <f t="shared" ref="L936:N936" si="509">L935</f>
        <v>Redes sociales</v>
      </c>
      <c r="M936" s="1">
        <f t="shared" si="509"/>
        <v>45070</v>
      </c>
      <c r="N936" s="37" t="str">
        <f t="shared" si="509"/>
        <v>Interbank</v>
      </c>
      <c r="O936" s="20">
        <v>15</v>
      </c>
      <c r="P936" t="s">
        <v>541</v>
      </c>
      <c r="Q936" t="s">
        <v>10</v>
      </c>
      <c r="R936" t="s">
        <v>22</v>
      </c>
      <c r="T936" t="s">
        <v>1134</v>
      </c>
      <c r="U936" t="s">
        <v>1116</v>
      </c>
      <c r="V936">
        <v>10</v>
      </c>
      <c r="W936" t="s">
        <v>1137</v>
      </c>
      <c r="Z936" t="s">
        <v>1131</v>
      </c>
    </row>
    <row r="937" spans="1:26">
      <c r="A937">
        <v>936</v>
      </c>
      <c r="B937" s="37" t="str">
        <f t="shared" si="487"/>
        <v>FT</v>
      </c>
      <c r="C937" s="14" t="s">
        <v>1172</v>
      </c>
      <c r="D937" s="37">
        <f t="shared" si="503"/>
        <v>20569313687</v>
      </c>
      <c r="E937" s="38">
        <v>73472602</v>
      </c>
      <c r="F937" s="14">
        <v>935171696</v>
      </c>
      <c r="G937" s="37" t="str">
        <f t="shared" si="489"/>
        <v>FT F001-149</v>
      </c>
      <c r="H937" t="s">
        <v>77</v>
      </c>
      <c r="I937" s="37" t="str">
        <f t="shared" si="508"/>
        <v>Iquitos</v>
      </c>
      <c r="J937" t="s">
        <v>613</v>
      </c>
      <c r="K937" s="1" t="str">
        <f t="shared" si="501"/>
        <v>Unicachi unicachi</v>
      </c>
      <c r="L937" t="s">
        <v>37</v>
      </c>
      <c r="M937" s="1">
        <v>45070</v>
      </c>
      <c r="N937" t="s">
        <v>8</v>
      </c>
      <c r="O937" s="20">
        <v>185</v>
      </c>
      <c r="P937" t="s">
        <v>134</v>
      </c>
      <c r="Q937" t="s">
        <v>10</v>
      </c>
      <c r="R937" t="s">
        <v>22</v>
      </c>
      <c r="T937" t="s">
        <v>1082</v>
      </c>
      <c r="U937" t="s">
        <v>1099</v>
      </c>
      <c r="V937" s="3">
        <v>1</v>
      </c>
      <c r="W937" t="s">
        <v>1146</v>
      </c>
      <c r="Z937" t="s">
        <v>1143</v>
      </c>
    </row>
    <row r="938" spans="1:26">
      <c r="A938">
        <v>937</v>
      </c>
      <c r="B938" s="37" t="str">
        <f t="shared" si="487"/>
        <v>FT</v>
      </c>
      <c r="C938" s="45" t="str">
        <f>C937</f>
        <v>Manuel William Huerto Fabian</v>
      </c>
      <c r="D938" s="37">
        <f t="shared" si="503"/>
        <v>20569313687</v>
      </c>
      <c r="E938" s="38">
        <f t="shared" ref="E938:F938" si="510">E937</f>
        <v>73472602</v>
      </c>
      <c r="F938" s="45">
        <f t="shared" si="510"/>
        <v>935171696</v>
      </c>
      <c r="G938" s="37" t="str">
        <f t="shared" si="489"/>
        <v>FT F001-149</v>
      </c>
      <c r="H938" s="37" t="str">
        <f t="shared" ref="H938:J938" si="511">H937</f>
        <v>Huanuco</v>
      </c>
      <c r="I938" s="37" t="str">
        <f t="shared" si="511"/>
        <v>Iquitos</v>
      </c>
      <c r="J938" s="37" t="str">
        <f t="shared" si="511"/>
        <v>Cavassa</v>
      </c>
      <c r="K938" s="1" t="str">
        <f t="shared" si="501"/>
        <v>Unicachi unicachi</v>
      </c>
      <c r="L938" s="37" t="str">
        <f t="shared" ref="L938:N938" si="512">L937</f>
        <v>Redes sociales</v>
      </c>
      <c r="M938" s="1">
        <f t="shared" si="512"/>
        <v>45070</v>
      </c>
      <c r="N938" s="37" t="str">
        <f t="shared" si="512"/>
        <v>BCP</v>
      </c>
      <c r="O938" s="20">
        <v>15</v>
      </c>
      <c r="P938" t="s">
        <v>134</v>
      </c>
      <c r="Q938" t="s">
        <v>10</v>
      </c>
      <c r="R938" t="s">
        <v>22</v>
      </c>
      <c r="T938" t="s">
        <v>1134</v>
      </c>
      <c r="U938" t="s">
        <v>1116</v>
      </c>
      <c r="V938">
        <v>10</v>
      </c>
      <c r="W938" t="s">
        <v>1137</v>
      </c>
      <c r="Z938" t="s">
        <v>1131</v>
      </c>
    </row>
    <row r="939" spans="1:26">
      <c r="A939">
        <v>938</v>
      </c>
      <c r="B939" s="37" t="str">
        <f t="shared" si="487"/>
        <v>FT</v>
      </c>
      <c r="C939" s="14" t="s">
        <v>1173</v>
      </c>
      <c r="D939" s="37">
        <f t="shared" si="503"/>
        <v>20569313687</v>
      </c>
      <c r="E939" s="38">
        <v>46753339</v>
      </c>
      <c r="F939" s="14">
        <v>902745205</v>
      </c>
      <c r="G939" s="37" t="str">
        <f t="shared" si="489"/>
        <v>FT F001-149</v>
      </c>
      <c r="H939" t="s">
        <v>514</v>
      </c>
      <c r="I939" t="s">
        <v>1200</v>
      </c>
      <c r="J939" t="s">
        <v>613</v>
      </c>
      <c r="K939" s="1" t="str">
        <f t="shared" si="501"/>
        <v>Unicachi unicachi</v>
      </c>
      <c r="L939" t="s">
        <v>37</v>
      </c>
      <c r="M939" s="1">
        <v>45070</v>
      </c>
      <c r="N939" s="14" t="s">
        <v>8</v>
      </c>
      <c r="O939" s="20">
        <v>435</v>
      </c>
      <c r="P939" t="s">
        <v>30</v>
      </c>
      <c r="Q939" t="s">
        <v>10</v>
      </c>
      <c r="R939" t="s">
        <v>11</v>
      </c>
      <c r="T939" t="s">
        <v>1092</v>
      </c>
      <c r="U939" t="s">
        <v>1105</v>
      </c>
      <c r="V939" s="3">
        <v>1</v>
      </c>
      <c r="W939" t="s">
        <v>1148</v>
      </c>
      <c r="Z939" t="s">
        <v>1149</v>
      </c>
    </row>
    <row r="940" spans="1:26">
      <c r="A940">
        <v>939</v>
      </c>
      <c r="B940" s="37" t="str">
        <f t="shared" ref="B940:F941" si="513">B939</f>
        <v>FT</v>
      </c>
      <c r="C940" s="45" t="str">
        <f t="shared" si="513"/>
        <v>Cynthia Fabiola Pazo Llenque</v>
      </c>
      <c r="D940" s="37">
        <f t="shared" si="513"/>
        <v>20569313687</v>
      </c>
      <c r="E940" s="38">
        <f t="shared" si="513"/>
        <v>46753339</v>
      </c>
      <c r="F940" s="45">
        <f t="shared" si="513"/>
        <v>902745205</v>
      </c>
      <c r="G940" s="37" t="str">
        <f t="shared" si="489"/>
        <v>FT F001-149</v>
      </c>
      <c r="H940" s="37" t="str">
        <f t="shared" ref="H940:I941" si="514">H939</f>
        <v>Piura</v>
      </c>
      <c r="I940" s="37" t="str">
        <f t="shared" si="514"/>
        <v>Sechura</v>
      </c>
      <c r="J940" s="37" t="str">
        <f t="shared" ref="J940:J950" si="515">J939</f>
        <v>Cavassa</v>
      </c>
      <c r="K940" s="1" t="str">
        <f t="shared" ref="K940:N941" si="516">K939</f>
        <v>Unicachi unicachi</v>
      </c>
      <c r="L940" s="37" t="str">
        <f t="shared" si="516"/>
        <v>Redes sociales</v>
      </c>
      <c r="M940" s="1">
        <f t="shared" si="516"/>
        <v>45070</v>
      </c>
      <c r="N940" s="45" t="str">
        <f t="shared" si="516"/>
        <v>BCP</v>
      </c>
      <c r="O940" s="20">
        <v>50</v>
      </c>
      <c r="P940" t="s">
        <v>30</v>
      </c>
      <c r="Q940" t="s">
        <v>10</v>
      </c>
      <c r="R940" t="s">
        <v>11</v>
      </c>
      <c r="T940" t="s">
        <v>1134</v>
      </c>
      <c r="U940" t="s">
        <v>1115</v>
      </c>
      <c r="V940" s="3">
        <v>20</v>
      </c>
      <c r="W940" t="s">
        <v>1137</v>
      </c>
      <c r="Z940" t="s">
        <v>1131</v>
      </c>
    </row>
    <row r="941" spans="1:26">
      <c r="A941">
        <v>940</v>
      </c>
      <c r="B941" s="37" t="str">
        <f t="shared" si="513"/>
        <v>FT</v>
      </c>
      <c r="C941" s="45" t="str">
        <f t="shared" si="513"/>
        <v>Cynthia Fabiola Pazo Llenque</v>
      </c>
      <c r="D941" s="37">
        <f t="shared" si="513"/>
        <v>20569313687</v>
      </c>
      <c r="E941" s="38">
        <f t="shared" si="513"/>
        <v>46753339</v>
      </c>
      <c r="F941" s="45">
        <f t="shared" si="513"/>
        <v>902745205</v>
      </c>
      <c r="G941" s="37" t="str">
        <f t="shared" si="489"/>
        <v>FT F001-149</v>
      </c>
      <c r="H941" s="37" t="str">
        <f t="shared" si="514"/>
        <v>Piura</v>
      </c>
      <c r="I941" s="37" t="str">
        <f t="shared" si="514"/>
        <v>Sechura</v>
      </c>
      <c r="J941" s="37" t="str">
        <f t="shared" si="515"/>
        <v>Cavassa</v>
      </c>
      <c r="K941" s="1" t="str">
        <f t="shared" si="516"/>
        <v>Unicachi unicachi</v>
      </c>
      <c r="L941" s="37" t="str">
        <f t="shared" si="516"/>
        <v>Redes sociales</v>
      </c>
      <c r="M941" s="1">
        <f t="shared" si="516"/>
        <v>45070</v>
      </c>
      <c r="N941" s="45" t="str">
        <f t="shared" si="516"/>
        <v>BCP</v>
      </c>
      <c r="O941" s="20">
        <v>200</v>
      </c>
      <c r="P941" t="s">
        <v>30</v>
      </c>
      <c r="Q941" t="s">
        <v>10</v>
      </c>
      <c r="R941" t="s">
        <v>11</v>
      </c>
      <c r="T941" t="s">
        <v>1092</v>
      </c>
      <c r="U941" t="s">
        <v>1106</v>
      </c>
      <c r="V941">
        <v>1</v>
      </c>
      <c r="W941" t="s">
        <v>1139</v>
      </c>
      <c r="Z941" t="s">
        <v>1138</v>
      </c>
    </row>
    <row r="942" spans="1:26">
      <c r="A942">
        <v>941</v>
      </c>
      <c r="B942" s="39" t="s">
        <v>23</v>
      </c>
      <c r="C942" s="40" t="s">
        <v>384</v>
      </c>
      <c r="D942" s="43">
        <f t="shared" ref="D942:E942" si="517">D941</f>
        <v>20569313687</v>
      </c>
      <c r="E942" s="44">
        <f t="shared" si="517"/>
        <v>46753339</v>
      </c>
      <c r="F942" s="40">
        <v>993104850</v>
      </c>
      <c r="G942" s="43" t="str">
        <f t="shared" si="489"/>
        <v>FT F001-149</v>
      </c>
      <c r="H942" s="40" t="s">
        <v>4</v>
      </c>
      <c r="I942" t="s">
        <v>244</v>
      </c>
      <c r="J942" s="43" t="str">
        <f t="shared" si="515"/>
        <v>Cavassa</v>
      </c>
      <c r="K942" s="40" t="s">
        <v>385</v>
      </c>
      <c r="L942" t="s">
        <v>268</v>
      </c>
      <c r="M942" s="47">
        <v>45070</v>
      </c>
      <c r="N942" t="s">
        <v>21</v>
      </c>
      <c r="O942" s="49">
        <v>305</v>
      </c>
      <c r="P942" t="s">
        <v>234</v>
      </c>
      <c r="Q942" t="s">
        <v>10</v>
      </c>
      <c r="R942" t="s">
        <v>22</v>
      </c>
      <c r="T942" t="s">
        <v>1082</v>
      </c>
      <c r="U942" t="s">
        <v>1104</v>
      </c>
      <c r="V942" s="3" t="s">
        <v>1044</v>
      </c>
      <c r="W942" t="s">
        <v>1145</v>
      </c>
      <c r="Z942" t="s">
        <v>1143</v>
      </c>
    </row>
    <row r="943" spans="1:26">
      <c r="A943">
        <v>942</v>
      </c>
      <c r="B943" s="39" t="str">
        <f t="shared" ref="B943:I943" si="518">B942</f>
        <v>No va</v>
      </c>
      <c r="C943" s="43" t="str">
        <f t="shared" si="518"/>
        <v xml:space="preserve">Beatriz </v>
      </c>
      <c r="D943" s="43">
        <f t="shared" si="518"/>
        <v>20569313687</v>
      </c>
      <c r="E943" s="44">
        <f t="shared" si="518"/>
        <v>46753339</v>
      </c>
      <c r="F943" s="43">
        <f t="shared" si="518"/>
        <v>993104850</v>
      </c>
      <c r="G943" s="43" t="str">
        <f t="shared" si="518"/>
        <v>FT F001-149</v>
      </c>
      <c r="H943" s="43" t="str">
        <f t="shared" si="518"/>
        <v>Lima</v>
      </c>
      <c r="I943" s="37" t="str">
        <f t="shared" si="518"/>
        <v>Comas</v>
      </c>
      <c r="J943" s="43" t="str">
        <f t="shared" si="515"/>
        <v>Cavassa</v>
      </c>
      <c r="K943" s="43" t="str">
        <f t="shared" ref="K943:N943" si="519">K942</f>
        <v>Comas Universitaria con San Carlos</v>
      </c>
      <c r="L943" s="37" t="str">
        <f t="shared" si="519"/>
        <v>Aplicativo Web</v>
      </c>
      <c r="M943" s="47">
        <f t="shared" si="519"/>
        <v>45070</v>
      </c>
      <c r="N943" s="37" t="str">
        <f t="shared" si="519"/>
        <v>Efectivo</v>
      </c>
      <c r="O943" s="49">
        <v>15</v>
      </c>
      <c r="P943" t="s">
        <v>234</v>
      </c>
      <c r="Q943" t="s">
        <v>10</v>
      </c>
      <c r="R943" t="s">
        <v>22</v>
      </c>
      <c r="T943" t="s">
        <v>1134</v>
      </c>
      <c r="U943" t="s">
        <v>1115</v>
      </c>
      <c r="V943" s="3">
        <v>10</v>
      </c>
      <c r="W943" t="s">
        <v>1137</v>
      </c>
      <c r="Z943" t="s">
        <v>1131</v>
      </c>
    </row>
    <row r="944" spans="1:26">
      <c r="A944">
        <v>943</v>
      </c>
      <c r="B944" s="45" t="s">
        <v>12</v>
      </c>
      <c r="C944" s="14" t="s">
        <v>522</v>
      </c>
      <c r="D944" s="46">
        <v>10439601201</v>
      </c>
      <c r="E944" s="46">
        <v>43960120</v>
      </c>
      <c r="F944" s="14">
        <v>991844209</v>
      </c>
      <c r="G944" t="s">
        <v>1201</v>
      </c>
      <c r="H944" s="40" t="s">
        <v>4</v>
      </c>
      <c r="I944" t="s">
        <v>1215</v>
      </c>
      <c r="J944" s="45" t="str">
        <f t="shared" si="515"/>
        <v>Cavassa</v>
      </c>
      <c r="K944" s="14" t="s">
        <v>524</v>
      </c>
      <c r="L944" t="s">
        <v>268</v>
      </c>
      <c r="M944" s="1">
        <v>45071</v>
      </c>
      <c r="N944" t="s">
        <v>21</v>
      </c>
      <c r="O944" s="20">
        <v>140</v>
      </c>
      <c r="P944" t="s">
        <v>234</v>
      </c>
      <c r="Q944" t="s">
        <v>10</v>
      </c>
      <c r="R944" t="s">
        <v>22</v>
      </c>
      <c r="T944" t="s">
        <v>1133</v>
      </c>
      <c r="U944" t="s">
        <v>1114</v>
      </c>
      <c r="V944" s="3">
        <v>20</v>
      </c>
      <c r="W944" t="s">
        <v>1132</v>
      </c>
      <c r="Z944" t="s">
        <v>1131</v>
      </c>
    </row>
    <row r="945" spans="1:26">
      <c r="A945">
        <v>944</v>
      </c>
      <c r="B945" s="37" t="str">
        <f t="shared" ref="B945:B950" si="520">B944</f>
        <v>FT</v>
      </c>
      <c r="C945" s="14" t="s">
        <v>1174</v>
      </c>
      <c r="D945">
        <v>10464136326</v>
      </c>
      <c r="E945" s="38">
        <f>E944</f>
        <v>43960120</v>
      </c>
      <c r="F945" s="14">
        <v>999166560</v>
      </c>
      <c r="G945" t="s">
        <v>1202</v>
      </c>
      <c r="H945" s="40" t="s">
        <v>4</v>
      </c>
      <c r="I945" t="s">
        <v>244</v>
      </c>
      <c r="J945" s="37" t="str">
        <f t="shared" si="515"/>
        <v>Cavassa</v>
      </c>
      <c r="K945" t="s">
        <v>1203</v>
      </c>
      <c r="L945" t="s">
        <v>268</v>
      </c>
      <c r="M945" s="1">
        <v>45072</v>
      </c>
      <c r="N945" t="s">
        <v>8</v>
      </c>
      <c r="O945" s="20">
        <v>310</v>
      </c>
      <c r="P945" t="s">
        <v>1076</v>
      </c>
      <c r="Q945" t="s">
        <v>10</v>
      </c>
      <c r="R945" t="s">
        <v>11</v>
      </c>
      <c r="T945" t="s">
        <v>1092</v>
      </c>
      <c r="U945" t="s">
        <v>1093</v>
      </c>
      <c r="V945" s="3">
        <v>1</v>
      </c>
      <c r="W945" t="s">
        <v>1148</v>
      </c>
      <c r="Z945" t="s">
        <v>1149</v>
      </c>
    </row>
    <row r="946" spans="1:26">
      <c r="A946">
        <v>945</v>
      </c>
      <c r="B946" s="37" t="str">
        <f t="shared" si="520"/>
        <v>FT</v>
      </c>
      <c r="C946" s="45" t="str">
        <f t="shared" ref="C946:F946" si="521">C945</f>
        <v>Alejandro Cerda</v>
      </c>
      <c r="D946" s="37">
        <f t="shared" si="521"/>
        <v>10464136326</v>
      </c>
      <c r="E946" s="38">
        <f t="shared" si="521"/>
        <v>43960120</v>
      </c>
      <c r="F946" s="45">
        <f t="shared" si="521"/>
        <v>999166560</v>
      </c>
      <c r="G946" s="37" t="str">
        <f t="shared" ref="G946:G952" si="522">G945</f>
        <v>FT F001-152</v>
      </c>
      <c r="H946" s="43" t="str">
        <f t="shared" ref="H946:I946" si="523">H945</f>
        <v>Lima</v>
      </c>
      <c r="I946" s="37" t="str">
        <f t="shared" si="523"/>
        <v>Comas</v>
      </c>
      <c r="J946" s="37" t="str">
        <f t="shared" si="515"/>
        <v>Cavassa</v>
      </c>
      <c r="K946" s="37" t="str">
        <f>K945</f>
        <v>Comas Santa Luzmila</v>
      </c>
      <c r="L946" t="s">
        <v>268</v>
      </c>
      <c r="M946" s="1">
        <v>45072</v>
      </c>
      <c r="N946" t="s">
        <v>8</v>
      </c>
      <c r="O946" s="54">
        <v>200</v>
      </c>
      <c r="P946" t="s">
        <v>1076</v>
      </c>
      <c r="Q946" t="s">
        <v>10</v>
      </c>
      <c r="R946" t="s">
        <v>11</v>
      </c>
      <c r="T946" t="s">
        <v>1133</v>
      </c>
      <c r="U946" t="s">
        <v>1114</v>
      </c>
      <c r="V946" s="3">
        <v>20</v>
      </c>
      <c r="W946" t="s">
        <v>1132</v>
      </c>
      <c r="Z946" t="s">
        <v>1131</v>
      </c>
    </row>
    <row r="947" spans="1:26">
      <c r="A947">
        <v>946</v>
      </c>
      <c r="B947" s="37" t="str">
        <f t="shared" si="520"/>
        <v>FT</v>
      </c>
      <c r="C947" s="14" t="s">
        <v>1175</v>
      </c>
      <c r="D947" s="37">
        <f t="shared" ref="D947:E947" si="524">D946</f>
        <v>10464136326</v>
      </c>
      <c r="E947" s="38">
        <f t="shared" si="524"/>
        <v>43960120</v>
      </c>
      <c r="F947" s="14">
        <v>952989637</v>
      </c>
      <c r="G947" s="37" t="str">
        <f t="shared" si="522"/>
        <v>FT F001-152</v>
      </c>
      <c r="H947" s="40" t="s">
        <v>4</v>
      </c>
      <c r="I947" t="s">
        <v>90</v>
      </c>
      <c r="J947" s="37" t="str">
        <f t="shared" si="515"/>
        <v>Cavassa</v>
      </c>
      <c r="K947" t="s">
        <v>1204</v>
      </c>
      <c r="L947" t="s">
        <v>37</v>
      </c>
      <c r="M947" s="1">
        <v>45073</v>
      </c>
      <c r="N947" t="s">
        <v>21</v>
      </c>
      <c r="O947" s="20">
        <v>430</v>
      </c>
      <c r="P947" t="s">
        <v>30</v>
      </c>
      <c r="Q947" t="s">
        <v>10</v>
      </c>
      <c r="R947" t="s">
        <v>22</v>
      </c>
      <c r="T947" t="s">
        <v>1092</v>
      </c>
      <c r="U947" t="s">
        <v>1105</v>
      </c>
      <c r="V947" s="3">
        <v>1</v>
      </c>
      <c r="W947" t="s">
        <v>1148</v>
      </c>
      <c r="Z947" t="s">
        <v>1149</v>
      </c>
    </row>
    <row r="948" spans="1:26">
      <c r="A948">
        <v>947</v>
      </c>
      <c r="B948" s="37" t="str">
        <f t="shared" si="520"/>
        <v>FT</v>
      </c>
      <c r="C948" s="45" t="str">
        <f t="shared" ref="C948:F949" si="525">C947</f>
        <v xml:space="preserve">Paul </v>
      </c>
      <c r="D948" s="37">
        <f t="shared" si="525"/>
        <v>10464136326</v>
      </c>
      <c r="E948" s="38">
        <f t="shared" si="525"/>
        <v>43960120</v>
      </c>
      <c r="F948" s="45">
        <f t="shared" si="525"/>
        <v>952989637</v>
      </c>
      <c r="G948" s="37" t="str">
        <f t="shared" si="522"/>
        <v>FT F001-152</v>
      </c>
      <c r="H948" s="43" t="str">
        <f t="shared" ref="H948:I949" si="526">H947</f>
        <v>Lima</v>
      </c>
      <c r="I948" s="37" t="str">
        <f t="shared" si="526"/>
        <v>La victoria</v>
      </c>
      <c r="J948" s="37" t="str">
        <f t="shared" si="515"/>
        <v>Cavassa</v>
      </c>
      <c r="K948" s="37" t="str">
        <f t="shared" ref="K948:K949" si="527">K947</f>
        <v>La Victoria Turismo Diaz</v>
      </c>
      <c r="L948" t="s">
        <v>37</v>
      </c>
      <c r="M948" s="1">
        <v>45073</v>
      </c>
      <c r="N948" t="s">
        <v>21</v>
      </c>
      <c r="O948" s="20">
        <v>120</v>
      </c>
      <c r="P948" t="s">
        <v>30</v>
      </c>
      <c r="Q948" t="s">
        <v>10</v>
      </c>
      <c r="R948" t="s">
        <v>22</v>
      </c>
      <c r="T948" t="s">
        <v>1133</v>
      </c>
      <c r="U948" t="s">
        <v>1114</v>
      </c>
      <c r="V948" s="3">
        <v>6</v>
      </c>
      <c r="W948" t="s">
        <v>1132</v>
      </c>
      <c r="Z948" t="s">
        <v>1131</v>
      </c>
    </row>
    <row r="949" spans="1:26">
      <c r="A949">
        <v>948</v>
      </c>
      <c r="B949" s="37" t="str">
        <f t="shared" si="520"/>
        <v>FT</v>
      </c>
      <c r="C949" s="45" t="str">
        <f t="shared" si="525"/>
        <v xml:space="preserve">Paul </v>
      </c>
      <c r="D949" s="37">
        <f t="shared" si="525"/>
        <v>10464136326</v>
      </c>
      <c r="E949" s="38">
        <f t="shared" si="525"/>
        <v>43960120</v>
      </c>
      <c r="F949" s="45">
        <f t="shared" si="525"/>
        <v>952989637</v>
      </c>
      <c r="G949" s="37" t="str">
        <f t="shared" si="522"/>
        <v>FT F001-152</v>
      </c>
      <c r="H949" s="43" t="str">
        <f t="shared" si="526"/>
        <v>Lima</v>
      </c>
      <c r="I949" s="37" t="str">
        <f t="shared" si="526"/>
        <v>La victoria</v>
      </c>
      <c r="J949" s="37" t="str">
        <f t="shared" si="515"/>
        <v>Cavassa</v>
      </c>
      <c r="K949" s="37" t="str">
        <f t="shared" si="527"/>
        <v>La Victoria Turismo Diaz</v>
      </c>
      <c r="L949" t="s">
        <v>37</v>
      </c>
      <c r="M949" s="1">
        <v>45073</v>
      </c>
      <c r="N949" t="s">
        <v>21</v>
      </c>
      <c r="O949" s="20">
        <v>150</v>
      </c>
      <c r="P949" t="s">
        <v>30</v>
      </c>
      <c r="Q949" t="s">
        <v>10</v>
      </c>
      <c r="R949" t="s">
        <v>22</v>
      </c>
      <c r="T949" t="s">
        <v>1151</v>
      </c>
      <c r="U949" t="s">
        <v>1128</v>
      </c>
      <c r="V949" s="3">
        <v>5</v>
      </c>
      <c r="W949" t="s">
        <v>1135</v>
      </c>
      <c r="Z949" t="s">
        <v>1136</v>
      </c>
    </row>
    <row r="950" spans="1:26">
      <c r="A950">
        <v>949</v>
      </c>
      <c r="B950" s="37" t="str">
        <f t="shared" si="520"/>
        <v>FT</v>
      </c>
      <c r="C950" s="14" t="s">
        <v>1176</v>
      </c>
      <c r="D950" s="37">
        <f t="shared" ref="D950:E950" si="528">D949</f>
        <v>10464136326</v>
      </c>
      <c r="E950" s="38">
        <f t="shared" si="528"/>
        <v>43960120</v>
      </c>
      <c r="F950" s="14">
        <v>991064585</v>
      </c>
      <c r="G950" s="37" t="str">
        <f t="shared" si="522"/>
        <v>FT F001-152</v>
      </c>
      <c r="H950" s="40" t="s">
        <v>4</v>
      </c>
      <c r="I950" t="s">
        <v>383</v>
      </c>
      <c r="J950" s="37" t="str">
        <f t="shared" si="515"/>
        <v>Cavassa</v>
      </c>
      <c r="K950" t="s">
        <v>1205</v>
      </c>
      <c r="L950" t="s">
        <v>37</v>
      </c>
      <c r="M950" s="1">
        <v>45073</v>
      </c>
      <c r="N950" t="s">
        <v>8</v>
      </c>
      <c r="O950" s="20">
        <v>320</v>
      </c>
      <c r="P950" t="s">
        <v>30</v>
      </c>
      <c r="Q950" t="s">
        <v>10</v>
      </c>
      <c r="R950" t="s">
        <v>22</v>
      </c>
      <c r="T950" t="s">
        <v>1082</v>
      </c>
      <c r="U950" t="s">
        <v>1104</v>
      </c>
      <c r="V950" s="3" t="s">
        <v>1044</v>
      </c>
      <c r="W950" t="s">
        <v>1145</v>
      </c>
      <c r="X950" s="9">
        <v>10</v>
      </c>
      <c r="Y950" s="9" t="s">
        <v>1056</v>
      </c>
      <c r="Z950" t="s">
        <v>1143</v>
      </c>
    </row>
    <row r="951" spans="1:26">
      <c r="A951">
        <v>950</v>
      </c>
      <c r="B951" s="37" t="str">
        <f t="shared" ref="B951:F951" si="529">B950</f>
        <v>FT</v>
      </c>
      <c r="C951" s="45" t="str">
        <f t="shared" si="529"/>
        <v>Rocio Margarita</v>
      </c>
      <c r="D951" s="37">
        <f t="shared" si="529"/>
        <v>10464136326</v>
      </c>
      <c r="E951" s="38">
        <f t="shared" si="529"/>
        <v>43960120</v>
      </c>
      <c r="F951" s="45">
        <f t="shared" si="529"/>
        <v>991064585</v>
      </c>
      <c r="G951" s="37" t="str">
        <f t="shared" si="522"/>
        <v>FT F001-152</v>
      </c>
      <c r="H951" s="43" t="str">
        <f t="shared" ref="H951:J951" si="530">H950</f>
        <v>Lima</v>
      </c>
      <c r="I951" s="37" t="str">
        <f t="shared" si="530"/>
        <v>Villa Maria del Triunfo</v>
      </c>
      <c r="J951" s="37" t="str">
        <f t="shared" si="530"/>
        <v>Cavassa</v>
      </c>
      <c r="K951" s="37" t="str">
        <f t="shared" ref="K951:K961" si="531">K950</f>
        <v>Estacion Villa Maria del Triunfo</v>
      </c>
      <c r="L951" t="s">
        <v>37</v>
      </c>
      <c r="M951" s="1">
        <v>45073</v>
      </c>
      <c r="N951" t="s">
        <v>8</v>
      </c>
      <c r="O951" s="20">
        <v>30</v>
      </c>
      <c r="P951" t="s">
        <v>30</v>
      </c>
      <c r="Q951" t="s">
        <v>10</v>
      </c>
      <c r="R951" t="s">
        <v>22</v>
      </c>
      <c r="T951" t="s">
        <v>1134</v>
      </c>
      <c r="U951" t="s">
        <v>1115</v>
      </c>
      <c r="V951" s="3">
        <v>20</v>
      </c>
      <c r="W951" t="s">
        <v>1137</v>
      </c>
      <c r="Z951" t="s">
        <v>1131</v>
      </c>
    </row>
    <row r="952" spans="1:26" ht="14.15" customHeight="1">
      <c r="A952">
        <v>951</v>
      </c>
      <c r="B952" s="45" t="s">
        <v>12</v>
      </c>
      <c r="C952" s="14" t="s">
        <v>1177</v>
      </c>
      <c r="D952" s="38">
        <v>10743047546</v>
      </c>
      <c r="E952" s="38">
        <v>74304754</v>
      </c>
      <c r="F952" s="14">
        <v>922529822</v>
      </c>
      <c r="G952" s="37" t="str">
        <f t="shared" si="522"/>
        <v>FT F001-152</v>
      </c>
      <c r="H952" t="s">
        <v>65</v>
      </c>
      <c r="I952" t="s">
        <v>71</v>
      </c>
      <c r="J952" t="s">
        <v>1206</v>
      </c>
      <c r="K952" s="1" t="str">
        <f t="shared" si="531"/>
        <v>Estacion Villa Maria del Triunfo</v>
      </c>
      <c r="L952" t="s">
        <v>268</v>
      </c>
      <c r="M952" s="1">
        <v>45073</v>
      </c>
      <c r="N952" t="s">
        <v>8</v>
      </c>
      <c r="O952" s="20">
        <v>430</v>
      </c>
      <c r="P952" t="s">
        <v>9</v>
      </c>
      <c r="Q952" t="s">
        <v>10</v>
      </c>
      <c r="R952" t="s">
        <v>11</v>
      </c>
      <c r="T952" t="s">
        <v>1092</v>
      </c>
      <c r="U952" t="s">
        <v>1105</v>
      </c>
      <c r="V952" s="3">
        <v>1</v>
      </c>
      <c r="W952" t="s">
        <v>1148</v>
      </c>
      <c r="Z952" t="s">
        <v>1149</v>
      </c>
    </row>
    <row r="953" spans="1:26" ht="14.15" customHeight="1">
      <c r="A953">
        <v>952</v>
      </c>
      <c r="B953" s="45" t="str">
        <f t="shared" ref="B953:D953" si="532">B952</f>
        <v>FT</v>
      </c>
      <c r="C953" s="45" t="str">
        <f t="shared" si="532"/>
        <v>Cielo Quispe Espino</v>
      </c>
      <c r="D953" s="38">
        <f t="shared" si="532"/>
        <v>10743047546</v>
      </c>
      <c r="E953" s="38">
        <f t="shared" ref="E953:E954" si="533">E952</f>
        <v>74304754</v>
      </c>
      <c r="F953" s="45">
        <f t="shared" ref="F953:I953" si="534">F952</f>
        <v>922529822</v>
      </c>
      <c r="G953" s="37" t="str">
        <f t="shared" si="534"/>
        <v>FT F001-152</v>
      </c>
      <c r="H953" s="37" t="str">
        <f t="shared" si="534"/>
        <v>Ica</v>
      </c>
      <c r="I953" s="37" t="str">
        <f t="shared" si="534"/>
        <v>Pisco</v>
      </c>
      <c r="J953" s="37" t="str">
        <f t="shared" ref="J953:J954" si="535">J952</f>
        <v>Carrion Express SAC</v>
      </c>
      <c r="K953" s="1" t="str">
        <f t="shared" si="531"/>
        <v>Estacion Villa Maria del Triunfo</v>
      </c>
      <c r="L953" t="s">
        <v>268</v>
      </c>
      <c r="M953" s="1">
        <v>45073</v>
      </c>
      <c r="N953" t="s">
        <v>8</v>
      </c>
      <c r="O953" s="20">
        <v>75</v>
      </c>
      <c r="P953" t="s">
        <v>9</v>
      </c>
      <c r="Q953" t="s">
        <v>10</v>
      </c>
      <c r="R953" t="s">
        <v>11</v>
      </c>
      <c r="T953" t="s">
        <v>1151</v>
      </c>
      <c r="U953" t="s">
        <v>1128</v>
      </c>
      <c r="V953" s="3">
        <v>3</v>
      </c>
      <c r="W953" t="s">
        <v>1135</v>
      </c>
      <c r="Z953" t="s">
        <v>1136</v>
      </c>
    </row>
    <row r="954" spans="1:26" s="26" customFormat="1">
      <c r="A954">
        <v>953</v>
      </c>
      <c r="B954" s="50" t="s">
        <v>12</v>
      </c>
      <c r="C954" s="51" t="s">
        <v>718</v>
      </c>
      <c r="D954" s="26">
        <v>20604814694</v>
      </c>
      <c r="E954" s="50">
        <f t="shared" si="533"/>
        <v>74304754</v>
      </c>
      <c r="F954" s="51">
        <v>987151244</v>
      </c>
      <c r="G954" s="28" t="s">
        <v>1207</v>
      </c>
      <c r="H954" s="51" t="s">
        <v>4</v>
      </c>
      <c r="I954" s="26" t="s">
        <v>183</v>
      </c>
      <c r="J954" s="50" t="str">
        <f t="shared" si="535"/>
        <v>Carrion Express SAC</v>
      </c>
      <c r="K954" s="27" t="str">
        <f t="shared" si="531"/>
        <v>Estacion Villa Maria del Triunfo</v>
      </c>
      <c r="L954" t="s">
        <v>268</v>
      </c>
      <c r="M954" s="27">
        <v>45074</v>
      </c>
      <c r="N954" t="s">
        <v>8</v>
      </c>
      <c r="O954" s="53">
        <v>135</v>
      </c>
      <c r="P954" t="s">
        <v>30</v>
      </c>
      <c r="Q954" t="s">
        <v>10</v>
      </c>
      <c r="R954" s="26" t="s">
        <v>22</v>
      </c>
      <c r="T954" t="s">
        <v>1133</v>
      </c>
      <c r="U954" t="s">
        <v>1114</v>
      </c>
      <c r="V954" s="3">
        <v>12</v>
      </c>
      <c r="W954" t="s">
        <v>1132</v>
      </c>
      <c r="X954"/>
      <c r="Y954"/>
      <c r="Z954" t="s">
        <v>1131</v>
      </c>
    </row>
    <row r="955" spans="1:26">
      <c r="A955">
        <v>954</v>
      </c>
      <c r="B955" s="37" t="str">
        <f t="shared" ref="B955:B962" si="536">B954</f>
        <v>FT</v>
      </c>
      <c r="C955" s="14" t="s">
        <v>1178</v>
      </c>
      <c r="D955" s="37">
        <f t="shared" ref="D955:D961" si="537">D954</f>
        <v>20604814694</v>
      </c>
      <c r="E955" s="38">
        <v>71485421</v>
      </c>
      <c r="F955" s="14">
        <v>930380271</v>
      </c>
      <c r="G955" s="37" t="str">
        <f t="shared" ref="G955:G961" si="538">G954</f>
        <v>FT F001-157</v>
      </c>
      <c r="H955" s="41" t="s">
        <v>973</v>
      </c>
      <c r="I955" t="s">
        <v>823</v>
      </c>
      <c r="J955" t="s">
        <v>29</v>
      </c>
      <c r="K955" s="1" t="str">
        <f t="shared" si="531"/>
        <v>Estacion Villa Maria del Triunfo</v>
      </c>
      <c r="L955" t="s">
        <v>37</v>
      </c>
      <c r="M955" s="1">
        <v>45075</v>
      </c>
      <c r="N955" t="s">
        <v>8</v>
      </c>
      <c r="O955" s="20">
        <v>185</v>
      </c>
      <c r="P955" t="s">
        <v>234</v>
      </c>
      <c r="Q955" t="s">
        <v>10</v>
      </c>
      <c r="R955" t="s">
        <v>11</v>
      </c>
      <c r="T955" t="s">
        <v>1082</v>
      </c>
      <c r="U955" t="s">
        <v>1099</v>
      </c>
      <c r="V955" s="3">
        <v>1</v>
      </c>
      <c r="W955" t="s">
        <v>1146</v>
      </c>
      <c r="Z955" t="s">
        <v>1143</v>
      </c>
    </row>
    <row r="956" spans="1:26">
      <c r="A956">
        <v>955</v>
      </c>
      <c r="B956" s="37" t="str">
        <f t="shared" si="536"/>
        <v>FT</v>
      </c>
      <c r="C956" s="45" t="str">
        <f>C955</f>
        <v>Dala Infa Ccallo</v>
      </c>
      <c r="D956" s="37">
        <f t="shared" si="537"/>
        <v>20604814694</v>
      </c>
      <c r="E956" s="38">
        <f t="shared" ref="E956:F956" si="539">E955</f>
        <v>71485421</v>
      </c>
      <c r="F956" s="45">
        <f t="shared" si="539"/>
        <v>930380271</v>
      </c>
      <c r="G956" s="37" t="str">
        <f t="shared" si="538"/>
        <v>FT F001-157</v>
      </c>
      <c r="H956" s="39" t="str">
        <f>H955</f>
        <v>Cuzco</v>
      </c>
      <c r="I956" s="37" t="str">
        <f t="shared" ref="I956:I957" si="540">I955</f>
        <v>Espinar</v>
      </c>
      <c r="J956" s="37" t="str">
        <f>J955</f>
        <v>Shalom</v>
      </c>
      <c r="K956" s="1" t="str">
        <f t="shared" si="531"/>
        <v>Estacion Villa Maria del Triunfo</v>
      </c>
      <c r="L956" t="s">
        <v>37</v>
      </c>
      <c r="M956" s="47">
        <v>45075</v>
      </c>
      <c r="N956" t="s">
        <v>8</v>
      </c>
      <c r="O956" s="20">
        <v>15</v>
      </c>
      <c r="P956" t="s">
        <v>234</v>
      </c>
      <c r="Q956" t="s">
        <v>10</v>
      </c>
      <c r="R956" t="s">
        <v>11</v>
      </c>
      <c r="T956" t="s">
        <v>1134</v>
      </c>
      <c r="U956" t="s">
        <v>1116</v>
      </c>
      <c r="V956">
        <v>10</v>
      </c>
      <c r="W956" t="s">
        <v>1137</v>
      </c>
      <c r="Z956" t="s">
        <v>1131</v>
      </c>
    </row>
    <row r="957" spans="1:26">
      <c r="A957">
        <v>956</v>
      </c>
      <c r="B957" s="37" t="str">
        <f t="shared" si="536"/>
        <v>FT</v>
      </c>
      <c r="C957" s="14" t="s">
        <v>1179</v>
      </c>
      <c r="D957" s="37">
        <f t="shared" si="537"/>
        <v>20604814694</v>
      </c>
      <c r="E957" s="38">
        <v>47779486</v>
      </c>
      <c r="F957" s="14">
        <v>921242049</v>
      </c>
      <c r="G957" s="37" t="str">
        <f t="shared" si="538"/>
        <v>FT F001-157</v>
      </c>
      <c r="H957" t="s">
        <v>89</v>
      </c>
      <c r="I957" s="37" t="str">
        <f t="shared" si="540"/>
        <v>Espinar</v>
      </c>
      <c r="J957" t="s">
        <v>140</v>
      </c>
      <c r="K957" s="1" t="str">
        <f t="shared" si="531"/>
        <v>Estacion Villa Maria del Triunfo</v>
      </c>
      <c r="L957" t="s">
        <v>37</v>
      </c>
      <c r="M957" s="47">
        <v>45075</v>
      </c>
      <c r="N957" t="s">
        <v>8</v>
      </c>
      <c r="O957" s="20">
        <v>185</v>
      </c>
      <c r="P957" t="s">
        <v>1076</v>
      </c>
      <c r="Q957" t="s">
        <v>10</v>
      </c>
      <c r="R957" t="s">
        <v>22</v>
      </c>
      <c r="T957" t="s">
        <v>1082</v>
      </c>
      <c r="U957" t="s">
        <v>1099</v>
      </c>
      <c r="V957" s="3">
        <v>1</v>
      </c>
      <c r="W957" t="s">
        <v>1146</v>
      </c>
      <c r="Z957" t="s">
        <v>1143</v>
      </c>
    </row>
    <row r="958" spans="1:26">
      <c r="A958">
        <v>957</v>
      </c>
      <c r="B958" s="37" t="str">
        <f t="shared" si="536"/>
        <v>FT</v>
      </c>
      <c r="C958" s="45" t="str">
        <f>C957</f>
        <v>Sandra Geovana Zapata Aranza</v>
      </c>
      <c r="D958" s="37">
        <f t="shared" si="537"/>
        <v>20604814694</v>
      </c>
      <c r="E958" s="38">
        <f t="shared" ref="E958:F958" si="541">E957</f>
        <v>47779486</v>
      </c>
      <c r="F958" s="45">
        <f t="shared" si="541"/>
        <v>921242049</v>
      </c>
      <c r="G958" s="37" t="str">
        <f t="shared" si="538"/>
        <v>FT F001-157</v>
      </c>
      <c r="H958" s="37" t="str">
        <f t="shared" ref="H958:J958" si="542">H957</f>
        <v>Ayacucho</v>
      </c>
      <c r="I958" s="37" t="str">
        <f t="shared" si="542"/>
        <v>Espinar</v>
      </c>
      <c r="J958" s="37" t="str">
        <f t="shared" si="542"/>
        <v>Olva Courier</v>
      </c>
      <c r="K958" s="1" t="str">
        <f t="shared" si="531"/>
        <v>Estacion Villa Maria del Triunfo</v>
      </c>
      <c r="L958" t="s">
        <v>37</v>
      </c>
      <c r="M958" s="47">
        <v>45075</v>
      </c>
      <c r="N958" t="s">
        <v>8</v>
      </c>
      <c r="O958" s="20">
        <v>15</v>
      </c>
      <c r="P958" t="s">
        <v>1076</v>
      </c>
      <c r="Q958" t="s">
        <v>10</v>
      </c>
      <c r="R958" t="s">
        <v>22</v>
      </c>
      <c r="T958" t="s">
        <v>1134</v>
      </c>
      <c r="U958" t="s">
        <v>1116</v>
      </c>
      <c r="V958">
        <v>10</v>
      </c>
      <c r="W958" t="s">
        <v>1137</v>
      </c>
      <c r="Z958" t="s">
        <v>1131</v>
      </c>
    </row>
    <row r="959" spans="1:26">
      <c r="A959">
        <v>958</v>
      </c>
      <c r="B959" s="37" t="str">
        <f t="shared" si="536"/>
        <v>FT</v>
      </c>
      <c r="C959" s="14" t="s">
        <v>1180</v>
      </c>
      <c r="D959" s="37">
        <f t="shared" si="537"/>
        <v>20604814694</v>
      </c>
      <c r="E959" s="38">
        <v>73972649</v>
      </c>
      <c r="F959" s="14">
        <v>937372209</v>
      </c>
      <c r="G959" s="37" t="str">
        <f t="shared" si="538"/>
        <v>FT F001-157</v>
      </c>
      <c r="H959" t="s">
        <v>256</v>
      </c>
      <c r="I959" t="s">
        <v>79</v>
      </c>
      <c r="J959" t="s">
        <v>29</v>
      </c>
      <c r="K959" s="1" t="str">
        <f t="shared" si="531"/>
        <v>Estacion Villa Maria del Triunfo</v>
      </c>
      <c r="L959" t="s">
        <v>268</v>
      </c>
      <c r="M959" s="1">
        <v>45075</v>
      </c>
      <c r="N959" t="s">
        <v>8</v>
      </c>
      <c r="O959" s="20">
        <f>630-O960</f>
        <v>450</v>
      </c>
      <c r="P959" t="s">
        <v>30</v>
      </c>
      <c r="Q959" t="s">
        <v>10</v>
      </c>
      <c r="R959" t="s">
        <v>11</v>
      </c>
      <c r="T959" t="s">
        <v>1092</v>
      </c>
      <c r="U959" t="s">
        <v>1105</v>
      </c>
      <c r="V959" s="3">
        <v>1</v>
      </c>
      <c r="W959" t="s">
        <v>1148</v>
      </c>
      <c r="Z959" t="s">
        <v>1149</v>
      </c>
    </row>
    <row r="960" spans="1:26">
      <c r="A960">
        <v>959</v>
      </c>
      <c r="B960" s="37" t="str">
        <f t="shared" si="536"/>
        <v>FT</v>
      </c>
      <c r="C960" s="45" t="str">
        <f>C959</f>
        <v>Frank Kevin Machacuay Yacolca</v>
      </c>
      <c r="D960" s="37">
        <f t="shared" si="537"/>
        <v>20604814694</v>
      </c>
      <c r="E960" s="38">
        <f t="shared" ref="E960:F960" si="543">E959</f>
        <v>73972649</v>
      </c>
      <c r="F960" s="45">
        <f t="shared" si="543"/>
        <v>937372209</v>
      </c>
      <c r="G960" s="37" t="str">
        <f t="shared" si="538"/>
        <v>FT F001-157</v>
      </c>
      <c r="H960" s="37" t="str">
        <f t="shared" ref="H960:J960" si="544">H959</f>
        <v>Ucayali</v>
      </c>
      <c r="I960" s="37" t="str">
        <f t="shared" si="544"/>
        <v>Pucallpa</v>
      </c>
      <c r="J960" s="37" t="str">
        <f t="shared" si="544"/>
        <v>Shalom</v>
      </c>
      <c r="K960" s="1" t="str">
        <f t="shared" si="531"/>
        <v>Estacion Villa Maria del Triunfo</v>
      </c>
      <c r="L960" t="s">
        <v>268</v>
      </c>
      <c r="M960" s="47">
        <v>45075</v>
      </c>
      <c r="N960" t="s">
        <v>8</v>
      </c>
      <c r="O960" s="20">
        <v>180</v>
      </c>
      <c r="P960" t="s">
        <v>30</v>
      </c>
      <c r="Q960" t="s">
        <v>10</v>
      </c>
      <c r="R960" t="s">
        <v>11</v>
      </c>
      <c r="T960" s="18" t="s">
        <v>1151</v>
      </c>
      <c r="U960" s="18" t="s">
        <v>1127</v>
      </c>
      <c r="V960" s="23">
        <v>9</v>
      </c>
      <c r="W960" s="18" t="s">
        <v>1135</v>
      </c>
      <c r="X960" s="18"/>
      <c r="Y960" s="18"/>
      <c r="Z960" s="18" t="s">
        <v>1136</v>
      </c>
    </row>
    <row r="961" spans="1:26">
      <c r="A961">
        <v>960</v>
      </c>
      <c r="B961" s="39" t="str">
        <f t="shared" si="536"/>
        <v>FT</v>
      </c>
      <c r="C961" s="40" t="s">
        <v>1011</v>
      </c>
      <c r="D961" s="39">
        <f t="shared" si="537"/>
        <v>20604814694</v>
      </c>
      <c r="E961" s="42">
        <v>47390883</v>
      </c>
      <c r="F961" s="40">
        <v>926673224</v>
      </c>
      <c r="G961" s="39" t="str">
        <f t="shared" si="538"/>
        <v>FT F001-157</v>
      </c>
      <c r="H961" s="41" t="s">
        <v>1041</v>
      </c>
      <c r="I961" s="41" t="s">
        <v>748</v>
      </c>
      <c r="J961" s="41" t="s">
        <v>1214</v>
      </c>
      <c r="K961" s="47" t="str">
        <f t="shared" si="531"/>
        <v>Estacion Villa Maria del Triunfo</v>
      </c>
      <c r="L961" t="s">
        <v>37</v>
      </c>
      <c r="M961" s="47">
        <v>45075</v>
      </c>
      <c r="N961" t="s">
        <v>8</v>
      </c>
      <c r="O961" s="48">
        <v>320</v>
      </c>
      <c r="P961" t="s">
        <v>1076</v>
      </c>
      <c r="Q961" s="41" t="s">
        <v>31</v>
      </c>
      <c r="R961" t="s">
        <v>22</v>
      </c>
      <c r="T961" t="s">
        <v>1092</v>
      </c>
      <c r="U961" t="s">
        <v>1105</v>
      </c>
      <c r="V961" s="3">
        <v>1</v>
      </c>
      <c r="W961" t="s">
        <v>1148</v>
      </c>
      <c r="Z961" t="s">
        <v>1149</v>
      </c>
    </row>
    <row r="962" spans="1:26">
      <c r="A962">
        <v>962</v>
      </c>
      <c r="B962" s="39" t="str">
        <f t="shared" si="536"/>
        <v>FT</v>
      </c>
      <c r="C962" s="14" t="s">
        <v>1181</v>
      </c>
      <c r="D962" s="37"/>
      <c r="E962" s="38"/>
      <c r="F962" s="14">
        <v>965346596</v>
      </c>
      <c r="G962" s="45"/>
      <c r="H962" t="s">
        <v>4</v>
      </c>
      <c r="I962" t="s">
        <v>364</v>
      </c>
      <c r="J962" s="37"/>
      <c r="K962" t="s">
        <v>364</v>
      </c>
      <c r="L962" t="s">
        <v>268</v>
      </c>
      <c r="M962" s="1">
        <v>45076</v>
      </c>
      <c r="N962" t="s">
        <v>8</v>
      </c>
      <c r="O962" s="20">
        <f>830-O963-O964-O965</f>
        <v>440</v>
      </c>
      <c r="P962" t="s">
        <v>30</v>
      </c>
      <c r="Q962" t="s">
        <v>10</v>
      </c>
      <c r="R962" t="s">
        <v>11</v>
      </c>
      <c r="T962" t="s">
        <v>1092</v>
      </c>
      <c r="U962" t="s">
        <v>1105</v>
      </c>
      <c r="V962" s="3">
        <v>1</v>
      </c>
      <c r="W962" t="s">
        <v>1148</v>
      </c>
      <c r="Z962" t="s">
        <v>1149</v>
      </c>
    </row>
    <row r="963" spans="1:26">
      <c r="A963">
        <v>963</v>
      </c>
      <c r="B963" s="37" t="str">
        <f t="shared" ref="B963:C965" si="545">B962</f>
        <v>FT</v>
      </c>
      <c r="C963" s="45" t="str">
        <f t="shared" si="545"/>
        <v>Gabriel Nacay Hermoza</v>
      </c>
      <c r="D963" s="37"/>
      <c r="E963" s="38"/>
      <c r="F963" s="45">
        <f t="shared" ref="F963:H965" si="546">F962</f>
        <v>965346596</v>
      </c>
      <c r="G963" s="45"/>
      <c r="H963" s="37" t="str">
        <f t="shared" si="546"/>
        <v>Lima</v>
      </c>
      <c r="I963" t="s">
        <v>364</v>
      </c>
      <c r="J963" s="37"/>
      <c r="K963" s="37" t="str">
        <f t="shared" ref="K963:K965" si="547">K962</f>
        <v>San Juan De Lurigancho</v>
      </c>
      <c r="L963" t="s">
        <v>268</v>
      </c>
      <c r="M963" s="1">
        <v>45076</v>
      </c>
      <c r="N963" t="s">
        <v>8</v>
      </c>
      <c r="O963" s="20">
        <v>110</v>
      </c>
      <c r="P963" t="s">
        <v>30</v>
      </c>
      <c r="Q963" t="s">
        <v>10</v>
      </c>
      <c r="R963" t="s">
        <v>11</v>
      </c>
      <c r="T963" t="s">
        <v>1151</v>
      </c>
      <c r="U963" t="s">
        <v>1128</v>
      </c>
      <c r="V963">
        <v>7</v>
      </c>
      <c r="W963" t="s">
        <v>1135</v>
      </c>
      <c r="Z963" t="s">
        <v>1136</v>
      </c>
    </row>
    <row r="964" spans="1:26">
      <c r="A964">
        <v>964</v>
      </c>
      <c r="B964" s="37" t="str">
        <f t="shared" si="545"/>
        <v>FT</v>
      </c>
      <c r="C964" s="45" t="str">
        <f t="shared" si="545"/>
        <v>Gabriel Nacay Hermoza</v>
      </c>
      <c r="D964" s="37"/>
      <c r="E964" s="38"/>
      <c r="F964" s="45">
        <f t="shared" si="546"/>
        <v>965346596</v>
      </c>
      <c r="G964" s="45"/>
      <c r="H964" s="37" t="str">
        <f t="shared" si="546"/>
        <v>Lima</v>
      </c>
      <c r="I964" t="s">
        <v>364</v>
      </c>
      <c r="J964" s="37"/>
      <c r="K964" s="37" t="str">
        <f t="shared" si="547"/>
        <v>San Juan De Lurigancho</v>
      </c>
      <c r="L964" t="s">
        <v>268</v>
      </c>
      <c r="M964" s="1">
        <v>45076</v>
      </c>
      <c r="N964" t="s">
        <v>8</v>
      </c>
      <c r="O964" s="20">
        <v>60</v>
      </c>
      <c r="P964" t="s">
        <v>30</v>
      </c>
      <c r="Q964" t="s">
        <v>10</v>
      </c>
      <c r="R964" t="s">
        <v>11</v>
      </c>
      <c r="T964" t="s">
        <v>1151</v>
      </c>
      <c r="U964" t="s">
        <v>1120</v>
      </c>
      <c r="V964">
        <v>3</v>
      </c>
      <c r="W964" t="s">
        <v>1135</v>
      </c>
      <c r="Z964" t="s">
        <v>1136</v>
      </c>
    </row>
    <row r="965" spans="1:26">
      <c r="A965">
        <v>965</v>
      </c>
      <c r="B965" s="37" t="str">
        <f t="shared" si="545"/>
        <v>FT</v>
      </c>
      <c r="C965" s="45" t="str">
        <f t="shared" si="545"/>
        <v>Gabriel Nacay Hermoza</v>
      </c>
      <c r="D965" s="37"/>
      <c r="E965" s="38"/>
      <c r="F965" s="45">
        <f t="shared" si="546"/>
        <v>965346596</v>
      </c>
      <c r="G965" s="45"/>
      <c r="H965" s="37" t="str">
        <f t="shared" si="546"/>
        <v>Lima</v>
      </c>
      <c r="I965" t="s">
        <v>364</v>
      </c>
      <c r="J965" s="37"/>
      <c r="K965" s="37" t="str">
        <f t="shared" si="547"/>
        <v>San Juan De Lurigancho</v>
      </c>
      <c r="L965" t="s">
        <v>268</v>
      </c>
      <c r="M965" s="1">
        <v>45076</v>
      </c>
      <c r="N965" t="s">
        <v>8</v>
      </c>
      <c r="O965" s="20">
        <v>220</v>
      </c>
      <c r="P965" t="s">
        <v>30</v>
      </c>
      <c r="Q965" t="s">
        <v>10</v>
      </c>
      <c r="R965" t="s">
        <v>11</v>
      </c>
      <c r="T965" t="s">
        <v>1092</v>
      </c>
      <c r="U965" t="s">
        <v>1106</v>
      </c>
      <c r="V965" s="3">
        <v>1</v>
      </c>
      <c r="W965" t="s">
        <v>1139</v>
      </c>
      <c r="Z965" t="s">
        <v>1138</v>
      </c>
    </row>
    <row r="966" spans="1:26" s="26" customFormat="1">
      <c r="A966">
        <v>966</v>
      </c>
      <c r="B966" s="50" t="s">
        <v>12</v>
      </c>
      <c r="C966" s="26" t="s">
        <v>340</v>
      </c>
      <c r="D966" s="50"/>
      <c r="E966" s="26">
        <v>20606086459</v>
      </c>
      <c r="F966" s="51">
        <v>913004278</v>
      </c>
      <c r="G966" s="28" t="s">
        <v>1211</v>
      </c>
      <c r="H966" s="28" t="s">
        <v>4</v>
      </c>
      <c r="I966" s="26" t="s">
        <v>244</v>
      </c>
      <c r="J966" s="50">
        <f t="shared" ref="J966" si="548">J965</f>
        <v>0</v>
      </c>
      <c r="K966" s="26" t="s">
        <v>1212</v>
      </c>
      <c r="L966" s="26" t="s">
        <v>268</v>
      </c>
      <c r="M966" s="27">
        <v>45077</v>
      </c>
      <c r="N966" t="s">
        <v>8</v>
      </c>
      <c r="O966" s="53">
        <f>165*11</f>
        <v>1815</v>
      </c>
      <c r="P966" t="s">
        <v>30</v>
      </c>
      <c r="Q966" s="26" t="s">
        <v>10</v>
      </c>
      <c r="R966" s="26" t="s">
        <v>22</v>
      </c>
      <c r="T966" t="s">
        <v>1082</v>
      </c>
      <c r="U966" t="s">
        <v>1099</v>
      </c>
      <c r="V966" s="3">
        <v>11</v>
      </c>
      <c r="W966" t="s">
        <v>1146</v>
      </c>
      <c r="X966"/>
      <c r="Y966"/>
      <c r="Z966" t="s">
        <v>1143</v>
      </c>
    </row>
    <row r="967" spans="1:26">
      <c r="A967">
        <v>967</v>
      </c>
      <c r="B967" s="39" t="str">
        <f t="shared" ref="B967:B971" si="549">B966</f>
        <v>FT</v>
      </c>
      <c r="C967" s="40" t="s">
        <v>1011</v>
      </c>
      <c r="D967" s="39"/>
      <c r="E967" s="42">
        <v>47390883</v>
      </c>
      <c r="F967" s="40">
        <v>926673224</v>
      </c>
      <c r="G967" s="39" t="str">
        <f t="shared" ref="G967:G971" si="550">G966</f>
        <v>FT F001-158</v>
      </c>
      <c r="H967" s="41" t="s">
        <v>973</v>
      </c>
      <c r="I967" s="39" t="str">
        <f>I966</f>
        <v>Comas</v>
      </c>
      <c r="J967" s="41" t="s">
        <v>147</v>
      </c>
      <c r="K967" s="39" t="str">
        <f t="shared" ref="K967:K972" si="551">K966</f>
        <v>Estacion Naranjal Metropolitano</v>
      </c>
      <c r="L967" t="s">
        <v>268</v>
      </c>
      <c r="M967" s="47">
        <v>45077</v>
      </c>
      <c r="N967" t="s">
        <v>8</v>
      </c>
      <c r="O967" s="48">
        <v>380</v>
      </c>
      <c r="P967" t="s">
        <v>9</v>
      </c>
      <c r="Q967" s="41" t="s">
        <v>10</v>
      </c>
      <c r="R967" s="26" t="s">
        <v>22</v>
      </c>
      <c r="T967" t="s">
        <v>1092</v>
      </c>
      <c r="U967" t="s">
        <v>1096</v>
      </c>
      <c r="V967" s="3">
        <v>2</v>
      </c>
      <c r="W967" t="s">
        <v>1148</v>
      </c>
      <c r="Z967" t="s">
        <v>1149</v>
      </c>
    </row>
    <row r="968" spans="1:26">
      <c r="A968">
        <v>968</v>
      </c>
      <c r="B968" s="39" t="str">
        <f t="shared" si="549"/>
        <v>FT</v>
      </c>
      <c r="C968" s="43" t="str">
        <f>C967</f>
        <v>Junior Rafael Mora Leon</v>
      </c>
      <c r="D968" s="39"/>
      <c r="E968" s="42">
        <f t="shared" ref="E968:F968" si="552">E967</f>
        <v>47390883</v>
      </c>
      <c r="F968" s="43">
        <f t="shared" si="552"/>
        <v>926673224</v>
      </c>
      <c r="G968" s="39" t="str">
        <f t="shared" si="550"/>
        <v>FT F001-158</v>
      </c>
      <c r="H968" s="39" t="str">
        <f t="shared" ref="H968:J968" si="553">H967</f>
        <v>Cuzco</v>
      </c>
      <c r="I968" s="39" t="str">
        <f t="shared" si="553"/>
        <v>Comas</v>
      </c>
      <c r="J968" s="39" t="str">
        <f t="shared" si="553"/>
        <v>Marvisur</v>
      </c>
      <c r="K968" s="39" t="str">
        <f t="shared" si="551"/>
        <v>Estacion Naranjal Metropolitano</v>
      </c>
      <c r="L968" t="s">
        <v>268</v>
      </c>
      <c r="M968" s="47">
        <v>45077</v>
      </c>
      <c r="N968" t="s">
        <v>8</v>
      </c>
      <c r="O968" s="48">
        <v>10</v>
      </c>
      <c r="P968" t="s">
        <v>9</v>
      </c>
      <c r="Q968" s="41" t="s">
        <v>10</v>
      </c>
      <c r="R968" s="26" t="s">
        <v>22</v>
      </c>
      <c r="T968" t="s">
        <v>1134</v>
      </c>
      <c r="U968" t="s">
        <v>1115</v>
      </c>
      <c r="V968" s="3">
        <v>5</v>
      </c>
      <c r="W968" t="s">
        <v>1137</v>
      </c>
      <c r="Z968" t="s">
        <v>1131</v>
      </c>
    </row>
    <row r="969" spans="1:26">
      <c r="A969">
        <v>969</v>
      </c>
      <c r="B969" s="37" t="str">
        <f t="shared" si="549"/>
        <v>FT</v>
      </c>
      <c r="C969" s="14" t="s">
        <v>1182</v>
      </c>
      <c r="D969" s="37"/>
      <c r="E969" s="38">
        <v>47774387</v>
      </c>
      <c r="F969" s="14">
        <v>967370828</v>
      </c>
      <c r="G969" s="37" t="str">
        <f t="shared" si="550"/>
        <v>FT F001-158</v>
      </c>
      <c r="H969" t="s">
        <v>65</v>
      </c>
      <c r="I969" t="s">
        <v>774</v>
      </c>
      <c r="J969" t="s">
        <v>118</v>
      </c>
      <c r="K969" s="37" t="str">
        <f t="shared" si="551"/>
        <v>Estacion Naranjal Metropolitano</v>
      </c>
      <c r="L969" t="s">
        <v>37</v>
      </c>
      <c r="M969" s="1">
        <v>45077</v>
      </c>
      <c r="N969" t="s">
        <v>56</v>
      </c>
      <c r="O969" s="20">
        <v>185</v>
      </c>
      <c r="P969" t="s">
        <v>234</v>
      </c>
      <c r="Q969" s="41" t="s">
        <v>10</v>
      </c>
      <c r="R969" t="s">
        <v>11</v>
      </c>
      <c r="T969" t="s">
        <v>1082</v>
      </c>
      <c r="U969" t="s">
        <v>1099</v>
      </c>
      <c r="V969" s="3">
        <v>1</v>
      </c>
      <c r="W969" t="s">
        <v>1146</v>
      </c>
      <c r="Z969" t="s">
        <v>1143</v>
      </c>
    </row>
    <row r="970" spans="1:26">
      <c r="A970">
        <v>970</v>
      </c>
      <c r="B970" s="37" t="str">
        <f t="shared" si="549"/>
        <v>FT</v>
      </c>
      <c r="C970" s="45" t="str">
        <f>C969</f>
        <v>Erica Gricelda Meca Rios</v>
      </c>
      <c r="D970" s="37"/>
      <c r="E970" s="38">
        <f t="shared" ref="E970:F970" si="554">E969</f>
        <v>47774387</v>
      </c>
      <c r="F970" s="45">
        <f t="shared" si="554"/>
        <v>967370828</v>
      </c>
      <c r="G970" s="37" t="str">
        <f t="shared" si="550"/>
        <v>FT F001-158</v>
      </c>
      <c r="H970" s="37" t="str">
        <f>H969</f>
        <v>Ica</v>
      </c>
      <c r="I970" s="37" t="str">
        <f t="shared" ref="I970:I971" si="555">I969</f>
        <v>Chincha</v>
      </c>
      <c r="J970" s="37" t="str">
        <f>J969</f>
        <v>Soyuz</v>
      </c>
      <c r="K970" s="37" t="str">
        <f t="shared" si="551"/>
        <v>Estacion Naranjal Metropolitano</v>
      </c>
      <c r="L970" t="s">
        <v>37</v>
      </c>
      <c r="M970" s="47">
        <v>45077</v>
      </c>
      <c r="N970" t="s">
        <v>56</v>
      </c>
      <c r="O970" s="20">
        <v>14.99</v>
      </c>
      <c r="P970" t="s">
        <v>234</v>
      </c>
      <c r="Q970" s="41" t="s">
        <v>10</v>
      </c>
      <c r="R970" t="s">
        <v>11</v>
      </c>
      <c r="T970" t="s">
        <v>1134</v>
      </c>
      <c r="U970" t="s">
        <v>1116</v>
      </c>
      <c r="V970">
        <v>10</v>
      </c>
      <c r="W970" t="s">
        <v>1137</v>
      </c>
      <c r="Z970" t="s">
        <v>1131</v>
      </c>
    </row>
    <row r="971" spans="1:26">
      <c r="A971">
        <v>971</v>
      </c>
      <c r="B971" s="37" t="str">
        <f t="shared" si="549"/>
        <v>FT</v>
      </c>
      <c r="C971" s="14" t="s">
        <v>1183</v>
      </c>
      <c r="D971" s="37"/>
      <c r="E971" s="38">
        <v>70428295</v>
      </c>
      <c r="F971" s="14">
        <v>913055496</v>
      </c>
      <c r="G971" s="37" t="str">
        <f t="shared" si="550"/>
        <v>FT F001-158</v>
      </c>
      <c r="H971" t="s">
        <v>89</v>
      </c>
      <c r="I971" s="37" t="str">
        <f t="shared" si="555"/>
        <v>Chincha</v>
      </c>
      <c r="J971" t="s">
        <v>29</v>
      </c>
      <c r="K971" s="37" t="str">
        <f t="shared" si="551"/>
        <v>Estacion Naranjal Metropolitano</v>
      </c>
      <c r="L971" t="s">
        <v>37</v>
      </c>
      <c r="M971" s="1">
        <v>45077</v>
      </c>
      <c r="N971" t="s">
        <v>8</v>
      </c>
      <c r="O971" s="20">
        <v>390</v>
      </c>
      <c r="P971" t="s">
        <v>1076</v>
      </c>
      <c r="Q971" s="41" t="s">
        <v>10</v>
      </c>
      <c r="R971" t="s">
        <v>11</v>
      </c>
      <c r="T971" t="s">
        <v>1092</v>
      </c>
      <c r="U971" t="s">
        <v>1093</v>
      </c>
      <c r="V971" s="3">
        <v>1</v>
      </c>
      <c r="W971" t="s">
        <v>1148</v>
      </c>
      <c r="Z971" t="s">
        <v>1149</v>
      </c>
    </row>
    <row r="972" spans="1:26">
      <c r="A972">
        <v>972</v>
      </c>
      <c r="B972" s="37" t="str">
        <f t="shared" ref="B972:C972" si="556">B971</f>
        <v>FT</v>
      </c>
      <c r="C972" s="45" t="str">
        <f t="shared" si="556"/>
        <v>Juan Neil Velasque Bendezú</v>
      </c>
      <c r="D972" s="37"/>
      <c r="E972" s="38">
        <f t="shared" ref="E972:E973" si="557">E971</f>
        <v>70428295</v>
      </c>
      <c r="F972" s="45">
        <f t="shared" ref="F972:I972" si="558">F971</f>
        <v>913055496</v>
      </c>
      <c r="G972" s="37" t="str">
        <f t="shared" si="558"/>
        <v>FT F001-158</v>
      </c>
      <c r="H972" s="37" t="str">
        <f t="shared" si="558"/>
        <v>Ayacucho</v>
      </c>
      <c r="I972" s="37" t="str">
        <f t="shared" si="558"/>
        <v>Chincha</v>
      </c>
      <c r="J972" s="37" t="str">
        <f t="shared" ref="J972:J973" si="559">J971</f>
        <v>Shalom</v>
      </c>
      <c r="K972" s="37" t="str">
        <f t="shared" si="551"/>
        <v>Estacion Naranjal Metropolitano</v>
      </c>
      <c r="L972" t="s">
        <v>37</v>
      </c>
      <c r="M972" s="47">
        <v>45077</v>
      </c>
      <c r="N972" t="s">
        <v>8</v>
      </c>
      <c r="O972" s="20">
        <v>120</v>
      </c>
      <c r="P972" t="s">
        <v>1076</v>
      </c>
      <c r="Q972" s="41" t="s">
        <v>10</v>
      </c>
      <c r="R972" t="s">
        <v>11</v>
      </c>
      <c r="T972" t="s">
        <v>1133</v>
      </c>
      <c r="U972" t="s">
        <v>1114</v>
      </c>
      <c r="V972" s="3">
        <v>20</v>
      </c>
      <c r="W972" t="s">
        <v>1132</v>
      </c>
      <c r="Z972" t="s">
        <v>1131</v>
      </c>
    </row>
    <row r="973" spans="1:26" s="26" customFormat="1">
      <c r="A973">
        <v>973</v>
      </c>
      <c r="B973" s="50" t="s">
        <v>12</v>
      </c>
      <c r="C973" s="51" t="s">
        <v>1014</v>
      </c>
      <c r="D973" s="26">
        <v>20543298655</v>
      </c>
      <c r="E973" s="52">
        <f t="shared" si="557"/>
        <v>70428295</v>
      </c>
      <c r="F973" s="51">
        <v>955365688</v>
      </c>
      <c r="G973" s="28" t="s">
        <v>1213</v>
      </c>
      <c r="H973" s="28" t="s">
        <v>1216</v>
      </c>
      <c r="I973" s="26" t="s">
        <v>400</v>
      </c>
      <c r="J973" s="50" t="str">
        <f t="shared" si="559"/>
        <v>Shalom</v>
      </c>
      <c r="K973" s="26" t="s">
        <v>400</v>
      </c>
      <c r="L973" s="26" t="s">
        <v>268</v>
      </c>
      <c r="M973" s="27">
        <v>45077</v>
      </c>
      <c r="N973" s="26" t="s">
        <v>21</v>
      </c>
      <c r="O973" s="53">
        <v>100</v>
      </c>
      <c r="P973" t="s">
        <v>30</v>
      </c>
      <c r="Q973" s="41" t="s">
        <v>10</v>
      </c>
      <c r="R973" s="26" t="s">
        <v>22</v>
      </c>
      <c r="T973" t="s">
        <v>1151</v>
      </c>
      <c r="U973" t="s">
        <v>1123</v>
      </c>
      <c r="V973" s="3">
        <v>2</v>
      </c>
      <c r="W973" t="s">
        <v>1135</v>
      </c>
      <c r="X973" s="9"/>
      <c r="Y973" s="9"/>
      <c r="Z973" t="s">
        <v>1136</v>
      </c>
    </row>
    <row r="976" spans="1:26">
      <c r="U976" s="3"/>
      <c r="V976"/>
      <c r="W976" s="9"/>
      <c r="X976" s="9"/>
    </row>
    <row r="977" spans="21:24">
      <c r="U977" s="3"/>
      <c r="V977"/>
      <c r="W977" s="9"/>
      <c r="X977" s="9"/>
    </row>
  </sheetData>
  <phoneticPr fontId="18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3BA27-52CF-4F63-81B0-6D517DD622D8}">
  <sheetPr>
    <tabColor rgb="FF00B0F0"/>
  </sheetPr>
  <dimension ref="A1:AL723"/>
  <sheetViews>
    <sheetView tabSelected="1" workbookViewId="0">
      <pane xSplit="5" ySplit="1" topLeftCell="N2" activePane="bottomRight" state="frozen"/>
      <selection pane="topRight" activeCell="C1" sqref="C1"/>
      <selection pane="bottomLeft" activeCell="A4" sqref="A4"/>
      <selection pane="bottomRight" activeCell="T1" sqref="T1:T1048576"/>
    </sheetView>
  </sheetViews>
  <sheetFormatPr baseColWidth="10" defaultRowHeight="14.6"/>
  <cols>
    <col min="1" max="1" width="7.15234375" style="37" bestFit="1" customWidth="1"/>
    <col min="2" max="2" width="6" style="37" bestFit="1" customWidth="1"/>
    <col min="3" max="3" width="18.69140625" bestFit="1" customWidth="1"/>
    <col min="4" max="4" width="18.69140625" customWidth="1"/>
    <col min="5" max="5" width="12" bestFit="1" customWidth="1"/>
    <col min="6" max="6" width="19.23046875" customWidth="1"/>
    <col min="7" max="7" width="7.53515625" customWidth="1"/>
    <col min="9" max="9" width="9.84375" customWidth="1"/>
    <col min="10" max="10" width="8.921875" customWidth="1"/>
    <col min="11" max="11" width="12.53515625" customWidth="1"/>
    <col min="12" max="12" width="253.61328125" bestFit="1" customWidth="1"/>
    <col min="14" max="14" width="11.53515625" bestFit="1" customWidth="1"/>
    <col min="16" max="16" width="3.3828125" customWidth="1"/>
    <col min="20" max="20" width="11.07421875" style="114"/>
  </cols>
  <sheetData>
    <row r="1" spans="1:26">
      <c r="A1" t="s">
        <v>1022</v>
      </c>
      <c r="B1" t="s">
        <v>60</v>
      </c>
      <c r="C1" t="s">
        <v>1023</v>
      </c>
      <c r="D1" t="s">
        <v>1024</v>
      </c>
      <c r="E1" t="s">
        <v>1025</v>
      </c>
      <c r="F1" t="s">
        <v>1026</v>
      </c>
      <c r="G1" t="s">
        <v>1027</v>
      </c>
      <c r="H1" t="s">
        <v>1028</v>
      </c>
      <c r="I1" t="s">
        <v>1030</v>
      </c>
      <c r="J1" t="s">
        <v>1031</v>
      </c>
      <c r="K1" t="s">
        <v>1033</v>
      </c>
      <c r="L1" t="s">
        <v>1034</v>
      </c>
      <c r="M1" t="s">
        <v>1035</v>
      </c>
      <c r="N1" t="s">
        <v>1036</v>
      </c>
      <c r="O1" t="s">
        <v>1037</v>
      </c>
      <c r="P1" t="s">
        <v>1038</v>
      </c>
      <c r="Q1" t="s">
        <v>1039</v>
      </c>
      <c r="R1" t="s">
        <v>1040</v>
      </c>
      <c r="S1" t="s">
        <v>1810</v>
      </c>
      <c r="T1" s="114" t="s">
        <v>1809</v>
      </c>
      <c r="U1" t="s">
        <v>1808</v>
      </c>
      <c r="V1" t="s">
        <v>1807</v>
      </c>
      <c r="Z1" t="s">
        <v>1806</v>
      </c>
    </row>
    <row r="2" spans="1:26" ht="15" customHeight="1">
      <c r="A2" s="37">
        <v>10</v>
      </c>
      <c r="B2" s="37" t="s">
        <v>0</v>
      </c>
      <c r="C2" t="s">
        <v>1</v>
      </c>
      <c r="F2">
        <v>912672415</v>
      </c>
      <c r="G2" t="s">
        <v>3</v>
      </c>
      <c r="J2" t="s">
        <v>6</v>
      </c>
      <c r="K2" s="1">
        <v>44674</v>
      </c>
      <c r="L2" t="s">
        <v>1803</v>
      </c>
      <c r="M2" t="s">
        <v>8</v>
      </c>
      <c r="N2" s="20">
        <v>200</v>
      </c>
      <c r="P2" t="s">
        <v>10</v>
      </c>
      <c r="Q2" t="s">
        <v>11</v>
      </c>
      <c r="T2" s="114">
        <f>110+15</f>
        <v>125</v>
      </c>
      <c r="U2" s="20">
        <f>N2-T2</f>
        <v>75</v>
      </c>
      <c r="V2" s="61">
        <f>U2/T2*100</f>
        <v>60</v>
      </c>
    </row>
    <row r="3" spans="1:26" ht="15" customHeight="1">
      <c r="A3" s="39">
        <v>1</v>
      </c>
      <c r="B3" s="39" t="s">
        <v>12</v>
      </c>
      <c r="C3" s="41" t="s">
        <v>13</v>
      </c>
      <c r="D3" s="41"/>
      <c r="E3" s="41">
        <v>20608133161</v>
      </c>
      <c r="F3" s="40">
        <v>926767316</v>
      </c>
      <c r="G3" s="41" t="s">
        <v>14</v>
      </c>
      <c r="H3" s="41"/>
      <c r="I3" s="41"/>
      <c r="J3" s="41" t="s">
        <v>16</v>
      </c>
      <c r="K3" s="47">
        <v>44679</v>
      </c>
      <c r="L3" s="41" t="s">
        <v>1803</v>
      </c>
      <c r="M3" s="41" t="s">
        <v>8</v>
      </c>
      <c r="N3" s="48">
        <v>190</v>
      </c>
      <c r="O3" s="41" t="s">
        <v>1292</v>
      </c>
      <c r="P3" s="41" t="s">
        <v>31</v>
      </c>
      <c r="Q3" s="41" t="s">
        <v>11</v>
      </c>
      <c r="R3" s="41"/>
      <c r="S3" s="41"/>
      <c r="T3" s="117">
        <v>160</v>
      </c>
      <c r="U3" s="48">
        <f>N3-T3</f>
        <v>30</v>
      </c>
      <c r="V3" s="68">
        <f>U3/T3*100</f>
        <v>18.75</v>
      </c>
    </row>
    <row r="4" spans="1:26" ht="15" customHeight="1">
      <c r="A4" s="37">
        <v>9</v>
      </c>
      <c r="B4" s="37" t="s">
        <v>0</v>
      </c>
      <c r="C4" t="s">
        <v>17</v>
      </c>
      <c r="F4">
        <v>946289484</v>
      </c>
      <c r="G4" t="s">
        <v>18</v>
      </c>
      <c r="J4" t="s">
        <v>20</v>
      </c>
      <c r="K4" s="1">
        <v>44682</v>
      </c>
      <c r="L4" t="s">
        <v>1803</v>
      </c>
      <c r="M4" t="s">
        <v>21</v>
      </c>
      <c r="N4" s="20">
        <v>200</v>
      </c>
      <c r="P4" t="s">
        <v>10</v>
      </c>
      <c r="Q4" t="s">
        <v>22</v>
      </c>
      <c r="T4" s="114">
        <f>110+15</f>
        <v>125</v>
      </c>
      <c r="U4" s="20">
        <f>N4-T4</f>
        <v>75</v>
      </c>
      <c r="V4" s="61">
        <f>U4/T4*100</f>
        <v>60</v>
      </c>
    </row>
    <row r="5" spans="1:26" ht="15" customHeight="1">
      <c r="A5" s="37">
        <v>11</v>
      </c>
      <c r="B5" s="37" t="s">
        <v>23</v>
      </c>
      <c r="C5" t="s">
        <v>537</v>
      </c>
      <c r="J5" t="s">
        <v>1805</v>
      </c>
      <c r="K5" s="1">
        <v>44682</v>
      </c>
      <c r="L5" t="s">
        <v>1803</v>
      </c>
      <c r="M5" t="s">
        <v>21</v>
      </c>
      <c r="N5" s="20">
        <v>200</v>
      </c>
      <c r="P5" t="s">
        <v>10</v>
      </c>
      <c r="Q5" t="s">
        <v>22</v>
      </c>
      <c r="T5" s="114">
        <f>110+15</f>
        <v>125</v>
      </c>
      <c r="U5" s="20">
        <f>N5-T5</f>
        <v>75</v>
      </c>
      <c r="V5" s="61">
        <f>U5/T5*100</f>
        <v>60</v>
      </c>
    </row>
    <row r="6" spans="1:26" ht="15" customHeight="1">
      <c r="A6" s="39">
        <v>8</v>
      </c>
      <c r="B6" s="39" t="s">
        <v>0</v>
      </c>
      <c r="C6" s="41" t="s">
        <v>26</v>
      </c>
      <c r="D6" s="41"/>
      <c r="E6" s="41">
        <v>71719102</v>
      </c>
      <c r="F6" s="41">
        <v>955181806</v>
      </c>
      <c r="G6" s="41" t="s">
        <v>27</v>
      </c>
      <c r="H6" s="41" t="s">
        <v>28</v>
      </c>
      <c r="I6" s="41" t="s">
        <v>29</v>
      </c>
      <c r="J6" s="41"/>
      <c r="K6" s="47">
        <v>44693</v>
      </c>
      <c r="L6" s="41" t="s">
        <v>1804</v>
      </c>
      <c r="M6" s="41" t="s">
        <v>8</v>
      </c>
      <c r="N6" s="48">
        <v>600</v>
      </c>
      <c r="O6" s="41"/>
      <c r="P6" s="41" t="s">
        <v>31</v>
      </c>
      <c r="Q6" s="41" t="s">
        <v>22</v>
      </c>
      <c r="T6" s="114">
        <f>3*110</f>
        <v>330</v>
      </c>
      <c r="U6" s="20">
        <f>N6-T6</f>
        <v>270</v>
      </c>
      <c r="V6" s="61">
        <f>U6/T6*100</f>
        <v>81.818181818181827</v>
      </c>
    </row>
    <row r="7" spans="1:26" ht="15" customHeight="1">
      <c r="A7" s="37">
        <v>7</v>
      </c>
      <c r="B7" s="37" t="s">
        <v>0</v>
      </c>
      <c r="C7" t="s">
        <v>32</v>
      </c>
      <c r="F7">
        <v>949365755</v>
      </c>
      <c r="G7" t="s">
        <v>33</v>
      </c>
      <c r="J7" t="s">
        <v>16</v>
      </c>
      <c r="K7" s="1">
        <v>44705</v>
      </c>
      <c r="L7" t="s">
        <v>1765</v>
      </c>
      <c r="M7" t="s">
        <v>21</v>
      </c>
      <c r="N7" s="20">
        <v>200</v>
      </c>
      <c r="O7" t="s">
        <v>1597</v>
      </c>
      <c r="P7" t="s">
        <v>10</v>
      </c>
      <c r="Q7" t="s">
        <v>11</v>
      </c>
      <c r="T7" s="114">
        <f>110+15</f>
        <v>125</v>
      </c>
      <c r="U7" s="20">
        <f>N7-T7</f>
        <v>75</v>
      </c>
      <c r="V7" s="61">
        <f>U7/T7*100</f>
        <v>60</v>
      </c>
    </row>
    <row r="8" spans="1:26" ht="15" customHeight="1">
      <c r="A8" s="37">
        <v>6</v>
      </c>
      <c r="B8" s="37" t="s">
        <v>0</v>
      </c>
      <c r="C8" t="s">
        <v>34</v>
      </c>
      <c r="E8">
        <v>72477960</v>
      </c>
      <c r="F8">
        <v>931310189</v>
      </c>
      <c r="G8" t="s">
        <v>35</v>
      </c>
      <c r="H8" t="s">
        <v>36</v>
      </c>
      <c r="I8" t="s">
        <v>29</v>
      </c>
      <c r="K8" s="1">
        <v>44707</v>
      </c>
      <c r="L8" t="s">
        <v>1765</v>
      </c>
      <c r="M8" t="s">
        <v>38</v>
      </c>
      <c r="N8" s="20">
        <v>200</v>
      </c>
      <c r="O8" t="s">
        <v>1764</v>
      </c>
      <c r="P8" t="s">
        <v>10</v>
      </c>
      <c r="Q8" t="s">
        <v>11</v>
      </c>
      <c r="T8" s="114">
        <f>110+15</f>
        <v>125</v>
      </c>
      <c r="U8" s="20">
        <f>N8-T8</f>
        <v>75</v>
      </c>
      <c r="V8" s="61">
        <f>U8/T8*100</f>
        <v>60</v>
      </c>
    </row>
    <row r="9" spans="1:26" ht="15" customHeight="1">
      <c r="A9" s="37">
        <v>5</v>
      </c>
      <c r="B9" s="37" t="s">
        <v>0</v>
      </c>
      <c r="C9" t="s">
        <v>39</v>
      </c>
      <c r="E9">
        <v>44611313</v>
      </c>
      <c r="F9">
        <v>949463540</v>
      </c>
      <c r="G9" t="s">
        <v>40</v>
      </c>
      <c r="H9" t="s">
        <v>41</v>
      </c>
      <c r="I9" t="s">
        <v>29</v>
      </c>
      <c r="K9" s="1">
        <v>44709</v>
      </c>
      <c r="L9" t="s">
        <v>1803</v>
      </c>
      <c r="M9" t="s">
        <v>8</v>
      </c>
      <c r="N9" s="20">
        <v>200</v>
      </c>
      <c r="O9" t="s">
        <v>1802</v>
      </c>
      <c r="P9" t="s">
        <v>10</v>
      </c>
      <c r="Q9" t="s">
        <v>11</v>
      </c>
      <c r="R9">
        <v>10</v>
      </c>
      <c r="T9" s="114">
        <f>110+15</f>
        <v>125</v>
      </c>
      <c r="U9" s="20">
        <f>N9-T9</f>
        <v>75</v>
      </c>
      <c r="V9" s="61">
        <f>U9/T9*100</f>
        <v>60</v>
      </c>
    </row>
    <row r="10" spans="1:26" ht="15" customHeight="1">
      <c r="A10" s="37">
        <v>3</v>
      </c>
      <c r="B10" s="37" t="s">
        <v>12</v>
      </c>
      <c r="C10" t="s">
        <v>42</v>
      </c>
      <c r="E10">
        <v>10741648828</v>
      </c>
      <c r="F10">
        <v>916455992</v>
      </c>
      <c r="G10" t="s">
        <v>43</v>
      </c>
      <c r="H10" t="s">
        <v>44</v>
      </c>
      <c r="I10" t="s">
        <v>1801</v>
      </c>
      <c r="K10" s="1">
        <v>44711</v>
      </c>
      <c r="L10" t="s">
        <v>1765</v>
      </c>
      <c r="M10" t="s">
        <v>38</v>
      </c>
      <c r="N10" s="20">
        <v>223</v>
      </c>
      <c r="O10" t="s">
        <v>1800</v>
      </c>
      <c r="P10" t="s">
        <v>10</v>
      </c>
      <c r="Q10" t="s">
        <v>11</v>
      </c>
      <c r="T10" s="114">
        <f>110+12</f>
        <v>122</v>
      </c>
      <c r="U10" s="20">
        <f>N10-T10</f>
        <v>101</v>
      </c>
      <c r="V10" s="61">
        <f>U10/T10*100</f>
        <v>82.786885245901644</v>
      </c>
    </row>
    <row r="11" spans="1:26" ht="15" customHeight="1">
      <c r="A11" s="37">
        <v>2</v>
      </c>
      <c r="B11" s="37" t="s">
        <v>12</v>
      </c>
      <c r="C11" t="s">
        <v>46</v>
      </c>
      <c r="E11">
        <v>10013232046</v>
      </c>
      <c r="F11">
        <v>951501949</v>
      </c>
      <c r="G11" t="s">
        <v>47</v>
      </c>
      <c r="H11" t="s">
        <v>48</v>
      </c>
      <c r="I11" t="s">
        <v>29</v>
      </c>
      <c r="K11" s="1">
        <v>44712</v>
      </c>
      <c r="L11" t="s">
        <v>1799</v>
      </c>
      <c r="M11" t="s">
        <v>8</v>
      </c>
      <c r="N11" s="20">
        <v>350</v>
      </c>
      <c r="O11" t="s">
        <v>1798</v>
      </c>
      <c r="P11" t="s">
        <v>10</v>
      </c>
      <c r="Q11" t="s">
        <v>11</v>
      </c>
      <c r="T11" s="114">
        <f>190+15</f>
        <v>205</v>
      </c>
      <c r="U11" s="20">
        <f>N11-T11</f>
        <v>145</v>
      </c>
      <c r="V11" s="61">
        <f>U11/T11*100</f>
        <v>70.731707317073173</v>
      </c>
    </row>
    <row r="12" spans="1:26" ht="15" customHeight="1">
      <c r="A12" s="37">
        <v>4</v>
      </c>
      <c r="B12" s="37" t="s">
        <v>0</v>
      </c>
      <c r="C12" t="s">
        <v>49</v>
      </c>
      <c r="E12">
        <v>44867411</v>
      </c>
      <c r="F12">
        <v>934546787</v>
      </c>
      <c r="G12" t="s">
        <v>50</v>
      </c>
      <c r="H12" t="s">
        <v>51</v>
      </c>
      <c r="I12" t="s">
        <v>29</v>
      </c>
      <c r="K12" s="1">
        <v>44713</v>
      </c>
      <c r="L12" t="s">
        <v>1765</v>
      </c>
      <c r="M12" t="s">
        <v>8</v>
      </c>
      <c r="N12" s="20">
        <v>220</v>
      </c>
      <c r="P12" t="s">
        <v>10</v>
      </c>
      <c r="Q12" t="s">
        <v>11</v>
      </c>
      <c r="T12" s="114">
        <f>110+12</f>
        <v>122</v>
      </c>
      <c r="U12" s="20">
        <f>N12-T12</f>
        <v>98</v>
      </c>
      <c r="V12" s="61">
        <f>U12/T12*100</f>
        <v>80.327868852459019</v>
      </c>
    </row>
    <row r="13" spans="1:26" ht="15" customHeight="1">
      <c r="A13" s="39">
        <v>12</v>
      </c>
      <c r="B13" s="39" t="s">
        <v>12</v>
      </c>
      <c r="C13" s="41" t="s">
        <v>53</v>
      </c>
      <c r="D13" s="41"/>
      <c r="E13" s="41">
        <v>10432482419</v>
      </c>
      <c r="F13" s="41">
        <v>945128886</v>
      </c>
      <c r="G13" s="41" t="s">
        <v>54</v>
      </c>
      <c r="H13" s="41" t="s">
        <v>55</v>
      </c>
      <c r="I13" s="41" t="s">
        <v>29</v>
      </c>
      <c r="J13" s="41"/>
      <c r="K13" s="47">
        <v>44713</v>
      </c>
      <c r="L13" s="41" t="s">
        <v>1797</v>
      </c>
      <c r="M13" s="41" t="s">
        <v>56</v>
      </c>
      <c r="N13" s="48">
        <v>1500</v>
      </c>
      <c r="O13" s="41" t="s">
        <v>1760</v>
      </c>
      <c r="P13" s="41" t="s">
        <v>31</v>
      </c>
      <c r="Q13" s="41" t="s">
        <v>11</v>
      </c>
      <c r="R13" s="41" t="s">
        <v>1759</v>
      </c>
      <c r="T13" s="114">
        <f>210*5</f>
        <v>1050</v>
      </c>
      <c r="U13" s="20">
        <f>N13-T13</f>
        <v>450</v>
      </c>
      <c r="V13" s="61">
        <f>U13/T13*100</f>
        <v>42.857142857142854</v>
      </c>
    </row>
    <row r="14" spans="1:26" ht="15" customHeight="1">
      <c r="A14" s="37">
        <v>13</v>
      </c>
      <c r="B14" s="37" t="s">
        <v>23</v>
      </c>
      <c r="C14" t="s">
        <v>57</v>
      </c>
      <c r="F14">
        <v>960292552</v>
      </c>
      <c r="J14" t="s">
        <v>59</v>
      </c>
      <c r="K14" s="1">
        <v>44714</v>
      </c>
      <c r="L14" t="s">
        <v>1796</v>
      </c>
      <c r="M14" t="s">
        <v>21</v>
      </c>
      <c r="N14" s="20">
        <v>330</v>
      </c>
      <c r="O14" t="s">
        <v>1707</v>
      </c>
      <c r="P14" t="s">
        <v>10</v>
      </c>
      <c r="Q14" t="s">
        <v>11</v>
      </c>
      <c r="T14" s="114">
        <f>210+15</f>
        <v>225</v>
      </c>
      <c r="U14" s="20">
        <f>N14-T14</f>
        <v>105</v>
      </c>
      <c r="V14" s="61">
        <f>U14/T14*100</f>
        <v>46.666666666666664</v>
      </c>
    </row>
    <row r="15" spans="1:26" ht="15" customHeight="1">
      <c r="A15" s="39">
        <v>14</v>
      </c>
      <c r="B15" s="39" t="s">
        <v>60</v>
      </c>
      <c r="C15" s="41" t="s">
        <v>61</v>
      </c>
      <c r="D15" s="41"/>
      <c r="E15" s="41"/>
      <c r="F15" s="41">
        <v>960583765</v>
      </c>
      <c r="G15" s="41" t="s">
        <v>62</v>
      </c>
      <c r="H15" s="41"/>
      <c r="I15" s="41"/>
      <c r="J15" s="41" t="s">
        <v>63</v>
      </c>
      <c r="K15" s="47">
        <v>44714</v>
      </c>
      <c r="L15" s="41" t="s">
        <v>1795</v>
      </c>
      <c r="M15" s="41" t="s">
        <v>8</v>
      </c>
      <c r="N15" s="48">
        <v>400</v>
      </c>
      <c r="O15" s="41" t="s">
        <v>1292</v>
      </c>
      <c r="P15" s="41" t="s">
        <v>31</v>
      </c>
      <c r="Q15" s="41" t="s">
        <v>22</v>
      </c>
      <c r="T15" s="114">
        <f>110*2+30</f>
        <v>250</v>
      </c>
      <c r="U15" s="20">
        <f>N15-T15</f>
        <v>150</v>
      </c>
      <c r="V15" s="61">
        <f>U15/T15*100</f>
        <v>60</v>
      </c>
    </row>
    <row r="16" spans="1:26" ht="15" customHeight="1">
      <c r="A16" s="37">
        <v>15</v>
      </c>
      <c r="C16" t="s">
        <v>64</v>
      </c>
      <c r="F16">
        <v>949590680</v>
      </c>
      <c r="H16" t="s">
        <v>65</v>
      </c>
      <c r="I16" t="s">
        <v>29</v>
      </c>
      <c r="K16" s="1">
        <v>44714</v>
      </c>
      <c r="L16" t="s">
        <v>1794</v>
      </c>
      <c r="M16" t="s">
        <v>1793</v>
      </c>
      <c r="N16" s="20">
        <v>400</v>
      </c>
      <c r="O16" t="s">
        <v>1292</v>
      </c>
      <c r="P16" t="s">
        <v>10</v>
      </c>
      <c r="Q16" t="s">
        <v>22</v>
      </c>
      <c r="T16" s="114">
        <f>270+15</f>
        <v>285</v>
      </c>
      <c r="U16" s="20">
        <f>N16-T16</f>
        <v>115</v>
      </c>
      <c r="V16" s="61">
        <f>U16/T16*100</f>
        <v>40.350877192982452</v>
      </c>
    </row>
    <row r="17" spans="1:22">
      <c r="A17" s="37">
        <v>16</v>
      </c>
      <c r="C17" t="s">
        <v>66</v>
      </c>
      <c r="E17">
        <v>10417259525</v>
      </c>
      <c r="F17">
        <v>916263285</v>
      </c>
      <c r="H17" t="s">
        <v>67</v>
      </c>
      <c r="I17" t="s">
        <v>29</v>
      </c>
      <c r="K17" s="1">
        <v>44715</v>
      </c>
      <c r="L17" t="s">
        <v>1776</v>
      </c>
      <c r="M17" t="s">
        <v>8</v>
      </c>
      <c r="N17" s="20">
        <v>211</v>
      </c>
      <c r="O17" t="s">
        <v>1792</v>
      </c>
      <c r="P17" t="s">
        <v>10</v>
      </c>
      <c r="Q17" t="s">
        <v>11</v>
      </c>
      <c r="T17" s="114">
        <f>110+15</f>
        <v>125</v>
      </c>
      <c r="U17" s="20">
        <f>N17-T17</f>
        <v>86</v>
      </c>
      <c r="V17" s="61">
        <f>U17/T17*100</f>
        <v>68.8</v>
      </c>
    </row>
    <row r="18" spans="1:22" ht="15" customHeight="1">
      <c r="A18" s="37">
        <v>18</v>
      </c>
      <c r="C18" t="s">
        <v>68</v>
      </c>
      <c r="E18">
        <v>10806242654</v>
      </c>
      <c r="F18">
        <v>972432081</v>
      </c>
      <c r="H18" t="s">
        <v>1257</v>
      </c>
      <c r="I18" t="s">
        <v>29</v>
      </c>
      <c r="K18" s="1">
        <v>44715</v>
      </c>
      <c r="L18" t="s">
        <v>1776</v>
      </c>
      <c r="M18" t="s">
        <v>38</v>
      </c>
      <c r="N18" s="20">
        <v>220</v>
      </c>
      <c r="O18" t="s">
        <v>1775</v>
      </c>
      <c r="P18" t="s">
        <v>10</v>
      </c>
      <c r="Q18" t="s">
        <v>11</v>
      </c>
      <c r="T18" s="114">
        <f>110+15</f>
        <v>125</v>
      </c>
      <c r="U18" s="20">
        <f>N18-T18</f>
        <v>95</v>
      </c>
      <c r="V18" s="61">
        <f>U18/T18*100</f>
        <v>76</v>
      </c>
    </row>
    <row r="19" spans="1:22" ht="15" customHeight="1">
      <c r="A19" s="37">
        <v>17</v>
      </c>
      <c r="B19" s="37" t="s">
        <v>12</v>
      </c>
      <c r="C19" t="s">
        <v>69</v>
      </c>
      <c r="E19">
        <v>10419454287</v>
      </c>
      <c r="F19">
        <v>946069743</v>
      </c>
      <c r="G19" t="s">
        <v>70</v>
      </c>
      <c r="H19" t="s">
        <v>71</v>
      </c>
      <c r="I19" t="s">
        <v>29</v>
      </c>
      <c r="K19" s="1">
        <v>44715</v>
      </c>
      <c r="L19" t="s">
        <v>1776</v>
      </c>
      <c r="M19" t="s">
        <v>8</v>
      </c>
      <c r="N19" s="20">
        <v>220</v>
      </c>
      <c r="O19" t="s">
        <v>1791</v>
      </c>
      <c r="P19" t="s">
        <v>10</v>
      </c>
      <c r="Q19" t="s">
        <v>11</v>
      </c>
      <c r="T19" s="114">
        <f>110+15</f>
        <v>125</v>
      </c>
      <c r="U19" s="20">
        <f>N19-T19</f>
        <v>95</v>
      </c>
      <c r="V19" s="61">
        <f>U19/T19*100</f>
        <v>76</v>
      </c>
    </row>
    <row r="20" spans="1:22" ht="15" customHeight="1">
      <c r="A20" s="39">
        <v>20</v>
      </c>
      <c r="B20" s="39" t="s">
        <v>60</v>
      </c>
      <c r="C20" s="41" t="s">
        <v>72</v>
      </c>
      <c r="D20" s="41"/>
      <c r="E20" s="41"/>
      <c r="F20" s="41">
        <v>946308723</v>
      </c>
      <c r="G20" s="41" t="s">
        <v>73</v>
      </c>
      <c r="H20" s="41" t="s">
        <v>74</v>
      </c>
      <c r="I20" s="41" t="s">
        <v>29</v>
      </c>
      <c r="J20" s="41"/>
      <c r="K20" s="47">
        <v>44718</v>
      </c>
      <c r="L20" s="41" t="s">
        <v>1790</v>
      </c>
      <c r="M20" s="41" t="s">
        <v>56</v>
      </c>
      <c r="N20" s="48">
        <v>1030</v>
      </c>
      <c r="O20" s="41"/>
      <c r="P20" s="41" t="s">
        <v>31</v>
      </c>
      <c r="Q20" s="41" t="s">
        <v>11</v>
      </c>
      <c r="T20" s="114">
        <f>110*5+150</f>
        <v>700</v>
      </c>
      <c r="U20" s="20">
        <f>N20-T20</f>
        <v>330</v>
      </c>
      <c r="V20" s="61">
        <f>U20/T20*100</f>
        <v>47.142857142857139</v>
      </c>
    </row>
    <row r="21" spans="1:22" ht="15" customHeight="1">
      <c r="A21" s="37">
        <v>19</v>
      </c>
      <c r="B21" s="37" t="s">
        <v>12</v>
      </c>
      <c r="C21" t="s">
        <v>75</v>
      </c>
      <c r="E21">
        <v>20602571247</v>
      </c>
      <c r="F21">
        <v>920309005</v>
      </c>
      <c r="G21" t="s">
        <v>76</v>
      </c>
      <c r="H21" t="s">
        <v>77</v>
      </c>
      <c r="I21" t="s">
        <v>29</v>
      </c>
      <c r="K21" s="1">
        <v>44718</v>
      </c>
      <c r="L21" t="s">
        <v>1789</v>
      </c>
      <c r="M21" t="s">
        <v>38</v>
      </c>
      <c r="N21" s="20">
        <v>350</v>
      </c>
      <c r="O21" t="s">
        <v>1788</v>
      </c>
      <c r="P21" t="s">
        <v>10</v>
      </c>
      <c r="Q21" t="s">
        <v>11</v>
      </c>
      <c r="R21">
        <v>10</v>
      </c>
      <c r="T21" s="114">
        <f>210+15</f>
        <v>225</v>
      </c>
      <c r="U21" s="20">
        <f>N21-T21</f>
        <v>125</v>
      </c>
      <c r="V21" s="61">
        <f>U21/T21*100</f>
        <v>55.555555555555557</v>
      </c>
    </row>
    <row r="22" spans="1:22" ht="15" customHeight="1">
      <c r="A22" s="37">
        <v>21</v>
      </c>
      <c r="C22" t="s">
        <v>78</v>
      </c>
      <c r="E22">
        <v>10445784163</v>
      </c>
      <c r="F22">
        <v>965357864</v>
      </c>
      <c r="H22" t="s">
        <v>79</v>
      </c>
      <c r="I22" t="s">
        <v>80</v>
      </c>
      <c r="K22" s="1">
        <v>44720</v>
      </c>
      <c r="L22" t="s">
        <v>1782</v>
      </c>
      <c r="M22" t="s">
        <v>8</v>
      </c>
      <c r="N22" s="20">
        <v>350</v>
      </c>
      <c r="O22" t="s">
        <v>1787</v>
      </c>
      <c r="P22" t="s">
        <v>10</v>
      </c>
      <c r="Q22" t="s">
        <v>11</v>
      </c>
      <c r="T22" s="114">
        <f>210+25</f>
        <v>235</v>
      </c>
      <c r="U22" s="20">
        <f>N22-T22</f>
        <v>115</v>
      </c>
      <c r="V22" s="61">
        <f>U22/T22*100</f>
        <v>48.936170212765958</v>
      </c>
    </row>
    <row r="23" spans="1:22" ht="15" customHeight="1">
      <c r="A23" s="37">
        <v>22</v>
      </c>
      <c r="C23" t="s">
        <v>81</v>
      </c>
      <c r="E23">
        <v>10766427192</v>
      </c>
      <c r="F23">
        <v>981536477</v>
      </c>
      <c r="H23" t="s">
        <v>82</v>
      </c>
      <c r="I23" t="s">
        <v>29</v>
      </c>
      <c r="K23" s="1">
        <v>44720</v>
      </c>
      <c r="L23" t="s">
        <v>1786</v>
      </c>
      <c r="M23" t="s">
        <v>8</v>
      </c>
      <c r="N23" s="20">
        <v>220</v>
      </c>
      <c r="O23" t="s">
        <v>83</v>
      </c>
      <c r="P23" t="s">
        <v>10</v>
      </c>
      <c r="Q23" t="s">
        <v>11</v>
      </c>
      <c r="T23" s="114">
        <f>110+15</f>
        <v>125</v>
      </c>
      <c r="U23" s="20">
        <f>N23-T23</f>
        <v>95</v>
      </c>
      <c r="V23" s="61">
        <f>U23/T23*100</f>
        <v>76</v>
      </c>
    </row>
    <row r="24" spans="1:22" ht="15" customHeight="1">
      <c r="A24" s="37">
        <v>23</v>
      </c>
      <c r="B24" s="37" t="s">
        <v>0</v>
      </c>
      <c r="C24" t="s">
        <v>84</v>
      </c>
      <c r="E24">
        <v>10442404017</v>
      </c>
      <c r="F24">
        <v>957734593</v>
      </c>
      <c r="G24" t="s">
        <v>85</v>
      </c>
      <c r="H24" t="s">
        <v>86</v>
      </c>
      <c r="I24" t="s">
        <v>87</v>
      </c>
      <c r="K24" s="1">
        <v>44720</v>
      </c>
      <c r="L24" t="s">
        <v>1782</v>
      </c>
      <c r="M24" t="s">
        <v>8</v>
      </c>
      <c r="N24" s="20">
        <v>350</v>
      </c>
      <c r="O24" t="s">
        <v>1785</v>
      </c>
      <c r="P24" t="s">
        <v>10</v>
      </c>
      <c r="Q24" t="s">
        <v>11</v>
      </c>
      <c r="T24" s="114">
        <f>210+25</f>
        <v>235</v>
      </c>
      <c r="U24" s="20">
        <f>N24-T24</f>
        <v>115</v>
      </c>
      <c r="V24" s="61">
        <f>U24/T24*100</f>
        <v>48.936170212765958</v>
      </c>
    </row>
    <row r="25" spans="1:22" ht="15" customHeight="1">
      <c r="A25" s="37">
        <v>24</v>
      </c>
      <c r="C25" t="s">
        <v>88</v>
      </c>
      <c r="E25">
        <v>10442026918</v>
      </c>
      <c r="F25">
        <v>939292349</v>
      </c>
      <c r="H25" t="s">
        <v>89</v>
      </c>
      <c r="I25" t="s">
        <v>91</v>
      </c>
      <c r="J25" t="s">
        <v>92</v>
      </c>
      <c r="K25" s="1">
        <v>44720</v>
      </c>
      <c r="L25" t="s">
        <v>1783</v>
      </c>
      <c r="M25" t="s">
        <v>8</v>
      </c>
      <c r="N25" s="20">
        <v>200</v>
      </c>
      <c r="O25" t="s">
        <v>1784</v>
      </c>
      <c r="P25" t="s">
        <v>10</v>
      </c>
      <c r="Q25" t="s">
        <v>11</v>
      </c>
      <c r="T25" s="114">
        <f>110+15</f>
        <v>125</v>
      </c>
      <c r="U25" s="20">
        <f>N25-T25</f>
        <v>75</v>
      </c>
      <c r="V25" s="61">
        <f>U25/T25*100</f>
        <v>60</v>
      </c>
    </row>
    <row r="26" spans="1:22" ht="15" customHeight="1">
      <c r="A26" s="37">
        <v>25</v>
      </c>
      <c r="B26" s="37" t="s">
        <v>23</v>
      </c>
      <c r="C26" t="s">
        <v>93</v>
      </c>
      <c r="F26">
        <v>940289373</v>
      </c>
      <c r="J26" t="s">
        <v>95</v>
      </c>
      <c r="K26" s="1">
        <v>44720</v>
      </c>
      <c r="L26" t="s">
        <v>1783</v>
      </c>
      <c r="M26" t="s">
        <v>21</v>
      </c>
      <c r="N26" s="20">
        <v>200</v>
      </c>
      <c r="O26" t="s">
        <v>1772</v>
      </c>
      <c r="P26" t="s">
        <v>10</v>
      </c>
      <c r="Q26" t="s">
        <v>11</v>
      </c>
      <c r="T26" s="114">
        <f>110+15</f>
        <v>125</v>
      </c>
      <c r="U26" s="20">
        <f>N26-T26</f>
        <v>75</v>
      </c>
      <c r="V26" s="61">
        <f>U26/T26*100</f>
        <v>60</v>
      </c>
    </row>
    <row r="27" spans="1:22" ht="15" customHeight="1">
      <c r="A27" s="37">
        <v>27</v>
      </c>
      <c r="B27" s="37" t="s">
        <v>12</v>
      </c>
      <c r="C27" t="s">
        <v>96</v>
      </c>
      <c r="E27">
        <v>20608377451</v>
      </c>
      <c r="F27">
        <v>981129661</v>
      </c>
      <c r="G27" t="s">
        <v>97</v>
      </c>
      <c r="J27" t="s">
        <v>99</v>
      </c>
      <c r="K27" s="1">
        <v>44721</v>
      </c>
      <c r="L27" t="s">
        <v>1782</v>
      </c>
      <c r="M27" t="s">
        <v>1781</v>
      </c>
      <c r="N27" s="20">
        <v>350</v>
      </c>
      <c r="O27" t="s">
        <v>101</v>
      </c>
      <c r="P27" t="s">
        <v>10</v>
      </c>
      <c r="Q27" t="s">
        <v>22</v>
      </c>
      <c r="T27" s="114">
        <f>210+25</f>
        <v>235</v>
      </c>
      <c r="U27" s="20">
        <f>N27-T27</f>
        <v>115</v>
      </c>
      <c r="V27" s="61">
        <f>U27/T27*100</f>
        <v>48.936170212765958</v>
      </c>
    </row>
    <row r="28" spans="1:22" ht="15" customHeight="1">
      <c r="A28" s="39">
        <v>26</v>
      </c>
      <c r="B28" s="39" t="s">
        <v>12</v>
      </c>
      <c r="C28" s="41" t="s">
        <v>102</v>
      </c>
      <c r="D28" s="41"/>
      <c r="E28" s="41">
        <v>20608301314</v>
      </c>
      <c r="F28" s="41">
        <v>927468705</v>
      </c>
      <c r="G28" s="41" t="s">
        <v>103</v>
      </c>
      <c r="H28" s="41"/>
      <c r="I28" s="41"/>
      <c r="J28" s="41" t="s">
        <v>104</v>
      </c>
      <c r="K28" s="47">
        <v>44721</v>
      </c>
      <c r="L28" s="41" t="s">
        <v>1780</v>
      </c>
      <c r="M28" s="41" t="s">
        <v>21</v>
      </c>
      <c r="N28" s="48">
        <v>1200</v>
      </c>
      <c r="O28" s="41" t="s">
        <v>1779</v>
      </c>
      <c r="P28" s="41" t="s">
        <v>31</v>
      </c>
      <c r="Q28" s="41" t="s">
        <v>11</v>
      </c>
      <c r="R28" s="41"/>
      <c r="T28" s="114">
        <f>210*4</f>
        <v>840</v>
      </c>
      <c r="U28" s="20">
        <f>N28-T28</f>
        <v>360</v>
      </c>
      <c r="V28" s="61">
        <f>U28/T28*100</f>
        <v>42.857142857142854</v>
      </c>
    </row>
    <row r="29" spans="1:22" ht="15" customHeight="1">
      <c r="A29" s="37">
        <v>28</v>
      </c>
      <c r="B29" s="37" t="s">
        <v>0</v>
      </c>
      <c r="C29" t="s">
        <v>105</v>
      </c>
      <c r="F29">
        <v>941726918</v>
      </c>
      <c r="G29" t="s">
        <v>106</v>
      </c>
      <c r="J29" t="s">
        <v>108</v>
      </c>
      <c r="K29" s="1">
        <v>44721</v>
      </c>
      <c r="L29" t="s">
        <v>1778</v>
      </c>
      <c r="M29" t="s">
        <v>38</v>
      </c>
      <c r="N29" s="20">
        <v>200</v>
      </c>
      <c r="O29" t="s">
        <v>1777</v>
      </c>
      <c r="P29" t="s">
        <v>10</v>
      </c>
      <c r="Q29" t="s">
        <v>22</v>
      </c>
      <c r="T29" s="114">
        <f>8*15</f>
        <v>120</v>
      </c>
      <c r="U29" s="20">
        <f>N29-T29</f>
        <v>80</v>
      </c>
      <c r="V29" s="61">
        <f>U29/T29*100</f>
        <v>66.666666666666657</v>
      </c>
    </row>
    <row r="30" spans="1:22" ht="15" customHeight="1">
      <c r="A30" s="37">
        <v>18</v>
      </c>
      <c r="C30" t="s">
        <v>68</v>
      </c>
      <c r="E30">
        <v>10806242654</v>
      </c>
      <c r="F30">
        <v>972432081</v>
      </c>
      <c r="H30" t="s">
        <v>1257</v>
      </c>
      <c r="I30" t="s">
        <v>29</v>
      </c>
      <c r="K30" s="1">
        <v>44722</v>
      </c>
      <c r="L30" t="s">
        <v>1776</v>
      </c>
      <c r="M30" t="s">
        <v>38</v>
      </c>
      <c r="N30" s="20">
        <v>220</v>
      </c>
      <c r="O30" t="s">
        <v>1775</v>
      </c>
      <c r="P30" t="s">
        <v>10</v>
      </c>
      <c r="Q30" t="s">
        <v>11</v>
      </c>
      <c r="T30" s="114">
        <f>110+15</f>
        <v>125</v>
      </c>
      <c r="U30" s="20">
        <f>N30-T30</f>
        <v>95</v>
      </c>
      <c r="V30" s="61">
        <f>U30/T30*100</f>
        <v>76</v>
      </c>
    </row>
    <row r="31" spans="1:22" ht="15" customHeight="1">
      <c r="A31" s="37">
        <v>29</v>
      </c>
      <c r="C31" t="s">
        <v>109</v>
      </c>
      <c r="E31">
        <v>41398638</v>
      </c>
      <c r="F31">
        <v>976368567</v>
      </c>
      <c r="H31" t="s">
        <v>1774</v>
      </c>
      <c r="I31" t="s">
        <v>29</v>
      </c>
      <c r="K31" s="1">
        <v>44722</v>
      </c>
      <c r="L31" t="s">
        <v>1767</v>
      </c>
      <c r="M31" t="s">
        <v>8</v>
      </c>
      <c r="N31" s="20">
        <v>200</v>
      </c>
      <c r="O31" t="s">
        <v>1773</v>
      </c>
      <c r="P31" t="s">
        <v>10</v>
      </c>
      <c r="Q31" t="s">
        <v>11</v>
      </c>
      <c r="T31" s="114">
        <f>110+15</f>
        <v>125</v>
      </c>
      <c r="U31" s="20">
        <f>N31-T31</f>
        <v>75</v>
      </c>
      <c r="V31" s="61">
        <f>U31/T31*100</f>
        <v>60</v>
      </c>
    </row>
    <row r="32" spans="1:22" ht="15" customHeight="1">
      <c r="A32" s="37">
        <v>30</v>
      </c>
      <c r="C32" t="s">
        <v>110</v>
      </c>
      <c r="E32">
        <v>80233741</v>
      </c>
      <c r="F32">
        <v>965141515</v>
      </c>
      <c r="H32" t="s">
        <v>111</v>
      </c>
      <c r="I32" t="s">
        <v>29</v>
      </c>
      <c r="K32" s="1">
        <v>44722</v>
      </c>
      <c r="L32" t="s">
        <v>1762</v>
      </c>
      <c r="M32" t="s">
        <v>8</v>
      </c>
      <c r="N32" s="20">
        <v>200</v>
      </c>
      <c r="O32" t="s">
        <v>1772</v>
      </c>
      <c r="P32" t="s">
        <v>10</v>
      </c>
      <c r="Q32" t="s">
        <v>11</v>
      </c>
      <c r="T32" s="114">
        <f>110+15</f>
        <v>125</v>
      </c>
      <c r="U32" s="20">
        <f>N32-T32</f>
        <v>75</v>
      </c>
      <c r="V32" s="61">
        <f>U32/T32*100</f>
        <v>60</v>
      </c>
    </row>
    <row r="33" spans="1:23" ht="15" customHeight="1">
      <c r="A33" s="39">
        <v>31</v>
      </c>
      <c r="B33" s="39" t="s">
        <v>12</v>
      </c>
      <c r="C33" s="41" t="s">
        <v>112</v>
      </c>
      <c r="D33" s="41"/>
      <c r="E33" s="41">
        <v>20544257677</v>
      </c>
      <c r="F33" s="41">
        <v>994235597</v>
      </c>
      <c r="G33" s="41" t="s">
        <v>113</v>
      </c>
      <c r="H33" s="41"/>
      <c r="I33" s="41"/>
      <c r="J33" s="41" t="s">
        <v>115</v>
      </c>
      <c r="K33" s="47">
        <v>44723</v>
      </c>
      <c r="L33" s="41" t="s">
        <v>1771</v>
      </c>
      <c r="M33" s="41" t="s">
        <v>21</v>
      </c>
      <c r="N33" s="48">
        <v>2700</v>
      </c>
      <c r="O33" s="41" t="s">
        <v>1770</v>
      </c>
      <c r="P33" s="41" t="s">
        <v>31</v>
      </c>
      <c r="Q33" s="41" t="s">
        <v>22</v>
      </c>
      <c r="R33" s="41"/>
      <c r="T33" s="114">
        <f>210*9</f>
        <v>1890</v>
      </c>
      <c r="U33" s="20">
        <f>N33-T33</f>
        <v>810</v>
      </c>
      <c r="V33" s="61">
        <f>U33/T33*100</f>
        <v>42.857142857142854</v>
      </c>
    </row>
    <row r="34" spans="1:23" ht="15" customHeight="1">
      <c r="A34" s="37">
        <v>33</v>
      </c>
      <c r="C34" t="s">
        <v>116</v>
      </c>
      <c r="E34">
        <v>10402143407</v>
      </c>
      <c r="F34">
        <v>902027120</v>
      </c>
      <c r="H34" t="s">
        <v>77</v>
      </c>
      <c r="I34" t="s">
        <v>29</v>
      </c>
      <c r="K34" s="1">
        <v>44726</v>
      </c>
      <c r="L34" t="s">
        <v>1767</v>
      </c>
      <c r="M34" t="s">
        <v>1676</v>
      </c>
      <c r="N34" s="20">
        <v>213</v>
      </c>
      <c r="O34" t="s">
        <v>1769</v>
      </c>
      <c r="P34" t="s">
        <v>10</v>
      </c>
      <c r="Q34" t="s">
        <v>22</v>
      </c>
      <c r="R34">
        <v>11</v>
      </c>
      <c r="T34" s="114">
        <f>110+15</f>
        <v>125</v>
      </c>
      <c r="U34" s="20">
        <f>N34-T34</f>
        <v>88</v>
      </c>
      <c r="V34" s="61">
        <f>U34/T34*100</f>
        <v>70.399999999999991</v>
      </c>
    </row>
    <row r="35" spans="1:23" ht="15" customHeight="1">
      <c r="A35" s="39">
        <v>32</v>
      </c>
      <c r="B35" s="39"/>
      <c r="C35" s="41" t="s">
        <v>117</v>
      </c>
      <c r="D35" s="41"/>
      <c r="E35" s="41">
        <v>10088739481</v>
      </c>
      <c r="F35" s="41">
        <v>993400767</v>
      </c>
      <c r="G35" s="41"/>
      <c r="H35" s="41" t="s">
        <v>1432</v>
      </c>
      <c r="I35" s="41" t="s">
        <v>118</v>
      </c>
      <c r="J35" s="41"/>
      <c r="K35" s="47">
        <v>44727</v>
      </c>
      <c r="L35" s="41" t="s">
        <v>1767</v>
      </c>
      <c r="M35" s="41" t="s">
        <v>8</v>
      </c>
      <c r="N35" s="48">
        <v>200</v>
      </c>
      <c r="O35" s="41" t="s">
        <v>1555</v>
      </c>
      <c r="P35" s="41" t="s">
        <v>31</v>
      </c>
      <c r="Q35" s="41" t="s">
        <v>11</v>
      </c>
      <c r="R35" s="41" t="s">
        <v>224</v>
      </c>
      <c r="T35" s="114">
        <f>110+15</f>
        <v>125</v>
      </c>
      <c r="U35" s="20">
        <f>N35-T35</f>
        <v>75</v>
      </c>
      <c r="V35" s="61">
        <f>U35/T35*100</f>
        <v>60</v>
      </c>
    </row>
    <row r="36" spans="1:23" ht="15" customHeight="1">
      <c r="A36" s="39">
        <v>32</v>
      </c>
      <c r="B36" s="39"/>
      <c r="C36" s="41" t="s">
        <v>119</v>
      </c>
      <c r="D36" s="41"/>
      <c r="E36" s="41"/>
      <c r="F36" s="41">
        <v>993400767</v>
      </c>
      <c r="G36" s="41"/>
      <c r="H36" s="41"/>
      <c r="I36" s="41"/>
      <c r="J36" s="41" t="s">
        <v>121</v>
      </c>
      <c r="K36" s="47">
        <v>44727</v>
      </c>
      <c r="L36" s="41" t="s">
        <v>1768</v>
      </c>
      <c r="M36" s="41" t="s">
        <v>8</v>
      </c>
      <c r="N36" s="48">
        <v>390</v>
      </c>
      <c r="O36" s="41" t="s">
        <v>122</v>
      </c>
      <c r="P36" s="41" t="s">
        <v>31</v>
      </c>
      <c r="Q36" s="41" t="s">
        <v>11</v>
      </c>
      <c r="R36" s="41" t="s">
        <v>224</v>
      </c>
      <c r="T36" s="114">
        <f>110*2+15*2</f>
        <v>250</v>
      </c>
      <c r="U36" s="20">
        <f>N36-T36</f>
        <v>140</v>
      </c>
      <c r="V36" s="61">
        <f>U36/T36*100</f>
        <v>56.000000000000007</v>
      </c>
    </row>
    <row r="37" spans="1:23" ht="15" customHeight="1">
      <c r="A37" s="39">
        <v>97</v>
      </c>
      <c r="B37" s="39" t="s">
        <v>23</v>
      </c>
      <c r="C37" s="41" t="s">
        <v>123</v>
      </c>
      <c r="D37" s="41"/>
      <c r="E37" s="41">
        <v>72919964</v>
      </c>
      <c r="F37" s="41">
        <v>981506117</v>
      </c>
      <c r="G37" s="41"/>
      <c r="H37" s="41"/>
      <c r="I37" s="41"/>
      <c r="J37" s="41" t="s">
        <v>124</v>
      </c>
      <c r="K37" s="47">
        <v>44728</v>
      </c>
      <c r="L37" s="41" t="s">
        <v>1767</v>
      </c>
      <c r="M37" s="41" t="s">
        <v>21</v>
      </c>
      <c r="N37" s="48">
        <v>190</v>
      </c>
      <c r="O37" s="41"/>
      <c r="P37" s="41" t="s">
        <v>31</v>
      </c>
      <c r="Q37" s="41" t="s">
        <v>11</v>
      </c>
      <c r="R37" s="41" t="s">
        <v>224</v>
      </c>
      <c r="T37" s="114">
        <f>110+15</f>
        <v>125</v>
      </c>
      <c r="U37" s="20">
        <f>N37-T37</f>
        <v>65</v>
      </c>
      <c r="V37" s="61">
        <f>U37/T37*100</f>
        <v>52</v>
      </c>
    </row>
    <row r="38" spans="1:23" ht="15" customHeight="1">
      <c r="A38" s="37">
        <v>12</v>
      </c>
      <c r="B38" s="37" t="s">
        <v>12</v>
      </c>
      <c r="C38" t="s">
        <v>53</v>
      </c>
      <c r="E38">
        <v>10432482419</v>
      </c>
      <c r="F38">
        <v>945128886</v>
      </c>
      <c r="G38" t="s">
        <v>125</v>
      </c>
      <c r="H38" t="s">
        <v>55</v>
      </c>
      <c r="I38" t="s">
        <v>29</v>
      </c>
      <c r="K38" s="1">
        <v>44735</v>
      </c>
      <c r="L38" t="s">
        <v>1766</v>
      </c>
      <c r="M38" t="s">
        <v>56</v>
      </c>
      <c r="N38" s="20">
        <v>120</v>
      </c>
      <c r="O38" t="s">
        <v>1760</v>
      </c>
      <c r="P38" t="s">
        <v>10</v>
      </c>
      <c r="Q38" t="s">
        <v>11</v>
      </c>
      <c r="R38" t="s">
        <v>1759</v>
      </c>
      <c r="T38" s="114">
        <f>20*4</f>
        <v>80</v>
      </c>
      <c r="U38" s="20">
        <f>N38-T38</f>
        <v>40</v>
      </c>
      <c r="V38" s="61">
        <f>U38/T38*100</f>
        <v>50</v>
      </c>
    </row>
    <row r="39" spans="1:23" ht="15" customHeight="1">
      <c r="A39" s="37">
        <v>33</v>
      </c>
      <c r="C39" t="s">
        <v>126</v>
      </c>
      <c r="F39">
        <v>985778570</v>
      </c>
      <c r="J39" t="s">
        <v>128</v>
      </c>
      <c r="K39" s="1">
        <v>44736</v>
      </c>
      <c r="L39" t="s">
        <v>1765</v>
      </c>
      <c r="M39" t="s">
        <v>8</v>
      </c>
      <c r="N39" s="20">
        <v>225</v>
      </c>
      <c r="O39" t="s">
        <v>129</v>
      </c>
      <c r="P39" t="s">
        <v>10</v>
      </c>
      <c r="Q39" t="s">
        <v>11</v>
      </c>
      <c r="T39" s="114">
        <f>110+15</f>
        <v>125</v>
      </c>
      <c r="U39" s="20">
        <f>N39-T39</f>
        <v>100</v>
      </c>
      <c r="V39" s="61">
        <f>U39/T39*100</f>
        <v>80</v>
      </c>
    </row>
    <row r="40" spans="1:23" ht="15" customHeight="1">
      <c r="A40" s="37">
        <v>6</v>
      </c>
      <c r="B40" s="37" t="s">
        <v>0</v>
      </c>
      <c r="C40" t="s">
        <v>34</v>
      </c>
      <c r="E40">
        <v>72477960</v>
      </c>
      <c r="F40">
        <v>931310189</v>
      </c>
      <c r="G40" t="s">
        <v>130</v>
      </c>
      <c r="H40" t="s">
        <v>36</v>
      </c>
      <c r="I40" t="s">
        <v>29</v>
      </c>
      <c r="K40" s="1">
        <v>44738</v>
      </c>
      <c r="L40" t="s">
        <v>1765</v>
      </c>
      <c r="M40" t="s">
        <v>38</v>
      </c>
      <c r="N40" s="20">
        <v>200</v>
      </c>
      <c r="O40" t="s">
        <v>1764</v>
      </c>
      <c r="P40" t="s">
        <v>10</v>
      </c>
      <c r="Q40" t="s">
        <v>11</v>
      </c>
      <c r="T40" s="114">
        <f>110+15</f>
        <v>125</v>
      </c>
      <c r="U40" s="20">
        <f>N40-T40</f>
        <v>75</v>
      </c>
      <c r="V40" s="61">
        <f>U40/T40*100</f>
        <v>60</v>
      </c>
    </row>
    <row r="41" spans="1:23" ht="15" customHeight="1">
      <c r="A41" s="37">
        <v>34</v>
      </c>
      <c r="B41" s="37" t="s">
        <v>60</v>
      </c>
      <c r="C41" t="s">
        <v>131</v>
      </c>
      <c r="F41">
        <v>983866482</v>
      </c>
      <c r="G41" t="s">
        <v>132</v>
      </c>
      <c r="H41" t="s">
        <v>1763</v>
      </c>
      <c r="I41" t="s">
        <v>133</v>
      </c>
      <c r="K41" s="1">
        <v>44739</v>
      </c>
      <c r="L41" t="s">
        <v>1762</v>
      </c>
      <c r="M41" t="s">
        <v>8</v>
      </c>
      <c r="N41" s="20">
        <v>180</v>
      </c>
      <c r="P41" t="s">
        <v>10</v>
      </c>
      <c r="Q41" t="s">
        <v>22</v>
      </c>
      <c r="T41" s="114">
        <f>110</f>
        <v>110</v>
      </c>
      <c r="U41" s="20">
        <f>N41-T41</f>
        <v>70</v>
      </c>
      <c r="V41" s="61">
        <f>U41/T41*100</f>
        <v>63.636363636363633</v>
      </c>
    </row>
    <row r="42" spans="1:23" ht="15" customHeight="1">
      <c r="A42" s="39">
        <v>12</v>
      </c>
      <c r="B42" s="39" t="s">
        <v>12</v>
      </c>
      <c r="C42" s="41" t="s">
        <v>53</v>
      </c>
      <c r="D42" s="41"/>
      <c r="E42" s="41">
        <v>10432482419</v>
      </c>
      <c r="F42" s="41">
        <v>945128886</v>
      </c>
      <c r="G42" s="41" t="s">
        <v>135</v>
      </c>
      <c r="H42" s="41" t="s">
        <v>55</v>
      </c>
      <c r="I42" s="41" t="s">
        <v>29</v>
      </c>
      <c r="J42" s="41"/>
      <c r="K42" s="47">
        <v>44743</v>
      </c>
      <c r="L42" s="41" t="s">
        <v>1761</v>
      </c>
      <c r="M42" s="41" t="s">
        <v>56</v>
      </c>
      <c r="N42" s="48">
        <v>1680</v>
      </c>
      <c r="O42" s="41" t="s">
        <v>1760</v>
      </c>
      <c r="P42" s="41" t="s">
        <v>31</v>
      </c>
      <c r="Q42" s="41" t="s">
        <v>11</v>
      </c>
      <c r="R42" s="41" t="s">
        <v>1759</v>
      </c>
      <c r="T42" s="114">
        <f>210*5+25*6.5</f>
        <v>1212.5</v>
      </c>
      <c r="U42" s="20">
        <f>N42-T42</f>
        <v>467.5</v>
      </c>
      <c r="V42" s="61">
        <f>U42/T42*100</f>
        <v>38.55670103092784</v>
      </c>
      <c r="W42">
        <v>1</v>
      </c>
    </row>
    <row r="43" spans="1:23" ht="15" customHeight="1">
      <c r="A43" s="39">
        <v>35</v>
      </c>
      <c r="B43" s="39" t="s">
        <v>12</v>
      </c>
      <c r="C43" s="41" t="s">
        <v>136</v>
      </c>
      <c r="D43" s="41"/>
      <c r="E43" s="41">
        <v>20393955415</v>
      </c>
      <c r="F43" s="41">
        <v>939361591</v>
      </c>
      <c r="G43" s="41" t="s">
        <v>137</v>
      </c>
      <c r="H43" s="41" t="s">
        <v>79</v>
      </c>
      <c r="I43" s="41" t="s">
        <v>29</v>
      </c>
      <c r="J43" s="41"/>
      <c r="K43" s="47">
        <v>44743</v>
      </c>
      <c r="L43" s="41" t="s">
        <v>1646</v>
      </c>
      <c r="M43" s="41" t="s">
        <v>56</v>
      </c>
      <c r="N43" s="48">
        <v>700</v>
      </c>
      <c r="O43" s="41" t="s">
        <v>138</v>
      </c>
      <c r="P43" s="41" t="s">
        <v>31</v>
      </c>
      <c r="Q43" s="41" t="s">
        <v>11</v>
      </c>
      <c r="R43" s="41"/>
      <c r="T43" s="114">
        <f>210+210+50</f>
        <v>470</v>
      </c>
      <c r="U43" s="20">
        <f>N43-T43</f>
        <v>230</v>
      </c>
      <c r="V43" s="61">
        <f>U43/T43*100</f>
        <v>48.936170212765958</v>
      </c>
      <c r="W43">
        <v>1</v>
      </c>
    </row>
    <row r="44" spans="1:23" ht="15" customHeight="1">
      <c r="A44" s="37">
        <v>36</v>
      </c>
      <c r="C44" t="s">
        <v>139</v>
      </c>
      <c r="E44">
        <v>10416378016</v>
      </c>
      <c r="F44">
        <v>948460434</v>
      </c>
      <c r="H44" t="s">
        <v>36</v>
      </c>
      <c r="I44" t="s">
        <v>140</v>
      </c>
      <c r="J44" t="s">
        <v>141</v>
      </c>
      <c r="K44" s="1">
        <v>44743</v>
      </c>
      <c r="L44" t="s">
        <v>1741</v>
      </c>
      <c r="M44" t="s">
        <v>56</v>
      </c>
      <c r="N44" s="20">
        <v>374</v>
      </c>
      <c r="O44" t="s">
        <v>138</v>
      </c>
      <c r="P44" t="s">
        <v>10</v>
      </c>
      <c r="Q44" t="s">
        <v>11</v>
      </c>
      <c r="R44" t="s">
        <v>1745</v>
      </c>
      <c r="T44" s="114">
        <f>210+25</f>
        <v>235</v>
      </c>
      <c r="U44" s="20">
        <f>N44-T44</f>
        <v>139</v>
      </c>
      <c r="V44" s="61">
        <f>U44/T44*100</f>
        <v>59.148936170212764</v>
      </c>
      <c r="W44">
        <v>1</v>
      </c>
    </row>
    <row r="45" spans="1:23" ht="15" customHeight="1">
      <c r="A45" s="37">
        <v>37</v>
      </c>
      <c r="C45" t="s">
        <v>142</v>
      </c>
      <c r="E45">
        <v>48676079</v>
      </c>
      <c r="F45">
        <v>918875770</v>
      </c>
      <c r="H45" t="s">
        <v>51</v>
      </c>
      <c r="I45" t="s">
        <v>29</v>
      </c>
      <c r="K45" s="1">
        <v>44743</v>
      </c>
      <c r="L45" t="s">
        <v>1741</v>
      </c>
      <c r="M45" t="s">
        <v>8</v>
      </c>
      <c r="N45" s="20">
        <v>370</v>
      </c>
      <c r="O45" t="s">
        <v>1758</v>
      </c>
      <c r="P45" t="s">
        <v>10</v>
      </c>
      <c r="Q45" t="s">
        <v>11</v>
      </c>
      <c r="T45" s="114">
        <f>210+35</f>
        <v>245</v>
      </c>
      <c r="U45" s="20">
        <f>N45-T45</f>
        <v>125</v>
      </c>
      <c r="V45" s="61">
        <f>U45/T45*100</f>
        <v>51.020408163265309</v>
      </c>
      <c r="W45">
        <v>1</v>
      </c>
    </row>
    <row r="46" spans="1:23" ht="15" customHeight="1">
      <c r="A46" s="37">
        <v>38</v>
      </c>
      <c r="B46" s="37" t="s">
        <v>23</v>
      </c>
      <c r="C46" t="s">
        <v>143</v>
      </c>
      <c r="F46">
        <v>934129838</v>
      </c>
      <c r="J46" t="s">
        <v>145</v>
      </c>
      <c r="K46" s="1">
        <v>44744</v>
      </c>
      <c r="L46" t="s">
        <v>1757</v>
      </c>
      <c r="M46" t="s">
        <v>21</v>
      </c>
      <c r="N46" s="20">
        <v>255</v>
      </c>
      <c r="O46" t="s">
        <v>1756</v>
      </c>
      <c r="P46" t="s">
        <v>10</v>
      </c>
      <c r="Q46" t="s">
        <v>11</v>
      </c>
      <c r="T46" s="114">
        <f>110+45</f>
        <v>155</v>
      </c>
      <c r="U46" s="20">
        <f>N46-T46</f>
        <v>100</v>
      </c>
      <c r="V46" s="61">
        <f>U46/T46*100</f>
        <v>64.516129032258064</v>
      </c>
      <c r="W46">
        <v>1</v>
      </c>
    </row>
    <row r="47" spans="1:23" ht="15" customHeight="1">
      <c r="A47" s="37">
        <v>39</v>
      </c>
      <c r="C47" t="s">
        <v>146</v>
      </c>
      <c r="E47">
        <v>46555582</v>
      </c>
      <c r="F47">
        <v>938476026</v>
      </c>
      <c r="H47" t="s">
        <v>77</v>
      </c>
      <c r="I47" t="s">
        <v>147</v>
      </c>
      <c r="K47" s="1">
        <v>44748</v>
      </c>
      <c r="L47" t="s">
        <v>1738</v>
      </c>
      <c r="M47" t="s">
        <v>38</v>
      </c>
      <c r="N47" s="20">
        <v>180</v>
      </c>
      <c r="P47" t="s">
        <v>10</v>
      </c>
      <c r="Q47" t="s">
        <v>11</v>
      </c>
      <c r="R47">
        <v>23</v>
      </c>
      <c r="T47" s="114">
        <f>110+15</f>
        <v>125</v>
      </c>
      <c r="U47" s="20">
        <f>N47-T47</f>
        <v>55</v>
      </c>
      <c r="V47" s="61">
        <f>U47/T47*100</f>
        <v>44</v>
      </c>
      <c r="W47">
        <v>1</v>
      </c>
    </row>
    <row r="48" spans="1:23" ht="15" customHeight="1">
      <c r="A48" s="37">
        <v>40</v>
      </c>
      <c r="B48" s="37" t="s">
        <v>23</v>
      </c>
      <c r="C48" t="s">
        <v>148</v>
      </c>
      <c r="F48">
        <v>945381442</v>
      </c>
      <c r="J48" t="s">
        <v>149</v>
      </c>
      <c r="K48" s="1">
        <v>44749</v>
      </c>
      <c r="L48" t="s">
        <v>1741</v>
      </c>
      <c r="M48" t="s">
        <v>21</v>
      </c>
      <c r="N48" s="20">
        <v>350</v>
      </c>
      <c r="O48" t="s">
        <v>150</v>
      </c>
      <c r="P48" t="s">
        <v>10</v>
      </c>
      <c r="Q48" t="s">
        <v>11</v>
      </c>
      <c r="T48" s="114">
        <f>210+25</f>
        <v>235</v>
      </c>
      <c r="U48" s="20">
        <f>N48-T48</f>
        <v>115</v>
      </c>
      <c r="V48" s="61">
        <f>U48/T48*100</f>
        <v>48.936170212765958</v>
      </c>
      <c r="W48">
        <v>1</v>
      </c>
    </row>
    <row r="49" spans="1:23" ht="15" customHeight="1">
      <c r="A49" s="37">
        <v>41</v>
      </c>
      <c r="B49" s="37" t="s">
        <v>60</v>
      </c>
      <c r="C49" t="s">
        <v>151</v>
      </c>
      <c r="F49">
        <v>964289101</v>
      </c>
      <c r="G49" t="s">
        <v>152</v>
      </c>
      <c r="J49" t="s">
        <v>153</v>
      </c>
      <c r="K49" s="1">
        <v>44749</v>
      </c>
      <c r="L49" t="s">
        <v>1755</v>
      </c>
      <c r="M49" t="s">
        <v>8</v>
      </c>
      <c r="N49" s="20">
        <v>525</v>
      </c>
      <c r="P49" t="s">
        <v>10</v>
      </c>
      <c r="Q49" t="s">
        <v>11</v>
      </c>
      <c r="T49" s="114">
        <f>258+98</f>
        <v>356</v>
      </c>
      <c r="U49" s="20">
        <f>N49-T49</f>
        <v>169</v>
      </c>
      <c r="V49" s="61">
        <f>U49/T49*100</f>
        <v>47.471910112359552</v>
      </c>
      <c r="W49">
        <v>1</v>
      </c>
    </row>
    <row r="50" spans="1:23" ht="15" customHeight="1">
      <c r="A50" s="37">
        <v>42</v>
      </c>
      <c r="C50" t="s">
        <v>154</v>
      </c>
      <c r="F50">
        <v>968176659</v>
      </c>
      <c r="J50" t="s">
        <v>155</v>
      </c>
      <c r="K50" s="1">
        <v>44749</v>
      </c>
      <c r="L50" t="s">
        <v>1738</v>
      </c>
      <c r="M50" t="s">
        <v>1676</v>
      </c>
      <c r="N50" s="20">
        <v>200</v>
      </c>
      <c r="O50" t="s">
        <v>1754</v>
      </c>
      <c r="P50" t="s">
        <v>10</v>
      </c>
      <c r="Q50" t="s">
        <v>22</v>
      </c>
      <c r="T50" s="114">
        <f>110+15</f>
        <v>125</v>
      </c>
      <c r="U50" s="20">
        <f>N50-T50</f>
        <v>75</v>
      </c>
      <c r="V50" s="61">
        <f>U50/T50*100</f>
        <v>60</v>
      </c>
      <c r="W50">
        <v>1</v>
      </c>
    </row>
    <row r="51" spans="1:23" ht="15" customHeight="1">
      <c r="A51" s="37">
        <v>43</v>
      </c>
      <c r="C51" t="s">
        <v>156</v>
      </c>
      <c r="E51">
        <v>72612204</v>
      </c>
      <c r="F51">
        <v>987742281</v>
      </c>
      <c r="H51" t="s">
        <v>157</v>
      </c>
      <c r="I51" t="s">
        <v>158</v>
      </c>
      <c r="K51" s="1">
        <v>44750</v>
      </c>
      <c r="L51" t="s">
        <v>1741</v>
      </c>
      <c r="M51" t="s">
        <v>8</v>
      </c>
      <c r="N51" s="20">
        <v>350</v>
      </c>
      <c r="P51" t="s">
        <v>10</v>
      </c>
      <c r="Q51" t="s">
        <v>11</v>
      </c>
      <c r="R51" t="s">
        <v>1753</v>
      </c>
      <c r="T51" s="114">
        <f>210+25</f>
        <v>235</v>
      </c>
      <c r="U51" s="20">
        <f>N51-T51</f>
        <v>115</v>
      </c>
      <c r="V51" s="61">
        <f>U51/T51*100</f>
        <v>48.936170212765958</v>
      </c>
      <c r="W51">
        <v>1</v>
      </c>
    </row>
    <row r="52" spans="1:23" ht="15" customHeight="1">
      <c r="A52" s="37">
        <v>44</v>
      </c>
      <c r="B52" s="37" t="s">
        <v>0</v>
      </c>
      <c r="C52" t="s">
        <v>159</v>
      </c>
      <c r="E52">
        <v>46958628</v>
      </c>
      <c r="F52">
        <v>989710829</v>
      </c>
      <c r="G52" t="s">
        <v>160</v>
      </c>
      <c r="J52" t="s">
        <v>162</v>
      </c>
      <c r="K52" s="1">
        <v>44750</v>
      </c>
      <c r="L52" t="s">
        <v>1741</v>
      </c>
      <c r="M52" t="s">
        <v>8</v>
      </c>
      <c r="N52" s="20">
        <v>350</v>
      </c>
      <c r="O52" t="s">
        <v>1752</v>
      </c>
      <c r="P52" t="s">
        <v>10</v>
      </c>
      <c r="Q52" t="s">
        <v>11</v>
      </c>
      <c r="T52" s="114">
        <f>210+25</f>
        <v>235</v>
      </c>
      <c r="U52" s="20">
        <f>N52-T52</f>
        <v>115</v>
      </c>
      <c r="V52" s="61">
        <f>U52/T52*100</f>
        <v>48.936170212765958</v>
      </c>
      <c r="W52">
        <v>1</v>
      </c>
    </row>
    <row r="53" spans="1:23" ht="15" customHeight="1">
      <c r="A53" s="37">
        <v>45</v>
      </c>
      <c r="C53" t="s">
        <v>163</v>
      </c>
      <c r="F53">
        <v>989577698</v>
      </c>
      <c r="J53" t="s">
        <v>164</v>
      </c>
      <c r="K53" s="1">
        <v>44750</v>
      </c>
      <c r="L53" t="s">
        <v>1751</v>
      </c>
      <c r="M53" t="s">
        <v>56</v>
      </c>
      <c r="N53" s="20">
        <f>350+20</f>
        <v>370</v>
      </c>
      <c r="O53" t="s">
        <v>165</v>
      </c>
      <c r="P53" t="s">
        <v>10</v>
      </c>
      <c r="Q53" t="s">
        <v>11</v>
      </c>
      <c r="T53" s="114">
        <f>210+25</f>
        <v>235</v>
      </c>
      <c r="U53" s="20">
        <f>N53-T53</f>
        <v>135</v>
      </c>
      <c r="V53" s="61">
        <f>U53/T53*100</f>
        <v>57.446808510638306</v>
      </c>
      <c r="W53">
        <v>1</v>
      </c>
    </row>
    <row r="54" spans="1:23" ht="15" customHeight="1">
      <c r="A54" s="37">
        <v>46</v>
      </c>
      <c r="C54" t="s">
        <v>166</v>
      </c>
      <c r="E54" s="38">
        <v>491048</v>
      </c>
      <c r="F54">
        <v>983040172</v>
      </c>
      <c r="H54" t="s">
        <v>55</v>
      </c>
      <c r="I54" t="s">
        <v>29</v>
      </c>
      <c r="K54" s="1">
        <v>44750</v>
      </c>
      <c r="L54" t="s">
        <v>1738</v>
      </c>
      <c r="M54" t="s">
        <v>8</v>
      </c>
      <c r="N54" s="20">
        <v>200</v>
      </c>
      <c r="P54" t="s">
        <v>10</v>
      </c>
      <c r="Q54" t="s">
        <v>11</v>
      </c>
      <c r="T54" s="114">
        <f>110+15</f>
        <v>125</v>
      </c>
      <c r="U54" s="20">
        <f>N54-T54</f>
        <v>75</v>
      </c>
      <c r="V54" s="61">
        <f>U54/T54*100</f>
        <v>60</v>
      </c>
      <c r="W54">
        <v>1</v>
      </c>
    </row>
    <row r="55" spans="1:23" ht="15" customHeight="1">
      <c r="A55" s="39">
        <v>47</v>
      </c>
      <c r="B55" s="39" t="s">
        <v>60</v>
      </c>
      <c r="C55" s="41" t="s">
        <v>167</v>
      </c>
      <c r="D55" s="41"/>
      <c r="E55" s="41"/>
      <c r="F55" s="41">
        <v>984903295</v>
      </c>
      <c r="G55" s="41" t="s">
        <v>168</v>
      </c>
      <c r="H55" s="41"/>
      <c r="I55" s="41"/>
      <c r="J55" s="41" t="s">
        <v>170</v>
      </c>
      <c r="K55" s="47">
        <v>44751</v>
      </c>
      <c r="L55" s="41" t="s">
        <v>1750</v>
      </c>
      <c r="M55" s="41" t="s">
        <v>8</v>
      </c>
      <c r="N55" s="48">
        <v>490</v>
      </c>
      <c r="O55" s="41"/>
      <c r="P55" s="41" t="s">
        <v>31</v>
      </c>
      <c r="Q55" s="41" t="s">
        <v>11</v>
      </c>
      <c r="R55" s="41" t="s">
        <v>224</v>
      </c>
      <c r="T55" s="114">
        <f>250+110+15</f>
        <v>375</v>
      </c>
      <c r="U55" s="20">
        <f>N55-T55</f>
        <v>115</v>
      </c>
      <c r="V55" s="61">
        <f>U55/T55*100</f>
        <v>30.666666666666664</v>
      </c>
      <c r="W55">
        <v>1</v>
      </c>
    </row>
    <row r="56" spans="1:23" ht="15" customHeight="1">
      <c r="A56" s="39">
        <v>48</v>
      </c>
      <c r="B56" s="39" t="s">
        <v>60</v>
      </c>
      <c r="C56" s="41" t="s">
        <v>171</v>
      </c>
      <c r="D56" s="41"/>
      <c r="E56" s="41">
        <v>10427783389</v>
      </c>
      <c r="F56" s="41">
        <v>956457070</v>
      </c>
      <c r="G56" s="41" t="s">
        <v>172</v>
      </c>
      <c r="H56" s="41" t="s">
        <v>65</v>
      </c>
      <c r="I56" s="41" t="s">
        <v>173</v>
      </c>
      <c r="J56" s="41"/>
      <c r="K56" s="47">
        <v>44754</v>
      </c>
      <c r="L56" s="41" t="s">
        <v>1646</v>
      </c>
      <c r="M56" s="41" t="s">
        <v>8</v>
      </c>
      <c r="N56" s="48">
        <v>660</v>
      </c>
      <c r="O56" s="41" t="s">
        <v>174</v>
      </c>
      <c r="P56" s="41" t="s">
        <v>31</v>
      </c>
      <c r="Q56" s="41" t="s">
        <v>11</v>
      </c>
      <c r="R56" s="41"/>
      <c r="T56" s="115">
        <f>210+210+30+30</f>
        <v>480</v>
      </c>
      <c r="U56" s="20">
        <f>N56-T56</f>
        <v>180</v>
      </c>
      <c r="V56" s="61">
        <f>U56/T56*100</f>
        <v>37.5</v>
      </c>
      <c r="W56">
        <v>1</v>
      </c>
    </row>
    <row r="57" spans="1:23" ht="15" customHeight="1">
      <c r="A57" s="37">
        <v>49</v>
      </c>
      <c r="B57" s="37" t="s">
        <v>23</v>
      </c>
      <c r="C57" t="s">
        <v>175</v>
      </c>
      <c r="F57">
        <v>955287029</v>
      </c>
      <c r="J57" t="s">
        <v>176</v>
      </c>
      <c r="K57" s="1">
        <v>44755</v>
      </c>
      <c r="L57" t="s">
        <v>1738</v>
      </c>
      <c r="M57" t="s">
        <v>21</v>
      </c>
      <c r="N57" s="20">
        <v>200</v>
      </c>
      <c r="P57" t="s">
        <v>10</v>
      </c>
      <c r="Q57" t="s">
        <v>11</v>
      </c>
      <c r="T57" s="115">
        <f>110+15</f>
        <v>125</v>
      </c>
      <c r="U57" s="20">
        <f>N57-T57</f>
        <v>75</v>
      </c>
      <c r="V57" s="61">
        <f>U57/T57*100</f>
        <v>60</v>
      </c>
      <c r="W57">
        <v>1</v>
      </c>
    </row>
    <row r="58" spans="1:23" ht="15" customHeight="1">
      <c r="A58" s="37">
        <v>50</v>
      </c>
      <c r="C58" t="s">
        <v>177</v>
      </c>
      <c r="E58">
        <v>41889643</v>
      </c>
      <c r="F58">
        <v>997045980</v>
      </c>
      <c r="H58" t="s">
        <v>44</v>
      </c>
      <c r="I58" t="s">
        <v>178</v>
      </c>
      <c r="K58" s="1">
        <v>44755</v>
      </c>
      <c r="L58" t="s">
        <v>1738</v>
      </c>
      <c r="M58" t="s">
        <v>8</v>
      </c>
      <c r="N58" s="20">
        <v>200</v>
      </c>
      <c r="P58" t="s">
        <v>10</v>
      </c>
      <c r="Q58" t="s">
        <v>11</v>
      </c>
      <c r="T58" s="115">
        <f>110+15</f>
        <v>125</v>
      </c>
      <c r="U58" s="20">
        <f>N58-T58</f>
        <v>75</v>
      </c>
      <c r="V58" s="61">
        <f>U58/T58*100</f>
        <v>60</v>
      </c>
      <c r="W58">
        <v>1</v>
      </c>
    </row>
    <row r="59" spans="1:23" ht="15" customHeight="1">
      <c r="A59" s="37">
        <v>52</v>
      </c>
      <c r="C59" t="s">
        <v>179</v>
      </c>
      <c r="F59">
        <v>933872031</v>
      </c>
      <c r="J59" t="s">
        <v>180</v>
      </c>
      <c r="K59" s="1">
        <v>44755</v>
      </c>
      <c r="L59" t="s">
        <v>1749</v>
      </c>
      <c r="M59" t="s">
        <v>1748</v>
      </c>
      <c r="N59" s="67">
        <f>20+200</f>
        <v>220</v>
      </c>
      <c r="P59" t="s">
        <v>10</v>
      </c>
      <c r="Q59" t="s">
        <v>22</v>
      </c>
      <c r="T59" s="113">
        <v>125</v>
      </c>
      <c r="U59" s="20">
        <f>N59-T59</f>
        <v>95</v>
      </c>
      <c r="V59" s="61">
        <f>U59/T59*100</f>
        <v>76</v>
      </c>
      <c r="W59">
        <v>1</v>
      </c>
    </row>
    <row r="60" spans="1:23" ht="15" customHeight="1">
      <c r="A60" s="37">
        <v>53</v>
      </c>
      <c r="B60" s="37" t="s">
        <v>60</v>
      </c>
      <c r="C60" t="s">
        <v>181</v>
      </c>
      <c r="F60">
        <v>941619302</v>
      </c>
      <c r="G60" t="s">
        <v>182</v>
      </c>
      <c r="J60" t="s">
        <v>184</v>
      </c>
      <c r="K60" s="1">
        <v>44755</v>
      </c>
      <c r="L60" t="s">
        <v>1747</v>
      </c>
      <c r="M60" t="s">
        <v>8</v>
      </c>
      <c r="N60" s="67">
        <v>200</v>
      </c>
      <c r="P60" t="s">
        <v>10</v>
      </c>
      <c r="Q60" t="s">
        <v>22</v>
      </c>
      <c r="T60" s="113">
        <v>110</v>
      </c>
      <c r="U60" s="20">
        <f>N60-T60</f>
        <v>90</v>
      </c>
      <c r="V60" s="61">
        <f>U60/T60*100</f>
        <v>81.818181818181827</v>
      </c>
      <c r="W60">
        <v>1</v>
      </c>
    </row>
    <row r="61" spans="1:23" ht="15" customHeight="1">
      <c r="A61" s="37">
        <v>54</v>
      </c>
      <c r="B61" s="37" t="s">
        <v>12</v>
      </c>
      <c r="C61" t="s">
        <v>185</v>
      </c>
      <c r="E61" s="38">
        <v>7451611</v>
      </c>
      <c r="F61">
        <v>999084831</v>
      </c>
      <c r="G61" t="s">
        <v>186</v>
      </c>
      <c r="H61" t="s">
        <v>1667</v>
      </c>
      <c r="I61" t="s">
        <v>140</v>
      </c>
      <c r="J61" t="s">
        <v>187</v>
      </c>
      <c r="K61" s="1">
        <v>44756</v>
      </c>
      <c r="L61" t="s">
        <v>1738</v>
      </c>
      <c r="M61" t="s">
        <v>56</v>
      </c>
      <c r="N61" s="20">
        <f>225+16.92</f>
        <v>241.92000000000002</v>
      </c>
      <c r="O61" t="s">
        <v>1746</v>
      </c>
      <c r="P61" t="s">
        <v>10</v>
      </c>
      <c r="Q61" t="s">
        <v>11</v>
      </c>
      <c r="R61" t="s">
        <v>1745</v>
      </c>
      <c r="T61" s="113">
        <f>125</f>
        <v>125</v>
      </c>
      <c r="U61" s="20">
        <f>N61-T61</f>
        <v>116.92000000000002</v>
      </c>
      <c r="V61" s="61">
        <f>U61/T61*100</f>
        <v>93.536000000000001</v>
      </c>
      <c r="W61">
        <v>1</v>
      </c>
    </row>
    <row r="62" spans="1:23" ht="15" customHeight="1">
      <c r="A62" s="39">
        <v>51</v>
      </c>
      <c r="B62" s="39"/>
      <c r="C62" s="41" t="s">
        <v>188</v>
      </c>
      <c r="D62" s="41"/>
      <c r="E62" s="41"/>
      <c r="F62" s="41">
        <v>934157494</v>
      </c>
      <c r="G62" s="41"/>
      <c r="H62" s="41"/>
      <c r="I62" s="41"/>
      <c r="J62" s="41" t="s">
        <v>189</v>
      </c>
      <c r="K62" s="47">
        <v>44756</v>
      </c>
      <c r="L62" s="41" t="s">
        <v>1741</v>
      </c>
      <c r="M62" s="41" t="s">
        <v>8</v>
      </c>
      <c r="N62" s="48">
        <f>200+160</f>
        <v>360</v>
      </c>
      <c r="O62" s="41"/>
      <c r="P62" s="41" t="s">
        <v>31</v>
      </c>
      <c r="Q62" s="41" t="s">
        <v>11</v>
      </c>
      <c r="R62" s="41" t="s">
        <v>224</v>
      </c>
      <c r="T62" s="115">
        <f>210+30</f>
        <v>240</v>
      </c>
      <c r="U62" s="20">
        <f>N62-T62</f>
        <v>120</v>
      </c>
      <c r="V62" s="61">
        <f>U62/T62*100</f>
        <v>50</v>
      </c>
      <c r="W62">
        <v>1</v>
      </c>
    </row>
    <row r="63" spans="1:23" ht="15" customHeight="1">
      <c r="A63" s="39">
        <v>55</v>
      </c>
      <c r="B63" s="39" t="s">
        <v>60</v>
      </c>
      <c r="C63" s="41" t="s">
        <v>190</v>
      </c>
      <c r="D63" s="41"/>
      <c r="E63" s="41"/>
      <c r="F63" s="41">
        <v>986776543</v>
      </c>
      <c r="G63" s="41" t="s">
        <v>191</v>
      </c>
      <c r="H63" s="41"/>
      <c r="I63" s="41"/>
      <c r="J63" s="41" t="s">
        <v>192</v>
      </c>
      <c r="K63" s="47">
        <v>44756</v>
      </c>
      <c r="L63" s="41" t="s">
        <v>1744</v>
      </c>
      <c r="M63" s="41" t="s">
        <v>8</v>
      </c>
      <c r="N63" s="48">
        <f>210+310</f>
        <v>520</v>
      </c>
      <c r="O63" s="41"/>
      <c r="P63" s="41" t="s">
        <v>31</v>
      </c>
      <c r="Q63" s="41" t="s">
        <v>11</v>
      </c>
      <c r="R63" s="41" t="s">
        <v>224</v>
      </c>
      <c r="T63" s="113">
        <f>390+60</f>
        <v>450</v>
      </c>
      <c r="U63" s="20">
        <f>N63-T63</f>
        <v>70</v>
      </c>
      <c r="V63" s="61">
        <f>U63/T63*100</f>
        <v>15.555555555555555</v>
      </c>
      <c r="W63">
        <v>1</v>
      </c>
    </row>
    <row r="64" spans="1:23" ht="15" customHeight="1">
      <c r="A64" s="37">
        <v>56</v>
      </c>
      <c r="C64" t="s">
        <v>193</v>
      </c>
      <c r="E64" s="38">
        <v>47091616</v>
      </c>
      <c r="F64">
        <v>956233042</v>
      </c>
      <c r="H64" t="s">
        <v>65</v>
      </c>
      <c r="I64" t="s">
        <v>118</v>
      </c>
      <c r="J64" t="s">
        <v>194</v>
      </c>
      <c r="K64" s="1">
        <v>44756</v>
      </c>
      <c r="L64" t="s">
        <v>1741</v>
      </c>
      <c r="M64" t="s">
        <v>8</v>
      </c>
      <c r="N64" s="20">
        <v>350</v>
      </c>
      <c r="P64" t="s">
        <v>10</v>
      </c>
      <c r="Q64" t="s">
        <v>11</v>
      </c>
      <c r="T64" s="113">
        <f>210+30</f>
        <v>240</v>
      </c>
      <c r="U64" s="20">
        <f>N64-T64</f>
        <v>110</v>
      </c>
      <c r="V64" s="61">
        <f>U64/T64*100</f>
        <v>45.833333333333329</v>
      </c>
      <c r="W64">
        <v>1</v>
      </c>
    </row>
    <row r="65" spans="1:23" ht="15" customHeight="1">
      <c r="A65" s="37">
        <v>57</v>
      </c>
      <c r="B65" s="37" t="s">
        <v>23</v>
      </c>
      <c r="C65" t="s">
        <v>195</v>
      </c>
      <c r="E65" s="38"/>
      <c r="F65">
        <v>971730855</v>
      </c>
      <c r="J65" t="s">
        <v>196</v>
      </c>
      <c r="K65" s="1">
        <v>44757</v>
      </c>
      <c r="L65" t="s">
        <v>1741</v>
      </c>
      <c r="M65" t="s">
        <v>21</v>
      </c>
      <c r="N65" s="20">
        <v>350</v>
      </c>
      <c r="O65" t="s">
        <v>1597</v>
      </c>
      <c r="P65" t="s">
        <v>10</v>
      </c>
      <c r="Q65" t="s">
        <v>11</v>
      </c>
      <c r="T65" s="113">
        <f>210+30</f>
        <v>240</v>
      </c>
      <c r="U65" s="20">
        <f>N65-T65</f>
        <v>110</v>
      </c>
      <c r="V65" s="61">
        <f>U65/T65*100</f>
        <v>45.833333333333329</v>
      </c>
      <c r="W65">
        <v>1</v>
      </c>
    </row>
    <row r="66" spans="1:23" ht="15" customHeight="1">
      <c r="A66" s="39">
        <v>58</v>
      </c>
      <c r="B66" s="39" t="s">
        <v>12</v>
      </c>
      <c r="C66" s="41" t="s">
        <v>197</v>
      </c>
      <c r="D66" s="41"/>
      <c r="E66" s="42">
        <v>20605455973</v>
      </c>
      <c r="F66" s="41">
        <v>958767360</v>
      </c>
      <c r="G66" s="41" t="s">
        <v>198</v>
      </c>
      <c r="H66" s="41" t="s">
        <v>199</v>
      </c>
      <c r="I66" s="41" t="s">
        <v>29</v>
      </c>
      <c r="J66" s="41"/>
      <c r="K66" s="47">
        <v>44758</v>
      </c>
      <c r="L66" s="41" t="s">
        <v>1743</v>
      </c>
      <c r="M66" s="41" t="s">
        <v>8</v>
      </c>
      <c r="N66" s="48">
        <v>1215</v>
      </c>
      <c r="O66" s="41" t="s">
        <v>1742</v>
      </c>
      <c r="P66" s="41" t="s">
        <v>31</v>
      </c>
      <c r="Q66" s="41" t="s">
        <v>11</v>
      </c>
      <c r="R66" s="41"/>
      <c r="T66" s="113">
        <f>110*5+75+258</f>
        <v>883</v>
      </c>
      <c r="U66" s="20">
        <f>N66-T66</f>
        <v>332</v>
      </c>
      <c r="V66" s="61">
        <f>U66/T66*100</f>
        <v>37.599093997734997</v>
      </c>
      <c r="W66">
        <v>1</v>
      </c>
    </row>
    <row r="67" spans="1:23" ht="15" customHeight="1">
      <c r="A67" s="37">
        <v>58</v>
      </c>
      <c r="C67" t="s">
        <v>200</v>
      </c>
      <c r="E67" s="38">
        <v>80632864</v>
      </c>
      <c r="F67">
        <v>959320411</v>
      </c>
      <c r="H67" t="s">
        <v>1399</v>
      </c>
      <c r="I67" t="s">
        <v>201</v>
      </c>
      <c r="J67" t="s">
        <v>202</v>
      </c>
      <c r="K67" s="1">
        <v>44758</v>
      </c>
      <c r="L67" t="s">
        <v>1741</v>
      </c>
      <c r="M67" t="s">
        <v>8</v>
      </c>
      <c r="N67" s="20">
        <v>350</v>
      </c>
      <c r="O67" t="s">
        <v>1597</v>
      </c>
      <c r="P67" t="s">
        <v>10</v>
      </c>
      <c r="Q67" t="s">
        <v>11</v>
      </c>
      <c r="T67" s="113">
        <v>240</v>
      </c>
      <c r="U67" s="20">
        <f>N67-T67</f>
        <v>110</v>
      </c>
      <c r="V67" s="61">
        <f>U67/T67*100</f>
        <v>45.833333333333329</v>
      </c>
      <c r="W67">
        <v>1</v>
      </c>
    </row>
    <row r="68" spans="1:23" ht="15" customHeight="1">
      <c r="A68" s="37">
        <v>59</v>
      </c>
      <c r="B68" s="37" t="s">
        <v>23</v>
      </c>
      <c r="C68" t="s">
        <v>203</v>
      </c>
      <c r="E68" s="38"/>
      <c r="F68">
        <v>928813538</v>
      </c>
      <c r="J68" t="s">
        <v>204</v>
      </c>
      <c r="K68" s="1">
        <v>44759</v>
      </c>
      <c r="L68" t="s">
        <v>1740</v>
      </c>
      <c r="M68" t="s">
        <v>21</v>
      </c>
      <c r="N68" s="20">
        <v>190</v>
      </c>
      <c r="O68" t="s">
        <v>205</v>
      </c>
      <c r="P68" t="s">
        <v>10</v>
      </c>
      <c r="Q68" t="s">
        <v>22</v>
      </c>
      <c r="T68" s="113">
        <f>110+5</f>
        <v>115</v>
      </c>
      <c r="U68" s="67">
        <f>N68-T68</f>
        <v>75</v>
      </c>
      <c r="V68" s="61">
        <f>U68/T68*100</f>
        <v>65.217391304347828</v>
      </c>
      <c r="W68">
        <v>1</v>
      </c>
    </row>
    <row r="69" spans="1:23" ht="15" customHeight="1">
      <c r="A69" s="37">
        <v>60</v>
      </c>
      <c r="C69" t="s">
        <v>206</v>
      </c>
      <c r="E69" s="38">
        <v>42575441</v>
      </c>
      <c r="F69">
        <v>941003193</v>
      </c>
      <c r="H69" t="s">
        <v>199</v>
      </c>
      <c r="I69" t="s">
        <v>29</v>
      </c>
      <c r="K69" s="1">
        <v>44761</v>
      </c>
      <c r="L69" t="s">
        <v>1739</v>
      </c>
      <c r="M69" t="s">
        <v>8</v>
      </c>
      <c r="N69" s="20">
        <v>350</v>
      </c>
      <c r="O69" t="s">
        <v>1637</v>
      </c>
      <c r="P69" t="s">
        <v>10</v>
      </c>
      <c r="Q69" t="s">
        <v>11</v>
      </c>
      <c r="R69" s="61">
        <f>N69-258</f>
        <v>92</v>
      </c>
      <c r="T69" s="113">
        <v>258</v>
      </c>
      <c r="U69" s="67">
        <f>N69-T69</f>
        <v>92</v>
      </c>
      <c r="V69" s="61">
        <f>U69/T69*100</f>
        <v>35.65891472868217</v>
      </c>
      <c r="W69">
        <v>1</v>
      </c>
    </row>
    <row r="70" spans="1:23" ht="15" customHeight="1">
      <c r="A70" s="37">
        <v>61</v>
      </c>
      <c r="C70" t="s">
        <v>207</v>
      </c>
      <c r="E70" s="38">
        <v>70049898</v>
      </c>
      <c r="F70">
        <v>998075658</v>
      </c>
      <c r="H70" t="s">
        <v>89</v>
      </c>
      <c r="I70" t="s">
        <v>140</v>
      </c>
      <c r="K70" s="1">
        <v>44761</v>
      </c>
      <c r="L70" t="s">
        <v>1738</v>
      </c>
      <c r="M70" t="s">
        <v>56</v>
      </c>
      <c r="N70" s="20">
        <v>200</v>
      </c>
      <c r="P70" t="s">
        <v>10</v>
      </c>
      <c r="Q70" t="s">
        <v>11</v>
      </c>
      <c r="R70" s="61">
        <f>N70-110-15</f>
        <v>75</v>
      </c>
      <c r="T70" s="113">
        <f>110+15</f>
        <v>125</v>
      </c>
      <c r="U70" s="67">
        <f>N70-T70</f>
        <v>75</v>
      </c>
      <c r="V70" s="61">
        <f>U70/T70*100</f>
        <v>60</v>
      </c>
      <c r="W70">
        <v>1</v>
      </c>
    </row>
    <row r="71" spans="1:23" ht="15" customHeight="1">
      <c r="A71" s="37">
        <v>62</v>
      </c>
      <c r="C71" t="s">
        <v>208</v>
      </c>
      <c r="E71" s="38"/>
      <c r="F71">
        <v>983464608</v>
      </c>
      <c r="J71" t="s">
        <v>209</v>
      </c>
      <c r="K71" s="1">
        <v>44763</v>
      </c>
      <c r="L71" t="s">
        <v>1737</v>
      </c>
      <c r="M71" t="s">
        <v>8</v>
      </c>
      <c r="N71" s="20">
        <v>430</v>
      </c>
      <c r="P71" t="s">
        <v>10</v>
      </c>
      <c r="Q71" t="s">
        <v>11</v>
      </c>
      <c r="R71" s="61">
        <f>N71-258-40</f>
        <v>132</v>
      </c>
      <c r="T71" s="113">
        <f>258+40</f>
        <v>298</v>
      </c>
      <c r="U71" s="67">
        <f>N71-T71</f>
        <v>132</v>
      </c>
      <c r="V71" s="61">
        <f>U71/T71*100</f>
        <v>44.29530201342282</v>
      </c>
      <c r="W71">
        <v>1</v>
      </c>
    </row>
    <row r="72" spans="1:23" ht="15" customHeight="1">
      <c r="A72" s="37">
        <v>63</v>
      </c>
      <c r="C72" t="s">
        <v>210</v>
      </c>
      <c r="E72" s="38">
        <v>43624918</v>
      </c>
      <c r="F72">
        <v>984237366</v>
      </c>
      <c r="H72" t="s">
        <v>211</v>
      </c>
      <c r="I72" t="s">
        <v>147</v>
      </c>
      <c r="K72" s="1">
        <v>44763</v>
      </c>
      <c r="L72" t="s">
        <v>1645</v>
      </c>
      <c r="M72" t="s">
        <v>8</v>
      </c>
      <c r="N72" s="20">
        <v>370</v>
      </c>
      <c r="O72" t="s">
        <v>1736</v>
      </c>
      <c r="P72" t="s">
        <v>10</v>
      </c>
      <c r="Q72" t="s">
        <v>11</v>
      </c>
      <c r="R72" s="61">
        <f>N72-210-30</f>
        <v>130</v>
      </c>
      <c r="T72" s="113">
        <f>210+30</f>
        <v>240</v>
      </c>
      <c r="U72" s="67">
        <f>N72-T72</f>
        <v>130</v>
      </c>
      <c r="V72" s="61">
        <f>U72/T72*100</f>
        <v>54.166666666666664</v>
      </c>
      <c r="W72">
        <v>1</v>
      </c>
    </row>
    <row r="73" spans="1:23" ht="15" customHeight="1">
      <c r="A73" s="37">
        <v>64</v>
      </c>
      <c r="C73" t="s">
        <v>212</v>
      </c>
      <c r="E73" s="38">
        <v>43201206</v>
      </c>
      <c r="F73">
        <v>926022643</v>
      </c>
      <c r="H73" t="s">
        <v>79</v>
      </c>
      <c r="I73" t="s">
        <v>29</v>
      </c>
      <c r="K73" s="1">
        <v>44763</v>
      </c>
      <c r="L73" t="s">
        <v>1725</v>
      </c>
      <c r="M73" t="s">
        <v>38</v>
      </c>
      <c r="N73" s="20">
        <v>220</v>
      </c>
      <c r="O73" t="s">
        <v>1735</v>
      </c>
      <c r="P73" t="s">
        <v>10</v>
      </c>
      <c r="Q73" t="s">
        <v>11</v>
      </c>
      <c r="R73" s="61">
        <f>N73-110-15</f>
        <v>95</v>
      </c>
      <c r="S73" t="s">
        <v>1734</v>
      </c>
      <c r="T73" s="113">
        <f>110+15</f>
        <v>125</v>
      </c>
      <c r="U73" s="67">
        <f>N73-T73</f>
        <v>95</v>
      </c>
      <c r="V73" s="61">
        <f>U73/T73*100</f>
        <v>76</v>
      </c>
      <c r="W73">
        <v>1</v>
      </c>
    </row>
    <row r="74" spans="1:23" ht="15" customHeight="1">
      <c r="A74" s="37">
        <v>65</v>
      </c>
      <c r="C74" t="s">
        <v>213</v>
      </c>
      <c r="E74" s="38">
        <v>41533194</v>
      </c>
      <c r="F74">
        <v>951778860</v>
      </c>
      <c r="H74" t="s">
        <v>1733</v>
      </c>
      <c r="I74" t="s">
        <v>140</v>
      </c>
      <c r="K74" s="1">
        <v>44764</v>
      </c>
      <c r="L74" t="s">
        <v>1732</v>
      </c>
      <c r="M74" t="s">
        <v>8</v>
      </c>
      <c r="N74" s="20">
        <v>436</v>
      </c>
      <c r="P74" t="s">
        <v>10</v>
      </c>
      <c r="Q74" t="s">
        <v>11</v>
      </c>
      <c r="R74" s="61">
        <f>N74-56-110-7.5-115</f>
        <v>147.5</v>
      </c>
      <c r="S74" s="67" t="s">
        <v>1731</v>
      </c>
      <c r="T74" s="113">
        <f>56+110+7.5+115</f>
        <v>288.5</v>
      </c>
      <c r="U74" s="67">
        <f>N74-T74</f>
        <v>147.5</v>
      </c>
      <c r="V74" s="61">
        <f>U74/T74*100</f>
        <v>51.126516464471408</v>
      </c>
    </row>
    <row r="75" spans="1:23" ht="15" customHeight="1">
      <c r="A75" s="37">
        <v>66</v>
      </c>
      <c r="B75" s="37" t="s">
        <v>23</v>
      </c>
      <c r="C75" t="s">
        <v>214</v>
      </c>
      <c r="E75" s="38"/>
      <c r="F75">
        <v>915355401</v>
      </c>
      <c r="J75" t="s">
        <v>215</v>
      </c>
      <c r="K75" s="1">
        <v>44765</v>
      </c>
      <c r="L75" t="s">
        <v>1719</v>
      </c>
      <c r="M75" t="s">
        <v>21</v>
      </c>
      <c r="N75" s="20">
        <v>195</v>
      </c>
      <c r="O75" t="s">
        <v>216</v>
      </c>
      <c r="P75" t="s">
        <v>10</v>
      </c>
      <c r="Q75" t="s">
        <v>11</v>
      </c>
      <c r="R75" s="61">
        <f>N75-110-15</f>
        <v>70</v>
      </c>
      <c r="T75" s="113">
        <f>110+5</f>
        <v>115</v>
      </c>
      <c r="U75" s="67">
        <f>N75-T75</f>
        <v>80</v>
      </c>
      <c r="V75" s="61">
        <f>U75/T75*100</f>
        <v>69.565217391304344</v>
      </c>
    </row>
    <row r="76" spans="1:23" ht="15" customHeight="1">
      <c r="A76" s="37">
        <v>67</v>
      </c>
      <c r="B76" s="37" t="s">
        <v>12</v>
      </c>
      <c r="C76" t="s">
        <v>217</v>
      </c>
      <c r="E76" s="38">
        <v>48873500</v>
      </c>
      <c r="F76">
        <v>947360167</v>
      </c>
      <c r="G76" t="s">
        <v>218</v>
      </c>
      <c r="H76" t="s">
        <v>1730</v>
      </c>
      <c r="I76" t="s">
        <v>29</v>
      </c>
      <c r="K76" s="1">
        <v>44767</v>
      </c>
      <c r="L76" t="s">
        <v>1729</v>
      </c>
      <c r="M76" t="s">
        <v>8</v>
      </c>
      <c r="N76" s="20">
        <v>380</v>
      </c>
      <c r="O76" t="s">
        <v>219</v>
      </c>
      <c r="P76" t="s">
        <v>10</v>
      </c>
      <c r="Q76" t="s">
        <v>11</v>
      </c>
      <c r="R76" s="61"/>
      <c r="T76" s="113">
        <f>210+25</f>
        <v>235</v>
      </c>
      <c r="U76" s="67">
        <f>N76-T76</f>
        <v>145</v>
      </c>
      <c r="V76" s="61">
        <f>U76/T76*100</f>
        <v>61.702127659574465</v>
      </c>
    </row>
    <row r="77" spans="1:23" ht="15" customHeight="1">
      <c r="A77" s="37">
        <v>68</v>
      </c>
      <c r="B77" s="37" t="s">
        <v>23</v>
      </c>
      <c r="C77" t="s">
        <v>220</v>
      </c>
      <c r="E77" s="38"/>
      <c r="F77">
        <v>972519705</v>
      </c>
      <c r="J77" t="s">
        <v>63</v>
      </c>
      <c r="K77" s="1">
        <v>44767</v>
      </c>
      <c r="L77" t="s">
        <v>1719</v>
      </c>
      <c r="M77" t="s">
        <v>21</v>
      </c>
      <c r="N77" s="20">
        <v>190</v>
      </c>
      <c r="O77" t="s">
        <v>221</v>
      </c>
      <c r="P77" t="s">
        <v>10</v>
      </c>
      <c r="Q77" t="s">
        <v>22</v>
      </c>
      <c r="R77" s="61"/>
      <c r="T77" s="113">
        <f>110+15</f>
        <v>125</v>
      </c>
      <c r="U77" s="67">
        <f>N77-T77</f>
        <v>65</v>
      </c>
      <c r="V77" s="61">
        <f>U77/T77*100</f>
        <v>52</v>
      </c>
    </row>
    <row r="78" spans="1:23" ht="15" customHeight="1">
      <c r="A78" s="39">
        <v>69</v>
      </c>
      <c r="B78" s="39"/>
      <c r="C78" s="41" t="s">
        <v>222</v>
      </c>
      <c r="D78" s="41"/>
      <c r="E78" s="42"/>
      <c r="F78" s="41">
        <v>995690535</v>
      </c>
      <c r="G78" s="41"/>
      <c r="H78" s="41"/>
      <c r="I78" s="41"/>
      <c r="J78" s="41" t="s">
        <v>223</v>
      </c>
      <c r="K78" s="47">
        <v>44768</v>
      </c>
      <c r="L78" s="41" t="s">
        <v>1643</v>
      </c>
      <c r="M78" s="41" t="s">
        <v>21</v>
      </c>
      <c r="N78" s="48">
        <v>210</v>
      </c>
      <c r="O78" s="41" t="s">
        <v>1728</v>
      </c>
      <c r="P78" s="41" t="s">
        <v>10</v>
      </c>
      <c r="Q78" s="41" t="s">
        <v>11</v>
      </c>
      <c r="R78" s="41" t="s">
        <v>224</v>
      </c>
      <c r="T78" s="113">
        <f>110+15</f>
        <v>125</v>
      </c>
      <c r="U78" s="67">
        <f>N78-T78</f>
        <v>85</v>
      </c>
      <c r="V78" s="61">
        <f>U78/T78*100</f>
        <v>68</v>
      </c>
    </row>
    <row r="79" spans="1:23" ht="15" customHeight="1">
      <c r="A79" s="37">
        <v>70</v>
      </c>
      <c r="C79" t="s">
        <v>225</v>
      </c>
      <c r="E79" s="38">
        <v>80242300</v>
      </c>
      <c r="F79">
        <v>941995019</v>
      </c>
      <c r="J79" t="s">
        <v>226</v>
      </c>
      <c r="K79" s="1">
        <v>44768</v>
      </c>
      <c r="L79" t="s">
        <v>1658</v>
      </c>
      <c r="M79" t="s">
        <v>8</v>
      </c>
      <c r="N79" s="67">
        <v>350</v>
      </c>
      <c r="O79" t="s">
        <v>165</v>
      </c>
      <c r="P79" t="s">
        <v>10</v>
      </c>
      <c r="Q79" t="s">
        <v>11</v>
      </c>
      <c r="T79" s="113">
        <f>210+25</f>
        <v>235</v>
      </c>
      <c r="U79" s="67">
        <f>N79-T79</f>
        <v>115</v>
      </c>
      <c r="V79" s="61">
        <f>U79/T79*100</f>
        <v>48.936170212765958</v>
      </c>
    </row>
    <row r="80" spans="1:23" ht="15" customHeight="1">
      <c r="A80" s="39">
        <v>71</v>
      </c>
      <c r="B80" s="39" t="s">
        <v>60</v>
      </c>
      <c r="C80" s="41" t="s">
        <v>227</v>
      </c>
      <c r="D80" s="41"/>
      <c r="E80" s="42">
        <v>3707056</v>
      </c>
      <c r="F80" s="41">
        <v>928998527</v>
      </c>
      <c r="G80" s="41" t="s">
        <v>228</v>
      </c>
      <c r="H80" s="41" t="s">
        <v>229</v>
      </c>
      <c r="I80" s="41" t="s">
        <v>29</v>
      </c>
      <c r="J80" s="41"/>
      <c r="K80" s="47">
        <v>44769</v>
      </c>
      <c r="L80" s="41" t="s">
        <v>1643</v>
      </c>
      <c r="M80" s="41" t="s">
        <v>8</v>
      </c>
      <c r="N80" s="48">
        <v>199</v>
      </c>
      <c r="O80" s="41" t="s">
        <v>1692</v>
      </c>
      <c r="P80" s="41" t="s">
        <v>10</v>
      </c>
      <c r="Q80" s="41" t="s">
        <v>22</v>
      </c>
      <c r="T80" s="113">
        <f>110+15</f>
        <v>125</v>
      </c>
      <c r="U80" s="67">
        <f>N80-T80</f>
        <v>74</v>
      </c>
      <c r="V80" s="61">
        <f>U80/T80*100</f>
        <v>59.199999999999996</v>
      </c>
    </row>
    <row r="81" spans="1:23" ht="15" customHeight="1">
      <c r="A81" s="37">
        <v>72</v>
      </c>
      <c r="B81" s="37" t="s">
        <v>60</v>
      </c>
      <c r="C81" t="s">
        <v>230</v>
      </c>
      <c r="E81" s="38">
        <v>43584321</v>
      </c>
      <c r="F81">
        <v>998596486</v>
      </c>
      <c r="G81" t="s">
        <v>231</v>
      </c>
      <c r="H81" t="s">
        <v>65</v>
      </c>
      <c r="I81" t="s">
        <v>29</v>
      </c>
      <c r="K81" s="1">
        <v>44769</v>
      </c>
      <c r="L81" t="s">
        <v>1727</v>
      </c>
      <c r="M81" t="s">
        <v>8</v>
      </c>
      <c r="N81" s="67">
        <v>400</v>
      </c>
      <c r="P81" t="s">
        <v>10</v>
      </c>
      <c r="Q81" t="s">
        <v>22</v>
      </c>
      <c r="T81" s="113">
        <f>258+15+14</f>
        <v>287</v>
      </c>
      <c r="U81" s="67">
        <f>N81-T81</f>
        <v>113</v>
      </c>
      <c r="V81" s="61">
        <f>U81/T81*100</f>
        <v>39.372822299651567</v>
      </c>
    </row>
    <row r="82" spans="1:23" ht="15" customHeight="1">
      <c r="A82" s="37">
        <v>73</v>
      </c>
      <c r="B82" s="37" t="s">
        <v>60</v>
      </c>
      <c r="C82" t="s">
        <v>232</v>
      </c>
      <c r="E82" s="38">
        <v>73486769</v>
      </c>
      <c r="F82">
        <v>931133658</v>
      </c>
      <c r="G82" t="s">
        <v>233</v>
      </c>
      <c r="H82" t="s">
        <v>1726</v>
      </c>
      <c r="I82" t="s">
        <v>29</v>
      </c>
      <c r="K82" s="1">
        <v>44769</v>
      </c>
      <c r="L82" t="s">
        <v>1658</v>
      </c>
      <c r="M82" t="s">
        <v>8</v>
      </c>
      <c r="N82" s="67">
        <v>350</v>
      </c>
      <c r="P82" t="s">
        <v>10</v>
      </c>
      <c r="Q82" t="s">
        <v>22</v>
      </c>
      <c r="T82" s="113">
        <f>210+25</f>
        <v>235</v>
      </c>
      <c r="U82" s="67">
        <f>N82-T82</f>
        <v>115</v>
      </c>
      <c r="V82" s="61">
        <f>U82/T82*100</f>
        <v>48.936170212765958</v>
      </c>
    </row>
    <row r="83" spans="1:23" ht="15" customHeight="1">
      <c r="A83" s="37">
        <v>74</v>
      </c>
      <c r="B83" s="37" t="s">
        <v>12</v>
      </c>
      <c r="C83" t="s">
        <v>235</v>
      </c>
      <c r="E83" s="38"/>
      <c r="F83">
        <v>981176282</v>
      </c>
      <c r="G83" t="s">
        <v>236</v>
      </c>
      <c r="J83" t="s">
        <v>237</v>
      </c>
      <c r="K83" s="1">
        <v>44770</v>
      </c>
      <c r="L83" t="s">
        <v>1643</v>
      </c>
      <c r="M83" t="s">
        <v>1625</v>
      </c>
      <c r="N83" s="67">
        <v>210</v>
      </c>
      <c r="O83" t="s">
        <v>238</v>
      </c>
      <c r="P83" t="s">
        <v>10</v>
      </c>
      <c r="Q83" t="s">
        <v>22</v>
      </c>
      <c r="T83" s="113">
        <f>110+15</f>
        <v>125</v>
      </c>
      <c r="U83" s="67">
        <f>N83-T83</f>
        <v>85</v>
      </c>
      <c r="V83" s="61">
        <f>U83/T83*100</f>
        <v>68</v>
      </c>
    </row>
    <row r="84" spans="1:23" ht="15" customHeight="1">
      <c r="A84" s="37">
        <v>75</v>
      </c>
      <c r="B84" s="37" t="s">
        <v>60</v>
      </c>
      <c r="C84" t="s">
        <v>239</v>
      </c>
      <c r="E84" s="38">
        <v>23266856</v>
      </c>
      <c r="G84" t="s">
        <v>240</v>
      </c>
      <c r="H84" t="s">
        <v>241</v>
      </c>
      <c r="I84" t="s">
        <v>147</v>
      </c>
      <c r="K84" s="1">
        <v>44770</v>
      </c>
      <c r="L84" t="s">
        <v>1643</v>
      </c>
      <c r="M84" t="s">
        <v>8</v>
      </c>
      <c r="N84" s="67">
        <v>200</v>
      </c>
      <c r="P84" t="s">
        <v>10</v>
      </c>
      <c r="Q84" t="s">
        <v>22</v>
      </c>
      <c r="T84" s="113">
        <f>110+15</f>
        <v>125</v>
      </c>
      <c r="U84" s="67">
        <f>N84-T84</f>
        <v>75</v>
      </c>
      <c r="V84" s="61">
        <f>U84/T84*100</f>
        <v>60</v>
      </c>
    </row>
    <row r="85" spans="1:23" ht="15" customHeight="1">
      <c r="A85" s="37">
        <v>76</v>
      </c>
      <c r="B85" s="37" t="s">
        <v>12</v>
      </c>
      <c r="C85" t="s">
        <v>242</v>
      </c>
      <c r="E85" s="38">
        <v>10104281431</v>
      </c>
      <c r="F85">
        <v>997157123</v>
      </c>
      <c r="G85" t="s">
        <v>243</v>
      </c>
      <c r="J85" t="s">
        <v>7</v>
      </c>
      <c r="K85" s="1">
        <v>44774</v>
      </c>
      <c r="L85" t="s">
        <v>1725</v>
      </c>
      <c r="M85" t="s">
        <v>21</v>
      </c>
      <c r="N85" s="67">
        <v>220</v>
      </c>
      <c r="P85" t="s">
        <v>10</v>
      </c>
      <c r="Q85" t="s">
        <v>22</v>
      </c>
      <c r="T85" s="113">
        <f>110+15</f>
        <v>125</v>
      </c>
      <c r="U85" s="67">
        <f>N85-T85</f>
        <v>95</v>
      </c>
      <c r="V85" s="61">
        <f>U85/T85*100</f>
        <v>76</v>
      </c>
    </row>
    <row r="86" spans="1:23" ht="15" customHeight="1">
      <c r="A86" s="39">
        <v>71</v>
      </c>
      <c r="B86" s="39" t="s">
        <v>60</v>
      </c>
      <c r="C86" s="41" t="s">
        <v>227</v>
      </c>
      <c r="D86" s="41"/>
      <c r="E86" s="42">
        <v>3707056</v>
      </c>
      <c r="F86" s="41">
        <v>928998527</v>
      </c>
      <c r="G86" s="41"/>
      <c r="H86" s="41" t="s">
        <v>229</v>
      </c>
      <c r="I86" s="41" t="s">
        <v>29</v>
      </c>
      <c r="J86" s="41"/>
      <c r="K86" s="47">
        <v>44774</v>
      </c>
      <c r="L86" s="41" t="s">
        <v>1693</v>
      </c>
      <c r="M86" s="41" t="s">
        <v>8</v>
      </c>
      <c r="N86" s="48">
        <v>1080</v>
      </c>
      <c r="O86" s="41" t="s">
        <v>1692</v>
      </c>
      <c r="P86" s="41" t="s">
        <v>31</v>
      </c>
      <c r="Q86" s="41" t="s">
        <v>22</v>
      </c>
      <c r="R86" s="41" t="s">
        <v>1724</v>
      </c>
      <c r="T86" s="113">
        <f>110*6+11*6</f>
        <v>726</v>
      </c>
      <c r="U86" s="67">
        <f>N86-T86</f>
        <v>354</v>
      </c>
      <c r="V86" s="61">
        <f>U86/T86*100</f>
        <v>48.760330578512395</v>
      </c>
    </row>
    <row r="87" spans="1:23" ht="15" customHeight="1">
      <c r="A87" s="37">
        <v>77</v>
      </c>
      <c r="B87" s="37" t="s">
        <v>60</v>
      </c>
      <c r="C87" t="s">
        <v>245</v>
      </c>
      <c r="E87" s="38"/>
      <c r="F87">
        <v>993070565</v>
      </c>
      <c r="G87" t="s">
        <v>246</v>
      </c>
      <c r="J87" t="s">
        <v>7</v>
      </c>
      <c r="K87" s="1">
        <v>44774</v>
      </c>
      <c r="L87" t="s">
        <v>1711</v>
      </c>
      <c r="M87" t="s">
        <v>8</v>
      </c>
      <c r="N87" s="67">
        <v>320</v>
      </c>
      <c r="P87" t="s">
        <v>10</v>
      </c>
      <c r="Q87" t="s">
        <v>22</v>
      </c>
      <c r="T87" s="113">
        <v>210</v>
      </c>
      <c r="U87" s="67">
        <f>N87-T87</f>
        <v>110</v>
      </c>
      <c r="V87" s="61">
        <f>U87/T87*100</f>
        <v>52.380952380952387</v>
      </c>
    </row>
    <row r="88" spans="1:23" ht="15" customHeight="1">
      <c r="A88" s="37">
        <v>78</v>
      </c>
      <c r="B88" s="37" t="s">
        <v>60</v>
      </c>
      <c r="C88" t="s">
        <v>247</v>
      </c>
      <c r="E88" s="38">
        <v>18187208</v>
      </c>
      <c r="F88">
        <v>943306671</v>
      </c>
      <c r="G88" t="s">
        <v>248</v>
      </c>
      <c r="H88" t="s">
        <v>249</v>
      </c>
      <c r="I88" t="s">
        <v>29</v>
      </c>
      <c r="K88" s="1">
        <v>44774</v>
      </c>
      <c r="L88" t="s">
        <v>1643</v>
      </c>
      <c r="M88" t="s">
        <v>8</v>
      </c>
      <c r="N88" s="67">
        <v>200</v>
      </c>
      <c r="P88" t="s">
        <v>10</v>
      </c>
      <c r="Q88" t="s">
        <v>22</v>
      </c>
      <c r="R88" t="s">
        <v>1724</v>
      </c>
      <c r="T88" s="113">
        <f>110+15</f>
        <v>125</v>
      </c>
      <c r="U88" s="67">
        <f>N88-T88</f>
        <v>75</v>
      </c>
      <c r="V88" s="61">
        <f>U88/T88*100</f>
        <v>60</v>
      </c>
    </row>
    <row r="89" spans="1:23" ht="15" customHeight="1">
      <c r="A89" s="39">
        <v>79</v>
      </c>
      <c r="B89" s="39" t="s">
        <v>60</v>
      </c>
      <c r="C89" s="41" t="s">
        <v>250</v>
      </c>
      <c r="D89" s="41"/>
      <c r="E89" s="42"/>
      <c r="F89" s="41"/>
      <c r="G89" s="41" t="s">
        <v>251</v>
      </c>
      <c r="H89" s="41"/>
      <c r="I89" s="41"/>
      <c r="J89" s="41" t="s">
        <v>252</v>
      </c>
      <c r="K89" s="47">
        <v>44775</v>
      </c>
      <c r="L89" s="41" t="s">
        <v>1537</v>
      </c>
      <c r="M89" s="41" t="s">
        <v>8</v>
      </c>
      <c r="N89" s="48">
        <v>800</v>
      </c>
      <c r="O89" s="41" t="s">
        <v>253</v>
      </c>
      <c r="P89" s="41" t="s">
        <v>10</v>
      </c>
      <c r="Q89" s="41" t="s">
        <v>22</v>
      </c>
      <c r="T89" s="113">
        <f>5*110</f>
        <v>550</v>
      </c>
      <c r="U89" s="67">
        <f>N89-T89</f>
        <v>250</v>
      </c>
      <c r="V89" s="61">
        <f>U89/T89*100</f>
        <v>45.454545454545453</v>
      </c>
    </row>
    <row r="90" spans="1:23" ht="15" customHeight="1">
      <c r="A90" s="37">
        <v>80</v>
      </c>
      <c r="C90" t="s">
        <v>254</v>
      </c>
      <c r="E90" s="38">
        <v>42419980</v>
      </c>
      <c r="F90">
        <v>975450957</v>
      </c>
      <c r="H90" t="s">
        <v>1723</v>
      </c>
      <c r="I90" t="s">
        <v>147</v>
      </c>
      <c r="K90" s="1">
        <v>44775</v>
      </c>
      <c r="L90" t="s">
        <v>1658</v>
      </c>
      <c r="M90" t="s">
        <v>8</v>
      </c>
      <c r="N90" s="67">
        <v>350</v>
      </c>
      <c r="P90" t="s">
        <v>10</v>
      </c>
      <c r="Q90" t="s">
        <v>22</v>
      </c>
      <c r="T90" s="113">
        <f>210+30</f>
        <v>240</v>
      </c>
      <c r="U90" s="67">
        <f>N90-T90</f>
        <v>110</v>
      </c>
      <c r="V90" s="61">
        <f>U90/T90*100</f>
        <v>45.833333333333329</v>
      </c>
    </row>
    <row r="91" spans="1:23" ht="15" customHeight="1">
      <c r="A91" s="37">
        <v>81</v>
      </c>
      <c r="C91" t="s">
        <v>255</v>
      </c>
      <c r="E91" s="38">
        <v>16682331</v>
      </c>
      <c r="F91">
        <v>979996998</v>
      </c>
      <c r="H91" t="s">
        <v>256</v>
      </c>
      <c r="I91" t="s">
        <v>257</v>
      </c>
      <c r="K91" s="1">
        <v>44775</v>
      </c>
      <c r="L91" t="s">
        <v>1722</v>
      </c>
      <c r="M91" t="s">
        <v>8</v>
      </c>
      <c r="N91" s="67">
        <v>350</v>
      </c>
      <c r="P91" t="s">
        <v>10</v>
      </c>
      <c r="Q91" t="s">
        <v>22</v>
      </c>
      <c r="R91">
        <v>20</v>
      </c>
      <c r="T91" s="113">
        <f>110+110+15</f>
        <v>235</v>
      </c>
      <c r="U91" s="67">
        <f>N91-T91</f>
        <v>115</v>
      </c>
      <c r="V91" s="61">
        <f>U91/T91*100</f>
        <v>48.936170212765958</v>
      </c>
    </row>
    <row r="92" spans="1:23" ht="15" customHeight="1">
      <c r="A92" s="37">
        <v>82</v>
      </c>
      <c r="B92" s="37" t="s">
        <v>23</v>
      </c>
      <c r="C92" t="s">
        <v>258</v>
      </c>
      <c r="E92" s="38"/>
      <c r="F92">
        <v>917805990</v>
      </c>
      <c r="J92" t="s">
        <v>259</v>
      </c>
      <c r="K92" s="1">
        <v>44775</v>
      </c>
      <c r="L92" t="s">
        <v>1721</v>
      </c>
      <c r="M92" t="s">
        <v>21</v>
      </c>
      <c r="N92" s="67">
        <v>335</v>
      </c>
      <c r="P92" t="s">
        <v>10</v>
      </c>
      <c r="Q92" t="s">
        <v>22</v>
      </c>
      <c r="T92" s="113">
        <f>210+15</f>
        <v>225</v>
      </c>
      <c r="U92" s="67">
        <f>N92-T92</f>
        <v>110</v>
      </c>
      <c r="V92" s="61">
        <f>U92/T92*100</f>
        <v>48.888888888888886</v>
      </c>
      <c r="W92" s="61">
        <f>SUM(U85:U92)</f>
        <v>1219</v>
      </c>
    </row>
    <row r="93" spans="1:23" ht="15" customHeight="1">
      <c r="A93" s="37">
        <v>83</v>
      </c>
      <c r="C93" t="s">
        <v>260</v>
      </c>
      <c r="E93" s="38">
        <v>42396096</v>
      </c>
      <c r="F93">
        <v>928641938</v>
      </c>
      <c r="H93" t="s">
        <v>82</v>
      </c>
      <c r="I93" t="s">
        <v>261</v>
      </c>
      <c r="K93" s="1">
        <v>44776</v>
      </c>
      <c r="L93" t="s">
        <v>1720</v>
      </c>
      <c r="M93" t="s">
        <v>1628</v>
      </c>
      <c r="N93" s="67">
        <v>640</v>
      </c>
      <c r="P93" t="s">
        <v>10</v>
      </c>
      <c r="Q93" t="s">
        <v>22</v>
      </c>
      <c r="T93" s="113">
        <f>4*110</f>
        <v>440</v>
      </c>
      <c r="U93" s="67">
        <f>N93-T93</f>
        <v>200</v>
      </c>
      <c r="V93" s="61">
        <f>U93/T93*100</f>
        <v>45.454545454545453</v>
      </c>
      <c r="W93" s="61"/>
    </row>
    <row r="94" spans="1:23" ht="15" customHeight="1">
      <c r="A94" s="37">
        <v>84</v>
      </c>
      <c r="B94" s="37" t="s">
        <v>0</v>
      </c>
      <c r="C94" t="s">
        <v>262</v>
      </c>
      <c r="E94" s="38">
        <v>29615360</v>
      </c>
      <c r="F94">
        <v>930167843</v>
      </c>
      <c r="G94" t="s">
        <v>263</v>
      </c>
      <c r="J94" t="s">
        <v>183</v>
      </c>
      <c r="K94" s="1">
        <v>44776</v>
      </c>
      <c r="L94" t="s">
        <v>1719</v>
      </c>
      <c r="M94" t="s">
        <v>21</v>
      </c>
      <c r="N94" s="67">
        <v>190</v>
      </c>
      <c r="O94" t="s">
        <v>1718</v>
      </c>
      <c r="P94" t="s">
        <v>10</v>
      </c>
      <c r="Q94" t="s">
        <v>22</v>
      </c>
      <c r="T94" s="113">
        <f>110+10</f>
        <v>120</v>
      </c>
      <c r="U94" s="67">
        <f>N94-T94</f>
        <v>70</v>
      </c>
      <c r="V94" s="61">
        <f>U94/T94*100</f>
        <v>58.333333333333336</v>
      </c>
      <c r="W94" s="61"/>
    </row>
    <row r="95" spans="1:23" ht="15" customHeight="1">
      <c r="A95" s="37">
        <v>60</v>
      </c>
      <c r="C95" t="s">
        <v>206</v>
      </c>
      <c r="E95" s="38">
        <v>42575441</v>
      </c>
      <c r="F95">
        <v>941003193</v>
      </c>
      <c r="H95" t="s">
        <v>199</v>
      </c>
      <c r="I95" t="s">
        <v>29</v>
      </c>
      <c r="K95" s="1">
        <v>44776</v>
      </c>
      <c r="L95" t="s">
        <v>1717</v>
      </c>
      <c r="M95" t="s">
        <v>8</v>
      </c>
      <c r="N95" s="20">
        <v>175</v>
      </c>
      <c r="O95" t="s">
        <v>1637</v>
      </c>
      <c r="P95" t="s">
        <v>10</v>
      </c>
      <c r="Q95" t="s">
        <v>11</v>
      </c>
      <c r="T95" s="113">
        <f>14*5+10</f>
        <v>80</v>
      </c>
      <c r="U95" s="67">
        <f>N95-T95</f>
        <v>95</v>
      </c>
      <c r="V95" s="61">
        <f>U95/T95*100</f>
        <v>118.75</v>
      </c>
      <c r="W95" s="61"/>
    </row>
    <row r="96" spans="1:23" ht="15" customHeight="1">
      <c r="A96" s="37">
        <v>87</v>
      </c>
      <c r="B96" s="37" t="s">
        <v>12</v>
      </c>
      <c r="C96" t="s">
        <v>264</v>
      </c>
      <c r="E96" s="38"/>
      <c r="F96">
        <v>943073730</v>
      </c>
      <c r="G96" t="s">
        <v>265</v>
      </c>
      <c r="H96" t="s">
        <v>266</v>
      </c>
      <c r="I96" t="s">
        <v>267</v>
      </c>
      <c r="K96" s="1">
        <v>44777</v>
      </c>
      <c r="L96" t="s">
        <v>1716</v>
      </c>
      <c r="M96" t="s">
        <v>1628</v>
      </c>
      <c r="N96" s="20">
        <v>870</v>
      </c>
      <c r="P96" t="s">
        <v>10</v>
      </c>
      <c r="Q96" t="s">
        <v>22</v>
      </c>
      <c r="T96" s="113">
        <f>369+150+175</f>
        <v>694</v>
      </c>
      <c r="U96" s="67">
        <f>N96-T96</f>
        <v>176</v>
      </c>
      <c r="V96" s="61">
        <f>U96/T96*100</f>
        <v>25.360230547550433</v>
      </c>
      <c r="W96" s="61"/>
    </row>
    <row r="97" spans="1:25" ht="15" customHeight="1">
      <c r="A97" s="37">
        <v>85</v>
      </c>
      <c r="C97" t="s">
        <v>269</v>
      </c>
      <c r="E97" s="38">
        <v>40403413</v>
      </c>
      <c r="F97">
        <v>951251638</v>
      </c>
      <c r="H97" t="s">
        <v>107</v>
      </c>
      <c r="I97" t="s">
        <v>29</v>
      </c>
      <c r="K97" s="1">
        <v>44777</v>
      </c>
      <c r="L97" t="s">
        <v>1643</v>
      </c>
      <c r="M97" t="s">
        <v>8</v>
      </c>
      <c r="N97" s="20">
        <v>199</v>
      </c>
      <c r="P97" t="s">
        <v>10</v>
      </c>
      <c r="Q97" t="s">
        <v>22</v>
      </c>
      <c r="T97" s="113">
        <f>110+15</f>
        <v>125</v>
      </c>
      <c r="U97" s="67">
        <f>N97-T97</f>
        <v>74</v>
      </c>
      <c r="V97" s="61">
        <f>U97/T97*100</f>
        <v>59.199999999999996</v>
      </c>
      <c r="W97" s="61"/>
    </row>
    <row r="98" spans="1:25" ht="15" customHeight="1">
      <c r="A98" s="37">
        <v>86</v>
      </c>
      <c r="B98" s="37" t="s">
        <v>23</v>
      </c>
      <c r="C98" t="s">
        <v>270</v>
      </c>
      <c r="E98" s="38"/>
      <c r="F98">
        <v>966219228</v>
      </c>
      <c r="J98" t="s">
        <v>7</v>
      </c>
      <c r="K98" s="1">
        <v>44777</v>
      </c>
      <c r="L98" t="s">
        <v>1658</v>
      </c>
      <c r="M98" t="s">
        <v>21</v>
      </c>
      <c r="N98" s="20">
        <v>330</v>
      </c>
      <c r="O98" t="s">
        <v>271</v>
      </c>
      <c r="P98" t="s">
        <v>10</v>
      </c>
      <c r="Q98" t="s">
        <v>11</v>
      </c>
      <c r="T98" s="113">
        <f>210+30</f>
        <v>240</v>
      </c>
      <c r="U98" s="67">
        <f>N98-T98</f>
        <v>90</v>
      </c>
      <c r="V98" s="61">
        <f>U98/T98*100</f>
        <v>37.5</v>
      </c>
      <c r="W98" s="61"/>
    </row>
    <row r="99" spans="1:25" ht="15" customHeight="1">
      <c r="A99" s="37">
        <v>88</v>
      </c>
      <c r="B99" s="37" t="s">
        <v>12</v>
      </c>
      <c r="C99" t="s">
        <v>272</v>
      </c>
      <c r="E99">
        <v>10719011280</v>
      </c>
      <c r="F99">
        <v>902062558</v>
      </c>
      <c r="G99" t="s">
        <v>273</v>
      </c>
      <c r="J99" t="s">
        <v>274</v>
      </c>
      <c r="K99" s="1">
        <v>44779</v>
      </c>
      <c r="L99" t="s">
        <v>1643</v>
      </c>
      <c r="M99" t="s">
        <v>8</v>
      </c>
      <c r="N99" s="20">
        <v>200</v>
      </c>
      <c r="O99" t="s">
        <v>52</v>
      </c>
      <c r="P99" t="s">
        <v>10</v>
      </c>
      <c r="Q99" t="s">
        <v>11</v>
      </c>
      <c r="T99" s="113">
        <f>110+15</f>
        <v>125</v>
      </c>
      <c r="U99" s="67">
        <f>N99-T99</f>
        <v>75</v>
      </c>
      <c r="V99" s="61">
        <f>U99/T99*100</f>
        <v>60</v>
      </c>
      <c r="W99" s="61"/>
    </row>
    <row r="100" spans="1:25" ht="15" customHeight="1">
      <c r="A100" s="37">
        <v>89</v>
      </c>
      <c r="C100" t="s">
        <v>275</v>
      </c>
      <c r="E100" s="38">
        <v>70750791</v>
      </c>
      <c r="F100">
        <v>984876283</v>
      </c>
      <c r="H100" t="s">
        <v>282</v>
      </c>
      <c r="I100" t="s">
        <v>276</v>
      </c>
      <c r="J100" t="s">
        <v>277</v>
      </c>
      <c r="K100" s="1">
        <v>44779</v>
      </c>
      <c r="L100" t="s">
        <v>1715</v>
      </c>
      <c r="M100" t="s">
        <v>38</v>
      </c>
      <c r="N100" s="20">
        <v>185</v>
      </c>
      <c r="P100" t="s">
        <v>10</v>
      </c>
      <c r="Q100" t="s">
        <v>11</v>
      </c>
      <c r="T100" s="113">
        <f>110</f>
        <v>110</v>
      </c>
      <c r="U100" s="67">
        <f>N100-T100</f>
        <v>75</v>
      </c>
      <c r="V100" s="61">
        <f>U100/T100*100</f>
        <v>68.181818181818173</v>
      </c>
      <c r="W100" s="61"/>
    </row>
    <row r="101" spans="1:25" ht="15" customHeight="1">
      <c r="A101" s="37">
        <v>90</v>
      </c>
      <c r="C101" t="s">
        <v>278</v>
      </c>
      <c r="E101" s="38">
        <v>4262414</v>
      </c>
      <c r="F101">
        <v>970725627</v>
      </c>
      <c r="H101" t="s">
        <v>1714</v>
      </c>
      <c r="I101" t="s">
        <v>279</v>
      </c>
      <c r="J101" t="s">
        <v>280</v>
      </c>
      <c r="K101" s="1">
        <v>44780</v>
      </c>
      <c r="L101" t="s">
        <v>1643</v>
      </c>
      <c r="M101" t="s">
        <v>8</v>
      </c>
      <c r="N101" s="20">
        <v>200</v>
      </c>
      <c r="P101" t="s">
        <v>10</v>
      </c>
      <c r="Q101" t="s">
        <v>22</v>
      </c>
      <c r="T101" s="113">
        <f>15+110</f>
        <v>125</v>
      </c>
      <c r="U101" s="67">
        <f>N101-T101</f>
        <v>75</v>
      </c>
      <c r="V101" s="61">
        <f>U101/T101*100</f>
        <v>60</v>
      </c>
      <c r="W101" s="61"/>
    </row>
    <row r="102" spans="1:25" ht="15" customHeight="1">
      <c r="A102" s="37">
        <v>91</v>
      </c>
      <c r="B102" s="37" t="s">
        <v>23</v>
      </c>
      <c r="C102" t="s">
        <v>281</v>
      </c>
      <c r="E102" s="38"/>
      <c r="J102" t="s">
        <v>252</v>
      </c>
      <c r="K102" s="1">
        <v>44780</v>
      </c>
      <c r="L102" t="s">
        <v>1713</v>
      </c>
      <c r="M102" t="s">
        <v>21</v>
      </c>
      <c r="N102" s="20">
        <v>520</v>
      </c>
      <c r="O102" t="s">
        <v>134</v>
      </c>
      <c r="P102" t="s">
        <v>10</v>
      </c>
      <c r="Q102" t="s">
        <v>22</v>
      </c>
      <c r="T102" s="113">
        <f>210+15+150</f>
        <v>375</v>
      </c>
      <c r="U102" s="67">
        <f>N102-T102</f>
        <v>145</v>
      </c>
      <c r="V102" s="61">
        <f>U102/T102*100</f>
        <v>38.666666666666664</v>
      </c>
      <c r="W102" s="61"/>
    </row>
    <row r="103" spans="1:25" ht="15" customHeight="1">
      <c r="A103" s="37">
        <v>89</v>
      </c>
      <c r="C103" t="s">
        <v>275</v>
      </c>
      <c r="E103" s="38">
        <v>70750791</v>
      </c>
      <c r="F103">
        <v>984876283</v>
      </c>
      <c r="H103" t="s">
        <v>282</v>
      </c>
      <c r="I103" t="s">
        <v>276</v>
      </c>
      <c r="J103" t="s">
        <v>277</v>
      </c>
      <c r="K103" s="1">
        <v>44781</v>
      </c>
      <c r="L103" t="s">
        <v>1712</v>
      </c>
      <c r="M103" t="s">
        <v>38</v>
      </c>
      <c r="N103" s="20">
        <v>295</v>
      </c>
      <c r="P103" t="s">
        <v>10</v>
      </c>
      <c r="Q103" t="s">
        <v>11</v>
      </c>
      <c r="T103" s="113">
        <f>199</f>
        <v>199</v>
      </c>
      <c r="U103" s="67">
        <f>N103-T103</f>
        <v>96</v>
      </c>
      <c r="V103" s="61">
        <f>U103/T103*100</f>
        <v>48.241206030150749</v>
      </c>
      <c r="W103" s="61"/>
    </row>
    <row r="104" spans="1:25" ht="15" customHeight="1">
      <c r="A104" s="39">
        <v>92</v>
      </c>
      <c r="B104" s="39" t="s">
        <v>23</v>
      </c>
      <c r="C104" s="41" t="s">
        <v>283</v>
      </c>
      <c r="D104" s="41"/>
      <c r="E104" s="42"/>
      <c r="F104" s="41">
        <v>993409484</v>
      </c>
      <c r="G104" s="41"/>
      <c r="H104" s="41"/>
      <c r="I104" s="41"/>
      <c r="J104" s="41" t="s">
        <v>7</v>
      </c>
      <c r="K104" s="47">
        <v>44781</v>
      </c>
      <c r="L104" s="41" t="s">
        <v>1711</v>
      </c>
      <c r="M104" s="41" t="s">
        <v>21</v>
      </c>
      <c r="N104" s="48">
        <v>310</v>
      </c>
      <c r="O104" s="41" t="s">
        <v>1688</v>
      </c>
      <c r="P104" s="41" t="s">
        <v>31</v>
      </c>
      <c r="Q104" s="41" t="s">
        <v>11</v>
      </c>
      <c r="T104" s="113">
        <v>210</v>
      </c>
      <c r="U104" s="67">
        <f>N104-T104</f>
        <v>100</v>
      </c>
      <c r="V104" s="61">
        <f>U104/T104*100</f>
        <v>47.619047619047613</v>
      </c>
      <c r="W104" s="61"/>
    </row>
    <row r="105" spans="1:25" ht="15" customHeight="1">
      <c r="A105" s="37">
        <v>93</v>
      </c>
      <c r="C105" t="s">
        <v>284</v>
      </c>
      <c r="E105" s="38">
        <v>73207365</v>
      </c>
      <c r="F105">
        <v>928672091</v>
      </c>
      <c r="H105" t="s">
        <v>1710</v>
      </c>
      <c r="I105" t="s">
        <v>285</v>
      </c>
      <c r="K105" s="1">
        <v>44781</v>
      </c>
      <c r="L105" t="s">
        <v>1709</v>
      </c>
      <c r="M105" t="s">
        <v>8</v>
      </c>
      <c r="N105" s="20">
        <v>480</v>
      </c>
      <c r="P105" t="s">
        <v>10</v>
      </c>
      <c r="Q105" t="s">
        <v>11</v>
      </c>
      <c r="T105" s="113">
        <f>210+120</f>
        <v>330</v>
      </c>
      <c r="U105" s="67">
        <f>N105-T105</f>
        <v>150</v>
      </c>
      <c r="V105" s="61">
        <f>U105/T105*100</f>
        <v>45.454545454545453</v>
      </c>
      <c r="W105" s="61"/>
    </row>
    <row r="106" spans="1:25" ht="15" customHeight="1">
      <c r="A106" s="37">
        <v>94</v>
      </c>
      <c r="B106" s="37" t="s">
        <v>12</v>
      </c>
      <c r="C106" t="s">
        <v>286</v>
      </c>
      <c r="E106" s="38">
        <v>10105494578</v>
      </c>
      <c r="F106">
        <v>931125729</v>
      </c>
      <c r="G106" t="s">
        <v>287</v>
      </c>
      <c r="J106" t="s">
        <v>209</v>
      </c>
      <c r="K106" s="1">
        <v>44781</v>
      </c>
      <c r="L106" t="s">
        <v>1708</v>
      </c>
      <c r="M106" t="s">
        <v>8</v>
      </c>
      <c r="N106" s="20">
        <f>610+80</f>
        <v>690</v>
      </c>
      <c r="O106" t="s">
        <v>1707</v>
      </c>
      <c r="P106" t="s">
        <v>10</v>
      </c>
      <c r="Q106" t="s">
        <v>11</v>
      </c>
      <c r="R106" t="s">
        <v>1706</v>
      </c>
      <c r="T106" s="113">
        <f>369+120</f>
        <v>489</v>
      </c>
      <c r="U106" s="67">
        <f>N106-T106</f>
        <v>201</v>
      </c>
      <c r="V106" s="61">
        <f>U106/T106*100</f>
        <v>41.104294478527606</v>
      </c>
      <c r="W106" s="61"/>
    </row>
    <row r="107" spans="1:25" ht="15" customHeight="1">
      <c r="A107" s="39">
        <v>92</v>
      </c>
      <c r="B107" s="39" t="s">
        <v>60</v>
      </c>
      <c r="C107" s="41" t="s">
        <v>283</v>
      </c>
      <c r="D107" s="41"/>
      <c r="E107" s="42"/>
      <c r="F107" s="41">
        <v>993409484</v>
      </c>
      <c r="G107" s="41" t="s">
        <v>288</v>
      </c>
      <c r="H107" s="41"/>
      <c r="I107" s="41"/>
      <c r="J107" s="41" t="s">
        <v>289</v>
      </c>
      <c r="K107" s="47">
        <v>44782</v>
      </c>
      <c r="L107" s="41" t="s">
        <v>1705</v>
      </c>
      <c r="M107" s="41" t="s">
        <v>1704</v>
      </c>
      <c r="N107" s="48">
        <v>605</v>
      </c>
      <c r="O107" s="41" t="s">
        <v>1688</v>
      </c>
      <c r="P107" s="41" t="s">
        <v>31</v>
      </c>
      <c r="Q107" s="41" t="s">
        <v>11</v>
      </c>
      <c r="T107" s="113">
        <f>210*2</f>
        <v>420</v>
      </c>
      <c r="U107" s="67">
        <f>N107-T107</f>
        <v>185</v>
      </c>
      <c r="V107" s="61">
        <f>U107/T107*100</f>
        <v>44.047619047619044</v>
      </c>
      <c r="W107" s="61"/>
    </row>
    <row r="108" spans="1:25" ht="15" customHeight="1">
      <c r="A108" s="37">
        <v>95</v>
      </c>
      <c r="C108" t="s">
        <v>290</v>
      </c>
      <c r="E108" s="38">
        <v>74625531</v>
      </c>
      <c r="F108">
        <v>991618006</v>
      </c>
      <c r="H108" t="s">
        <v>1703</v>
      </c>
      <c r="I108" t="s">
        <v>291</v>
      </c>
      <c r="K108" s="1">
        <v>44782</v>
      </c>
      <c r="L108" t="s">
        <v>1702</v>
      </c>
      <c r="M108" t="s">
        <v>8</v>
      </c>
      <c r="N108" s="20">
        <v>225</v>
      </c>
      <c r="P108" t="s">
        <v>10</v>
      </c>
      <c r="Q108" t="s">
        <v>11</v>
      </c>
      <c r="T108" s="113">
        <f>30+110+10</f>
        <v>150</v>
      </c>
      <c r="U108" s="67">
        <f>N108-T108</f>
        <v>75</v>
      </c>
      <c r="V108" s="61">
        <f>U108/T108*100</f>
        <v>50</v>
      </c>
      <c r="W108" s="61"/>
    </row>
    <row r="109" spans="1:25" ht="15" customHeight="1">
      <c r="A109" s="111">
        <v>96</v>
      </c>
      <c r="B109" s="111"/>
      <c r="C109" s="13" t="s">
        <v>292</v>
      </c>
      <c r="D109" s="13"/>
      <c r="E109" s="110"/>
      <c r="F109" s="13">
        <v>951216509</v>
      </c>
      <c r="G109" s="13"/>
      <c r="H109" s="13" t="s">
        <v>293</v>
      </c>
      <c r="I109" s="13" t="s">
        <v>294</v>
      </c>
      <c r="J109" s="13" t="s">
        <v>295</v>
      </c>
      <c r="K109" s="109">
        <v>44782</v>
      </c>
      <c r="L109" s="13" t="s">
        <v>1701</v>
      </c>
      <c r="M109" s="13" t="s">
        <v>1700</v>
      </c>
      <c r="N109" s="108">
        <v>480</v>
      </c>
      <c r="O109" s="13"/>
      <c r="P109" s="13" t="s">
        <v>31</v>
      </c>
      <c r="Q109" s="13" t="s">
        <v>11</v>
      </c>
      <c r="R109" s="13"/>
      <c r="S109" s="106">
        <f>210+15+25+110</f>
        <v>360</v>
      </c>
      <c r="T109" s="122">
        <f>110+210+11.5+15+25</f>
        <v>371.5</v>
      </c>
      <c r="U109" s="106">
        <f>N109-T109</f>
        <v>108.5</v>
      </c>
      <c r="V109" s="107">
        <f>U109/T109*100</f>
        <v>29.205921938088832</v>
      </c>
      <c r="W109" s="107"/>
      <c r="X109" s="13"/>
      <c r="Y109" s="13"/>
    </row>
    <row r="110" spans="1:25" ht="15" customHeight="1">
      <c r="A110" s="37">
        <v>87</v>
      </c>
      <c r="B110" s="37" t="s">
        <v>12</v>
      </c>
      <c r="C110" t="s">
        <v>264</v>
      </c>
      <c r="E110" s="38"/>
      <c r="F110">
        <v>943073730</v>
      </c>
      <c r="G110" t="s">
        <v>296</v>
      </c>
      <c r="H110" t="s">
        <v>266</v>
      </c>
      <c r="I110" t="s">
        <v>267</v>
      </c>
      <c r="K110" s="1">
        <v>44782</v>
      </c>
      <c r="L110" t="s">
        <v>1699</v>
      </c>
      <c r="M110" t="s">
        <v>8</v>
      </c>
      <c r="N110" s="20">
        <v>240</v>
      </c>
      <c r="P110" t="s">
        <v>10</v>
      </c>
      <c r="Q110" t="s">
        <v>22</v>
      </c>
      <c r="S110" s="67"/>
      <c r="T110" s="113">
        <f>12*9+15</f>
        <v>123</v>
      </c>
      <c r="U110" s="67">
        <f>N110-T110</f>
        <v>117</v>
      </c>
      <c r="V110" s="61">
        <f>U110/T110*100</f>
        <v>95.121951219512198</v>
      </c>
      <c r="W110" s="61"/>
    </row>
    <row r="111" spans="1:25" s="14" customFormat="1" ht="15" customHeight="1">
      <c r="A111" s="45">
        <v>98</v>
      </c>
      <c r="B111" s="45" t="s">
        <v>60</v>
      </c>
      <c r="C111" s="14" t="s">
        <v>297</v>
      </c>
      <c r="E111" s="46">
        <v>42007074</v>
      </c>
      <c r="F111" s="14">
        <v>988197479</v>
      </c>
      <c r="G111" s="14" t="s">
        <v>298</v>
      </c>
      <c r="J111" s="14" t="s">
        <v>7</v>
      </c>
      <c r="K111" s="1">
        <v>44782</v>
      </c>
      <c r="L111" s="14" t="s">
        <v>1698</v>
      </c>
      <c r="M111" s="14" t="s">
        <v>56</v>
      </c>
      <c r="N111" s="54">
        <v>700</v>
      </c>
      <c r="O111" s="14" t="s">
        <v>1697</v>
      </c>
      <c r="P111" t="s">
        <v>10</v>
      </c>
      <c r="Q111" t="s">
        <v>11</v>
      </c>
      <c r="S111" s="69"/>
      <c r="T111" s="112">
        <f>369+12*1+10*3+110</f>
        <v>521</v>
      </c>
      <c r="U111" s="67">
        <f>N111-T111</f>
        <v>179</v>
      </c>
      <c r="V111" s="61">
        <f>U111/T111*100</f>
        <v>34.357005758157385</v>
      </c>
      <c r="W111" s="73"/>
    </row>
    <row r="112" spans="1:25" s="14" customFormat="1" ht="15" customHeight="1">
      <c r="A112" s="45">
        <v>99</v>
      </c>
      <c r="B112" s="45"/>
      <c r="C112" s="14" t="s">
        <v>299</v>
      </c>
      <c r="E112" s="46">
        <v>73995823</v>
      </c>
      <c r="F112" s="14">
        <v>970766507</v>
      </c>
      <c r="H112" s="14" t="s">
        <v>300</v>
      </c>
      <c r="I112" s="14" t="s">
        <v>29</v>
      </c>
      <c r="K112" s="1">
        <v>44782</v>
      </c>
      <c r="L112" t="s">
        <v>1696</v>
      </c>
      <c r="M112" t="s">
        <v>1628</v>
      </c>
      <c r="N112" s="54">
        <v>200</v>
      </c>
      <c r="P112" t="s">
        <v>10</v>
      </c>
      <c r="Q112" t="s">
        <v>22</v>
      </c>
      <c r="S112" s="69"/>
      <c r="T112" s="112">
        <f>110+15</f>
        <v>125</v>
      </c>
      <c r="U112" s="67">
        <f>N112-T112</f>
        <v>75</v>
      </c>
      <c r="V112" s="61">
        <f>U112/T112*100</f>
        <v>60</v>
      </c>
      <c r="W112" s="73"/>
    </row>
    <row r="113" spans="1:23" s="14" customFormat="1" ht="15" customHeight="1">
      <c r="A113" s="45">
        <v>100</v>
      </c>
      <c r="B113" s="45"/>
      <c r="C113" s="14" t="s">
        <v>301</v>
      </c>
      <c r="E113" s="46"/>
      <c r="F113" s="14">
        <v>922058897</v>
      </c>
      <c r="J113" s="14" t="s">
        <v>302</v>
      </c>
      <c r="K113" s="1">
        <v>44783</v>
      </c>
      <c r="L113" t="s">
        <v>1695</v>
      </c>
      <c r="M113" t="s">
        <v>8</v>
      </c>
      <c r="N113" s="54">
        <v>185</v>
      </c>
      <c r="O113" s="14" t="s">
        <v>303</v>
      </c>
      <c r="P113" t="s">
        <v>10</v>
      </c>
      <c r="Q113" t="s">
        <v>11</v>
      </c>
      <c r="S113" s="69"/>
      <c r="T113" s="112">
        <f>110+5</f>
        <v>115</v>
      </c>
      <c r="U113" s="67">
        <f>N113-T113</f>
        <v>70</v>
      </c>
      <c r="V113" s="61">
        <f>U113/T113*100</f>
        <v>60.869565217391312</v>
      </c>
      <c r="W113" s="73"/>
    </row>
    <row r="114" spans="1:23" s="14" customFormat="1" ht="15" customHeight="1">
      <c r="A114" s="45">
        <v>101</v>
      </c>
      <c r="B114" s="45"/>
      <c r="C114" s="14" t="s">
        <v>304</v>
      </c>
      <c r="E114" s="46">
        <v>44418212</v>
      </c>
      <c r="F114" s="14">
        <v>992721810</v>
      </c>
      <c r="H114" s="14" t="s">
        <v>229</v>
      </c>
      <c r="I114" s="14" t="s">
        <v>140</v>
      </c>
      <c r="K114" s="1">
        <v>44783</v>
      </c>
      <c r="L114" t="s">
        <v>1695</v>
      </c>
      <c r="M114" t="s">
        <v>56</v>
      </c>
      <c r="N114" s="54">
        <v>208.5</v>
      </c>
      <c r="P114" t="s">
        <v>10</v>
      </c>
      <c r="Q114" t="s">
        <v>11</v>
      </c>
      <c r="R114" s="14" t="s">
        <v>1694</v>
      </c>
      <c r="S114" s="69"/>
      <c r="T114" s="112">
        <f>110+15+8.5</f>
        <v>133.5</v>
      </c>
      <c r="U114" s="67">
        <f>N114-T114</f>
        <v>75</v>
      </c>
      <c r="V114" s="61">
        <f>U114/T114*100</f>
        <v>56.17977528089888</v>
      </c>
      <c r="W114" s="73"/>
    </row>
    <row r="115" spans="1:23" s="14" customFormat="1" ht="15" customHeight="1">
      <c r="A115" s="39">
        <v>71</v>
      </c>
      <c r="B115" s="39" t="s">
        <v>60</v>
      </c>
      <c r="C115" s="41" t="s">
        <v>227</v>
      </c>
      <c r="D115" s="41"/>
      <c r="E115" s="42">
        <v>3707056</v>
      </c>
      <c r="F115" s="41">
        <v>928998527</v>
      </c>
      <c r="G115" s="41"/>
      <c r="H115" s="41" t="s">
        <v>229</v>
      </c>
      <c r="I115" s="41" t="s">
        <v>29</v>
      </c>
      <c r="J115" s="41"/>
      <c r="K115" s="47">
        <v>44783</v>
      </c>
      <c r="L115" s="41" t="s">
        <v>1693</v>
      </c>
      <c r="M115" s="41" t="s">
        <v>8</v>
      </c>
      <c r="N115" s="48">
        <v>1080</v>
      </c>
      <c r="O115" s="41" t="s">
        <v>1692</v>
      </c>
      <c r="P115" s="41" t="s">
        <v>31</v>
      </c>
      <c r="Q115" s="41" t="s">
        <v>22</v>
      </c>
      <c r="S115" s="69"/>
      <c r="T115" s="112">
        <f>110*6+11.5*6</f>
        <v>729</v>
      </c>
      <c r="U115" s="67">
        <f>N115-T115</f>
        <v>351</v>
      </c>
      <c r="V115" s="61">
        <f>U115/T115*100</f>
        <v>48.148148148148145</v>
      </c>
      <c r="W115" s="73"/>
    </row>
    <row r="116" spans="1:23" s="14" customFormat="1" ht="15" customHeight="1">
      <c r="A116" s="45">
        <v>102</v>
      </c>
      <c r="B116" s="37" t="s">
        <v>23</v>
      </c>
      <c r="C116" s="14" t="s">
        <v>306</v>
      </c>
      <c r="E116" s="46"/>
      <c r="F116" s="14">
        <v>992380047</v>
      </c>
      <c r="J116" s="14" t="s">
        <v>90</v>
      </c>
      <c r="K116" s="1">
        <v>44784</v>
      </c>
      <c r="L116" t="s">
        <v>1691</v>
      </c>
      <c r="M116" t="s">
        <v>21</v>
      </c>
      <c r="N116" s="54">
        <v>350</v>
      </c>
      <c r="P116" t="s">
        <v>10</v>
      </c>
      <c r="Q116" t="s">
        <v>11</v>
      </c>
      <c r="S116" s="69"/>
      <c r="T116" s="112">
        <f>210+15</f>
        <v>225</v>
      </c>
      <c r="U116" s="67">
        <f>N116-T116</f>
        <v>125</v>
      </c>
      <c r="V116" s="61">
        <f>U116/T116*100</f>
        <v>55.555555555555557</v>
      </c>
      <c r="W116" s="73"/>
    </row>
    <row r="117" spans="1:23" s="14" customFormat="1" ht="15" customHeight="1">
      <c r="A117" s="45">
        <v>103</v>
      </c>
      <c r="B117" s="37" t="s">
        <v>12</v>
      </c>
      <c r="C117" s="14" t="s">
        <v>307</v>
      </c>
      <c r="E117" s="46">
        <v>10453958782</v>
      </c>
      <c r="F117" s="14">
        <v>976221676</v>
      </c>
      <c r="G117" s="14" t="s">
        <v>308</v>
      </c>
      <c r="J117" s="14" t="s">
        <v>309</v>
      </c>
      <c r="K117" s="1">
        <v>44785</v>
      </c>
      <c r="L117" t="s">
        <v>1643</v>
      </c>
      <c r="M117" t="s">
        <v>8</v>
      </c>
      <c r="N117" s="54">
        <v>205</v>
      </c>
      <c r="O117" s="14" t="s">
        <v>310</v>
      </c>
      <c r="P117" t="s">
        <v>10</v>
      </c>
      <c r="Q117" t="s">
        <v>11</v>
      </c>
      <c r="S117" s="69"/>
      <c r="T117" s="112">
        <f>110+15</f>
        <v>125</v>
      </c>
      <c r="U117" s="67">
        <f>N117-T117</f>
        <v>80</v>
      </c>
      <c r="V117" s="61">
        <f>U117/T117*100</f>
        <v>64</v>
      </c>
      <c r="W117" s="73"/>
    </row>
    <row r="118" spans="1:23" s="14" customFormat="1" ht="15" customHeight="1">
      <c r="A118" s="45">
        <v>104</v>
      </c>
      <c r="B118" s="37"/>
      <c r="C118" s="14" t="s">
        <v>311</v>
      </c>
      <c r="E118" s="46"/>
      <c r="F118" s="14">
        <v>944133378</v>
      </c>
      <c r="J118" s="14" t="s">
        <v>312</v>
      </c>
      <c r="K118" s="1">
        <v>44786</v>
      </c>
      <c r="L118" t="s">
        <v>1675</v>
      </c>
      <c r="M118" t="s">
        <v>1690</v>
      </c>
      <c r="N118" s="54">
        <v>180</v>
      </c>
      <c r="O118" s="14" t="s">
        <v>313</v>
      </c>
      <c r="P118" t="s">
        <v>10</v>
      </c>
      <c r="Q118" t="s">
        <v>22</v>
      </c>
      <c r="S118" s="69"/>
      <c r="T118" s="112">
        <f>110*1</f>
        <v>110</v>
      </c>
      <c r="U118" s="67">
        <f>N118-T118</f>
        <v>70</v>
      </c>
      <c r="V118" s="61">
        <f>U118/T118*100</f>
        <v>63.636363636363633</v>
      </c>
      <c r="W118" s="73"/>
    </row>
    <row r="119" spans="1:23" ht="15" customHeight="1">
      <c r="A119" s="39">
        <v>92</v>
      </c>
      <c r="B119" s="39" t="s">
        <v>23</v>
      </c>
      <c r="C119" s="41" t="s">
        <v>283</v>
      </c>
      <c r="D119" s="41"/>
      <c r="E119" s="42"/>
      <c r="F119" s="41">
        <v>993409484</v>
      </c>
      <c r="G119" s="41"/>
      <c r="H119" s="41"/>
      <c r="I119" s="41"/>
      <c r="J119" s="41" t="s">
        <v>289</v>
      </c>
      <c r="K119" s="47">
        <v>44786</v>
      </c>
      <c r="L119" s="41" t="s">
        <v>1689</v>
      </c>
      <c r="M119" s="41" t="s">
        <v>21</v>
      </c>
      <c r="N119" s="48">
        <v>850</v>
      </c>
      <c r="O119" s="41" t="s">
        <v>1688</v>
      </c>
      <c r="P119" s="41" t="s">
        <v>31</v>
      </c>
      <c r="Q119" s="41" t="s">
        <v>11</v>
      </c>
      <c r="T119" s="113">
        <f>210*3</f>
        <v>630</v>
      </c>
      <c r="U119" s="67">
        <f>N119-T119</f>
        <v>220</v>
      </c>
      <c r="V119" s="61">
        <f>U119/T119*100</f>
        <v>34.920634920634917</v>
      </c>
      <c r="W119" s="61"/>
    </row>
    <row r="120" spans="1:23" ht="15" customHeight="1">
      <c r="A120" s="37">
        <v>105</v>
      </c>
      <c r="C120" s="14" t="s">
        <v>314</v>
      </c>
      <c r="D120" s="14"/>
      <c r="E120" s="38">
        <v>70342264</v>
      </c>
      <c r="F120" s="14">
        <v>918042011</v>
      </c>
      <c r="H120" t="s">
        <v>55</v>
      </c>
      <c r="I120" t="s">
        <v>147</v>
      </c>
      <c r="K120" s="1">
        <v>44788</v>
      </c>
      <c r="L120" t="s">
        <v>1643</v>
      </c>
      <c r="M120" t="s">
        <v>1628</v>
      </c>
      <c r="N120" s="67">
        <v>200</v>
      </c>
      <c r="P120" t="s">
        <v>10</v>
      </c>
      <c r="Q120" t="s">
        <v>315</v>
      </c>
      <c r="T120" s="113">
        <f>110+15</f>
        <v>125</v>
      </c>
      <c r="U120" s="67">
        <f>N120-T120</f>
        <v>75</v>
      </c>
      <c r="V120" s="61">
        <f>U120/T120*100</f>
        <v>60</v>
      </c>
      <c r="W120" s="61"/>
    </row>
    <row r="121" spans="1:23" ht="15" customHeight="1">
      <c r="A121" s="37">
        <v>106</v>
      </c>
      <c r="B121" s="37" t="s">
        <v>0</v>
      </c>
      <c r="C121" s="14" t="s">
        <v>316</v>
      </c>
      <c r="D121" s="14"/>
      <c r="E121" s="38">
        <v>45686666</v>
      </c>
      <c r="F121" s="14">
        <v>954478525</v>
      </c>
      <c r="G121" t="s">
        <v>317</v>
      </c>
      <c r="H121" t="s">
        <v>1687</v>
      </c>
      <c r="I121" t="s">
        <v>29</v>
      </c>
      <c r="K121" s="1">
        <v>44788</v>
      </c>
      <c r="L121" t="s">
        <v>1686</v>
      </c>
      <c r="M121" t="s">
        <v>1628</v>
      </c>
      <c r="N121" s="67">
        <v>180</v>
      </c>
      <c r="P121" t="s">
        <v>10</v>
      </c>
      <c r="Q121" t="s">
        <v>315</v>
      </c>
      <c r="T121" s="113">
        <f>110+5</f>
        <v>115</v>
      </c>
      <c r="U121" s="67">
        <f>N121-T121</f>
        <v>65</v>
      </c>
      <c r="V121" s="61">
        <f>U121/T121*100</f>
        <v>56.521739130434781</v>
      </c>
      <c r="W121" s="61"/>
    </row>
    <row r="122" spans="1:23" ht="15" customHeight="1">
      <c r="A122" s="37">
        <v>107</v>
      </c>
      <c r="B122" s="37" t="s">
        <v>23</v>
      </c>
      <c r="C122" s="14" t="s">
        <v>318</v>
      </c>
      <c r="D122" s="14"/>
      <c r="E122" s="38"/>
      <c r="F122" s="14">
        <v>931448667</v>
      </c>
      <c r="J122" t="s">
        <v>319</v>
      </c>
      <c r="K122" s="1">
        <v>44789</v>
      </c>
      <c r="L122" t="s">
        <v>1643</v>
      </c>
      <c r="M122" t="s">
        <v>21</v>
      </c>
      <c r="N122" s="67">
        <v>210</v>
      </c>
      <c r="O122" t="s">
        <v>134</v>
      </c>
      <c r="P122" t="s">
        <v>10</v>
      </c>
      <c r="Q122" t="s">
        <v>315</v>
      </c>
      <c r="T122" s="113">
        <f>110+15</f>
        <v>125</v>
      </c>
      <c r="U122" s="67">
        <f>N122-T122</f>
        <v>85</v>
      </c>
      <c r="V122" s="61">
        <f>U122/T122*100</f>
        <v>68</v>
      </c>
      <c r="W122" s="61"/>
    </row>
    <row r="123" spans="1:23" ht="15" customHeight="1">
      <c r="A123" s="37">
        <v>108</v>
      </c>
      <c r="B123" s="37" t="s">
        <v>12</v>
      </c>
      <c r="C123" s="14" t="s">
        <v>320</v>
      </c>
      <c r="D123" s="14"/>
      <c r="E123" s="38">
        <v>20601089221</v>
      </c>
      <c r="F123" s="14">
        <v>992658814</v>
      </c>
      <c r="G123" t="s">
        <v>321</v>
      </c>
      <c r="J123" t="s">
        <v>322</v>
      </c>
      <c r="K123" s="1">
        <v>44790</v>
      </c>
      <c r="L123" t="s">
        <v>1658</v>
      </c>
      <c r="M123" t="s">
        <v>21</v>
      </c>
      <c r="N123" s="67">
        <v>335</v>
      </c>
      <c r="O123" t="s">
        <v>1685</v>
      </c>
      <c r="P123" t="s">
        <v>10</v>
      </c>
      <c r="Q123" t="s">
        <v>11</v>
      </c>
      <c r="T123" s="113">
        <f>210+15</f>
        <v>225</v>
      </c>
      <c r="U123" s="67">
        <f>N123-T123</f>
        <v>110</v>
      </c>
      <c r="V123" s="61">
        <f>U123/T123*100</f>
        <v>48.888888888888886</v>
      </c>
      <c r="W123" s="61"/>
    </row>
    <row r="124" spans="1:23" s="14" customFormat="1" ht="15" customHeight="1">
      <c r="A124" s="45">
        <v>109</v>
      </c>
      <c r="B124" s="45" t="s">
        <v>0</v>
      </c>
      <c r="C124" s="14" t="s">
        <v>323</v>
      </c>
      <c r="E124" s="46"/>
      <c r="F124" s="14">
        <v>991760631</v>
      </c>
      <c r="G124" s="14" t="s">
        <v>324</v>
      </c>
      <c r="J124" s="14" t="s">
        <v>98</v>
      </c>
      <c r="K124" s="1">
        <v>44790</v>
      </c>
      <c r="L124" t="s">
        <v>1684</v>
      </c>
      <c r="M124" t="s">
        <v>1628</v>
      </c>
      <c r="N124" s="54">
        <f>155*20</f>
        <v>3100</v>
      </c>
      <c r="P124" t="s">
        <v>31</v>
      </c>
      <c r="Q124" t="s">
        <v>315</v>
      </c>
      <c r="S124" s="69"/>
      <c r="T124" s="112">
        <f>110*20</f>
        <v>2200</v>
      </c>
      <c r="U124" s="67">
        <f>N124-T124</f>
        <v>900</v>
      </c>
      <c r="V124" s="61">
        <f>U124/T124*100</f>
        <v>40.909090909090914</v>
      </c>
      <c r="W124" s="73"/>
    </row>
    <row r="125" spans="1:23" s="14" customFormat="1" ht="15" customHeight="1">
      <c r="A125" s="39">
        <v>35</v>
      </c>
      <c r="B125" s="39" t="s">
        <v>12</v>
      </c>
      <c r="C125" s="41" t="s">
        <v>136</v>
      </c>
      <c r="D125" s="41"/>
      <c r="E125" s="41">
        <v>20393955415</v>
      </c>
      <c r="F125" s="41">
        <v>939361591</v>
      </c>
      <c r="G125" s="41" t="s">
        <v>325</v>
      </c>
      <c r="H125" s="41" t="s">
        <v>79</v>
      </c>
      <c r="I125" s="41" t="s">
        <v>29</v>
      </c>
      <c r="J125" s="41"/>
      <c r="K125" s="47">
        <v>44790</v>
      </c>
      <c r="L125" s="41" t="s">
        <v>1646</v>
      </c>
      <c r="M125" s="41" t="s">
        <v>38</v>
      </c>
      <c r="N125" s="48">
        <v>660</v>
      </c>
      <c r="O125" s="41" t="s">
        <v>138</v>
      </c>
      <c r="P125" s="41" t="s">
        <v>31</v>
      </c>
      <c r="Q125" s="41" t="s">
        <v>11</v>
      </c>
      <c r="R125"/>
      <c r="S125" s="69"/>
      <c r="T125" s="112">
        <f>210*2+30</f>
        <v>450</v>
      </c>
      <c r="U125" s="67">
        <f>N125-T125</f>
        <v>210</v>
      </c>
      <c r="V125" s="61">
        <f>U125/T125*100</f>
        <v>46.666666666666664</v>
      </c>
      <c r="W125" s="73"/>
    </row>
    <row r="126" spans="1:23" s="14" customFormat="1" ht="15" customHeight="1">
      <c r="A126" s="37">
        <v>110</v>
      </c>
      <c r="B126" s="37" t="s">
        <v>23</v>
      </c>
      <c r="C126" s="14" t="s">
        <v>326</v>
      </c>
      <c r="E126"/>
      <c r="F126" s="14">
        <v>987150308</v>
      </c>
      <c r="G126"/>
      <c r="H126"/>
      <c r="I126"/>
      <c r="J126" t="s">
        <v>183</v>
      </c>
      <c r="K126" s="1">
        <v>44792</v>
      </c>
      <c r="L126" t="s">
        <v>1683</v>
      </c>
      <c r="M126" t="s">
        <v>21</v>
      </c>
      <c r="N126" s="67">
        <v>400</v>
      </c>
      <c r="O126" t="s">
        <v>1595</v>
      </c>
      <c r="P126" t="s">
        <v>10</v>
      </c>
      <c r="Q126" t="s">
        <v>315</v>
      </c>
      <c r="R126"/>
      <c r="S126" s="69"/>
      <c r="T126" s="112">
        <f>220+30</f>
        <v>250</v>
      </c>
      <c r="U126" s="67">
        <f>N126-T126</f>
        <v>150</v>
      </c>
      <c r="V126" s="61">
        <f>U126/T126*100</f>
        <v>60</v>
      </c>
      <c r="W126" s="73"/>
    </row>
    <row r="127" spans="1:23" s="14" customFormat="1" ht="15" customHeight="1">
      <c r="A127" s="39">
        <v>111</v>
      </c>
      <c r="B127" s="39" t="s">
        <v>12</v>
      </c>
      <c r="C127" s="41" t="s">
        <v>327</v>
      </c>
      <c r="D127" s="41"/>
      <c r="E127" s="41">
        <v>20603713738</v>
      </c>
      <c r="F127" s="41"/>
      <c r="G127" s="41" t="s">
        <v>328</v>
      </c>
      <c r="H127" s="41"/>
      <c r="I127" s="41"/>
      <c r="J127" s="41" t="s">
        <v>329</v>
      </c>
      <c r="K127" s="47">
        <v>44792</v>
      </c>
      <c r="L127" s="41" t="s">
        <v>1682</v>
      </c>
      <c r="M127" s="41" t="s">
        <v>8</v>
      </c>
      <c r="N127" s="48">
        <f>175*7</f>
        <v>1225</v>
      </c>
      <c r="O127" s="41" t="s">
        <v>1536</v>
      </c>
      <c r="P127" s="41" t="s">
        <v>31</v>
      </c>
      <c r="Q127" s="41" t="s">
        <v>315</v>
      </c>
      <c r="R127"/>
      <c r="S127" s="69"/>
      <c r="T127" s="112">
        <f>110*7</f>
        <v>770</v>
      </c>
      <c r="U127" s="67">
        <f>N127-T127</f>
        <v>455</v>
      </c>
      <c r="V127" s="61">
        <f>U127/T127*100</f>
        <v>59.090909090909093</v>
      </c>
      <c r="W127" s="73"/>
    </row>
    <row r="128" spans="1:23" s="14" customFormat="1" ht="15" customHeight="1">
      <c r="A128" s="37">
        <v>112</v>
      </c>
      <c r="B128" s="37" t="s">
        <v>12</v>
      </c>
      <c r="C128" s="14" t="s">
        <v>330</v>
      </c>
      <c r="E128">
        <v>20161566552</v>
      </c>
      <c r="F128" s="14">
        <v>954899659</v>
      </c>
      <c r="G128" t="s">
        <v>331</v>
      </c>
      <c r="H128" t="s">
        <v>1681</v>
      </c>
      <c r="I128" t="s">
        <v>29</v>
      </c>
      <c r="J128"/>
      <c r="K128" s="1">
        <v>44793</v>
      </c>
      <c r="L128" t="s">
        <v>1680</v>
      </c>
      <c r="M128" t="s">
        <v>8</v>
      </c>
      <c r="N128" s="67">
        <v>300</v>
      </c>
      <c r="O128" t="s">
        <v>332</v>
      </c>
      <c r="P128" t="s">
        <v>10</v>
      </c>
      <c r="Q128" t="s">
        <v>11</v>
      </c>
      <c r="R128"/>
      <c r="S128" s="69"/>
      <c r="T128" s="112">
        <f>115*2</f>
        <v>230</v>
      </c>
      <c r="U128" s="67">
        <f>N128-T128</f>
        <v>70</v>
      </c>
      <c r="V128" s="61">
        <f>U128/T128*100</f>
        <v>30.434782608695656</v>
      </c>
      <c r="W128" s="73"/>
    </row>
    <row r="129" spans="1:23" s="14" customFormat="1" ht="15" customHeight="1">
      <c r="A129" s="37">
        <v>113</v>
      </c>
      <c r="B129" s="37" t="s">
        <v>60</v>
      </c>
      <c r="C129" t="s">
        <v>333</v>
      </c>
      <c r="D129"/>
      <c r="E129">
        <v>21138640</v>
      </c>
      <c r="F129">
        <v>927619680</v>
      </c>
      <c r="G129" t="s">
        <v>334</v>
      </c>
      <c r="H129" t="s">
        <v>335</v>
      </c>
      <c r="I129" t="s">
        <v>336</v>
      </c>
      <c r="J129"/>
      <c r="K129" s="1">
        <v>44793</v>
      </c>
      <c r="L129" t="s">
        <v>1679</v>
      </c>
      <c r="M129" t="s">
        <v>8</v>
      </c>
      <c r="N129" s="67">
        <v>1440</v>
      </c>
      <c r="O129" t="s">
        <v>1678</v>
      </c>
      <c r="P129" t="s">
        <v>10</v>
      </c>
      <c r="Q129" t="s">
        <v>11</v>
      </c>
      <c r="R129" t="s">
        <v>1677</v>
      </c>
      <c r="S129" s="69"/>
      <c r="T129" s="112">
        <f>369+199+258+150+110+24+14</f>
        <v>1124</v>
      </c>
      <c r="U129" s="67">
        <f>N129-T129</f>
        <v>316</v>
      </c>
      <c r="V129" s="61">
        <f>U129/T129*100</f>
        <v>28.113879003558718</v>
      </c>
      <c r="W129" s="73"/>
    </row>
    <row r="130" spans="1:23" s="14" customFormat="1" ht="15" customHeight="1">
      <c r="A130" s="37">
        <v>114</v>
      </c>
      <c r="B130" s="37" t="s">
        <v>23</v>
      </c>
      <c r="C130" t="s">
        <v>337</v>
      </c>
      <c r="D130"/>
      <c r="E130"/>
      <c r="F130">
        <v>933295550</v>
      </c>
      <c r="G130"/>
      <c r="H130"/>
      <c r="I130"/>
      <c r="J130" t="s">
        <v>329</v>
      </c>
      <c r="K130" s="1">
        <v>44796</v>
      </c>
      <c r="L130" t="s">
        <v>1658</v>
      </c>
      <c r="M130" t="s">
        <v>21</v>
      </c>
      <c r="N130" s="67">
        <v>330</v>
      </c>
      <c r="O130"/>
      <c r="P130" t="s">
        <v>10</v>
      </c>
      <c r="Q130" t="s">
        <v>22</v>
      </c>
      <c r="R130"/>
      <c r="S130" s="69"/>
      <c r="T130" s="112">
        <f>210+15</f>
        <v>225</v>
      </c>
      <c r="U130" s="67">
        <f>N130-T130</f>
        <v>105</v>
      </c>
      <c r="V130" s="61">
        <f>U130/T130*100</f>
        <v>46.666666666666664</v>
      </c>
      <c r="W130" s="73"/>
    </row>
    <row r="131" spans="1:23" s="14" customFormat="1" ht="15" customHeight="1">
      <c r="A131" s="37">
        <v>115</v>
      </c>
      <c r="B131" s="37"/>
      <c r="C131" t="s">
        <v>338</v>
      </c>
      <c r="D131"/>
      <c r="E131"/>
      <c r="F131">
        <v>962314698</v>
      </c>
      <c r="G131"/>
      <c r="H131"/>
      <c r="I131"/>
      <c r="J131" t="s">
        <v>339</v>
      </c>
      <c r="K131" s="1">
        <v>44796</v>
      </c>
      <c r="L131" t="s">
        <v>1643</v>
      </c>
      <c r="M131" t="s">
        <v>1676</v>
      </c>
      <c r="N131" s="67">
        <v>200</v>
      </c>
      <c r="O131" t="s">
        <v>219</v>
      </c>
      <c r="P131" t="s">
        <v>10</v>
      </c>
      <c r="Q131" t="s">
        <v>11</v>
      </c>
      <c r="R131"/>
      <c r="S131" s="69"/>
      <c r="T131" s="112">
        <f>110+15</f>
        <v>125</v>
      </c>
      <c r="U131" s="67">
        <f>N131-T131</f>
        <v>75</v>
      </c>
      <c r="V131" s="61">
        <f>U131/T131*100</f>
        <v>60</v>
      </c>
      <c r="W131" s="73"/>
    </row>
    <row r="132" spans="1:23" s="14" customFormat="1" ht="15" customHeight="1">
      <c r="A132" s="39">
        <v>111</v>
      </c>
      <c r="B132" s="39" t="s">
        <v>12</v>
      </c>
      <c r="C132" s="41" t="s">
        <v>340</v>
      </c>
      <c r="D132" s="41"/>
      <c r="E132" s="41">
        <v>20606086459</v>
      </c>
      <c r="F132" s="40">
        <v>913004278</v>
      </c>
      <c r="G132" s="41" t="s">
        <v>341</v>
      </c>
      <c r="H132" s="41"/>
      <c r="I132" s="41"/>
      <c r="J132" s="41" t="s">
        <v>329</v>
      </c>
      <c r="K132" s="47">
        <v>44797</v>
      </c>
      <c r="L132" s="41" t="s">
        <v>1675</v>
      </c>
      <c r="M132" s="41" t="s">
        <v>8</v>
      </c>
      <c r="N132" s="48">
        <v>180</v>
      </c>
      <c r="O132" s="41" t="s">
        <v>1536</v>
      </c>
      <c r="P132" s="41" t="s">
        <v>31</v>
      </c>
      <c r="Q132" s="41" t="s">
        <v>315</v>
      </c>
      <c r="R132"/>
      <c r="S132" s="69"/>
      <c r="T132" s="112">
        <f>110</f>
        <v>110</v>
      </c>
      <c r="U132" s="67">
        <f>N132-T132</f>
        <v>70</v>
      </c>
      <c r="V132" s="61">
        <f>U132/T132*100</f>
        <v>63.636363636363633</v>
      </c>
      <c r="W132" s="73"/>
    </row>
    <row r="133" spans="1:23" s="14" customFormat="1" ht="15" customHeight="1">
      <c r="A133" s="37">
        <v>116</v>
      </c>
      <c r="B133" s="37" t="s">
        <v>60</v>
      </c>
      <c r="C133" t="s">
        <v>342</v>
      </c>
      <c r="D133"/>
      <c r="E133"/>
      <c r="F133">
        <v>958137854</v>
      </c>
      <c r="G133" s="14" t="s">
        <v>343</v>
      </c>
      <c r="H133" t="s">
        <v>199</v>
      </c>
      <c r="I133" t="s">
        <v>344</v>
      </c>
      <c r="J133"/>
      <c r="K133" s="1">
        <v>44797</v>
      </c>
      <c r="L133" t="s">
        <v>1674</v>
      </c>
      <c r="M133" t="s">
        <v>8</v>
      </c>
      <c r="N133" s="67">
        <v>580</v>
      </c>
      <c r="O133"/>
      <c r="P133" t="s">
        <v>10</v>
      </c>
      <c r="Q133" t="s">
        <v>11</v>
      </c>
      <c r="R133"/>
      <c r="S133" s="69"/>
      <c r="T133" s="112">
        <f>390+110</f>
        <v>500</v>
      </c>
      <c r="U133" s="67">
        <f>N133-T133</f>
        <v>80</v>
      </c>
      <c r="V133" s="61">
        <f>U133/T133*100</f>
        <v>16</v>
      </c>
      <c r="W133" s="73"/>
    </row>
    <row r="134" spans="1:23" s="14" customFormat="1" ht="15" customHeight="1">
      <c r="A134" s="37">
        <v>117</v>
      </c>
      <c r="B134" s="37"/>
      <c r="C134" t="s">
        <v>345</v>
      </c>
      <c r="D134"/>
      <c r="E134"/>
      <c r="F134">
        <v>937369145</v>
      </c>
      <c r="G134"/>
      <c r="H134" t="s">
        <v>74</v>
      </c>
      <c r="I134" t="s">
        <v>29</v>
      </c>
      <c r="J134"/>
      <c r="K134" s="1">
        <v>44797</v>
      </c>
      <c r="L134" t="s">
        <v>1673</v>
      </c>
      <c r="M134" t="s">
        <v>8</v>
      </c>
      <c r="N134" s="67">
        <v>480</v>
      </c>
      <c r="O134" t="s">
        <v>346</v>
      </c>
      <c r="P134" t="s">
        <v>10</v>
      </c>
      <c r="Q134" t="s">
        <v>11</v>
      </c>
      <c r="R134"/>
      <c r="S134" s="69"/>
      <c r="T134" s="112">
        <f>210+120</f>
        <v>330</v>
      </c>
      <c r="U134" s="67">
        <f>N134-T134</f>
        <v>150</v>
      </c>
      <c r="V134" s="61">
        <f>U134/T134*100</f>
        <v>45.454545454545453</v>
      </c>
      <c r="W134" s="73"/>
    </row>
    <row r="135" spans="1:23" s="14" customFormat="1" ht="15" customHeight="1">
      <c r="A135" s="37">
        <v>118</v>
      </c>
      <c r="B135" s="37"/>
      <c r="C135" t="s">
        <v>347</v>
      </c>
      <c r="D135"/>
      <c r="E135">
        <v>45754992</v>
      </c>
      <c r="F135">
        <v>958395777</v>
      </c>
      <c r="G135"/>
      <c r="H135" t="s">
        <v>44</v>
      </c>
      <c r="I135" t="s">
        <v>140</v>
      </c>
      <c r="J135"/>
      <c r="K135" s="1">
        <v>44798</v>
      </c>
      <c r="L135" t="s">
        <v>1664</v>
      </c>
      <c r="M135" t="s">
        <v>8</v>
      </c>
      <c r="N135" s="67">
        <v>350</v>
      </c>
      <c r="O135"/>
      <c r="P135" t="s">
        <v>10</v>
      </c>
      <c r="Q135" t="s">
        <v>22</v>
      </c>
      <c r="R135" t="s">
        <v>1672</v>
      </c>
      <c r="S135" s="69"/>
      <c r="T135" s="112">
        <f>32+210+15</f>
        <v>257</v>
      </c>
      <c r="U135" s="67">
        <f>N135-T135</f>
        <v>93</v>
      </c>
      <c r="V135" s="61">
        <f>U135/T135*100</f>
        <v>36.186770428015564</v>
      </c>
      <c r="W135" s="73"/>
    </row>
    <row r="136" spans="1:23" s="14" customFormat="1" ht="15" customHeight="1">
      <c r="A136" s="37">
        <v>119</v>
      </c>
      <c r="B136" s="37" t="s">
        <v>12</v>
      </c>
      <c r="C136" t="s">
        <v>348</v>
      </c>
      <c r="D136"/>
      <c r="E136">
        <v>10464982162</v>
      </c>
      <c r="F136">
        <v>937249181</v>
      </c>
      <c r="G136" t="s">
        <v>349</v>
      </c>
      <c r="H136" t="s">
        <v>74</v>
      </c>
      <c r="I136" t="s">
        <v>147</v>
      </c>
      <c r="J136"/>
      <c r="K136" s="1">
        <v>44798</v>
      </c>
      <c r="L136" t="s">
        <v>1671</v>
      </c>
      <c r="M136" t="s">
        <v>1670</v>
      </c>
      <c r="N136" s="67">
        <v>860</v>
      </c>
      <c r="O136" t="s">
        <v>1669</v>
      </c>
      <c r="P136" t="s">
        <v>10</v>
      </c>
      <c r="Q136" t="s">
        <v>11</v>
      </c>
      <c r="R136" t="s">
        <v>1668</v>
      </c>
      <c r="S136" s="69"/>
      <c r="T136" s="112">
        <f>210+210+120+30</f>
        <v>570</v>
      </c>
      <c r="U136" s="67">
        <f>N136-T136</f>
        <v>290</v>
      </c>
      <c r="V136" s="61">
        <f>U136/T136*100</f>
        <v>50.877192982456144</v>
      </c>
      <c r="W136" s="73"/>
    </row>
    <row r="137" spans="1:23" s="14" customFormat="1" ht="15" customHeight="1">
      <c r="A137" s="37">
        <v>120</v>
      </c>
      <c r="B137" s="37"/>
      <c r="C137" t="s">
        <v>350</v>
      </c>
      <c r="D137"/>
      <c r="E137">
        <v>30422023</v>
      </c>
      <c r="F137">
        <v>985383812</v>
      </c>
      <c r="G137"/>
      <c r="H137" t="s">
        <v>1667</v>
      </c>
      <c r="I137" t="s">
        <v>147</v>
      </c>
      <c r="J137"/>
      <c r="K137" s="1">
        <v>44799</v>
      </c>
      <c r="L137" t="s">
        <v>1664</v>
      </c>
      <c r="M137" t="s">
        <v>38</v>
      </c>
      <c r="N137" s="67">
        <v>350</v>
      </c>
      <c r="O137"/>
      <c r="P137" t="s">
        <v>10</v>
      </c>
      <c r="Q137" t="s">
        <v>11</v>
      </c>
      <c r="R137"/>
      <c r="S137" s="69"/>
      <c r="T137" s="112">
        <f>210+15</f>
        <v>225</v>
      </c>
      <c r="U137" s="67">
        <f>N137-T137</f>
        <v>125</v>
      </c>
      <c r="V137" s="61">
        <f>U137/T137*100</f>
        <v>55.555555555555557</v>
      </c>
      <c r="W137" s="73"/>
    </row>
    <row r="138" spans="1:23" s="14" customFormat="1" ht="15" customHeight="1">
      <c r="A138" s="37">
        <v>121</v>
      </c>
      <c r="B138" s="37"/>
      <c r="C138" t="s">
        <v>351</v>
      </c>
      <c r="D138"/>
      <c r="E138"/>
      <c r="F138">
        <v>998787810</v>
      </c>
      <c r="G138"/>
      <c r="H138"/>
      <c r="I138"/>
      <c r="J138" t="s">
        <v>352</v>
      </c>
      <c r="K138" s="1">
        <v>44799</v>
      </c>
      <c r="L138" t="s">
        <v>1666</v>
      </c>
      <c r="M138" t="s">
        <v>1628</v>
      </c>
      <c r="N138" s="67">
        <v>60</v>
      </c>
      <c r="O138"/>
      <c r="P138" t="s">
        <v>10</v>
      </c>
      <c r="Q138" t="s">
        <v>22</v>
      </c>
      <c r="R138"/>
      <c r="S138" s="69"/>
      <c r="T138" s="112">
        <f>10*2</f>
        <v>20</v>
      </c>
      <c r="U138" s="67">
        <f>N138-T138</f>
        <v>40</v>
      </c>
      <c r="V138" s="61">
        <f>U138/T138*100</f>
        <v>200</v>
      </c>
      <c r="W138" s="73"/>
    </row>
    <row r="139" spans="1:23" s="14" customFormat="1" ht="15" customHeight="1">
      <c r="A139" s="39">
        <v>92</v>
      </c>
      <c r="B139" s="39" t="s">
        <v>23</v>
      </c>
      <c r="C139" s="41" t="s">
        <v>283</v>
      </c>
      <c r="D139" s="41"/>
      <c r="E139" s="42"/>
      <c r="F139" s="41">
        <v>993409484</v>
      </c>
      <c r="G139" s="41"/>
      <c r="H139" s="41"/>
      <c r="I139" s="41"/>
      <c r="J139" s="41" t="s">
        <v>15</v>
      </c>
      <c r="K139" s="47">
        <v>44801</v>
      </c>
      <c r="L139" s="41" t="s">
        <v>1665</v>
      </c>
      <c r="M139" s="41" t="s">
        <v>21</v>
      </c>
      <c r="N139" s="48">
        <v>180</v>
      </c>
      <c r="O139" s="41"/>
      <c r="P139" s="41" t="s">
        <v>31</v>
      </c>
      <c r="Q139" s="41" t="s">
        <v>11</v>
      </c>
      <c r="R139"/>
      <c r="S139" s="69"/>
      <c r="T139" s="112">
        <v>120</v>
      </c>
      <c r="U139" s="67">
        <f>N139-T139</f>
        <v>60</v>
      </c>
      <c r="V139" s="61">
        <f>U139/T139*100</f>
        <v>50</v>
      </c>
      <c r="W139" s="73"/>
    </row>
    <row r="140" spans="1:23" s="14" customFormat="1" ht="15" customHeight="1">
      <c r="A140" s="45">
        <v>122</v>
      </c>
      <c r="B140" s="37" t="s">
        <v>12</v>
      </c>
      <c r="C140" s="14" t="s">
        <v>353</v>
      </c>
      <c r="E140" s="46">
        <v>10463206525</v>
      </c>
      <c r="F140" s="14">
        <v>937343615</v>
      </c>
      <c r="G140" s="14" t="s">
        <v>354</v>
      </c>
      <c r="H140" s="14" t="s">
        <v>355</v>
      </c>
      <c r="I140" s="14" t="s">
        <v>356</v>
      </c>
      <c r="J140" s="14" t="s">
        <v>357</v>
      </c>
      <c r="K140" s="1">
        <v>44805</v>
      </c>
      <c r="L140" t="s">
        <v>1664</v>
      </c>
      <c r="M140" s="14" t="s">
        <v>38</v>
      </c>
      <c r="N140" s="54">
        <v>350</v>
      </c>
      <c r="P140" t="s">
        <v>10</v>
      </c>
      <c r="Q140" t="s">
        <v>11</v>
      </c>
      <c r="R140" s="14" t="s">
        <v>1663</v>
      </c>
      <c r="S140" s="69"/>
      <c r="T140" s="112">
        <f>210+15</f>
        <v>225</v>
      </c>
      <c r="U140" s="67">
        <f>N140-T140</f>
        <v>125</v>
      </c>
      <c r="V140" s="61">
        <f>U140/T140*100</f>
        <v>55.555555555555557</v>
      </c>
      <c r="W140" s="73"/>
    </row>
    <row r="141" spans="1:23" s="14" customFormat="1" ht="15" customHeight="1">
      <c r="A141" s="37">
        <v>87</v>
      </c>
      <c r="B141" s="37"/>
      <c r="C141" t="s">
        <v>264</v>
      </c>
      <c r="D141"/>
      <c r="E141" s="38"/>
      <c r="F141">
        <v>943073730</v>
      </c>
      <c r="G141"/>
      <c r="H141" t="s">
        <v>266</v>
      </c>
      <c r="I141" t="s">
        <v>267</v>
      </c>
      <c r="J141"/>
      <c r="K141" s="1">
        <v>44808</v>
      </c>
      <c r="L141" t="s">
        <v>1662</v>
      </c>
      <c r="M141" t="s">
        <v>8</v>
      </c>
      <c r="N141" s="20">
        <v>210</v>
      </c>
      <c r="O141"/>
      <c r="P141" t="s">
        <v>10</v>
      </c>
      <c r="Q141" t="s">
        <v>22</v>
      </c>
      <c r="S141" s="69"/>
      <c r="T141" s="112">
        <f>9*12</f>
        <v>108</v>
      </c>
      <c r="U141" s="67">
        <f>N141-T141</f>
        <v>102</v>
      </c>
      <c r="V141" s="61">
        <f>U141/T141*100</f>
        <v>94.444444444444443</v>
      </c>
      <c r="W141" s="73"/>
    </row>
    <row r="142" spans="1:23" s="14" customFormat="1" ht="15" customHeight="1">
      <c r="A142" s="45">
        <v>123</v>
      </c>
      <c r="B142" s="45" t="s">
        <v>0</v>
      </c>
      <c r="C142" s="14" t="s">
        <v>358</v>
      </c>
      <c r="E142" s="46">
        <v>28287721</v>
      </c>
      <c r="F142" s="14">
        <v>935453352</v>
      </c>
      <c r="G142" t="s">
        <v>359</v>
      </c>
      <c r="H142" s="14" t="s">
        <v>1539</v>
      </c>
      <c r="I142" s="14" t="s">
        <v>158</v>
      </c>
      <c r="K142" s="1">
        <v>44809</v>
      </c>
      <c r="L142" t="s">
        <v>1661</v>
      </c>
      <c r="M142" t="s">
        <v>8</v>
      </c>
      <c r="N142" s="54">
        <v>380</v>
      </c>
      <c r="P142" t="s">
        <v>10</v>
      </c>
      <c r="Q142" t="s">
        <v>11</v>
      </c>
      <c r="S142" s="69"/>
      <c r="T142" s="112">
        <f>110*2+2*11.5</f>
        <v>243</v>
      </c>
      <c r="U142" s="67">
        <f>N142-T142</f>
        <v>137</v>
      </c>
      <c r="V142" s="61">
        <f>U142/T142*100</f>
        <v>56.378600823045268</v>
      </c>
      <c r="W142" s="73"/>
    </row>
    <row r="143" spans="1:23" s="14" customFormat="1" ht="15" customHeight="1">
      <c r="A143" s="43">
        <v>124</v>
      </c>
      <c r="B143" s="39" t="s">
        <v>12</v>
      </c>
      <c r="C143" s="40" t="s">
        <v>360</v>
      </c>
      <c r="D143" s="44">
        <v>20601379377</v>
      </c>
      <c r="E143" s="44">
        <v>46047067</v>
      </c>
      <c r="F143" s="40">
        <v>933784155</v>
      </c>
      <c r="G143" s="40" t="s">
        <v>361</v>
      </c>
      <c r="H143" s="40" t="s">
        <v>1257</v>
      </c>
      <c r="I143" s="40" t="s">
        <v>29</v>
      </c>
      <c r="J143" s="40"/>
      <c r="K143" s="47">
        <v>44810</v>
      </c>
      <c r="L143" s="41" t="s">
        <v>1660</v>
      </c>
      <c r="M143" s="40" t="s">
        <v>56</v>
      </c>
      <c r="N143" s="49">
        <v>960</v>
      </c>
      <c r="O143" s="40"/>
      <c r="P143" s="41" t="s">
        <v>31</v>
      </c>
      <c r="Q143" s="41" t="s">
        <v>11</v>
      </c>
      <c r="S143" s="69"/>
      <c r="T143" s="112">
        <f>210*3+120</f>
        <v>750</v>
      </c>
      <c r="U143" s="67">
        <f>N143-T143</f>
        <v>210</v>
      </c>
      <c r="V143" s="61">
        <f>U143/T143*100</f>
        <v>28.000000000000004</v>
      </c>
      <c r="W143" s="73"/>
    </row>
    <row r="144" spans="1:23" s="14" customFormat="1" ht="15" customHeight="1">
      <c r="A144" s="37">
        <v>114</v>
      </c>
      <c r="B144" s="37" t="s">
        <v>23</v>
      </c>
      <c r="C144" t="s">
        <v>337</v>
      </c>
      <c r="D144"/>
      <c r="E144"/>
      <c r="F144">
        <v>933295550</v>
      </c>
      <c r="G144"/>
      <c r="H144"/>
      <c r="I144"/>
      <c r="J144" t="s">
        <v>329</v>
      </c>
      <c r="K144" s="1">
        <v>44810</v>
      </c>
      <c r="L144" t="s">
        <v>1658</v>
      </c>
      <c r="M144" t="s">
        <v>21</v>
      </c>
      <c r="N144" s="67">
        <v>330</v>
      </c>
      <c r="O144"/>
      <c r="P144" t="s">
        <v>10</v>
      </c>
      <c r="Q144" t="s">
        <v>22</v>
      </c>
      <c r="S144" s="69"/>
      <c r="T144" s="112">
        <f>210+15</f>
        <v>225</v>
      </c>
      <c r="U144" s="67">
        <f>N144-T144</f>
        <v>105</v>
      </c>
      <c r="V144" s="61">
        <f>U144/T144*100</f>
        <v>46.666666666666664</v>
      </c>
      <c r="W144" s="73"/>
    </row>
    <row r="145" spans="1:23" s="14" customFormat="1" ht="15" customHeight="1">
      <c r="A145" s="39">
        <v>111</v>
      </c>
      <c r="B145" s="39" t="s">
        <v>12</v>
      </c>
      <c r="C145" s="41" t="s">
        <v>340</v>
      </c>
      <c r="D145" s="41"/>
      <c r="E145" s="41">
        <v>20606086459</v>
      </c>
      <c r="F145" s="40">
        <v>913004278</v>
      </c>
      <c r="G145" s="40" t="s">
        <v>362</v>
      </c>
      <c r="H145" s="40"/>
      <c r="I145" s="40"/>
      <c r="J145" s="41" t="s">
        <v>329</v>
      </c>
      <c r="K145" s="47">
        <v>44810</v>
      </c>
      <c r="L145" s="41" t="s">
        <v>1659</v>
      </c>
      <c r="M145" s="41" t="s">
        <v>8</v>
      </c>
      <c r="N145" s="48">
        <v>700</v>
      </c>
      <c r="O145" s="41" t="s">
        <v>1536</v>
      </c>
      <c r="P145" s="41" t="s">
        <v>31</v>
      </c>
      <c r="Q145" s="41" t="s">
        <v>315</v>
      </c>
      <c r="S145" s="69"/>
      <c r="T145" s="112">
        <f>110*4</f>
        <v>440</v>
      </c>
      <c r="U145" s="67">
        <f>N145-T145</f>
        <v>260</v>
      </c>
      <c r="V145" s="61">
        <f>U145/T145*100</f>
        <v>59.090909090909093</v>
      </c>
      <c r="W145" s="73"/>
    </row>
    <row r="146" spans="1:23" s="14" customFormat="1" ht="15" customHeight="1">
      <c r="A146" s="45">
        <v>125</v>
      </c>
      <c r="B146" s="45"/>
      <c r="C146" s="14" t="s">
        <v>363</v>
      </c>
      <c r="E146" s="46"/>
      <c r="F146" s="14">
        <v>998522758</v>
      </c>
      <c r="J146" s="14" t="s">
        <v>364</v>
      </c>
      <c r="K146" s="1">
        <v>44813</v>
      </c>
      <c r="L146" t="s">
        <v>1658</v>
      </c>
      <c r="M146" t="s">
        <v>8</v>
      </c>
      <c r="N146" s="54">
        <v>325</v>
      </c>
      <c r="P146" t="s">
        <v>10</v>
      </c>
      <c r="Q146" t="s">
        <v>11</v>
      </c>
      <c r="S146" s="69"/>
      <c r="T146" s="112">
        <f>210+15</f>
        <v>225</v>
      </c>
      <c r="U146" s="67">
        <f>N146-T146</f>
        <v>100</v>
      </c>
      <c r="V146" s="61">
        <f>U146/T146*100</f>
        <v>44.444444444444443</v>
      </c>
      <c r="W146" s="73"/>
    </row>
    <row r="147" spans="1:23" s="14" customFormat="1" ht="15" customHeight="1">
      <c r="A147" s="45">
        <v>126</v>
      </c>
      <c r="B147" s="37" t="s">
        <v>23</v>
      </c>
      <c r="C147" s="14" t="s">
        <v>365</v>
      </c>
      <c r="E147" s="46"/>
      <c r="F147" s="14">
        <v>987117816</v>
      </c>
      <c r="J147" s="14" t="s">
        <v>58</v>
      </c>
      <c r="K147" s="1">
        <v>44813</v>
      </c>
      <c r="L147" t="s">
        <v>1336</v>
      </c>
      <c r="M147" t="s">
        <v>21</v>
      </c>
      <c r="N147" s="54">
        <v>30</v>
      </c>
      <c r="O147" s="14" t="s">
        <v>366</v>
      </c>
      <c r="P147" t="s">
        <v>10</v>
      </c>
      <c r="Q147" t="s">
        <v>22</v>
      </c>
      <c r="S147" s="69"/>
      <c r="T147" s="112">
        <v>15</v>
      </c>
      <c r="U147" s="67">
        <f>N147-T147</f>
        <v>15</v>
      </c>
      <c r="V147" s="61">
        <f>U147/T147*100</f>
        <v>100</v>
      </c>
      <c r="W147" s="73"/>
    </row>
    <row r="148" spans="1:23" s="14" customFormat="1" ht="15" customHeight="1">
      <c r="A148" s="43">
        <v>128</v>
      </c>
      <c r="B148" s="43" t="s">
        <v>12</v>
      </c>
      <c r="C148" s="40" t="s">
        <v>367</v>
      </c>
      <c r="D148" s="40"/>
      <c r="E148" s="44">
        <v>20602560903</v>
      </c>
      <c r="F148" s="40"/>
      <c r="G148" s="40" t="s">
        <v>368</v>
      </c>
      <c r="H148" s="40"/>
      <c r="I148" s="40"/>
      <c r="J148" s="40" t="s">
        <v>144</v>
      </c>
      <c r="K148" s="47">
        <v>44814</v>
      </c>
      <c r="L148" s="41" t="s">
        <v>1657</v>
      </c>
      <c r="M148" s="41" t="s">
        <v>21</v>
      </c>
      <c r="N148" s="49">
        <v>760</v>
      </c>
      <c r="O148" s="40"/>
      <c r="P148" s="41" t="s">
        <v>31</v>
      </c>
      <c r="Q148" s="41" t="s">
        <v>22</v>
      </c>
      <c r="S148" s="69"/>
      <c r="T148" s="112">
        <f>15*4+110*4</f>
        <v>500</v>
      </c>
      <c r="U148" s="67">
        <f>N148-T148</f>
        <v>260</v>
      </c>
      <c r="V148" s="61">
        <f>U148/T148*100</f>
        <v>52</v>
      </c>
      <c r="W148" s="73"/>
    </row>
    <row r="149" spans="1:23" s="14" customFormat="1" ht="15" customHeight="1">
      <c r="A149" s="45">
        <v>127</v>
      </c>
      <c r="B149" s="37" t="s">
        <v>12</v>
      </c>
      <c r="C149" s="14" t="s">
        <v>369</v>
      </c>
      <c r="E149" s="46">
        <v>10412929441</v>
      </c>
      <c r="G149" s="14" t="s">
        <v>370</v>
      </c>
      <c r="J149" s="14" t="s">
        <v>41</v>
      </c>
      <c r="K149" s="1">
        <v>44814</v>
      </c>
      <c r="L149" t="s">
        <v>1645</v>
      </c>
      <c r="M149" t="s">
        <v>8</v>
      </c>
      <c r="N149" s="54">
        <v>350</v>
      </c>
      <c r="P149" t="s">
        <v>10</v>
      </c>
      <c r="Q149" t="s">
        <v>22</v>
      </c>
      <c r="S149" s="69"/>
      <c r="T149" s="112">
        <f>210+15</f>
        <v>225</v>
      </c>
      <c r="U149" s="67">
        <f>N149-T149</f>
        <v>125</v>
      </c>
      <c r="V149" s="61">
        <f>U149/T149*100</f>
        <v>55.555555555555557</v>
      </c>
      <c r="W149" s="73"/>
    </row>
    <row r="150" spans="1:23" s="14" customFormat="1" ht="15" customHeight="1">
      <c r="A150" s="39">
        <v>55</v>
      </c>
      <c r="B150" s="39" t="s">
        <v>60</v>
      </c>
      <c r="C150" s="41" t="s">
        <v>224</v>
      </c>
      <c r="D150" s="41"/>
      <c r="E150" s="41"/>
      <c r="F150" s="41">
        <v>986776543</v>
      </c>
      <c r="G150" s="41" t="s">
        <v>371</v>
      </c>
      <c r="H150" s="41"/>
      <c r="I150" s="41"/>
      <c r="J150" s="41" t="s">
        <v>372</v>
      </c>
      <c r="K150" s="47">
        <v>44814</v>
      </c>
      <c r="L150" s="41" t="s">
        <v>1656</v>
      </c>
      <c r="M150" s="41" t="s">
        <v>8</v>
      </c>
      <c r="N150" s="48">
        <f>440+150*2+30*4+120*2</f>
        <v>1100</v>
      </c>
      <c r="O150" s="41"/>
      <c r="P150" s="41" t="s">
        <v>31</v>
      </c>
      <c r="Q150" s="41" t="s">
        <v>11</v>
      </c>
      <c r="R150" s="41" t="s">
        <v>224</v>
      </c>
      <c r="S150"/>
      <c r="T150" s="112">
        <f>369+110*2+110*2+12*4</f>
        <v>857</v>
      </c>
      <c r="U150" s="67">
        <f>N150-T150</f>
        <v>243</v>
      </c>
      <c r="V150" s="61">
        <f>U150/T150*100</f>
        <v>28.354725787631274</v>
      </c>
      <c r="W150" s="73"/>
    </row>
    <row r="151" spans="1:23" s="14" customFormat="1" ht="15" customHeight="1">
      <c r="A151" s="45">
        <v>129</v>
      </c>
      <c r="B151" s="37"/>
      <c r="C151" s="14" t="s">
        <v>373</v>
      </c>
      <c r="E151" s="46"/>
      <c r="F151" s="14">
        <v>933790714</v>
      </c>
      <c r="J151" s="14" t="s">
        <v>374</v>
      </c>
      <c r="K151" s="1">
        <v>44815</v>
      </c>
      <c r="L151" t="s">
        <v>1655</v>
      </c>
      <c r="M151" t="s">
        <v>1654</v>
      </c>
      <c r="N151" s="54">
        <v>330</v>
      </c>
      <c r="P151" t="s">
        <v>10</v>
      </c>
      <c r="Q151" t="s">
        <v>22</v>
      </c>
      <c r="S151" s="69"/>
      <c r="T151" s="112">
        <f>210+15</f>
        <v>225</v>
      </c>
      <c r="U151" s="67">
        <f>N151-T151</f>
        <v>105</v>
      </c>
      <c r="V151" s="61">
        <f>U151/T151*100</f>
        <v>46.666666666666664</v>
      </c>
      <c r="W151" s="73"/>
    </row>
    <row r="152" spans="1:23" s="14" customFormat="1" ht="15" customHeight="1">
      <c r="A152" s="39">
        <v>55</v>
      </c>
      <c r="B152" s="39" t="s">
        <v>12</v>
      </c>
      <c r="C152" s="41" t="s">
        <v>1653</v>
      </c>
      <c r="D152" s="41"/>
      <c r="E152" s="41"/>
      <c r="F152" s="41">
        <v>986776543</v>
      </c>
      <c r="G152" s="41" t="s">
        <v>375</v>
      </c>
      <c r="H152" s="41"/>
      <c r="I152" s="41"/>
      <c r="J152" s="41" t="s">
        <v>376</v>
      </c>
      <c r="K152" s="47">
        <v>44817</v>
      </c>
      <c r="L152" s="41" t="s">
        <v>1652</v>
      </c>
      <c r="M152" s="41" t="s">
        <v>21</v>
      </c>
      <c r="N152" s="48">
        <v>520</v>
      </c>
      <c r="O152" s="41"/>
      <c r="P152" s="41" t="s">
        <v>31</v>
      </c>
      <c r="Q152" s="41" t="s">
        <v>11</v>
      </c>
      <c r="R152" s="41" t="s">
        <v>224</v>
      </c>
      <c r="S152"/>
      <c r="T152" s="112">
        <f>369+110</f>
        <v>479</v>
      </c>
      <c r="U152" s="67">
        <f>N152-T152</f>
        <v>41</v>
      </c>
      <c r="V152" s="61">
        <f>U152/T152*100</f>
        <v>8.559498956158663</v>
      </c>
      <c r="W152" s="73"/>
    </row>
    <row r="153" spans="1:23" s="14" customFormat="1" ht="15" customHeight="1">
      <c r="A153" s="45">
        <v>131</v>
      </c>
      <c r="B153" s="45"/>
      <c r="C153" s="14" t="s">
        <v>377</v>
      </c>
      <c r="E153" s="46">
        <v>23145411</v>
      </c>
      <c r="H153" s="14" t="s">
        <v>79</v>
      </c>
      <c r="I153" s="14" t="s">
        <v>147</v>
      </c>
      <c r="K153" s="1">
        <v>44818</v>
      </c>
      <c r="L153" t="s">
        <v>1651</v>
      </c>
      <c r="M153" t="s">
        <v>56</v>
      </c>
      <c r="N153" s="54">
        <v>200</v>
      </c>
      <c r="P153" t="s">
        <v>10</v>
      </c>
      <c r="Q153" t="s">
        <v>11</v>
      </c>
      <c r="S153" s="69"/>
      <c r="T153" s="112">
        <f>110+15</f>
        <v>125</v>
      </c>
      <c r="U153" s="67">
        <f>N153-T153</f>
        <v>75</v>
      </c>
      <c r="V153" s="61">
        <f>U153/T153*100</f>
        <v>60</v>
      </c>
      <c r="W153" s="73"/>
    </row>
    <row r="154" spans="1:23" s="14" customFormat="1" ht="15" customHeight="1">
      <c r="A154" s="45">
        <v>130</v>
      </c>
      <c r="B154" s="37" t="s">
        <v>12</v>
      </c>
      <c r="C154" s="14" t="s">
        <v>378</v>
      </c>
      <c r="E154" s="14">
        <v>2060059934</v>
      </c>
      <c r="F154" s="14">
        <v>975522559</v>
      </c>
      <c r="G154" s="14" t="s">
        <v>379</v>
      </c>
      <c r="J154" s="14" t="s">
        <v>381</v>
      </c>
      <c r="K154" s="1">
        <v>44818</v>
      </c>
      <c r="L154" t="s">
        <v>1316</v>
      </c>
      <c r="M154" t="s">
        <v>8</v>
      </c>
      <c r="N154" s="54">
        <v>330</v>
      </c>
      <c r="P154" t="s">
        <v>10</v>
      </c>
      <c r="Q154" t="s">
        <v>22</v>
      </c>
      <c r="S154" s="69"/>
      <c r="T154" s="112">
        <f>210+15</f>
        <v>225</v>
      </c>
      <c r="U154" s="67">
        <f>N154-T154</f>
        <v>105</v>
      </c>
      <c r="V154" s="61">
        <f>U154/T154*100</f>
        <v>46.666666666666664</v>
      </c>
      <c r="W154" s="73"/>
    </row>
    <row r="155" spans="1:23" s="14" customFormat="1" ht="15" customHeight="1">
      <c r="A155" s="45">
        <v>132</v>
      </c>
      <c r="B155" s="37"/>
      <c r="C155" s="14" t="s">
        <v>382</v>
      </c>
      <c r="E155" s="46"/>
      <c r="F155" s="14">
        <v>938342861</v>
      </c>
      <c r="J155" s="14" t="s">
        <v>383</v>
      </c>
      <c r="K155" s="1">
        <v>44819</v>
      </c>
      <c r="L155" t="s">
        <v>1650</v>
      </c>
      <c r="M155" t="s">
        <v>1649</v>
      </c>
      <c r="N155" s="54">
        <v>200</v>
      </c>
      <c r="P155" t="s">
        <v>10</v>
      </c>
      <c r="Q155" t="s">
        <v>22</v>
      </c>
      <c r="S155" s="69"/>
      <c r="T155" s="112">
        <f>120</f>
        <v>120</v>
      </c>
      <c r="U155" s="67">
        <f>N155-T155</f>
        <v>80</v>
      </c>
      <c r="V155" s="61">
        <f>U155/T155*100</f>
        <v>66.666666666666657</v>
      </c>
      <c r="W155" s="73"/>
    </row>
    <row r="156" spans="1:23" s="14" customFormat="1" ht="15" customHeight="1">
      <c r="A156" s="43">
        <v>133</v>
      </c>
      <c r="B156" s="39" t="s">
        <v>23</v>
      </c>
      <c r="C156" s="40" t="s">
        <v>384</v>
      </c>
      <c r="D156" s="40"/>
      <c r="E156" s="44"/>
      <c r="F156" s="40">
        <v>993104850</v>
      </c>
      <c r="G156" s="40"/>
      <c r="H156" s="40"/>
      <c r="I156" s="40"/>
      <c r="J156" s="40" t="s">
        <v>385</v>
      </c>
      <c r="K156" s="47">
        <v>44820</v>
      </c>
      <c r="L156" s="41" t="s">
        <v>1316</v>
      </c>
      <c r="M156" s="41" t="s">
        <v>21</v>
      </c>
      <c r="N156" s="49">
        <v>320</v>
      </c>
      <c r="O156" s="40"/>
      <c r="P156" s="41" t="s">
        <v>10</v>
      </c>
      <c r="Q156" s="41" t="s">
        <v>22</v>
      </c>
      <c r="R156" s="40"/>
      <c r="S156" s="69"/>
      <c r="T156" s="112">
        <f>210+15</f>
        <v>225</v>
      </c>
      <c r="U156" s="67">
        <f>N156-T156</f>
        <v>95</v>
      </c>
      <c r="V156" s="61">
        <f>U156/T156*100</f>
        <v>42.222222222222221</v>
      </c>
      <c r="W156" s="73"/>
    </row>
    <row r="157" spans="1:23" s="14" customFormat="1" ht="15" customHeight="1">
      <c r="A157" s="45">
        <v>134</v>
      </c>
      <c r="B157" s="45"/>
      <c r="C157" s="14" t="s">
        <v>386</v>
      </c>
      <c r="E157" s="46"/>
      <c r="F157" s="14">
        <v>987672802</v>
      </c>
      <c r="J157" s="14" t="s">
        <v>161</v>
      </c>
      <c r="K157" s="1">
        <v>44820</v>
      </c>
      <c r="L157" t="s">
        <v>1316</v>
      </c>
      <c r="M157" t="s">
        <v>1628</v>
      </c>
      <c r="N157" s="54">
        <v>350</v>
      </c>
      <c r="O157" s="14" t="s">
        <v>387</v>
      </c>
      <c r="P157" t="s">
        <v>10</v>
      </c>
      <c r="Q157" t="s">
        <v>22</v>
      </c>
      <c r="S157" s="69"/>
      <c r="T157" s="112">
        <f>210+15</f>
        <v>225</v>
      </c>
      <c r="U157" s="67">
        <f>N157-T157</f>
        <v>125</v>
      </c>
      <c r="V157" s="61">
        <f>U157/T157*100</f>
        <v>55.555555555555557</v>
      </c>
      <c r="W157" s="73"/>
    </row>
    <row r="158" spans="1:23" s="14" customFormat="1" ht="15" customHeight="1">
      <c r="A158" s="45">
        <v>135</v>
      </c>
      <c r="B158" s="45"/>
      <c r="C158" s="14" t="s">
        <v>388</v>
      </c>
      <c r="E158" s="46"/>
      <c r="F158" s="14">
        <v>936584456</v>
      </c>
      <c r="J158" s="14" t="s">
        <v>389</v>
      </c>
      <c r="K158" s="1">
        <v>44822</v>
      </c>
      <c r="L158" t="s">
        <v>1316</v>
      </c>
      <c r="M158" t="s">
        <v>8</v>
      </c>
      <c r="N158" s="54">
        <v>320</v>
      </c>
      <c r="P158" t="s">
        <v>10</v>
      </c>
      <c r="Q158" t="s">
        <v>22</v>
      </c>
      <c r="S158" s="69"/>
      <c r="T158" s="112">
        <f>210+15</f>
        <v>225</v>
      </c>
      <c r="U158" s="67">
        <f>N158-T158</f>
        <v>95</v>
      </c>
      <c r="V158" s="61">
        <f>U158/T158*100</f>
        <v>42.222222222222221</v>
      </c>
      <c r="W158" s="73"/>
    </row>
    <row r="159" spans="1:23" s="14" customFormat="1" ht="15" customHeight="1">
      <c r="A159" s="45">
        <v>136</v>
      </c>
      <c r="B159" s="37" t="s">
        <v>23</v>
      </c>
      <c r="C159" s="14" t="s">
        <v>390</v>
      </c>
      <c r="E159" s="46"/>
      <c r="F159" s="14">
        <v>920197564</v>
      </c>
      <c r="J159" s="14" t="s">
        <v>391</v>
      </c>
      <c r="K159" s="1">
        <v>44824</v>
      </c>
      <c r="L159" t="s">
        <v>1316</v>
      </c>
      <c r="M159" t="s">
        <v>21</v>
      </c>
      <c r="N159" s="54">
        <v>330</v>
      </c>
      <c r="P159" t="s">
        <v>10</v>
      </c>
      <c r="Q159" t="s">
        <v>22</v>
      </c>
      <c r="S159" s="69"/>
      <c r="T159" s="112">
        <f>210+15</f>
        <v>225</v>
      </c>
      <c r="U159" s="67">
        <f>N159-T159</f>
        <v>105</v>
      </c>
      <c r="V159" s="61">
        <f>U159/T159*100</f>
        <v>46.666666666666664</v>
      </c>
      <c r="W159" s="73"/>
    </row>
    <row r="160" spans="1:23" s="14" customFormat="1" ht="15" customHeight="1">
      <c r="A160" s="45">
        <v>137</v>
      </c>
      <c r="B160" s="45"/>
      <c r="C160" s="14" t="s">
        <v>392</v>
      </c>
      <c r="E160" s="46"/>
      <c r="F160" s="14">
        <v>959269812</v>
      </c>
      <c r="J160" s="14" t="s">
        <v>144</v>
      </c>
      <c r="K160" s="1">
        <v>44824</v>
      </c>
      <c r="L160" t="s">
        <v>1648</v>
      </c>
      <c r="M160" t="s">
        <v>1613</v>
      </c>
      <c r="N160" s="54">
        <v>510</v>
      </c>
      <c r="P160" t="s">
        <v>10</v>
      </c>
      <c r="Q160" t="s">
        <v>22</v>
      </c>
      <c r="S160" s="69"/>
      <c r="T160" s="112">
        <f>255+15+20</f>
        <v>290</v>
      </c>
      <c r="U160" s="67">
        <f>N160-T160</f>
        <v>220</v>
      </c>
      <c r="V160" s="61">
        <f>U160/T160*100</f>
        <v>75.862068965517238</v>
      </c>
      <c r="W160" s="73"/>
    </row>
    <row r="161" spans="1:25" s="14" customFormat="1" ht="15" customHeight="1">
      <c r="A161" s="45">
        <v>138</v>
      </c>
      <c r="B161" s="45"/>
      <c r="C161" s="14" t="s">
        <v>393</v>
      </c>
      <c r="E161" s="46"/>
      <c r="F161" s="14">
        <v>955440204</v>
      </c>
      <c r="J161" s="14" t="s">
        <v>144</v>
      </c>
      <c r="K161" s="1">
        <v>44827</v>
      </c>
      <c r="L161" t="s">
        <v>1647</v>
      </c>
      <c r="M161" t="s">
        <v>1628</v>
      </c>
      <c r="N161" s="54">
        <v>365</v>
      </c>
      <c r="P161" t="s">
        <v>10</v>
      </c>
      <c r="Q161" t="s">
        <v>22</v>
      </c>
      <c r="S161" s="69"/>
      <c r="T161" s="112">
        <v>258</v>
      </c>
      <c r="U161" s="67">
        <f>N161-T161</f>
        <v>107</v>
      </c>
      <c r="V161" s="61">
        <f>U161/T161*100</f>
        <v>41.472868217054263</v>
      </c>
      <c r="W161" s="73"/>
    </row>
    <row r="162" spans="1:25" s="14" customFormat="1" ht="15" customHeight="1">
      <c r="A162" s="39">
        <v>35</v>
      </c>
      <c r="B162" s="39" t="s">
        <v>60</v>
      </c>
      <c r="C162" s="41" t="s">
        <v>136</v>
      </c>
      <c r="D162" s="41"/>
      <c r="E162" s="41">
        <v>20393955415</v>
      </c>
      <c r="F162" s="41">
        <v>939361591</v>
      </c>
      <c r="G162" s="41" t="s">
        <v>394</v>
      </c>
      <c r="H162" s="41" t="s">
        <v>79</v>
      </c>
      <c r="I162" s="41" t="s">
        <v>29</v>
      </c>
      <c r="J162" s="41"/>
      <c r="K162" s="47">
        <v>44828</v>
      </c>
      <c r="L162" s="41" t="s">
        <v>1646</v>
      </c>
      <c r="M162" s="41" t="s">
        <v>38</v>
      </c>
      <c r="N162" s="48">
        <v>600</v>
      </c>
      <c r="O162" s="41" t="s">
        <v>138</v>
      </c>
      <c r="P162" s="41" t="s">
        <v>31</v>
      </c>
      <c r="Q162" s="41" t="s">
        <v>11</v>
      </c>
      <c r="R162" s="41"/>
      <c r="S162"/>
      <c r="T162" s="112">
        <f>210+210+30</f>
        <v>450</v>
      </c>
      <c r="U162" s="20">
        <f>N162-T162</f>
        <v>150</v>
      </c>
      <c r="V162" s="61">
        <f>U162/T162*100</f>
        <v>33.333333333333329</v>
      </c>
      <c r="W162"/>
      <c r="X162"/>
      <c r="Y162"/>
    </row>
    <row r="163" spans="1:25" s="14" customFormat="1" ht="15" customHeight="1">
      <c r="A163" s="45">
        <v>139</v>
      </c>
      <c r="B163" s="37" t="s">
        <v>23</v>
      </c>
      <c r="C163" s="14" t="s">
        <v>395</v>
      </c>
      <c r="E163" s="46"/>
      <c r="F163" s="14">
        <v>979667382</v>
      </c>
      <c r="J163" s="14" t="s">
        <v>164</v>
      </c>
      <c r="K163" s="1">
        <v>44829</v>
      </c>
      <c r="L163" t="s">
        <v>1645</v>
      </c>
      <c r="M163" t="s">
        <v>21</v>
      </c>
      <c r="N163" s="54">
        <v>350</v>
      </c>
      <c r="P163" t="s">
        <v>10</v>
      </c>
      <c r="Q163" t="s">
        <v>22</v>
      </c>
      <c r="S163" s="69"/>
      <c r="T163" s="112">
        <f>210+15</f>
        <v>225</v>
      </c>
      <c r="U163" s="20">
        <f>N163-T163</f>
        <v>125</v>
      </c>
      <c r="V163" s="61">
        <f>U163/T163*100</f>
        <v>55.555555555555557</v>
      </c>
      <c r="W163" s="73"/>
    </row>
    <row r="164" spans="1:25" s="14" customFormat="1" ht="15" customHeight="1">
      <c r="A164" s="45">
        <v>140</v>
      </c>
      <c r="B164" s="37" t="s">
        <v>0</v>
      </c>
      <c r="C164" s="14" t="s">
        <v>396</v>
      </c>
      <c r="E164" s="46"/>
      <c r="F164" s="14">
        <v>906341511</v>
      </c>
      <c r="G164" s="46" t="s">
        <v>397</v>
      </c>
      <c r="J164" s="14" t="s">
        <v>364</v>
      </c>
      <c r="K164" s="1">
        <v>44830</v>
      </c>
      <c r="L164" t="s">
        <v>1643</v>
      </c>
      <c r="M164" t="s">
        <v>21</v>
      </c>
      <c r="N164" s="54">
        <v>200</v>
      </c>
      <c r="P164" t="s">
        <v>10</v>
      </c>
      <c r="Q164" t="s">
        <v>22</v>
      </c>
      <c r="S164" s="69"/>
      <c r="T164" s="112">
        <f>110+12</f>
        <v>122</v>
      </c>
      <c r="U164" s="20">
        <f>N164-T164</f>
        <v>78</v>
      </c>
      <c r="V164" s="61">
        <f>U164/T164*100</f>
        <v>63.934426229508205</v>
      </c>
      <c r="W164" s="73"/>
    </row>
    <row r="165" spans="1:25" s="14" customFormat="1" ht="15" customHeight="1">
      <c r="A165" s="45">
        <v>141</v>
      </c>
      <c r="B165" s="37" t="s">
        <v>12</v>
      </c>
      <c r="C165" s="14" t="s">
        <v>398</v>
      </c>
      <c r="E165" s="46"/>
      <c r="F165" s="14">
        <v>950633893</v>
      </c>
      <c r="G165" s="46" t="s">
        <v>399</v>
      </c>
      <c r="J165" s="14" t="s">
        <v>400</v>
      </c>
      <c r="K165" s="1">
        <v>44830</v>
      </c>
      <c r="L165" t="s">
        <v>1643</v>
      </c>
      <c r="M165" t="s">
        <v>1628</v>
      </c>
      <c r="N165" s="54">
        <v>200</v>
      </c>
      <c r="P165" t="s">
        <v>10</v>
      </c>
      <c r="Q165" t="s">
        <v>22</v>
      </c>
      <c r="S165" s="69"/>
      <c r="T165" s="112">
        <f>110+12</f>
        <v>122</v>
      </c>
      <c r="U165" s="20">
        <f>N165-T165</f>
        <v>78</v>
      </c>
      <c r="V165" s="61">
        <f>U165/T165*100</f>
        <v>63.934426229508205</v>
      </c>
      <c r="W165" s="73"/>
    </row>
    <row r="166" spans="1:25" s="14" customFormat="1" ht="15" customHeight="1">
      <c r="A166" s="45">
        <v>142</v>
      </c>
      <c r="B166" s="37" t="s">
        <v>23</v>
      </c>
      <c r="C166" s="14" t="s">
        <v>401</v>
      </c>
      <c r="E166" s="46"/>
      <c r="F166" s="14">
        <v>922139681</v>
      </c>
      <c r="J166" s="14" t="s">
        <v>402</v>
      </c>
      <c r="K166" s="1">
        <v>44831</v>
      </c>
      <c r="L166" t="s">
        <v>1643</v>
      </c>
      <c r="M166" t="s">
        <v>21</v>
      </c>
      <c r="N166" s="54">
        <v>200</v>
      </c>
      <c r="P166" t="s">
        <v>10</v>
      </c>
      <c r="Q166" t="s">
        <v>22</v>
      </c>
      <c r="S166" s="69"/>
      <c r="T166" s="112">
        <f>110+12</f>
        <v>122</v>
      </c>
      <c r="U166" s="20">
        <f>N166-T166</f>
        <v>78</v>
      </c>
      <c r="V166" s="61">
        <f>U166/T166*100</f>
        <v>63.934426229508205</v>
      </c>
      <c r="W166" s="73"/>
    </row>
    <row r="167" spans="1:25" s="14" customFormat="1" ht="15" customHeight="1">
      <c r="A167" s="45">
        <v>143</v>
      </c>
      <c r="B167" s="45"/>
      <c r="C167" t="s">
        <v>403</v>
      </c>
      <c r="D167"/>
      <c r="E167">
        <v>45506222</v>
      </c>
      <c r="F167" s="14">
        <v>990188744</v>
      </c>
      <c r="H167" s="14" t="s">
        <v>55</v>
      </c>
      <c r="I167" s="14" t="s">
        <v>29</v>
      </c>
      <c r="K167" s="1">
        <v>44832</v>
      </c>
      <c r="L167" t="s">
        <v>1644</v>
      </c>
      <c r="M167" s="14" t="s">
        <v>8</v>
      </c>
      <c r="N167" s="54">
        <v>350</v>
      </c>
      <c r="P167" t="s">
        <v>10</v>
      </c>
      <c r="Q167" t="s">
        <v>11</v>
      </c>
      <c r="S167" s="69"/>
      <c r="T167" s="112">
        <f>110+120</f>
        <v>230</v>
      </c>
      <c r="U167" s="20">
        <f>N167-T167</f>
        <v>120</v>
      </c>
      <c r="V167" s="61">
        <f>U167/T167*100</f>
        <v>52.173913043478258</v>
      </c>
      <c r="W167" s="73"/>
    </row>
    <row r="168" spans="1:25" s="14" customFormat="1" ht="15" customHeight="1">
      <c r="A168" s="45">
        <v>144</v>
      </c>
      <c r="B168" s="45"/>
      <c r="C168" s="14" t="s">
        <v>404</v>
      </c>
      <c r="E168">
        <v>70545354</v>
      </c>
      <c r="F168" s="14">
        <v>941303898</v>
      </c>
      <c r="H168" s="14" t="s">
        <v>405</v>
      </c>
      <c r="I168" s="14" t="s">
        <v>147</v>
      </c>
      <c r="K168" s="1">
        <v>44833</v>
      </c>
      <c r="L168" t="s">
        <v>1643</v>
      </c>
      <c r="M168" s="14" t="s">
        <v>8</v>
      </c>
      <c r="N168" s="54">
        <v>190</v>
      </c>
      <c r="P168" t="s">
        <v>10</v>
      </c>
      <c r="Q168" t="s">
        <v>22</v>
      </c>
      <c r="S168" s="69"/>
      <c r="T168" s="112">
        <f>110+12</f>
        <v>122</v>
      </c>
      <c r="U168" s="20">
        <f>N168-T168</f>
        <v>68</v>
      </c>
      <c r="V168" s="61">
        <f>U168/T168*100</f>
        <v>55.737704918032783</v>
      </c>
      <c r="W168" s="73"/>
    </row>
    <row r="169" spans="1:25" s="14" customFormat="1" ht="15" customHeight="1">
      <c r="A169" s="45">
        <v>145</v>
      </c>
      <c r="B169" s="45"/>
      <c r="C169" s="14" t="s">
        <v>406</v>
      </c>
      <c r="E169">
        <v>71387003</v>
      </c>
      <c r="F169" s="14">
        <v>914623324</v>
      </c>
      <c r="H169" s="14" t="s">
        <v>266</v>
      </c>
      <c r="I169" s="14" t="s">
        <v>407</v>
      </c>
      <c r="J169" s="14" t="s">
        <v>408</v>
      </c>
      <c r="K169" s="1">
        <v>44833</v>
      </c>
      <c r="L169" t="s">
        <v>1643</v>
      </c>
      <c r="M169" s="14" t="s">
        <v>8</v>
      </c>
      <c r="N169" s="54">
        <v>200</v>
      </c>
      <c r="O169" s="14" t="s">
        <v>409</v>
      </c>
      <c r="P169" t="s">
        <v>10</v>
      </c>
      <c r="Q169" t="s">
        <v>11</v>
      </c>
      <c r="S169" s="69"/>
      <c r="T169" s="112">
        <f>110+12</f>
        <v>122</v>
      </c>
      <c r="U169" s="20">
        <f>N169-T169</f>
        <v>78</v>
      </c>
      <c r="V169" s="61">
        <f>U169/T169*100</f>
        <v>63.934426229508205</v>
      </c>
      <c r="W169" s="73"/>
    </row>
    <row r="170" spans="1:25" s="14" customFormat="1" ht="15" customHeight="1">
      <c r="A170" s="45">
        <v>146</v>
      </c>
      <c r="B170" s="37" t="s">
        <v>12</v>
      </c>
      <c r="C170" s="14" t="s">
        <v>410</v>
      </c>
      <c r="E170">
        <v>20609723336</v>
      </c>
      <c r="F170" s="14">
        <v>990631412</v>
      </c>
      <c r="G170" s="14" t="s">
        <v>411</v>
      </c>
      <c r="J170" s="14" t="s">
        <v>412</v>
      </c>
      <c r="K170" s="1">
        <v>44834</v>
      </c>
      <c r="L170" t="s">
        <v>1642</v>
      </c>
      <c r="M170" s="14" t="s">
        <v>1641</v>
      </c>
      <c r="N170" s="54">
        <v>580</v>
      </c>
      <c r="P170" t="s">
        <v>10</v>
      </c>
      <c r="Q170" t="s">
        <v>22</v>
      </c>
      <c r="S170" s="69"/>
      <c r="T170" s="112">
        <f>255+25+15</f>
        <v>295</v>
      </c>
      <c r="U170" s="20">
        <f>N170-T170</f>
        <v>285</v>
      </c>
      <c r="V170" s="61">
        <f>U170/T170*100</f>
        <v>96.610169491525426</v>
      </c>
      <c r="W170" s="73"/>
    </row>
    <row r="171" spans="1:25" s="14" customFormat="1" ht="15" customHeight="1">
      <c r="A171" s="45">
        <v>147</v>
      </c>
      <c r="B171" s="37" t="s">
        <v>23</v>
      </c>
      <c r="C171" s="14" t="s">
        <v>413</v>
      </c>
      <c r="E171"/>
      <c r="F171" s="14">
        <v>955263462</v>
      </c>
      <c r="J171" s="14" t="s">
        <v>414</v>
      </c>
      <c r="K171" s="1">
        <v>44838</v>
      </c>
      <c r="L171" t="s">
        <v>1640</v>
      </c>
      <c r="M171" s="14" t="s">
        <v>21</v>
      </c>
      <c r="N171" s="54">
        <v>200</v>
      </c>
      <c r="P171" t="s">
        <v>10</v>
      </c>
      <c r="Q171" t="s">
        <v>11</v>
      </c>
      <c r="S171" s="69"/>
      <c r="T171" s="112">
        <f>120</f>
        <v>120</v>
      </c>
      <c r="U171" s="20">
        <f>N171-T171</f>
        <v>80</v>
      </c>
      <c r="V171" s="61">
        <f>U171/T171*100</f>
        <v>66.666666666666657</v>
      </c>
      <c r="W171" s="73"/>
    </row>
    <row r="172" spans="1:25" s="14" customFormat="1" ht="15" customHeight="1">
      <c r="A172" s="45">
        <v>148</v>
      </c>
      <c r="B172" s="37" t="s">
        <v>23</v>
      </c>
      <c r="C172" s="14" t="s">
        <v>415</v>
      </c>
      <c r="E172"/>
      <c r="F172" s="14">
        <v>957384083</v>
      </c>
      <c r="J172" s="14" t="s">
        <v>416</v>
      </c>
      <c r="K172" s="1">
        <v>44838</v>
      </c>
      <c r="L172" t="s">
        <v>1608</v>
      </c>
      <c r="M172" s="14" t="s">
        <v>21</v>
      </c>
      <c r="N172" s="54">
        <v>330</v>
      </c>
      <c r="P172" t="s">
        <v>10</v>
      </c>
      <c r="Q172" t="s">
        <v>11</v>
      </c>
      <c r="R172" s="73"/>
      <c r="S172" s="69">
        <v>34</v>
      </c>
      <c r="T172" s="112">
        <f>210+15</f>
        <v>225</v>
      </c>
      <c r="U172" s="20">
        <f>N172-T172</f>
        <v>105</v>
      </c>
      <c r="V172" s="61">
        <f>U172/T172*100</f>
        <v>46.666666666666664</v>
      </c>
      <c r="W172" s="73"/>
    </row>
    <row r="173" spans="1:25" s="14" customFormat="1" ht="15" customHeight="1">
      <c r="A173" s="45">
        <v>150</v>
      </c>
      <c r="B173" s="37" t="s">
        <v>12</v>
      </c>
      <c r="C173" s="14" t="s">
        <v>417</v>
      </c>
      <c r="E173" s="46">
        <v>20609959275</v>
      </c>
      <c r="F173" s="14">
        <v>962951294</v>
      </c>
      <c r="G173" s="14" t="s">
        <v>418</v>
      </c>
      <c r="H173" s="14" t="s">
        <v>266</v>
      </c>
      <c r="I173" s="14" t="s">
        <v>29</v>
      </c>
      <c r="K173" s="1">
        <v>44840</v>
      </c>
      <c r="L173" t="s">
        <v>1608</v>
      </c>
      <c r="M173" s="14" t="s">
        <v>56</v>
      </c>
      <c r="N173" s="54">
        <v>330</v>
      </c>
      <c r="P173" t="s">
        <v>10</v>
      </c>
      <c r="Q173" t="s">
        <v>22</v>
      </c>
      <c r="R173" s="73"/>
      <c r="S173" s="69">
        <v>34</v>
      </c>
      <c r="T173" s="112">
        <f>210+15</f>
        <v>225</v>
      </c>
      <c r="U173" s="20">
        <f>N173-T173</f>
        <v>105</v>
      </c>
      <c r="V173" s="61">
        <f>U173/T173*100</f>
        <v>46.666666666666664</v>
      </c>
      <c r="W173" s="73"/>
    </row>
    <row r="174" spans="1:25" s="14" customFormat="1" ht="15" customHeight="1">
      <c r="A174" s="45">
        <v>149</v>
      </c>
      <c r="B174" s="37"/>
      <c r="C174" s="14" t="s">
        <v>419</v>
      </c>
      <c r="E174"/>
      <c r="F174" s="14">
        <v>939170886</v>
      </c>
      <c r="J174" s="14" t="s">
        <v>421</v>
      </c>
      <c r="K174" s="1">
        <v>44840</v>
      </c>
      <c r="L174" t="s">
        <v>1608</v>
      </c>
      <c r="M174" s="14" t="s">
        <v>21</v>
      </c>
      <c r="N174" s="54">
        <v>300</v>
      </c>
      <c r="P174" t="s">
        <v>10</v>
      </c>
      <c r="Q174" t="s">
        <v>22</v>
      </c>
      <c r="R174" s="73"/>
      <c r="S174" s="69">
        <v>34</v>
      </c>
      <c r="T174" s="112">
        <f>210+15</f>
        <v>225</v>
      </c>
      <c r="U174" s="20">
        <f>N174-T174</f>
        <v>75</v>
      </c>
      <c r="V174" s="61">
        <f>U174/T174*100</f>
        <v>33.333333333333329</v>
      </c>
      <c r="W174" s="73"/>
    </row>
    <row r="175" spans="1:25" s="14" customFormat="1" ht="15" customHeight="1">
      <c r="A175" s="45">
        <v>151</v>
      </c>
      <c r="B175" s="45"/>
      <c r="C175" s="14" t="s">
        <v>422</v>
      </c>
      <c r="E175" s="46">
        <v>46910612</v>
      </c>
      <c r="F175" s="14">
        <v>918413912</v>
      </c>
      <c r="H175" s="14" t="s">
        <v>1190</v>
      </c>
      <c r="I175" s="14" t="s">
        <v>147</v>
      </c>
      <c r="K175" s="1">
        <v>44840</v>
      </c>
      <c r="L175" t="s">
        <v>1605</v>
      </c>
      <c r="M175" s="14" t="s">
        <v>38</v>
      </c>
      <c r="N175" s="54">
        <v>190</v>
      </c>
      <c r="P175" t="s">
        <v>10</v>
      </c>
      <c r="Q175" t="s">
        <v>11</v>
      </c>
      <c r="R175" s="73"/>
      <c r="S175" s="69">
        <v>14</v>
      </c>
      <c r="T175" s="112">
        <f>110+12</f>
        <v>122</v>
      </c>
      <c r="U175" s="20">
        <f>N175-T175</f>
        <v>68</v>
      </c>
      <c r="V175" s="61">
        <f>U175/T175*100</f>
        <v>55.737704918032783</v>
      </c>
      <c r="W175" s="73"/>
    </row>
    <row r="176" spans="1:25" s="14" customFormat="1" ht="15" customHeight="1">
      <c r="A176" s="45">
        <v>152</v>
      </c>
      <c r="B176" s="37" t="s">
        <v>23</v>
      </c>
      <c r="C176" s="14" t="s">
        <v>424</v>
      </c>
      <c r="E176" s="46"/>
      <c r="F176" s="14">
        <v>978906149</v>
      </c>
      <c r="J176" s="14" t="s">
        <v>748</v>
      </c>
      <c r="K176" s="1">
        <v>44841</v>
      </c>
      <c r="L176" t="s">
        <v>1639</v>
      </c>
      <c r="M176" s="14" t="s">
        <v>21</v>
      </c>
      <c r="N176" s="54">
        <v>40</v>
      </c>
      <c r="P176" t="s">
        <v>10</v>
      </c>
      <c r="Q176" t="s">
        <v>22</v>
      </c>
      <c r="R176" s="73"/>
      <c r="S176" s="69"/>
      <c r="T176" s="112">
        <v>15</v>
      </c>
      <c r="U176" s="20">
        <f>N176-T176</f>
        <v>25</v>
      </c>
      <c r="V176" s="61">
        <f>U176/T176*100</f>
        <v>166.66666666666669</v>
      </c>
      <c r="W176" s="73"/>
    </row>
    <row r="177" spans="1:26" s="14" customFormat="1" ht="15" customHeight="1">
      <c r="A177" s="45">
        <v>153</v>
      </c>
      <c r="B177" s="45"/>
      <c r="C177" s="14" t="s">
        <v>425</v>
      </c>
      <c r="E177" s="46"/>
      <c r="F177" s="14">
        <v>988247429</v>
      </c>
      <c r="J177" s="14" t="s">
        <v>426</v>
      </c>
      <c r="K177" s="1">
        <v>44842</v>
      </c>
      <c r="L177" t="s">
        <v>1605</v>
      </c>
      <c r="M177" t="s">
        <v>1613</v>
      </c>
      <c r="N177" s="54">
        <v>200</v>
      </c>
      <c r="P177" t="s">
        <v>10</v>
      </c>
      <c r="Q177" t="s">
        <v>22</v>
      </c>
      <c r="R177" s="73"/>
      <c r="S177" s="69">
        <v>14</v>
      </c>
      <c r="T177" s="112">
        <f>12+110</f>
        <v>122</v>
      </c>
      <c r="U177" s="20">
        <f>N177-T177</f>
        <v>78</v>
      </c>
      <c r="V177" s="61">
        <f>U177/T177*100</f>
        <v>63.934426229508205</v>
      </c>
      <c r="W177" s="73"/>
    </row>
    <row r="178" spans="1:26" s="14" customFormat="1" ht="15" customHeight="1">
      <c r="A178" s="45">
        <v>154</v>
      </c>
      <c r="B178" s="45"/>
      <c r="C178" s="14" t="s">
        <v>427</v>
      </c>
      <c r="E178" s="46"/>
      <c r="F178" s="46">
        <v>997364674</v>
      </c>
      <c r="J178" s="14" t="s">
        <v>428</v>
      </c>
      <c r="K178" s="1">
        <v>44842</v>
      </c>
      <c r="L178" t="s">
        <v>1605</v>
      </c>
      <c r="M178" s="14" t="s">
        <v>8</v>
      </c>
      <c r="N178" s="54">
        <v>200</v>
      </c>
      <c r="P178" t="s">
        <v>10</v>
      </c>
      <c r="Q178" t="s">
        <v>11</v>
      </c>
      <c r="S178" s="69">
        <v>14</v>
      </c>
      <c r="T178" s="112">
        <f>110+12</f>
        <v>122</v>
      </c>
      <c r="U178" s="20">
        <f>N178-T178</f>
        <v>78</v>
      </c>
      <c r="V178" s="61">
        <f>U178/T178*100</f>
        <v>63.934426229508205</v>
      </c>
      <c r="W178" s="73"/>
    </row>
    <row r="179" spans="1:26" s="14" customFormat="1" ht="15" customHeight="1">
      <c r="A179" s="37">
        <v>60</v>
      </c>
      <c r="B179" s="37"/>
      <c r="C179" t="s">
        <v>206</v>
      </c>
      <c r="D179"/>
      <c r="E179" s="38">
        <v>42575441</v>
      </c>
      <c r="F179">
        <v>941003193</v>
      </c>
      <c r="G179"/>
      <c r="H179" t="s">
        <v>199</v>
      </c>
      <c r="I179" t="s">
        <v>29</v>
      </c>
      <c r="J179"/>
      <c r="K179" s="1">
        <v>44842</v>
      </c>
      <c r="L179" t="s">
        <v>1638</v>
      </c>
      <c r="M179" t="s">
        <v>8</v>
      </c>
      <c r="N179" s="20">
        <v>325</v>
      </c>
      <c r="O179" t="s">
        <v>1637</v>
      </c>
      <c r="P179" t="s">
        <v>10</v>
      </c>
      <c r="Q179" t="s">
        <v>11</v>
      </c>
      <c r="R179" s="61">
        <f>N179-258</f>
        <v>67</v>
      </c>
      <c r="S179"/>
      <c r="T179" s="113">
        <f>10*18</f>
        <v>180</v>
      </c>
      <c r="U179" s="67">
        <f>N179-T179</f>
        <v>145</v>
      </c>
      <c r="V179" s="61">
        <f>U179/T179*100</f>
        <v>80.555555555555557</v>
      </c>
      <c r="W179"/>
      <c r="X179"/>
      <c r="Y179"/>
      <c r="Z179"/>
    </row>
    <row r="180" spans="1:26" s="14" customFormat="1" ht="15" customHeight="1">
      <c r="A180" s="45">
        <v>156</v>
      </c>
      <c r="B180" s="45"/>
      <c r="C180" s="14" t="s">
        <v>429</v>
      </c>
      <c r="E180" s="46">
        <v>20602073166</v>
      </c>
      <c r="F180" s="46">
        <v>919151592</v>
      </c>
      <c r="J180" s="14" t="s">
        <v>7</v>
      </c>
      <c r="K180" s="1">
        <v>44842</v>
      </c>
      <c r="L180" t="s">
        <v>1605</v>
      </c>
      <c r="M180" t="s">
        <v>8</v>
      </c>
      <c r="N180" s="54">
        <v>330</v>
      </c>
      <c r="P180" t="s">
        <v>10</v>
      </c>
      <c r="Q180" t="s">
        <v>11</v>
      </c>
      <c r="S180" s="69">
        <v>34</v>
      </c>
      <c r="T180" s="112">
        <f>210+15</f>
        <v>225</v>
      </c>
      <c r="U180" s="67">
        <f>N180-T180</f>
        <v>105</v>
      </c>
      <c r="V180" s="61">
        <f>U180/T180*100</f>
        <v>46.666666666666664</v>
      </c>
      <c r="W180" s="73"/>
    </row>
    <row r="181" spans="1:26" s="14" customFormat="1" ht="15" customHeight="1">
      <c r="A181" s="45">
        <v>155</v>
      </c>
      <c r="B181" s="37" t="s">
        <v>12</v>
      </c>
      <c r="C181" s="14" t="s">
        <v>430</v>
      </c>
      <c r="E181" s="46"/>
      <c r="F181" s="46">
        <v>952189629</v>
      </c>
      <c r="G181" s="14" t="s">
        <v>431</v>
      </c>
      <c r="J181" s="14" t="s">
        <v>7</v>
      </c>
      <c r="K181" s="1">
        <v>44842</v>
      </c>
      <c r="L181" t="s">
        <v>1636</v>
      </c>
      <c r="M181" s="14" t="s">
        <v>38</v>
      </c>
      <c r="N181" s="54">
        <v>500</v>
      </c>
      <c r="P181" t="s">
        <v>10</v>
      </c>
      <c r="Q181" t="s">
        <v>11</v>
      </c>
      <c r="S181" s="69"/>
      <c r="T181" s="112">
        <f>15+20+260</f>
        <v>295</v>
      </c>
      <c r="U181" s="67">
        <f>N181-T181</f>
        <v>205</v>
      </c>
      <c r="V181" s="61">
        <f>U181/T181*100</f>
        <v>69.491525423728817</v>
      </c>
      <c r="W181" s="73"/>
    </row>
    <row r="182" spans="1:26" s="14" customFormat="1" ht="15" customHeight="1">
      <c r="A182" s="45">
        <v>157</v>
      </c>
      <c r="B182" s="45"/>
      <c r="C182" s="14" t="s">
        <v>432</v>
      </c>
      <c r="E182" s="46">
        <v>4591730</v>
      </c>
      <c r="F182" s="14">
        <v>902634901</v>
      </c>
      <c r="H182" s="14" t="s">
        <v>28</v>
      </c>
      <c r="I182" t="s">
        <v>29</v>
      </c>
      <c r="K182" s="1">
        <v>44844</v>
      </c>
      <c r="L182" t="s">
        <v>1605</v>
      </c>
      <c r="M182" s="14" t="s">
        <v>8</v>
      </c>
      <c r="N182" s="69">
        <v>215</v>
      </c>
      <c r="P182" t="s">
        <v>10</v>
      </c>
      <c r="Q182" t="s">
        <v>11</v>
      </c>
      <c r="R182" s="14">
        <v>12</v>
      </c>
      <c r="S182" s="69">
        <v>14</v>
      </c>
      <c r="T182" s="112">
        <f>110+12+12</f>
        <v>134</v>
      </c>
      <c r="U182" s="67">
        <f>N182-T182</f>
        <v>81</v>
      </c>
      <c r="V182" s="61">
        <f>U182/T182*100</f>
        <v>60.447761194029844</v>
      </c>
      <c r="W182" s="73"/>
    </row>
    <row r="183" spans="1:26" s="14" customFormat="1" ht="15" customHeight="1">
      <c r="A183" s="45">
        <v>158</v>
      </c>
      <c r="B183" s="37" t="s">
        <v>23</v>
      </c>
      <c r="C183" s="14" t="s">
        <v>433</v>
      </c>
      <c r="E183" s="46"/>
      <c r="F183" s="14">
        <v>997896505</v>
      </c>
      <c r="J183" s="14" t="s">
        <v>434</v>
      </c>
      <c r="K183" s="1">
        <v>44844</v>
      </c>
      <c r="L183" t="s">
        <v>1605</v>
      </c>
      <c r="M183" s="14" t="s">
        <v>21</v>
      </c>
      <c r="N183" s="69">
        <v>200</v>
      </c>
      <c r="P183" t="s">
        <v>10</v>
      </c>
      <c r="Q183" t="s">
        <v>22</v>
      </c>
      <c r="S183" s="69">
        <v>14</v>
      </c>
      <c r="T183" s="112">
        <f>110+12</f>
        <v>122</v>
      </c>
      <c r="U183" s="67">
        <f>N183-T183</f>
        <v>78</v>
      </c>
      <c r="V183" s="61">
        <f>U183/T183*100</f>
        <v>63.934426229508205</v>
      </c>
      <c r="W183" s="73"/>
    </row>
    <row r="184" spans="1:26" s="14" customFormat="1" ht="15" customHeight="1">
      <c r="A184" s="45">
        <v>159</v>
      </c>
      <c r="B184" s="45"/>
      <c r="C184" s="14" t="s">
        <v>435</v>
      </c>
      <c r="E184" s="46">
        <v>48116990</v>
      </c>
      <c r="F184" s="14">
        <v>970731578</v>
      </c>
      <c r="H184" s="14" t="s">
        <v>436</v>
      </c>
      <c r="I184" s="14" t="s">
        <v>29</v>
      </c>
      <c r="K184" s="1">
        <v>44844</v>
      </c>
      <c r="L184" t="s">
        <v>1635</v>
      </c>
      <c r="M184" s="14" t="s">
        <v>8</v>
      </c>
      <c r="N184" s="69">
        <v>420</v>
      </c>
      <c r="P184" t="s">
        <v>10</v>
      </c>
      <c r="Q184" t="s">
        <v>11</v>
      </c>
      <c r="R184" s="14">
        <v>17</v>
      </c>
      <c r="S184" s="69"/>
      <c r="T184" s="112">
        <f>20*2+260</f>
        <v>300</v>
      </c>
      <c r="U184" s="67">
        <f>N184-T184</f>
        <v>120</v>
      </c>
      <c r="V184" s="61">
        <f>U184/T184*100</f>
        <v>40</v>
      </c>
      <c r="W184" s="73"/>
    </row>
    <row r="185" spans="1:26" s="14" customFormat="1" ht="15" customHeight="1">
      <c r="A185" s="43">
        <v>124</v>
      </c>
      <c r="B185" s="39" t="s">
        <v>12</v>
      </c>
      <c r="C185" s="40" t="s">
        <v>360</v>
      </c>
      <c r="D185" s="44">
        <v>20601379377</v>
      </c>
      <c r="E185" s="44">
        <v>46047067</v>
      </c>
      <c r="F185" s="40">
        <v>933784155</v>
      </c>
      <c r="G185" s="40" t="s">
        <v>437</v>
      </c>
      <c r="H185" s="40" t="s">
        <v>1257</v>
      </c>
      <c r="I185" s="40" t="s">
        <v>29</v>
      </c>
      <c r="J185" s="40"/>
      <c r="K185" s="47">
        <v>44844</v>
      </c>
      <c r="L185" s="41" t="s">
        <v>1634</v>
      </c>
      <c r="M185" s="40" t="s">
        <v>56</v>
      </c>
      <c r="N185" s="49">
        <f>1280</f>
        <v>1280</v>
      </c>
      <c r="O185" s="40"/>
      <c r="P185" s="41" t="s">
        <v>31</v>
      </c>
      <c r="Q185" s="41" t="s">
        <v>11</v>
      </c>
      <c r="S185" s="69">
        <f>34+34+14+14+14</f>
        <v>110</v>
      </c>
      <c r="T185" s="112">
        <f>210+210+110+110+110+120+115</f>
        <v>985</v>
      </c>
      <c r="U185" s="67">
        <f>N185-T185</f>
        <v>295</v>
      </c>
      <c r="V185" s="61">
        <f>U185/T185*100</f>
        <v>29.949238578680205</v>
      </c>
      <c r="W185" s="73"/>
    </row>
    <row r="186" spans="1:26" s="14" customFormat="1" ht="15" customHeight="1">
      <c r="A186" s="39">
        <v>55</v>
      </c>
      <c r="B186" s="39" t="s">
        <v>60</v>
      </c>
      <c r="C186" s="41" t="s">
        <v>224</v>
      </c>
      <c r="D186" s="41"/>
      <c r="E186" s="41"/>
      <c r="F186" s="41">
        <v>993400767</v>
      </c>
      <c r="G186" s="41" t="s">
        <v>438</v>
      </c>
      <c r="H186" s="41"/>
      <c r="I186" s="41"/>
      <c r="J186" s="41" t="s">
        <v>183</v>
      </c>
      <c r="K186" s="47">
        <v>44845</v>
      </c>
      <c r="L186" s="41" t="s">
        <v>1633</v>
      </c>
      <c r="M186" s="41" t="s">
        <v>38</v>
      </c>
      <c r="N186" s="48">
        <v>520</v>
      </c>
      <c r="O186" s="41"/>
      <c r="P186" s="41" t="s">
        <v>31</v>
      </c>
      <c r="Q186" s="41" t="s">
        <v>11</v>
      </c>
      <c r="R186" s="41" t="s">
        <v>224</v>
      </c>
      <c r="S186"/>
      <c r="T186" s="112">
        <f>369+110</f>
        <v>479</v>
      </c>
      <c r="U186" s="20">
        <f>N186-T186</f>
        <v>41</v>
      </c>
      <c r="V186" s="61">
        <f>U186/T186*100</f>
        <v>8.559498956158663</v>
      </c>
      <c r="W186"/>
      <c r="X186"/>
    </row>
    <row r="187" spans="1:26" s="14" customFormat="1" ht="15" customHeight="1">
      <c r="A187" s="45">
        <v>157</v>
      </c>
      <c r="B187" s="45"/>
      <c r="C187" s="14" t="s">
        <v>432</v>
      </c>
      <c r="E187" s="46">
        <v>4591730</v>
      </c>
      <c r="F187" s="14">
        <v>902634901</v>
      </c>
      <c r="H187" s="14" t="s">
        <v>28</v>
      </c>
      <c r="I187" t="s">
        <v>29</v>
      </c>
      <c r="K187" s="1">
        <v>44846</v>
      </c>
      <c r="L187" t="s">
        <v>1605</v>
      </c>
      <c r="M187" s="14" t="s">
        <v>56</v>
      </c>
      <c r="N187" s="69">
        <v>220</v>
      </c>
      <c r="P187" t="s">
        <v>10</v>
      </c>
      <c r="Q187" t="s">
        <v>11</v>
      </c>
      <c r="R187" s="14">
        <v>12</v>
      </c>
      <c r="S187">
        <v>14</v>
      </c>
      <c r="T187" s="112">
        <f>110+12</f>
        <v>122</v>
      </c>
      <c r="U187" s="20">
        <f>N187-T187</f>
        <v>98</v>
      </c>
      <c r="V187" s="61">
        <f>U187/T187*100</f>
        <v>80.327868852459019</v>
      </c>
      <c r="W187"/>
      <c r="X187"/>
    </row>
    <row r="188" spans="1:26" s="14" customFormat="1" ht="15" customHeight="1">
      <c r="A188" s="37">
        <v>160</v>
      </c>
      <c r="B188" s="37"/>
      <c r="C188" s="14" t="s">
        <v>439</v>
      </c>
      <c r="E188" s="46">
        <v>20563053608</v>
      </c>
      <c r="F188" s="14">
        <v>993264050</v>
      </c>
      <c r="G188"/>
      <c r="H188"/>
      <c r="I188"/>
      <c r="J188" t="s">
        <v>7</v>
      </c>
      <c r="K188" s="1">
        <v>44846</v>
      </c>
      <c r="L188" t="s">
        <v>1605</v>
      </c>
      <c r="M188" s="14" t="s">
        <v>8</v>
      </c>
      <c r="N188" s="67">
        <v>190</v>
      </c>
      <c r="O188"/>
      <c r="P188" t="s">
        <v>10</v>
      </c>
      <c r="Q188" t="s">
        <v>22</v>
      </c>
      <c r="R188"/>
      <c r="S188" s="69">
        <v>14</v>
      </c>
      <c r="T188" s="112">
        <f>110+12</f>
        <v>122</v>
      </c>
      <c r="U188" s="20">
        <f>N188-T188</f>
        <v>68</v>
      </c>
      <c r="V188" s="61">
        <f>U188/T188*100</f>
        <v>55.737704918032783</v>
      </c>
      <c r="W188"/>
      <c r="X188"/>
    </row>
    <row r="189" spans="1:26" s="14" customFormat="1" ht="15" customHeight="1">
      <c r="A189" s="37">
        <v>161</v>
      </c>
      <c r="B189" s="37"/>
      <c r="C189" s="14" t="s">
        <v>440</v>
      </c>
      <c r="E189" s="46">
        <v>45733661</v>
      </c>
      <c r="F189" s="14">
        <v>940191230</v>
      </c>
      <c r="G189"/>
      <c r="H189"/>
      <c r="I189"/>
      <c r="J189"/>
      <c r="K189" s="1">
        <v>44847</v>
      </c>
      <c r="L189" t="s">
        <v>1629</v>
      </c>
      <c r="M189" s="14" t="s">
        <v>56</v>
      </c>
      <c r="N189" s="67">
        <v>190</v>
      </c>
      <c r="O189"/>
      <c r="P189" t="s">
        <v>10</v>
      </c>
      <c r="Q189" t="s">
        <v>11</v>
      </c>
      <c r="R189"/>
      <c r="S189">
        <v>14</v>
      </c>
      <c r="T189" s="112">
        <f>110</f>
        <v>110</v>
      </c>
      <c r="U189" s="20">
        <f>N189-T189</f>
        <v>80</v>
      </c>
      <c r="V189" s="61">
        <f>U189/T189*100</f>
        <v>72.727272727272734</v>
      </c>
      <c r="W189"/>
      <c r="X189"/>
    </row>
    <row r="190" spans="1:26" s="14" customFormat="1" ht="15" customHeight="1">
      <c r="A190" s="37">
        <v>162</v>
      </c>
      <c r="B190" s="37" t="s">
        <v>23</v>
      </c>
      <c r="C190" s="14" t="s">
        <v>441</v>
      </c>
      <c r="E190"/>
      <c r="F190" s="14">
        <v>946480630</v>
      </c>
      <c r="G190"/>
      <c r="H190"/>
      <c r="I190"/>
      <c r="J190" t="s">
        <v>155</v>
      </c>
      <c r="K190" s="1">
        <v>44847</v>
      </c>
      <c r="L190" t="s">
        <v>1608</v>
      </c>
      <c r="M190" s="14" t="s">
        <v>21</v>
      </c>
      <c r="N190" s="67">
        <v>320</v>
      </c>
      <c r="O190"/>
      <c r="P190" t="s">
        <v>10</v>
      </c>
      <c r="Q190" t="s">
        <v>22</v>
      </c>
      <c r="R190"/>
      <c r="S190">
        <v>34</v>
      </c>
      <c r="T190" s="112">
        <f>210+15</f>
        <v>225</v>
      </c>
      <c r="U190" s="20">
        <f>N190-T190</f>
        <v>95</v>
      </c>
      <c r="V190" s="61">
        <f>U190/T190*100</f>
        <v>42.222222222222221</v>
      </c>
      <c r="W190"/>
      <c r="X190"/>
    </row>
    <row r="191" spans="1:26" s="14" customFormat="1" ht="15" customHeight="1">
      <c r="A191" s="39">
        <v>111</v>
      </c>
      <c r="B191" s="39" t="s">
        <v>12</v>
      </c>
      <c r="C191" s="41" t="s">
        <v>327</v>
      </c>
      <c r="D191" s="41"/>
      <c r="E191" s="41">
        <v>20603713738</v>
      </c>
      <c r="F191" s="41"/>
      <c r="G191" s="41" t="s">
        <v>442</v>
      </c>
      <c r="H191" s="41"/>
      <c r="I191" s="41"/>
      <c r="J191" s="41" t="s">
        <v>443</v>
      </c>
      <c r="K191" s="47">
        <v>44847</v>
      </c>
      <c r="L191" s="41" t="s">
        <v>1632</v>
      </c>
      <c r="M191" s="41" t="s">
        <v>1221</v>
      </c>
      <c r="N191" s="48">
        <v>350</v>
      </c>
      <c r="O191" s="41" t="s">
        <v>1536</v>
      </c>
      <c r="P191" s="41" t="s">
        <v>31</v>
      </c>
      <c r="Q191" s="41" t="s">
        <v>315</v>
      </c>
      <c r="R191"/>
      <c r="S191" s="41">
        <f>14+14</f>
        <v>28</v>
      </c>
      <c r="T191" s="112">
        <f>110*2</f>
        <v>220</v>
      </c>
      <c r="U191" s="20">
        <f>N191-T191</f>
        <v>130</v>
      </c>
      <c r="V191" s="61">
        <f>U191/T191*100</f>
        <v>59.090909090909093</v>
      </c>
      <c r="W191"/>
      <c r="X191"/>
    </row>
    <row r="192" spans="1:26" s="14" customFormat="1" ht="15" customHeight="1">
      <c r="A192" s="37">
        <v>164</v>
      </c>
      <c r="B192" s="37"/>
      <c r="C192" s="14" t="s">
        <v>444</v>
      </c>
      <c r="E192">
        <v>73273459</v>
      </c>
      <c r="G192"/>
      <c r="H192" t="s">
        <v>36</v>
      </c>
      <c r="I192" t="s">
        <v>29</v>
      </c>
      <c r="J192"/>
      <c r="K192" s="1">
        <v>44848</v>
      </c>
      <c r="L192" t="s">
        <v>1631</v>
      </c>
      <c r="M192" s="14" t="s">
        <v>1628</v>
      </c>
      <c r="N192" s="67">
        <v>220</v>
      </c>
      <c r="O192"/>
      <c r="P192" t="s">
        <v>10</v>
      </c>
      <c r="Q192" t="s">
        <v>22</v>
      </c>
      <c r="R192"/>
      <c r="S192">
        <v>14</v>
      </c>
      <c r="T192" s="112">
        <f>110+12</f>
        <v>122</v>
      </c>
      <c r="U192" s="20">
        <f>N192-T192</f>
        <v>98</v>
      </c>
      <c r="V192" s="61">
        <f>U192/T192*100</f>
        <v>80.327868852459019</v>
      </c>
      <c r="W192"/>
      <c r="X192"/>
    </row>
    <row r="193" spans="1:24" s="14" customFormat="1" ht="15" customHeight="1">
      <c r="A193" s="39">
        <v>163</v>
      </c>
      <c r="B193" s="39" t="s">
        <v>12</v>
      </c>
      <c r="C193" s="40" t="s">
        <v>445</v>
      </c>
      <c r="D193" s="40"/>
      <c r="E193" s="44">
        <v>41903172</v>
      </c>
      <c r="F193" s="40">
        <v>996652816</v>
      </c>
      <c r="G193" s="41" t="s">
        <v>446</v>
      </c>
      <c r="H193" s="41" t="s">
        <v>355</v>
      </c>
      <c r="I193" s="41" t="s">
        <v>29</v>
      </c>
      <c r="J193" s="41"/>
      <c r="K193" s="47">
        <v>44848</v>
      </c>
      <c r="L193" s="41" t="s">
        <v>1630</v>
      </c>
      <c r="M193" s="41" t="s">
        <v>8</v>
      </c>
      <c r="N193" s="48">
        <v>486</v>
      </c>
      <c r="O193" s="41"/>
      <c r="P193" s="41" t="s">
        <v>31</v>
      </c>
      <c r="Q193" s="41" t="s">
        <v>11</v>
      </c>
      <c r="R193">
        <v>13</v>
      </c>
      <c r="S193">
        <f>14*3</f>
        <v>42</v>
      </c>
      <c r="T193" s="112">
        <f>12*3+110*3</f>
        <v>366</v>
      </c>
      <c r="U193" s="20">
        <f>N193-T193</f>
        <v>120</v>
      </c>
      <c r="V193" s="61">
        <f>U193/T193*100</f>
        <v>32.786885245901637</v>
      </c>
      <c r="W193"/>
      <c r="X193"/>
    </row>
    <row r="194" spans="1:24" s="14" customFormat="1" ht="15" customHeight="1">
      <c r="A194" s="37">
        <v>165</v>
      </c>
      <c r="B194" s="37"/>
      <c r="C194" s="14" t="s">
        <v>447</v>
      </c>
      <c r="E194"/>
      <c r="F194" s="14">
        <v>966115890</v>
      </c>
      <c r="G194"/>
      <c r="H194"/>
      <c r="I194"/>
      <c r="J194" t="s">
        <v>95</v>
      </c>
      <c r="K194" s="1">
        <v>44849</v>
      </c>
      <c r="L194" t="s">
        <v>1629</v>
      </c>
      <c r="M194" s="14" t="s">
        <v>1628</v>
      </c>
      <c r="N194" s="67">
        <v>185</v>
      </c>
      <c r="O194"/>
      <c r="P194" t="s">
        <v>10</v>
      </c>
      <c r="Q194" t="s">
        <v>22</v>
      </c>
      <c r="R194"/>
      <c r="S194">
        <v>14</v>
      </c>
      <c r="T194" s="112">
        <v>110</v>
      </c>
      <c r="U194" s="20">
        <f>N194-T194</f>
        <v>75</v>
      </c>
      <c r="V194" s="61">
        <f>U194/T194*100</f>
        <v>68.181818181818173</v>
      </c>
      <c r="W194"/>
      <c r="X194"/>
    </row>
    <row r="195" spans="1:24" s="14" customFormat="1" ht="15" customHeight="1">
      <c r="A195" s="37">
        <v>166</v>
      </c>
      <c r="B195" s="37" t="s">
        <v>0</v>
      </c>
      <c r="C195" s="14" t="s">
        <v>448</v>
      </c>
      <c r="E195">
        <v>40949137</v>
      </c>
      <c r="F195" s="14">
        <v>970416636</v>
      </c>
      <c r="G195" t="s">
        <v>449</v>
      </c>
      <c r="H195"/>
      <c r="I195"/>
      <c r="J195" t="s">
        <v>450</v>
      </c>
      <c r="K195" s="1">
        <v>44849</v>
      </c>
      <c r="L195" t="s">
        <v>1605</v>
      </c>
      <c r="M195" s="14" t="s">
        <v>21</v>
      </c>
      <c r="N195" s="67">
        <v>190</v>
      </c>
      <c r="O195" t="s">
        <v>451</v>
      </c>
      <c r="P195" t="s">
        <v>10</v>
      </c>
      <c r="Q195" t="s">
        <v>11</v>
      </c>
      <c r="R195"/>
      <c r="S195">
        <v>14</v>
      </c>
      <c r="T195" s="112">
        <f>110+12</f>
        <v>122</v>
      </c>
      <c r="U195" s="20">
        <f>N195-T195</f>
        <v>68</v>
      </c>
      <c r="V195" s="61">
        <f>U195/T195*100</f>
        <v>55.737704918032783</v>
      </c>
      <c r="W195"/>
      <c r="X195"/>
    </row>
    <row r="196" spans="1:24" s="14" customFormat="1" ht="15" customHeight="1">
      <c r="A196" s="37">
        <v>167</v>
      </c>
      <c r="B196" s="37"/>
      <c r="C196" s="14" t="s">
        <v>452</v>
      </c>
      <c r="E196">
        <v>45333278</v>
      </c>
      <c r="F196" s="14">
        <v>993881800</v>
      </c>
      <c r="G196"/>
      <c r="H196" t="s">
        <v>74</v>
      </c>
      <c r="I196" t="s">
        <v>29</v>
      </c>
      <c r="J196"/>
      <c r="K196" s="1">
        <v>44849</v>
      </c>
      <c r="L196" t="s">
        <v>1605</v>
      </c>
      <c r="M196" s="14" t="s">
        <v>8</v>
      </c>
      <c r="N196" s="67">
        <v>190</v>
      </c>
      <c r="O196"/>
      <c r="P196" t="s">
        <v>10</v>
      </c>
      <c r="Q196" t="s">
        <v>11</v>
      </c>
      <c r="R196"/>
      <c r="S196">
        <v>14</v>
      </c>
      <c r="T196" s="112">
        <f>110+12</f>
        <v>122</v>
      </c>
      <c r="U196" s="20">
        <f>N196-T196</f>
        <v>68</v>
      </c>
      <c r="V196" s="61">
        <f>U196/T196*100</f>
        <v>55.737704918032783</v>
      </c>
      <c r="W196"/>
      <c r="X196"/>
    </row>
    <row r="197" spans="1:24" s="14" customFormat="1" ht="15" customHeight="1">
      <c r="A197" s="37">
        <v>168</v>
      </c>
      <c r="B197" s="37" t="s">
        <v>60</v>
      </c>
      <c r="C197" s="14" t="s">
        <v>453</v>
      </c>
      <c r="E197"/>
      <c r="F197" s="14">
        <v>961098844</v>
      </c>
      <c r="G197" t="s">
        <v>454</v>
      </c>
      <c r="H197"/>
      <c r="I197"/>
      <c r="J197" t="s">
        <v>277</v>
      </c>
      <c r="K197" s="1">
        <v>44850</v>
      </c>
      <c r="L197" t="s">
        <v>1627</v>
      </c>
      <c r="M197" s="14" t="s">
        <v>8</v>
      </c>
      <c r="N197" s="67">
        <v>840</v>
      </c>
      <c r="O197"/>
      <c r="P197" t="s">
        <v>10</v>
      </c>
      <c r="Q197" t="s">
        <v>22</v>
      </c>
      <c r="R197"/>
      <c r="S197">
        <f>34*3</f>
        <v>102</v>
      </c>
      <c r="T197" s="112">
        <f>210*3+15*3</f>
        <v>675</v>
      </c>
      <c r="U197" s="20">
        <f>N197-T197</f>
        <v>165</v>
      </c>
      <c r="V197" s="61">
        <f>U197/T197*100</f>
        <v>24.444444444444443</v>
      </c>
      <c r="W197"/>
      <c r="X197"/>
    </row>
    <row r="198" spans="1:24" s="14" customFormat="1" ht="15" customHeight="1">
      <c r="A198" s="37">
        <v>169</v>
      </c>
      <c r="B198" s="37"/>
      <c r="C198" s="14" t="s">
        <v>455</v>
      </c>
      <c r="E198">
        <v>72246136</v>
      </c>
      <c r="F198" s="14">
        <v>993982500</v>
      </c>
      <c r="G198"/>
      <c r="H198"/>
      <c r="I198" t="s">
        <v>29</v>
      </c>
      <c r="J198" t="s">
        <v>77</v>
      </c>
      <c r="K198" s="1">
        <v>44851</v>
      </c>
      <c r="L198" t="s">
        <v>1605</v>
      </c>
      <c r="M198" s="14" t="s">
        <v>8</v>
      </c>
      <c r="N198" s="67">
        <v>190</v>
      </c>
      <c r="O198"/>
      <c r="P198" t="s">
        <v>10</v>
      </c>
      <c r="Q198" t="s">
        <v>11</v>
      </c>
      <c r="R198"/>
      <c r="S198">
        <v>14</v>
      </c>
      <c r="T198" s="112">
        <f>110+12</f>
        <v>122</v>
      </c>
      <c r="U198" s="20">
        <f>N198-T198</f>
        <v>68</v>
      </c>
      <c r="V198" s="61">
        <f>U198/T198*100</f>
        <v>55.737704918032783</v>
      </c>
      <c r="W198"/>
      <c r="X198"/>
    </row>
    <row r="199" spans="1:24" s="14" customFormat="1" ht="15" customHeight="1">
      <c r="A199" s="37">
        <v>170</v>
      </c>
      <c r="B199" s="37" t="s">
        <v>23</v>
      </c>
      <c r="C199" s="14" t="s">
        <v>456</v>
      </c>
      <c r="E199">
        <v>46158044</v>
      </c>
      <c r="F199" s="14">
        <v>933523081</v>
      </c>
      <c r="G199"/>
      <c r="H199"/>
      <c r="I199"/>
      <c r="J199" t="s">
        <v>58</v>
      </c>
      <c r="K199" s="1">
        <v>44851</v>
      </c>
      <c r="L199" t="s">
        <v>1605</v>
      </c>
      <c r="M199" s="14" t="s">
        <v>21</v>
      </c>
      <c r="N199" s="67">
        <v>200</v>
      </c>
      <c r="O199"/>
      <c r="P199" t="s">
        <v>10</v>
      </c>
      <c r="Q199" t="s">
        <v>11</v>
      </c>
      <c r="R199" t="s">
        <v>224</v>
      </c>
      <c r="S199">
        <v>14</v>
      </c>
      <c r="T199" s="112">
        <f>110+12</f>
        <v>122</v>
      </c>
      <c r="U199" s="20">
        <f>N199-T199</f>
        <v>78</v>
      </c>
      <c r="V199" s="61">
        <f>U199/T199*100</f>
        <v>63.934426229508205</v>
      </c>
      <c r="W199"/>
      <c r="X199"/>
    </row>
    <row r="200" spans="1:24" s="14" customFormat="1" ht="15" customHeight="1">
      <c r="A200" s="37">
        <v>171</v>
      </c>
      <c r="B200" s="37" t="s">
        <v>12</v>
      </c>
      <c r="C200" s="14" t="s">
        <v>457</v>
      </c>
      <c r="E200">
        <v>16532762</v>
      </c>
      <c r="F200" s="14">
        <v>996936691</v>
      </c>
      <c r="G200" t="s">
        <v>458</v>
      </c>
      <c r="H200" t="s">
        <v>229</v>
      </c>
      <c r="I200" t="s">
        <v>29</v>
      </c>
      <c r="J200"/>
      <c r="K200" s="1">
        <v>44851</v>
      </c>
      <c r="L200" t="s">
        <v>1626</v>
      </c>
      <c r="M200" s="14" t="s">
        <v>1625</v>
      </c>
      <c r="N200" s="67">
        <v>490</v>
      </c>
      <c r="O200"/>
      <c r="P200" t="s">
        <v>10</v>
      </c>
      <c r="Q200" t="s">
        <v>22</v>
      </c>
      <c r="R200"/>
      <c r="S200"/>
      <c r="T200" s="112">
        <f>270+28+24</f>
        <v>322</v>
      </c>
      <c r="U200" s="20">
        <f>N200-T200</f>
        <v>168</v>
      </c>
      <c r="V200" s="61">
        <f>U200/T200*100</f>
        <v>52.173913043478258</v>
      </c>
      <c r="W200"/>
      <c r="X200"/>
    </row>
    <row r="201" spans="1:24" s="14" customFormat="1" ht="15" customHeight="1">
      <c r="A201" s="37">
        <v>172</v>
      </c>
      <c r="B201" s="37" t="s">
        <v>12</v>
      </c>
      <c r="C201" s="14" t="s">
        <v>459</v>
      </c>
      <c r="E201">
        <v>20608590341</v>
      </c>
      <c r="F201" s="14">
        <v>926503337</v>
      </c>
      <c r="G201" t="s">
        <v>460</v>
      </c>
      <c r="H201"/>
      <c r="I201"/>
      <c r="J201" t="s">
        <v>461</v>
      </c>
      <c r="K201" s="1">
        <v>44851</v>
      </c>
      <c r="L201" t="s">
        <v>1605</v>
      </c>
      <c r="M201" s="14" t="s">
        <v>21</v>
      </c>
      <c r="N201" s="67">
        <v>210</v>
      </c>
      <c r="O201"/>
      <c r="P201" t="s">
        <v>10</v>
      </c>
      <c r="Q201" t="s">
        <v>22</v>
      </c>
      <c r="R201"/>
      <c r="S201">
        <v>14</v>
      </c>
      <c r="T201" s="112">
        <f>110+12</f>
        <v>122</v>
      </c>
      <c r="U201" s="20">
        <f>N201-T201</f>
        <v>88</v>
      </c>
      <c r="V201" s="61">
        <f>U201/T201*100</f>
        <v>72.131147540983605</v>
      </c>
      <c r="W201"/>
      <c r="X201"/>
    </row>
    <row r="202" spans="1:24" s="14" customFormat="1" ht="15" customHeight="1">
      <c r="A202" s="37">
        <v>173</v>
      </c>
      <c r="B202" s="37"/>
      <c r="C202" s="14" t="s">
        <v>462</v>
      </c>
      <c r="E202">
        <v>40877164</v>
      </c>
      <c r="F202" s="14">
        <v>989496430</v>
      </c>
      <c r="G202"/>
      <c r="H202" t="s">
        <v>335</v>
      </c>
      <c r="I202" t="s">
        <v>463</v>
      </c>
      <c r="J202" t="s">
        <v>280</v>
      </c>
      <c r="K202" s="1">
        <v>44852</v>
      </c>
      <c r="L202" t="s">
        <v>1605</v>
      </c>
      <c r="M202" s="14" t="s">
        <v>8</v>
      </c>
      <c r="N202" s="67">
        <v>190</v>
      </c>
      <c r="O202"/>
      <c r="P202" t="s">
        <v>10</v>
      </c>
      <c r="Q202" t="s">
        <v>11</v>
      </c>
      <c r="R202"/>
      <c r="S202">
        <v>14</v>
      </c>
      <c r="T202" s="112">
        <f>110+12</f>
        <v>122</v>
      </c>
      <c r="U202" s="20">
        <f>N202-T202</f>
        <v>68</v>
      </c>
      <c r="V202" s="61">
        <f>U202/T202*100</f>
        <v>55.737704918032783</v>
      </c>
      <c r="W202"/>
      <c r="X202"/>
    </row>
    <row r="203" spans="1:24" s="14" customFormat="1" ht="15" customHeight="1">
      <c r="A203" s="37">
        <v>174</v>
      </c>
      <c r="B203" s="37"/>
      <c r="C203" s="14" t="s">
        <v>464</v>
      </c>
      <c r="E203">
        <v>72893463</v>
      </c>
      <c r="F203" s="14">
        <v>921611882</v>
      </c>
      <c r="G203"/>
      <c r="H203" t="s">
        <v>1467</v>
      </c>
      <c r="I203" t="s">
        <v>29</v>
      </c>
      <c r="J203"/>
      <c r="K203" s="1">
        <v>44852</v>
      </c>
      <c r="L203" t="s">
        <v>1605</v>
      </c>
      <c r="M203" s="14" t="s">
        <v>8</v>
      </c>
      <c r="N203" s="67">
        <v>190</v>
      </c>
      <c r="O203"/>
      <c r="P203" t="s">
        <v>10</v>
      </c>
      <c r="Q203" t="s">
        <v>11</v>
      </c>
      <c r="R203">
        <v>12</v>
      </c>
      <c r="S203">
        <v>14</v>
      </c>
      <c r="T203" s="112">
        <f>110+12</f>
        <v>122</v>
      </c>
      <c r="U203" s="20">
        <f>N203-T203</f>
        <v>68</v>
      </c>
      <c r="V203" s="61">
        <f>U203/T203*100</f>
        <v>55.737704918032783</v>
      </c>
      <c r="W203"/>
      <c r="X203"/>
    </row>
    <row r="204" spans="1:24" s="14" customFormat="1" ht="15" customHeight="1">
      <c r="A204" s="45">
        <v>175</v>
      </c>
      <c r="B204" s="45" t="s">
        <v>60</v>
      </c>
      <c r="C204" s="14" t="s">
        <v>465</v>
      </c>
      <c r="E204" s="46">
        <v>45972862</v>
      </c>
      <c r="F204" s="14">
        <v>989606641</v>
      </c>
      <c r="G204" s="14" t="s">
        <v>466</v>
      </c>
      <c r="H204" s="14" t="s">
        <v>355</v>
      </c>
      <c r="I204" t="s">
        <v>29</v>
      </c>
      <c r="K204" s="1">
        <v>44853</v>
      </c>
      <c r="L204" t="s">
        <v>1624</v>
      </c>
      <c r="M204" s="14" t="s">
        <v>56</v>
      </c>
      <c r="N204" s="69">
        <v>475</v>
      </c>
      <c r="P204" t="s">
        <v>10</v>
      </c>
      <c r="Q204" t="s">
        <v>11</v>
      </c>
      <c r="R204" s="14">
        <v>12</v>
      </c>
      <c r="S204" s="69"/>
      <c r="T204" s="112">
        <f>270+15+12+10</f>
        <v>307</v>
      </c>
      <c r="U204" s="20">
        <f>N204-T204</f>
        <v>168</v>
      </c>
      <c r="V204" s="61">
        <f>U204/T204*100</f>
        <v>54.723127035830622</v>
      </c>
      <c r="W204" s="73"/>
    </row>
    <row r="205" spans="1:24" s="14" customFormat="1" ht="15" customHeight="1">
      <c r="A205" s="45">
        <v>176</v>
      </c>
      <c r="B205" s="45" t="s">
        <v>60</v>
      </c>
      <c r="C205" s="14" t="s">
        <v>467</v>
      </c>
      <c r="E205" s="46"/>
      <c r="F205" s="14">
        <v>972821863</v>
      </c>
      <c r="G205" t="s">
        <v>468</v>
      </c>
      <c r="I205"/>
      <c r="J205" s="14" t="s">
        <v>400</v>
      </c>
      <c r="K205" s="1">
        <v>44853</v>
      </c>
      <c r="L205" t="s">
        <v>1623</v>
      </c>
      <c r="M205" s="14" t="s">
        <v>1221</v>
      </c>
      <c r="N205" s="69">
        <v>505</v>
      </c>
      <c r="P205" t="s">
        <v>10</v>
      </c>
      <c r="Q205" t="s">
        <v>22</v>
      </c>
      <c r="S205" s="69"/>
      <c r="T205" s="112">
        <f>270+10</f>
        <v>280</v>
      </c>
      <c r="U205" s="20">
        <f>N205-T205</f>
        <v>225</v>
      </c>
      <c r="V205" s="61">
        <f>U205/T205*100</f>
        <v>80.357142857142861</v>
      </c>
      <c r="W205" s="73"/>
    </row>
    <row r="206" spans="1:24" s="14" customFormat="1" ht="15" customHeight="1">
      <c r="A206" s="45">
        <v>178</v>
      </c>
      <c r="B206" s="45"/>
      <c r="C206" s="14" t="s">
        <v>469</v>
      </c>
      <c r="E206" s="46"/>
      <c r="F206" s="14">
        <v>915163985</v>
      </c>
      <c r="I206"/>
      <c r="J206" s="14" t="s">
        <v>400</v>
      </c>
      <c r="K206" s="1">
        <v>44854</v>
      </c>
      <c r="L206" t="s">
        <v>1608</v>
      </c>
      <c r="M206" s="14" t="s">
        <v>1221</v>
      </c>
      <c r="N206" s="69">
        <v>350</v>
      </c>
      <c r="P206" t="s">
        <v>10</v>
      </c>
      <c r="Q206" t="s">
        <v>22</v>
      </c>
      <c r="S206" s="69">
        <v>34</v>
      </c>
      <c r="T206" s="112">
        <f>210+15</f>
        <v>225</v>
      </c>
      <c r="U206" s="20">
        <f>N206-T206</f>
        <v>125</v>
      </c>
      <c r="V206" s="61">
        <f>U206/T206*100</f>
        <v>55.555555555555557</v>
      </c>
      <c r="W206" s="73"/>
    </row>
    <row r="207" spans="1:24" s="14" customFormat="1" ht="15" customHeight="1">
      <c r="A207" s="45">
        <v>179</v>
      </c>
      <c r="B207" s="45"/>
      <c r="C207" s="14" t="s">
        <v>470</v>
      </c>
      <c r="E207" s="46">
        <v>47878040</v>
      </c>
      <c r="F207" s="14">
        <v>962950305</v>
      </c>
      <c r="H207" s="14" t="s">
        <v>55</v>
      </c>
      <c r="I207" t="s">
        <v>29</v>
      </c>
      <c r="K207" s="1">
        <v>44854</v>
      </c>
      <c r="L207" t="s">
        <v>1622</v>
      </c>
      <c r="M207" s="14" t="s">
        <v>1221</v>
      </c>
      <c r="N207" s="69">
        <v>55</v>
      </c>
      <c r="P207" t="s">
        <v>10</v>
      </c>
      <c r="Q207" t="s">
        <v>22</v>
      </c>
      <c r="R207" s="14">
        <v>10</v>
      </c>
      <c r="S207" s="69"/>
      <c r="T207" s="112">
        <f>10+14</f>
        <v>24</v>
      </c>
      <c r="U207" s="20">
        <f>N207-T207</f>
        <v>31</v>
      </c>
      <c r="V207" s="61">
        <f>U207/T207*100</f>
        <v>129.16666666666669</v>
      </c>
      <c r="W207" s="73"/>
    </row>
    <row r="208" spans="1:24" s="14" customFormat="1" ht="15" customHeight="1">
      <c r="A208" s="45">
        <v>177</v>
      </c>
      <c r="B208" s="37" t="s">
        <v>12</v>
      </c>
      <c r="C208" s="14" t="s">
        <v>471</v>
      </c>
      <c r="E208" s="46">
        <v>10426470204</v>
      </c>
      <c r="F208" s="14">
        <v>932363247</v>
      </c>
      <c r="G208" s="14" t="s">
        <v>472</v>
      </c>
      <c r="I208"/>
      <c r="J208" s="14" t="s">
        <v>155</v>
      </c>
      <c r="K208" s="1">
        <v>44854</v>
      </c>
      <c r="L208" t="s">
        <v>1608</v>
      </c>
      <c r="M208" s="14" t="s">
        <v>21</v>
      </c>
      <c r="N208" s="69">
        <v>340</v>
      </c>
      <c r="P208" t="s">
        <v>10</v>
      </c>
      <c r="Q208" t="s">
        <v>22</v>
      </c>
      <c r="S208" s="69">
        <v>34</v>
      </c>
      <c r="T208" s="112">
        <f>210+15</f>
        <v>225</v>
      </c>
      <c r="U208" s="20">
        <f>N208-T208</f>
        <v>115</v>
      </c>
      <c r="V208" s="61">
        <f>U208/T208*100</f>
        <v>51.111111111111107</v>
      </c>
      <c r="W208" s="73"/>
    </row>
    <row r="209" spans="1:23" s="14" customFormat="1" ht="15" customHeight="1">
      <c r="A209" s="45">
        <v>180</v>
      </c>
      <c r="B209" s="45"/>
      <c r="C209" s="14" t="s">
        <v>473</v>
      </c>
      <c r="E209" s="46">
        <v>41983226</v>
      </c>
      <c r="F209" s="14">
        <v>984218815</v>
      </c>
      <c r="H209" s="14" t="s">
        <v>1621</v>
      </c>
      <c r="I209" t="s">
        <v>140</v>
      </c>
      <c r="K209" s="1">
        <v>44855</v>
      </c>
      <c r="L209" t="s">
        <v>1620</v>
      </c>
      <c r="M209" s="14" t="s">
        <v>56</v>
      </c>
      <c r="N209" s="69">
        <v>330</v>
      </c>
      <c r="P209" t="s">
        <v>10</v>
      </c>
      <c r="Q209" t="s">
        <v>11</v>
      </c>
      <c r="S209" s="69">
        <v>34</v>
      </c>
      <c r="T209" s="112">
        <f>210+30</f>
        <v>240</v>
      </c>
      <c r="U209" s="20">
        <f>N209-T209</f>
        <v>90</v>
      </c>
      <c r="V209" s="61">
        <f>U209/T209*100</f>
        <v>37.5</v>
      </c>
      <c r="W209" s="73"/>
    </row>
    <row r="210" spans="1:23" s="14" customFormat="1" ht="15" customHeight="1">
      <c r="A210" s="45">
        <v>181</v>
      </c>
      <c r="B210" s="45"/>
      <c r="C210" s="14" t="s">
        <v>475</v>
      </c>
      <c r="E210" s="46">
        <v>74161057</v>
      </c>
      <c r="F210" s="14">
        <v>953922794</v>
      </c>
      <c r="H210" s="14" t="s">
        <v>1621</v>
      </c>
      <c r="I210" s="13" t="s">
        <v>19</v>
      </c>
      <c r="K210" s="1">
        <v>44855</v>
      </c>
      <c r="L210" t="s">
        <v>1620</v>
      </c>
      <c r="M210" s="14" t="s">
        <v>8</v>
      </c>
      <c r="N210" s="69">
        <v>215</v>
      </c>
      <c r="P210" t="s">
        <v>10</v>
      </c>
      <c r="Q210" t="s">
        <v>11</v>
      </c>
      <c r="R210" s="14">
        <v>10</v>
      </c>
      <c r="S210" s="106">
        <v>14</v>
      </c>
      <c r="T210" s="112">
        <f>110+24</f>
        <v>134</v>
      </c>
      <c r="U210" s="20">
        <f>N210-T210</f>
        <v>81</v>
      </c>
      <c r="V210" s="61">
        <f>U210/T210*100</f>
        <v>60.447761194029844</v>
      </c>
      <c r="W210" s="106" t="s">
        <v>1588</v>
      </c>
    </row>
    <row r="211" spans="1:23" s="14" customFormat="1" ht="15" customHeight="1">
      <c r="A211" s="45">
        <v>183</v>
      </c>
      <c r="B211" s="45"/>
      <c r="C211" s="14" t="s">
        <v>476</v>
      </c>
      <c r="E211" s="46">
        <v>44337588</v>
      </c>
      <c r="F211" s="14">
        <v>966928393</v>
      </c>
      <c r="H211" s="14" t="s">
        <v>1619</v>
      </c>
      <c r="I211" t="s">
        <v>147</v>
      </c>
      <c r="K211" s="1">
        <v>44855</v>
      </c>
      <c r="L211" t="s">
        <v>1605</v>
      </c>
      <c r="M211" s="14" t="s">
        <v>8</v>
      </c>
      <c r="N211" s="69">
        <v>190</v>
      </c>
      <c r="P211" t="s">
        <v>10</v>
      </c>
      <c r="Q211" t="s">
        <v>11</v>
      </c>
      <c r="R211" s="14">
        <v>23</v>
      </c>
      <c r="S211" s="69">
        <v>14</v>
      </c>
      <c r="T211" s="112">
        <f>110+12</f>
        <v>122</v>
      </c>
      <c r="U211" s="20">
        <f>N211-T211</f>
        <v>68</v>
      </c>
      <c r="V211" s="61">
        <f>U211/T211*100</f>
        <v>55.737704918032783</v>
      </c>
      <c r="W211" s="106" t="s">
        <v>1588</v>
      </c>
    </row>
    <row r="212" spans="1:23" s="14" customFormat="1" ht="15" customHeight="1">
      <c r="A212" s="45">
        <v>184</v>
      </c>
      <c r="B212" s="37"/>
      <c r="C212" s="14" t="s">
        <v>477</v>
      </c>
      <c r="E212" s="46"/>
      <c r="F212" s="14">
        <v>931584790</v>
      </c>
      <c r="I212"/>
      <c r="J212" s="14" t="s">
        <v>478</v>
      </c>
      <c r="K212" s="1">
        <v>44855</v>
      </c>
      <c r="L212" t="s">
        <v>1605</v>
      </c>
      <c r="M212" s="14" t="s">
        <v>1618</v>
      </c>
      <c r="N212" s="69">
        <v>200</v>
      </c>
      <c r="P212" t="s">
        <v>10</v>
      </c>
      <c r="Q212" t="s">
        <v>22</v>
      </c>
      <c r="S212" s="69">
        <v>14</v>
      </c>
      <c r="T212" s="112">
        <f>110+12</f>
        <v>122</v>
      </c>
      <c r="U212" s="20">
        <f>N212-T212</f>
        <v>78</v>
      </c>
      <c r="V212" s="61">
        <f>U212/T212*100</f>
        <v>63.934426229508205</v>
      </c>
      <c r="W212" s="73"/>
    </row>
    <row r="213" spans="1:23" s="14" customFormat="1" ht="15" customHeight="1">
      <c r="A213" s="45">
        <v>182</v>
      </c>
      <c r="B213" s="37" t="s">
        <v>12</v>
      </c>
      <c r="C213" s="14" t="s">
        <v>479</v>
      </c>
      <c r="E213" s="46">
        <v>20609072416</v>
      </c>
      <c r="F213" s="14">
        <v>925989479</v>
      </c>
      <c r="G213" s="14" t="s">
        <v>480</v>
      </c>
      <c r="H213" s="14" t="s">
        <v>1617</v>
      </c>
      <c r="I213" s="13" t="s">
        <v>482</v>
      </c>
      <c r="K213" s="1">
        <v>44855</v>
      </c>
      <c r="L213" t="s">
        <v>1608</v>
      </c>
      <c r="M213" s="14" t="s">
        <v>8</v>
      </c>
      <c r="N213" s="69">
        <v>300</v>
      </c>
      <c r="P213" t="s">
        <v>10</v>
      </c>
      <c r="Q213" t="s">
        <v>11</v>
      </c>
      <c r="R213" s="14">
        <v>20</v>
      </c>
      <c r="S213" s="106">
        <v>34</v>
      </c>
      <c r="T213" s="112">
        <f>210+15</f>
        <v>225</v>
      </c>
      <c r="U213" s="20">
        <f>N213-T213</f>
        <v>75</v>
      </c>
      <c r="V213" s="61">
        <f>U213/T213*100</f>
        <v>33.333333333333329</v>
      </c>
      <c r="W213" s="73"/>
    </row>
    <row r="214" spans="1:23" s="14" customFormat="1" ht="15" customHeight="1">
      <c r="A214" s="45">
        <v>185</v>
      </c>
      <c r="B214" s="37" t="s">
        <v>12</v>
      </c>
      <c r="C214" s="14" t="s">
        <v>483</v>
      </c>
      <c r="E214" s="46">
        <v>46241071</v>
      </c>
      <c r="F214" s="14">
        <v>987790289</v>
      </c>
      <c r="G214" s="14" t="s">
        <v>484</v>
      </c>
      <c r="H214" s="14" t="s">
        <v>199</v>
      </c>
      <c r="I214" t="s">
        <v>485</v>
      </c>
      <c r="K214" s="1">
        <v>44857</v>
      </c>
      <c r="L214" t="s">
        <v>1616</v>
      </c>
      <c r="M214" s="14" t="s">
        <v>8</v>
      </c>
      <c r="N214" s="69">
        <v>340</v>
      </c>
      <c r="P214" t="s">
        <v>10</v>
      </c>
      <c r="Q214" t="s">
        <v>11</v>
      </c>
      <c r="S214" s="69">
        <v>14</v>
      </c>
      <c r="T214" s="112">
        <f>110+6+130</f>
        <v>246</v>
      </c>
      <c r="U214" s="20">
        <f>N214-T214</f>
        <v>94</v>
      </c>
      <c r="V214" s="61">
        <f>U214/T214*100</f>
        <v>38.211382113821138</v>
      </c>
      <c r="W214" s="73"/>
    </row>
    <row r="215" spans="1:23" s="14" customFormat="1" ht="15" customHeight="1">
      <c r="A215" s="45">
        <v>186</v>
      </c>
      <c r="B215" s="37" t="s">
        <v>12</v>
      </c>
      <c r="C215" s="14" t="s">
        <v>486</v>
      </c>
      <c r="E215" s="46">
        <v>41494171</v>
      </c>
      <c r="F215" s="14">
        <v>984607059</v>
      </c>
      <c r="G215" s="14" t="s">
        <v>487</v>
      </c>
      <c r="H215" s="14" t="s">
        <v>1467</v>
      </c>
      <c r="I215" t="s">
        <v>29</v>
      </c>
      <c r="K215" s="1">
        <v>44858</v>
      </c>
      <c r="L215" t="s">
        <v>1615</v>
      </c>
      <c r="M215" s="14" t="s">
        <v>8</v>
      </c>
      <c r="N215" s="69">
        <v>1000</v>
      </c>
      <c r="P215" t="s">
        <v>10</v>
      </c>
      <c r="Q215" t="s">
        <v>11</v>
      </c>
      <c r="R215" s="14">
        <v>12</v>
      </c>
      <c r="S215" s="69">
        <f>34*4</f>
        <v>136</v>
      </c>
      <c r="T215" s="112">
        <f>210*4</f>
        <v>840</v>
      </c>
      <c r="U215" s="20">
        <f>N215-T215</f>
        <v>160</v>
      </c>
      <c r="V215" s="61">
        <f>U215/T215*100</f>
        <v>19.047619047619047</v>
      </c>
      <c r="W215" s="73"/>
    </row>
    <row r="216" spans="1:23" s="14" customFormat="1" ht="15" customHeight="1">
      <c r="A216" s="45">
        <v>187</v>
      </c>
      <c r="B216" s="45" t="s">
        <v>60</v>
      </c>
      <c r="C216" s="14" t="s">
        <v>488</v>
      </c>
      <c r="E216" s="46"/>
      <c r="F216" s="14">
        <v>946131660</v>
      </c>
      <c r="G216" s="14" t="s">
        <v>489</v>
      </c>
      <c r="I216"/>
      <c r="J216" s="14" t="s">
        <v>490</v>
      </c>
      <c r="K216" s="1">
        <v>44859</v>
      </c>
      <c r="L216" t="s">
        <v>1614</v>
      </c>
      <c r="M216" t="s">
        <v>1613</v>
      </c>
      <c r="N216" s="69">
        <v>500</v>
      </c>
      <c r="P216" t="s">
        <v>10</v>
      </c>
      <c r="Q216" t="s">
        <v>22</v>
      </c>
      <c r="S216" s="69"/>
      <c r="T216" s="112">
        <f>270+12*4</f>
        <v>318</v>
      </c>
      <c r="U216" s="20">
        <f>N216-T216</f>
        <v>182</v>
      </c>
      <c r="V216" s="61">
        <f>U216/T216*100</f>
        <v>57.232704402515722</v>
      </c>
      <c r="W216" s="73"/>
    </row>
    <row r="217" spans="1:23" s="14" customFormat="1" ht="15" customHeight="1">
      <c r="A217" s="45">
        <v>188</v>
      </c>
      <c r="B217" s="45"/>
      <c r="C217" s="14" t="s">
        <v>492</v>
      </c>
      <c r="E217" s="46"/>
      <c r="F217" s="14">
        <v>960613712</v>
      </c>
      <c r="I217"/>
      <c r="J217" s="14" t="s">
        <v>383</v>
      </c>
      <c r="K217" s="1">
        <v>44859</v>
      </c>
      <c r="L217" t="s">
        <v>1605</v>
      </c>
      <c r="M217" s="14" t="s">
        <v>8</v>
      </c>
      <c r="N217" s="69">
        <v>170</v>
      </c>
      <c r="P217" t="s">
        <v>10</v>
      </c>
      <c r="Q217" t="s">
        <v>11</v>
      </c>
      <c r="R217" s="14" t="s">
        <v>224</v>
      </c>
      <c r="S217" s="69">
        <v>14</v>
      </c>
      <c r="T217" s="112">
        <f>110+12</f>
        <v>122</v>
      </c>
      <c r="U217" s="20">
        <f>N217-T217</f>
        <v>48</v>
      </c>
      <c r="V217" s="61">
        <f>U217/T217*100</f>
        <v>39.344262295081968</v>
      </c>
      <c r="W217" s="73"/>
    </row>
    <row r="218" spans="1:23" s="14" customFormat="1" ht="15" customHeight="1">
      <c r="A218" s="45">
        <v>189</v>
      </c>
      <c r="B218" s="37" t="s">
        <v>23</v>
      </c>
      <c r="C218" s="14" t="s">
        <v>493</v>
      </c>
      <c r="E218" s="46">
        <v>10101613246</v>
      </c>
      <c r="F218" s="14">
        <v>941569887</v>
      </c>
      <c r="I218"/>
      <c r="J218" s="14" t="s">
        <v>494</v>
      </c>
      <c r="K218" s="1">
        <v>44861</v>
      </c>
      <c r="L218" t="s">
        <v>1612</v>
      </c>
      <c r="M218" s="14" t="s">
        <v>21</v>
      </c>
      <c r="N218" s="69">
        <v>300</v>
      </c>
      <c r="P218" t="s">
        <v>10</v>
      </c>
      <c r="Q218" t="s">
        <v>22</v>
      </c>
      <c r="S218" s="69">
        <v>34</v>
      </c>
      <c r="T218" s="112">
        <f>210+15+15+15</f>
        <v>255</v>
      </c>
      <c r="U218" s="20">
        <f>N218-T218</f>
        <v>45</v>
      </c>
      <c r="V218" s="61">
        <f>U218/T218*100</f>
        <v>17.647058823529413</v>
      </c>
      <c r="W218" s="73"/>
    </row>
    <row r="219" spans="1:23" s="14" customFormat="1" ht="15" customHeight="1">
      <c r="A219" s="43">
        <v>133</v>
      </c>
      <c r="B219" s="39" t="s">
        <v>23</v>
      </c>
      <c r="C219" s="40" t="s">
        <v>384</v>
      </c>
      <c r="D219" s="40"/>
      <c r="E219" s="44"/>
      <c r="F219" s="40">
        <v>993104850</v>
      </c>
      <c r="G219" s="40"/>
      <c r="H219" s="40"/>
      <c r="I219" s="40"/>
      <c r="J219" s="40" t="s">
        <v>495</v>
      </c>
      <c r="K219" s="47">
        <v>44861</v>
      </c>
      <c r="L219" s="41" t="s">
        <v>1611</v>
      </c>
      <c r="M219" s="41" t="s">
        <v>21</v>
      </c>
      <c r="N219" s="49">
        <v>600</v>
      </c>
      <c r="O219" s="40"/>
      <c r="P219" s="41" t="s">
        <v>10</v>
      </c>
      <c r="Q219" s="41" t="s">
        <v>22</v>
      </c>
      <c r="R219" s="40"/>
      <c r="S219" s="69">
        <v>68</v>
      </c>
      <c r="T219" s="112">
        <f>210+210+15+15</f>
        <v>450</v>
      </c>
      <c r="U219" s="20">
        <f>N219-T219</f>
        <v>150</v>
      </c>
      <c r="V219" s="61">
        <f>U219/T219*100</f>
        <v>33.333333333333329</v>
      </c>
      <c r="W219" s="73"/>
    </row>
    <row r="220" spans="1:23" s="14" customFormat="1" ht="15" customHeight="1">
      <c r="A220" s="45">
        <v>191</v>
      </c>
      <c r="B220" s="45"/>
      <c r="C220" s="14" t="s">
        <v>496</v>
      </c>
      <c r="E220" s="46">
        <v>20601314038</v>
      </c>
      <c r="F220" s="14">
        <v>993399745</v>
      </c>
      <c r="I220"/>
      <c r="J220" s="14" t="s">
        <v>497</v>
      </c>
      <c r="K220" s="1">
        <v>44862</v>
      </c>
      <c r="L220" t="s">
        <v>1610</v>
      </c>
      <c r="M220" s="14" t="s">
        <v>8</v>
      </c>
      <c r="N220" s="69">
        <v>30</v>
      </c>
      <c r="P220" t="s">
        <v>10</v>
      </c>
      <c r="Q220" t="s">
        <v>22</v>
      </c>
      <c r="S220" s="69"/>
      <c r="T220" s="112">
        <f>12</f>
        <v>12</v>
      </c>
      <c r="U220" s="20">
        <f>N220-T220</f>
        <v>18</v>
      </c>
      <c r="V220" s="61">
        <f>U220/T220*100</f>
        <v>150</v>
      </c>
      <c r="W220" s="73"/>
    </row>
    <row r="221" spans="1:23" s="14" customFormat="1" ht="15" customHeight="1">
      <c r="A221" s="45">
        <v>190</v>
      </c>
      <c r="B221" s="45" t="s">
        <v>12</v>
      </c>
      <c r="C221" s="14" t="s">
        <v>498</v>
      </c>
      <c r="E221" s="46">
        <v>20607770281</v>
      </c>
      <c r="F221" s="14">
        <v>969352048</v>
      </c>
      <c r="G221" s="14" t="s">
        <v>499</v>
      </c>
      <c r="I221"/>
      <c r="J221" s="14" t="s">
        <v>169</v>
      </c>
      <c r="K221" s="1">
        <v>44862</v>
      </c>
      <c r="L221" t="s">
        <v>1608</v>
      </c>
      <c r="M221" s="14" t="s">
        <v>8</v>
      </c>
      <c r="N221" s="69">
        <v>350</v>
      </c>
      <c r="P221" t="s">
        <v>10</v>
      </c>
      <c r="Q221" t="s">
        <v>11</v>
      </c>
      <c r="S221" s="69">
        <v>34</v>
      </c>
      <c r="T221" s="112">
        <f>210+15</f>
        <v>225</v>
      </c>
      <c r="U221" s="20">
        <f>N221-T221</f>
        <v>125</v>
      </c>
      <c r="V221" s="61">
        <f>U221/T221*100</f>
        <v>55.555555555555557</v>
      </c>
      <c r="W221" s="73"/>
    </row>
    <row r="222" spans="1:23" s="14" customFormat="1" ht="15" customHeight="1">
      <c r="A222" s="45">
        <v>191</v>
      </c>
      <c r="B222" s="45" t="s">
        <v>12</v>
      </c>
      <c r="C222" s="14" t="s">
        <v>496</v>
      </c>
      <c r="E222" s="46">
        <v>20601314038</v>
      </c>
      <c r="F222" s="14">
        <v>993399745</v>
      </c>
      <c r="G222" s="14" t="s">
        <v>500</v>
      </c>
      <c r="I222"/>
      <c r="J222" s="14" t="s">
        <v>497</v>
      </c>
      <c r="K222" s="1">
        <v>44863</v>
      </c>
      <c r="L222" t="s">
        <v>1609</v>
      </c>
      <c r="M222" s="14" t="s">
        <v>8</v>
      </c>
      <c r="N222" s="69">
        <v>390</v>
      </c>
      <c r="P222" t="s">
        <v>10</v>
      </c>
      <c r="Q222" t="s">
        <v>22</v>
      </c>
      <c r="S222" s="69"/>
      <c r="T222" s="112">
        <f>12+270</f>
        <v>282</v>
      </c>
      <c r="U222" s="20">
        <f>N222-T222</f>
        <v>108</v>
      </c>
      <c r="V222" s="61">
        <f>U222/T222*100</f>
        <v>38.297872340425535</v>
      </c>
      <c r="W222" s="73"/>
    </row>
    <row r="223" spans="1:23" s="14" customFormat="1" ht="15" customHeight="1">
      <c r="A223" s="45">
        <v>193</v>
      </c>
      <c r="B223" s="45" t="s">
        <v>23</v>
      </c>
      <c r="C223" s="14" t="s">
        <v>501</v>
      </c>
      <c r="E223" s="46"/>
      <c r="F223" s="14">
        <v>940205170</v>
      </c>
      <c r="I223"/>
      <c r="J223" s="14" t="s">
        <v>155</v>
      </c>
      <c r="K223" s="1">
        <v>44865</v>
      </c>
      <c r="L223" t="s">
        <v>1608</v>
      </c>
      <c r="M223" s="14" t="s">
        <v>21</v>
      </c>
      <c r="N223" s="69">
        <v>300</v>
      </c>
      <c r="P223" t="s">
        <v>10</v>
      </c>
      <c r="Q223" t="s">
        <v>22</v>
      </c>
      <c r="S223" s="69">
        <v>34</v>
      </c>
      <c r="T223" s="112">
        <f>210+15</f>
        <v>225</v>
      </c>
      <c r="U223" s="20">
        <f>N223-T223</f>
        <v>75</v>
      </c>
      <c r="V223" s="61">
        <f>U223/T223*100</f>
        <v>33.333333333333329</v>
      </c>
      <c r="W223" s="73"/>
    </row>
    <row r="224" spans="1:23" s="14" customFormat="1" ht="15" customHeight="1">
      <c r="A224" s="45">
        <v>192</v>
      </c>
      <c r="B224" s="45" t="s">
        <v>12</v>
      </c>
      <c r="C224" s="14" t="s">
        <v>502</v>
      </c>
      <c r="E224" s="46"/>
      <c r="F224" s="14">
        <v>966002270</v>
      </c>
      <c r="G224" s="14" t="s">
        <v>503</v>
      </c>
      <c r="H224" s="14" t="s">
        <v>65</v>
      </c>
      <c r="I224" t="s">
        <v>29</v>
      </c>
      <c r="K224" s="1">
        <v>44865</v>
      </c>
      <c r="L224" t="s">
        <v>1608</v>
      </c>
      <c r="M224" s="14" t="s">
        <v>8</v>
      </c>
      <c r="N224" s="69">
        <v>335</v>
      </c>
      <c r="P224" t="s">
        <v>10</v>
      </c>
      <c r="Q224" t="s">
        <v>22</v>
      </c>
      <c r="S224" s="69">
        <v>34</v>
      </c>
      <c r="T224" s="112">
        <f>210+15</f>
        <v>225</v>
      </c>
      <c r="U224" s="20">
        <f>N224-T224</f>
        <v>110</v>
      </c>
      <c r="V224" s="61">
        <f>U224/T224*100</f>
        <v>48.888888888888886</v>
      </c>
      <c r="W224" s="73"/>
    </row>
    <row r="225" spans="1:23" s="14" customFormat="1" ht="15" customHeight="1">
      <c r="A225" s="45">
        <v>194</v>
      </c>
      <c r="B225" s="45" t="s">
        <v>23</v>
      </c>
      <c r="C225" s="14" t="s">
        <v>17</v>
      </c>
      <c r="E225" s="46"/>
      <c r="F225" s="14">
        <v>945881998</v>
      </c>
      <c r="I225"/>
      <c r="J225" s="14" t="s">
        <v>504</v>
      </c>
      <c r="K225" s="1">
        <v>44866</v>
      </c>
      <c r="L225" t="s">
        <v>1608</v>
      </c>
      <c r="M225" s="14" t="s">
        <v>21</v>
      </c>
      <c r="N225" s="69">
        <v>300</v>
      </c>
      <c r="P225" t="s">
        <v>10</v>
      </c>
      <c r="Q225" t="s">
        <v>22</v>
      </c>
      <c r="S225" s="69"/>
      <c r="T225" s="112">
        <f>210+15</f>
        <v>225</v>
      </c>
      <c r="U225" s="20">
        <f>N225-T225</f>
        <v>75</v>
      </c>
      <c r="V225" s="61">
        <f>U225/T225*100</f>
        <v>33.333333333333329</v>
      </c>
      <c r="W225" s="73"/>
    </row>
    <row r="226" spans="1:23" s="14" customFormat="1" ht="15" customHeight="1">
      <c r="A226" s="45">
        <v>195</v>
      </c>
      <c r="B226" s="45"/>
      <c r="C226" s="14" t="s">
        <v>505</v>
      </c>
      <c r="E226" s="46">
        <v>60074649</v>
      </c>
      <c r="F226" s="14">
        <v>902529388</v>
      </c>
      <c r="H226" s="14" t="s">
        <v>1607</v>
      </c>
      <c r="I226" t="s">
        <v>29</v>
      </c>
      <c r="K226" s="1">
        <v>44867</v>
      </c>
      <c r="L226" t="s">
        <v>1605</v>
      </c>
      <c r="M226" s="14" t="s">
        <v>8</v>
      </c>
      <c r="N226" s="69">
        <v>190</v>
      </c>
      <c r="P226" t="s">
        <v>10</v>
      </c>
      <c r="Q226" t="s">
        <v>11</v>
      </c>
      <c r="R226" s="14">
        <v>12</v>
      </c>
      <c r="S226" s="69"/>
      <c r="T226" s="112">
        <f>110+12</f>
        <v>122</v>
      </c>
      <c r="U226" s="20">
        <f>N226-T226</f>
        <v>68</v>
      </c>
      <c r="V226" s="61">
        <f>U226/T226*100</f>
        <v>55.737704918032783</v>
      </c>
      <c r="W226" s="73"/>
    </row>
    <row r="227" spans="1:23" s="14" customFormat="1" ht="15" customHeight="1">
      <c r="A227" s="45">
        <v>196</v>
      </c>
      <c r="B227" s="45"/>
      <c r="C227" s="14" t="s">
        <v>506</v>
      </c>
      <c r="E227" s="46">
        <v>42948298</v>
      </c>
      <c r="F227" s="14">
        <v>981669583</v>
      </c>
      <c r="H227" s="14" t="s">
        <v>1606</v>
      </c>
      <c r="I227" t="s">
        <v>140</v>
      </c>
      <c r="K227" s="1">
        <v>44867</v>
      </c>
      <c r="L227" t="s">
        <v>1605</v>
      </c>
      <c r="M227" s="14" t="s">
        <v>8</v>
      </c>
      <c r="N227" s="69">
        <v>200</v>
      </c>
      <c r="P227" t="s">
        <v>10</v>
      </c>
      <c r="Q227" t="s">
        <v>11</v>
      </c>
      <c r="S227" s="69"/>
      <c r="T227" s="112">
        <f>110+12</f>
        <v>122</v>
      </c>
      <c r="U227" s="20">
        <f>N227-T227</f>
        <v>78</v>
      </c>
      <c r="V227" s="61">
        <f>U227/T227*100</f>
        <v>63.934426229508205</v>
      </c>
      <c r="W227" s="73"/>
    </row>
    <row r="228" spans="1:23" s="14" customFormat="1" ht="15" customHeight="1">
      <c r="A228" s="45">
        <v>197</v>
      </c>
      <c r="B228" s="45" t="s">
        <v>12</v>
      </c>
      <c r="C228" s="14" t="s">
        <v>508</v>
      </c>
      <c r="E228" s="46">
        <v>20548788774</v>
      </c>
      <c r="F228" s="14">
        <v>913004278</v>
      </c>
      <c r="G228" s="14" t="s">
        <v>509</v>
      </c>
      <c r="I228"/>
      <c r="J228" s="14" t="s">
        <v>510</v>
      </c>
      <c r="K228" s="1">
        <v>44867</v>
      </c>
      <c r="L228" t="s">
        <v>1604</v>
      </c>
      <c r="M228" s="14" t="s">
        <v>1221</v>
      </c>
      <c r="N228" s="69">
        <v>390</v>
      </c>
      <c r="P228" t="s">
        <v>10</v>
      </c>
      <c r="Q228" t="s">
        <v>22</v>
      </c>
      <c r="S228" s="69"/>
      <c r="T228" s="112">
        <f>110+24+110</f>
        <v>244</v>
      </c>
      <c r="U228" s="20">
        <f>N228-T228</f>
        <v>146</v>
      </c>
      <c r="V228" s="61">
        <f>U228/T228*100</f>
        <v>59.83606557377049</v>
      </c>
      <c r="W228" s="73"/>
    </row>
    <row r="229" spans="1:23" s="14" customFormat="1" ht="15" customHeight="1">
      <c r="A229" s="45">
        <v>198</v>
      </c>
      <c r="B229" s="45"/>
      <c r="C229" s="14" t="s">
        <v>511</v>
      </c>
      <c r="E229" s="46">
        <v>47728669</v>
      </c>
      <c r="F229" s="14">
        <v>943456808</v>
      </c>
      <c r="H229" s="14" t="s">
        <v>1603</v>
      </c>
      <c r="I229" t="s">
        <v>512</v>
      </c>
      <c r="K229" s="1">
        <v>44872</v>
      </c>
      <c r="L229" t="s">
        <v>1589</v>
      </c>
      <c r="M229" s="14" t="s">
        <v>8</v>
      </c>
      <c r="N229" s="69">
        <v>225</v>
      </c>
      <c r="P229" t="s">
        <v>10</v>
      </c>
      <c r="Q229" t="s">
        <v>11</v>
      </c>
      <c r="R229" s="14">
        <v>10</v>
      </c>
      <c r="S229" s="69"/>
      <c r="T229" s="112">
        <f>110+12</f>
        <v>122</v>
      </c>
      <c r="U229" s="20">
        <f>N229-T229</f>
        <v>103</v>
      </c>
      <c r="V229" s="61">
        <f>U229/T229*100</f>
        <v>84.426229508196727</v>
      </c>
      <c r="W229" s="73"/>
    </row>
    <row r="230" spans="1:23" s="14" customFormat="1" ht="15" customHeight="1">
      <c r="A230" s="45">
        <v>199</v>
      </c>
      <c r="B230" s="45"/>
      <c r="C230" s="14" t="s">
        <v>513</v>
      </c>
      <c r="E230" s="46">
        <v>46177909</v>
      </c>
      <c r="F230" s="14">
        <v>990497375</v>
      </c>
      <c r="H230" s="14" t="s">
        <v>748</v>
      </c>
      <c r="I230" t="s">
        <v>29</v>
      </c>
      <c r="K230" s="1">
        <v>44872</v>
      </c>
      <c r="L230" t="s">
        <v>1581</v>
      </c>
      <c r="M230" s="14" t="s">
        <v>1221</v>
      </c>
      <c r="N230" s="69">
        <v>190</v>
      </c>
      <c r="P230" t="s">
        <v>10</v>
      </c>
      <c r="Q230" t="s">
        <v>22</v>
      </c>
      <c r="R230" s="14">
        <v>12</v>
      </c>
      <c r="S230" s="69"/>
      <c r="T230" s="112">
        <f>110+12</f>
        <v>122</v>
      </c>
      <c r="U230" s="20">
        <f>N230-T230</f>
        <v>68</v>
      </c>
      <c r="V230" s="61">
        <f>U230/T230*100</f>
        <v>55.737704918032783</v>
      </c>
      <c r="W230" s="73"/>
    </row>
    <row r="231" spans="1:23" s="14" customFormat="1" ht="15" customHeight="1">
      <c r="A231" s="45">
        <v>200</v>
      </c>
      <c r="B231" s="45" t="s">
        <v>23</v>
      </c>
      <c r="C231" s="14" t="s">
        <v>515</v>
      </c>
      <c r="E231" s="46"/>
      <c r="F231" s="14">
        <v>924027175</v>
      </c>
      <c r="I231"/>
      <c r="J231" s="14" t="s">
        <v>252</v>
      </c>
      <c r="K231" s="1">
        <v>44873</v>
      </c>
      <c r="L231" t="s">
        <v>1581</v>
      </c>
      <c r="M231" s="14" t="s">
        <v>21</v>
      </c>
      <c r="N231" s="69">
        <v>190</v>
      </c>
      <c r="P231" t="s">
        <v>10</v>
      </c>
      <c r="Q231" t="s">
        <v>11</v>
      </c>
      <c r="S231" s="69"/>
      <c r="T231" s="112">
        <f>110+12</f>
        <v>122</v>
      </c>
      <c r="U231" s="20">
        <f>N231-T231</f>
        <v>68</v>
      </c>
      <c r="V231" s="61">
        <f>U231/T231*100</f>
        <v>55.737704918032783</v>
      </c>
      <c r="W231" s="73"/>
    </row>
    <row r="232" spans="1:23" s="14" customFormat="1" ht="15" customHeight="1">
      <c r="A232" s="45">
        <v>201</v>
      </c>
      <c r="B232" s="45" t="s">
        <v>12</v>
      </c>
      <c r="C232" s="14" t="s">
        <v>516</v>
      </c>
      <c r="E232" s="46">
        <v>2661292</v>
      </c>
      <c r="F232" s="14">
        <v>951709984</v>
      </c>
      <c r="G232" s="14" t="s">
        <v>517</v>
      </c>
      <c r="H232" s="14" t="s">
        <v>514</v>
      </c>
      <c r="I232" t="s">
        <v>518</v>
      </c>
      <c r="K232" s="1">
        <v>44874</v>
      </c>
      <c r="L232" t="s">
        <v>1581</v>
      </c>
      <c r="M232" s="14" t="s">
        <v>8</v>
      </c>
      <c r="N232" s="69">
        <v>200</v>
      </c>
      <c r="P232" t="s">
        <v>10</v>
      </c>
      <c r="Q232" t="s">
        <v>11</v>
      </c>
      <c r="R232" s="14">
        <v>13</v>
      </c>
      <c r="S232" s="69"/>
      <c r="T232" s="112">
        <f>110+12</f>
        <v>122</v>
      </c>
      <c r="U232" s="20">
        <f>N232-T232</f>
        <v>78</v>
      </c>
      <c r="V232" s="61">
        <f>U232/T232*100</f>
        <v>63.934426229508205</v>
      </c>
      <c r="W232" s="73"/>
    </row>
    <row r="233" spans="1:23" s="14" customFormat="1" ht="15" customHeight="1">
      <c r="A233" s="45">
        <v>204</v>
      </c>
      <c r="B233" s="45" t="s">
        <v>60</v>
      </c>
      <c r="C233" s="14" t="s">
        <v>519</v>
      </c>
      <c r="E233" s="46">
        <v>25218943</v>
      </c>
      <c r="F233" s="14">
        <v>952357357</v>
      </c>
      <c r="G233" s="14" t="s">
        <v>520</v>
      </c>
      <c r="H233" s="14" t="s">
        <v>1602</v>
      </c>
      <c r="I233" t="s">
        <v>147</v>
      </c>
      <c r="K233" s="1">
        <v>44875</v>
      </c>
      <c r="L233" t="s">
        <v>1601</v>
      </c>
      <c r="M233" s="14" t="s">
        <v>1221</v>
      </c>
      <c r="N233" s="69">
        <f>450+130+30</f>
        <v>610</v>
      </c>
      <c r="P233" t="s">
        <v>10</v>
      </c>
      <c r="Q233" t="s">
        <v>22</v>
      </c>
      <c r="S233" s="69"/>
      <c r="T233" s="112">
        <f>230+110+14</f>
        <v>354</v>
      </c>
      <c r="U233" s="20">
        <f>N233-T233</f>
        <v>256</v>
      </c>
      <c r="V233" s="61">
        <f>U233/T233*100</f>
        <v>72.316384180790962</v>
      </c>
      <c r="W233" s="73"/>
    </row>
    <row r="234" spans="1:23" s="14" customFormat="1" ht="15" customHeight="1">
      <c r="A234" s="45">
        <v>205</v>
      </c>
      <c r="B234" s="45"/>
      <c r="C234" s="14" t="s">
        <v>521</v>
      </c>
      <c r="E234" s="46">
        <v>45232163</v>
      </c>
      <c r="F234" s="14">
        <v>991826503</v>
      </c>
      <c r="H234" s="14" t="s">
        <v>266</v>
      </c>
      <c r="I234" t="s">
        <v>29</v>
      </c>
      <c r="K234" s="1">
        <v>44875</v>
      </c>
      <c r="L234" t="s">
        <v>1581</v>
      </c>
      <c r="M234" s="14" t="s">
        <v>1221</v>
      </c>
      <c r="N234" s="69">
        <v>190</v>
      </c>
      <c r="P234" t="s">
        <v>10</v>
      </c>
      <c r="Q234" t="s">
        <v>22</v>
      </c>
      <c r="S234" s="69"/>
      <c r="T234" s="112">
        <f>110+12</f>
        <v>122</v>
      </c>
      <c r="U234" s="20">
        <f>N234-T234</f>
        <v>68</v>
      </c>
      <c r="V234" s="61">
        <f>U234/T234*100</f>
        <v>55.737704918032783</v>
      </c>
      <c r="W234" s="73"/>
    </row>
    <row r="235" spans="1:23" s="14" customFormat="1" ht="15" customHeight="1">
      <c r="A235" s="45">
        <v>202</v>
      </c>
      <c r="B235" s="45" t="s">
        <v>12</v>
      </c>
      <c r="C235" s="14" t="s">
        <v>522</v>
      </c>
      <c r="D235" s="46">
        <v>10439601201</v>
      </c>
      <c r="E235" s="46">
        <v>43960120</v>
      </c>
      <c r="F235" s="14">
        <v>991844209</v>
      </c>
      <c r="G235" s="14" t="s">
        <v>523</v>
      </c>
      <c r="I235"/>
      <c r="J235" s="14" t="s">
        <v>524</v>
      </c>
      <c r="K235" s="1">
        <v>44875</v>
      </c>
      <c r="L235" t="s">
        <v>1600</v>
      </c>
      <c r="M235" s="14" t="s">
        <v>8</v>
      </c>
      <c r="N235" s="69">
        <v>520</v>
      </c>
      <c r="P235" t="s">
        <v>10</v>
      </c>
      <c r="Q235" t="s">
        <v>11</v>
      </c>
      <c r="S235" s="69"/>
      <c r="T235" s="112">
        <f>240+110</f>
        <v>350</v>
      </c>
      <c r="U235" s="20">
        <f>N235-T235</f>
        <v>170</v>
      </c>
      <c r="V235" s="61">
        <f>U235/T235*100</f>
        <v>48.571428571428569</v>
      </c>
      <c r="W235" s="73"/>
    </row>
    <row r="236" spans="1:23" s="14" customFormat="1" ht="15" customHeight="1">
      <c r="A236" s="43">
        <v>111</v>
      </c>
      <c r="B236" s="43" t="s">
        <v>12</v>
      </c>
      <c r="C236" s="40" t="s">
        <v>340</v>
      </c>
      <c r="D236" s="40"/>
      <c r="E236" s="44">
        <v>20606086459</v>
      </c>
      <c r="F236" s="40">
        <v>913004278</v>
      </c>
      <c r="G236" s="40" t="s">
        <v>525</v>
      </c>
      <c r="H236" s="40"/>
      <c r="I236" s="41"/>
      <c r="J236" s="41" t="s">
        <v>329</v>
      </c>
      <c r="K236" s="47">
        <v>44875</v>
      </c>
      <c r="L236" s="41" t="s">
        <v>1599</v>
      </c>
      <c r="M236" s="40" t="s">
        <v>1221</v>
      </c>
      <c r="N236" s="49">
        <f>175*11</f>
        <v>1925</v>
      </c>
      <c r="O236" s="40"/>
      <c r="P236" s="41" t="s">
        <v>31</v>
      </c>
      <c r="Q236" s="41" t="s">
        <v>22</v>
      </c>
      <c r="R236" s="40"/>
      <c r="S236" s="69"/>
      <c r="T236" s="112">
        <f>110*11</f>
        <v>1210</v>
      </c>
      <c r="U236" s="20">
        <f>N236-T236</f>
        <v>715</v>
      </c>
      <c r="V236" s="61">
        <f>U236/T236*100</f>
        <v>59.090909090909093</v>
      </c>
      <c r="W236" s="73"/>
    </row>
    <row r="237" spans="1:23" s="14" customFormat="1" ht="15" customHeight="1">
      <c r="A237" s="45">
        <v>206</v>
      </c>
      <c r="B237" s="45" t="s">
        <v>12</v>
      </c>
      <c r="C237" s="14" t="s">
        <v>526</v>
      </c>
      <c r="E237" s="46">
        <v>10075987019</v>
      </c>
      <c r="F237" s="14">
        <v>939505831</v>
      </c>
      <c r="G237" s="14" t="s">
        <v>527</v>
      </c>
      <c r="I237"/>
      <c r="J237" s="14" t="s">
        <v>528</v>
      </c>
      <c r="K237" s="1">
        <v>44876</v>
      </c>
      <c r="L237" t="s">
        <v>1598</v>
      </c>
      <c r="M237" s="14" t="s">
        <v>56</v>
      </c>
      <c r="N237" s="69">
        <v>700</v>
      </c>
      <c r="O237" s="14" t="s">
        <v>1597</v>
      </c>
      <c r="P237" t="s">
        <v>10</v>
      </c>
      <c r="Q237" t="s">
        <v>11</v>
      </c>
      <c r="S237" s="69"/>
      <c r="T237" s="112">
        <f>250+170+15</f>
        <v>435</v>
      </c>
      <c r="U237" s="20">
        <f>N237-T237</f>
        <v>265</v>
      </c>
      <c r="V237" s="61">
        <f>U237/T237*100</f>
        <v>60.919540229885058</v>
      </c>
      <c r="W237" s="73"/>
    </row>
    <row r="238" spans="1:23" s="14" customFormat="1" ht="15" customHeight="1">
      <c r="A238" s="45">
        <v>207</v>
      </c>
      <c r="B238" s="45"/>
      <c r="C238" s="14" t="s">
        <v>529</v>
      </c>
      <c r="E238" s="46"/>
      <c r="F238" s="14">
        <v>965393879</v>
      </c>
      <c r="I238"/>
      <c r="K238" s="1">
        <v>44877</v>
      </c>
      <c r="L238" t="s">
        <v>1581</v>
      </c>
      <c r="M238" s="14" t="s">
        <v>8</v>
      </c>
      <c r="N238" s="69">
        <v>190</v>
      </c>
      <c r="P238" t="s">
        <v>10</v>
      </c>
      <c r="Q238" t="s">
        <v>11</v>
      </c>
      <c r="S238" s="69"/>
      <c r="T238" s="112">
        <f>110+12</f>
        <v>122</v>
      </c>
      <c r="U238" s="20">
        <f>N238-T238</f>
        <v>68</v>
      </c>
      <c r="V238" s="61">
        <f>U238/T238*100</f>
        <v>55.737704918032783</v>
      </c>
      <c r="W238" s="73"/>
    </row>
    <row r="239" spans="1:23" s="14" customFormat="1" ht="15" customHeight="1">
      <c r="A239" s="37">
        <v>110</v>
      </c>
      <c r="B239" s="37"/>
      <c r="C239" s="14" t="s">
        <v>326</v>
      </c>
      <c r="E239"/>
      <c r="F239" s="14">
        <v>987150308</v>
      </c>
      <c r="G239"/>
      <c r="H239"/>
      <c r="I239"/>
      <c r="J239" t="s">
        <v>183</v>
      </c>
      <c r="K239" s="1">
        <v>44878</v>
      </c>
      <c r="L239" t="s">
        <v>1596</v>
      </c>
      <c r="M239" s="14" t="s">
        <v>8</v>
      </c>
      <c r="N239" s="67">
        <v>190</v>
      </c>
      <c r="O239" t="s">
        <v>1595</v>
      </c>
      <c r="P239" t="s">
        <v>10</v>
      </c>
      <c r="Q239" t="s">
        <v>315</v>
      </c>
      <c r="R239"/>
      <c r="S239" s="69"/>
      <c r="T239" s="112">
        <v>150</v>
      </c>
      <c r="U239" s="67">
        <f>N239-T239</f>
        <v>40</v>
      </c>
      <c r="V239" s="61">
        <f>U239/T239*100</f>
        <v>26.666666666666668</v>
      </c>
      <c r="W239" s="73"/>
    </row>
    <row r="240" spans="1:23" s="14" customFormat="1" ht="15" customHeight="1">
      <c r="A240" s="45">
        <v>208</v>
      </c>
      <c r="B240" s="45" t="s">
        <v>60</v>
      </c>
      <c r="C240" s="14" t="s">
        <v>530</v>
      </c>
      <c r="E240" s="46"/>
      <c r="F240" s="14">
        <v>997208605</v>
      </c>
      <c r="G240" s="14" t="s">
        <v>531</v>
      </c>
      <c r="I240"/>
      <c r="J240" s="14" t="s">
        <v>532</v>
      </c>
      <c r="K240" s="1">
        <v>44879</v>
      </c>
      <c r="L240" t="s">
        <v>1594</v>
      </c>
      <c r="M240" s="14" t="s">
        <v>1593</v>
      </c>
      <c r="N240" s="69">
        <v>880</v>
      </c>
      <c r="P240" t="s">
        <v>10</v>
      </c>
      <c r="Q240" t="s">
        <v>11</v>
      </c>
      <c r="S240" s="69"/>
      <c r="T240" s="112">
        <f>230+14+175+150</f>
        <v>569</v>
      </c>
      <c r="U240" s="20">
        <f>N240-T240</f>
        <v>311</v>
      </c>
      <c r="V240" s="61">
        <f>U240/T240*100</f>
        <v>54.657293497363803</v>
      </c>
      <c r="W240" s="73"/>
    </row>
    <row r="241" spans="1:23" s="14" customFormat="1" ht="15" customHeight="1">
      <c r="A241" s="45">
        <v>209</v>
      </c>
      <c r="B241" s="45"/>
      <c r="C241" s="14" t="s">
        <v>533</v>
      </c>
      <c r="E241" s="46"/>
      <c r="F241" s="14">
        <v>929082332</v>
      </c>
      <c r="H241" s="14" t="s">
        <v>1592</v>
      </c>
      <c r="I241" t="s">
        <v>147</v>
      </c>
      <c r="K241" s="1">
        <v>44879</v>
      </c>
      <c r="L241" t="s">
        <v>1591</v>
      </c>
      <c r="M241" s="14" t="s">
        <v>38</v>
      </c>
      <c r="N241" s="69">
        <v>320</v>
      </c>
      <c r="P241" t="s">
        <v>10</v>
      </c>
      <c r="Q241" t="s">
        <v>22</v>
      </c>
      <c r="S241" s="69"/>
      <c r="T241" s="112">
        <f>210+15</f>
        <v>225</v>
      </c>
      <c r="U241" s="20">
        <f>N241-T241</f>
        <v>95</v>
      </c>
      <c r="V241" s="61">
        <f>U241/T241*100</f>
        <v>42.222222222222221</v>
      </c>
      <c r="W241" s="73"/>
    </row>
    <row r="242" spans="1:23" s="14" customFormat="1" ht="15" customHeight="1">
      <c r="A242" s="45">
        <v>210</v>
      </c>
      <c r="B242" s="45"/>
      <c r="C242" s="14" t="s">
        <v>534</v>
      </c>
      <c r="E242" s="46">
        <v>70463879</v>
      </c>
      <c r="F242" s="14">
        <v>931557863</v>
      </c>
      <c r="H242" s="14" t="s">
        <v>36</v>
      </c>
      <c r="I242" t="s">
        <v>140</v>
      </c>
      <c r="K242" s="1">
        <v>44880</v>
      </c>
      <c r="L242" t="s">
        <v>1591</v>
      </c>
      <c r="M242" s="14" t="s">
        <v>56</v>
      </c>
      <c r="N242" s="69">
        <v>320</v>
      </c>
      <c r="P242" t="s">
        <v>10</v>
      </c>
      <c r="Q242" t="s">
        <v>22</v>
      </c>
      <c r="R242" s="13">
        <v>16</v>
      </c>
      <c r="S242" s="69"/>
      <c r="T242" s="112">
        <f>210+15</f>
        <v>225</v>
      </c>
      <c r="U242" s="20">
        <f>N242-T242</f>
        <v>95</v>
      </c>
      <c r="V242" s="61">
        <f>U242/T242*100</f>
        <v>42.222222222222221</v>
      </c>
      <c r="W242" s="106" t="s">
        <v>1588</v>
      </c>
    </row>
    <row r="243" spans="1:23" s="14" customFormat="1" ht="15" customHeight="1">
      <c r="A243" s="45">
        <v>211</v>
      </c>
      <c r="B243" s="45"/>
      <c r="C243" s="14" t="s">
        <v>535</v>
      </c>
      <c r="E243" s="46">
        <v>41201962</v>
      </c>
      <c r="F243" s="14">
        <v>900038812</v>
      </c>
      <c r="H243" s="14" t="s">
        <v>1590</v>
      </c>
      <c r="I243" t="s">
        <v>536</v>
      </c>
      <c r="K243" s="1">
        <v>44880</v>
      </c>
      <c r="L243" t="s">
        <v>1589</v>
      </c>
      <c r="M243" s="14" t="s">
        <v>56</v>
      </c>
      <c r="N243" s="69">
        <v>200</v>
      </c>
      <c r="P243" t="s">
        <v>10</v>
      </c>
      <c r="Q243" t="s">
        <v>22</v>
      </c>
      <c r="R243" s="13">
        <v>15</v>
      </c>
      <c r="S243" s="69"/>
      <c r="T243" s="112">
        <f>110+15</f>
        <v>125</v>
      </c>
      <c r="U243" s="20">
        <f>N243-T243</f>
        <v>75</v>
      </c>
      <c r="V243" s="61">
        <f>U243/T243*100</f>
        <v>60</v>
      </c>
      <c r="W243" s="106" t="s">
        <v>1588</v>
      </c>
    </row>
    <row r="244" spans="1:23" s="14" customFormat="1" ht="15" customHeight="1">
      <c r="A244" s="45">
        <v>213</v>
      </c>
      <c r="B244" s="45" t="s">
        <v>23</v>
      </c>
      <c r="C244" s="14" t="s">
        <v>537</v>
      </c>
      <c r="E244" s="46"/>
      <c r="F244" s="14">
        <v>975565646</v>
      </c>
      <c r="I244"/>
      <c r="J244" s="14" t="s">
        <v>538</v>
      </c>
      <c r="K244" s="1">
        <v>44881</v>
      </c>
      <c r="L244" t="s">
        <v>1587</v>
      </c>
      <c r="M244" s="14" t="s">
        <v>21</v>
      </c>
      <c r="N244" s="69">
        <v>400</v>
      </c>
      <c r="P244" t="s">
        <v>10</v>
      </c>
      <c r="Q244" t="s">
        <v>22</v>
      </c>
      <c r="S244" s="69"/>
      <c r="T244" s="112">
        <f>170+30</f>
        <v>200</v>
      </c>
      <c r="U244" s="20">
        <f>N244-T244</f>
        <v>200</v>
      </c>
      <c r="V244" s="61">
        <f>U244/T244*100</f>
        <v>100</v>
      </c>
      <c r="W244" s="73"/>
    </row>
    <row r="245" spans="1:23" s="14" customFormat="1" ht="15" customHeight="1">
      <c r="A245" s="45">
        <v>215</v>
      </c>
      <c r="B245" s="45"/>
      <c r="C245" s="14" t="s">
        <v>539</v>
      </c>
      <c r="E245" s="46"/>
      <c r="F245" s="14">
        <v>986990002</v>
      </c>
      <c r="I245"/>
      <c r="J245" s="14" t="s">
        <v>540</v>
      </c>
      <c r="K245" s="1">
        <v>44881</v>
      </c>
      <c r="L245" t="s">
        <v>1581</v>
      </c>
      <c r="M245" s="14" t="s">
        <v>8</v>
      </c>
      <c r="N245" s="69">
        <v>190</v>
      </c>
      <c r="O245" s="14" t="s">
        <v>541</v>
      </c>
      <c r="P245" t="s">
        <v>10</v>
      </c>
      <c r="Q245" t="s">
        <v>11</v>
      </c>
      <c r="S245" s="69"/>
      <c r="T245" s="112">
        <f>110+12</f>
        <v>122</v>
      </c>
      <c r="U245" s="20">
        <f>N245-T245</f>
        <v>68</v>
      </c>
      <c r="V245" s="61">
        <f>U245/T245*100</f>
        <v>55.737704918032783</v>
      </c>
      <c r="W245" s="73"/>
    </row>
    <row r="246" spans="1:23" s="14" customFormat="1" ht="15" customHeight="1">
      <c r="A246" s="45">
        <v>212</v>
      </c>
      <c r="B246" s="45" t="s">
        <v>12</v>
      </c>
      <c r="C246" s="14" t="s">
        <v>542</v>
      </c>
      <c r="E246" s="46">
        <v>74201265</v>
      </c>
      <c r="F246" s="14">
        <v>922475825</v>
      </c>
      <c r="G246" s="14" t="s">
        <v>543</v>
      </c>
      <c r="H246" s="14" t="s">
        <v>514</v>
      </c>
      <c r="I246" t="s">
        <v>29</v>
      </c>
      <c r="K246" s="1">
        <v>44881</v>
      </c>
      <c r="L246" t="s">
        <v>1586</v>
      </c>
      <c r="M246" s="14" t="s">
        <v>38</v>
      </c>
      <c r="N246" s="69">
        <v>765</v>
      </c>
      <c r="P246" t="s">
        <v>10</v>
      </c>
      <c r="Q246" t="s">
        <v>11</v>
      </c>
      <c r="R246" s="14">
        <v>42</v>
      </c>
      <c r="S246" s="69"/>
      <c r="T246" s="112">
        <f>230+130+20+110</f>
        <v>490</v>
      </c>
      <c r="U246" s="20">
        <f>N246-T246</f>
        <v>275</v>
      </c>
      <c r="V246" s="61">
        <f>U246/T246*100</f>
        <v>56.12244897959183</v>
      </c>
      <c r="W246" s="73"/>
    </row>
    <row r="247" spans="1:23" s="14" customFormat="1" ht="15" customHeight="1">
      <c r="A247" s="105">
        <v>214</v>
      </c>
      <c r="B247" s="105" t="s">
        <v>12</v>
      </c>
      <c r="C247" s="101" t="s">
        <v>544</v>
      </c>
      <c r="D247" s="101"/>
      <c r="E247" s="104">
        <v>71116865</v>
      </c>
      <c r="F247" s="101">
        <v>958247712</v>
      </c>
      <c r="G247" s="101" t="s">
        <v>545</v>
      </c>
      <c r="H247" s="101" t="s">
        <v>1585</v>
      </c>
      <c r="I247" s="102" t="s">
        <v>29</v>
      </c>
      <c r="J247" s="101"/>
      <c r="K247" s="103">
        <v>44881</v>
      </c>
      <c r="L247" s="102" t="s">
        <v>1584</v>
      </c>
      <c r="M247" s="101" t="s">
        <v>38</v>
      </c>
      <c r="N247" s="100">
        <v>450</v>
      </c>
      <c r="O247" s="101"/>
      <c r="P247" s="102" t="s">
        <v>10</v>
      </c>
      <c r="Q247" s="102" t="s">
        <v>22</v>
      </c>
      <c r="R247" s="101">
        <v>12</v>
      </c>
      <c r="S247" s="100"/>
      <c r="T247" s="123">
        <f>18+270</f>
        <v>288</v>
      </c>
      <c r="U247" s="99">
        <f>N247-T247</f>
        <v>162</v>
      </c>
      <c r="V247" s="98">
        <f>U247/T247*100</f>
        <v>56.25</v>
      </c>
      <c r="W247" s="97" t="s">
        <v>1583</v>
      </c>
    </row>
    <row r="248" spans="1:23" s="14" customFormat="1" ht="15" customHeight="1">
      <c r="A248" s="45">
        <v>216</v>
      </c>
      <c r="B248" s="45" t="s">
        <v>12</v>
      </c>
      <c r="C248" s="14" t="s">
        <v>61</v>
      </c>
      <c r="E248" s="46">
        <v>20605746811</v>
      </c>
      <c r="F248" s="14">
        <v>924119193</v>
      </c>
      <c r="G248" s="14" t="s">
        <v>545</v>
      </c>
      <c r="I248"/>
      <c r="J248" s="14" t="s">
        <v>548</v>
      </c>
      <c r="K248" s="1">
        <v>44882</v>
      </c>
      <c r="L248" t="s">
        <v>1581</v>
      </c>
      <c r="M248" s="14" t="s">
        <v>21</v>
      </c>
      <c r="N248" s="69">
        <v>220</v>
      </c>
      <c r="P248" t="s">
        <v>10</v>
      </c>
      <c r="Q248" t="s">
        <v>22</v>
      </c>
      <c r="S248" s="69"/>
      <c r="T248" s="112">
        <f>110+12</f>
        <v>122</v>
      </c>
      <c r="U248" s="20">
        <f>N248-T248</f>
        <v>98</v>
      </c>
      <c r="V248" s="61">
        <f>U248/T248*100</f>
        <v>80.327868852459019</v>
      </c>
      <c r="W248" s="73"/>
    </row>
    <row r="249" spans="1:23" s="14" customFormat="1" ht="15" customHeight="1">
      <c r="A249" s="45">
        <v>217</v>
      </c>
      <c r="B249" s="45" t="s">
        <v>12</v>
      </c>
      <c r="C249" s="14" t="s">
        <v>549</v>
      </c>
      <c r="E249" s="46">
        <v>20609331977</v>
      </c>
      <c r="F249" s="14">
        <v>981006108</v>
      </c>
      <c r="G249" s="14" t="s">
        <v>550</v>
      </c>
      <c r="I249"/>
      <c r="J249" s="14" t="s">
        <v>547</v>
      </c>
      <c r="K249" s="1">
        <v>44883</v>
      </c>
      <c r="L249" t="s">
        <v>1582</v>
      </c>
      <c r="M249" s="14" t="s">
        <v>1221</v>
      </c>
      <c r="N249" s="69">
        <v>520</v>
      </c>
      <c r="P249" t="s">
        <v>10</v>
      </c>
      <c r="Q249" t="s">
        <v>22</v>
      </c>
      <c r="S249" s="69"/>
      <c r="T249" s="112">
        <f>260+15+20</f>
        <v>295</v>
      </c>
      <c r="U249" s="20">
        <f>N249-T249</f>
        <v>225</v>
      </c>
      <c r="V249" s="61">
        <f>U249/T249*100</f>
        <v>76.271186440677965</v>
      </c>
      <c r="W249" s="73"/>
    </row>
    <row r="250" spans="1:23" s="14" customFormat="1" ht="15" customHeight="1">
      <c r="A250" s="45">
        <v>218</v>
      </c>
      <c r="B250" s="45"/>
      <c r="C250" s="14" t="s">
        <v>551</v>
      </c>
      <c r="E250" s="46">
        <v>44626904</v>
      </c>
      <c r="F250" s="14">
        <v>940444622</v>
      </c>
      <c r="H250" s="14" t="s">
        <v>552</v>
      </c>
      <c r="I250" t="s">
        <v>29</v>
      </c>
      <c r="K250" s="1">
        <v>44884</v>
      </c>
      <c r="L250" t="s">
        <v>1581</v>
      </c>
      <c r="M250" s="14" t="s">
        <v>1221</v>
      </c>
      <c r="N250" s="69">
        <v>200</v>
      </c>
      <c r="P250" t="s">
        <v>10</v>
      </c>
      <c r="Q250" t="s">
        <v>22</v>
      </c>
      <c r="S250" s="69"/>
      <c r="T250" s="112">
        <f>110+12+9</f>
        <v>131</v>
      </c>
      <c r="U250" s="20">
        <f>N250-T250</f>
        <v>69</v>
      </c>
      <c r="V250" s="61">
        <f>U250/T250*100</f>
        <v>52.671755725190842</v>
      </c>
      <c r="W250" s="73"/>
    </row>
    <row r="251" spans="1:23" s="51" customFormat="1" ht="15" customHeight="1">
      <c r="A251" s="87">
        <v>137</v>
      </c>
      <c r="B251" s="87" t="s">
        <v>23</v>
      </c>
      <c r="C251" s="51" t="s">
        <v>392</v>
      </c>
      <c r="E251" s="86"/>
      <c r="F251" s="51">
        <v>959269812</v>
      </c>
      <c r="J251" s="51" t="s">
        <v>144</v>
      </c>
      <c r="K251" s="27">
        <v>44885</v>
      </c>
      <c r="L251" s="26" t="s">
        <v>1580</v>
      </c>
      <c r="M251" s="26" t="s">
        <v>21</v>
      </c>
      <c r="N251" s="83">
        <v>50</v>
      </c>
      <c r="P251" s="26" t="s">
        <v>10</v>
      </c>
      <c r="Q251" s="26" t="s">
        <v>11</v>
      </c>
      <c r="S251" s="83"/>
      <c r="T251" s="124">
        <f>20</f>
        <v>20</v>
      </c>
      <c r="U251" s="53">
        <f>N251-T251</f>
        <v>30</v>
      </c>
      <c r="V251" s="71">
        <f>U251/T251*100</f>
        <v>150</v>
      </c>
      <c r="W251" s="82"/>
    </row>
    <row r="252" spans="1:23" s="14" customFormat="1" ht="15" customHeight="1">
      <c r="A252" s="45">
        <v>220</v>
      </c>
      <c r="B252" s="45"/>
      <c r="C252" s="14" t="s">
        <v>553</v>
      </c>
      <c r="E252" s="46">
        <v>72402332</v>
      </c>
      <c r="F252" s="14">
        <v>931104497</v>
      </c>
      <c r="H252" s="14" t="s">
        <v>514</v>
      </c>
      <c r="I252" t="s">
        <v>29</v>
      </c>
      <c r="K252" s="1">
        <v>44886</v>
      </c>
      <c r="L252" t="s">
        <v>1579</v>
      </c>
      <c r="M252" s="14" t="s">
        <v>1221</v>
      </c>
      <c r="N252" s="69">
        <v>180</v>
      </c>
      <c r="P252" t="s">
        <v>10</v>
      </c>
      <c r="Q252" t="s">
        <v>22</v>
      </c>
      <c r="S252" s="69"/>
      <c r="T252" s="112">
        <f>110</f>
        <v>110</v>
      </c>
      <c r="U252" s="20">
        <f>N252-T252</f>
        <v>70</v>
      </c>
      <c r="V252" s="61">
        <f>U252/T252*100</f>
        <v>63.636363636363633</v>
      </c>
      <c r="W252" s="73"/>
    </row>
    <row r="253" spans="1:23" s="14" customFormat="1" ht="15" customHeight="1">
      <c r="A253" s="45">
        <v>219</v>
      </c>
      <c r="B253" s="45" t="s">
        <v>12</v>
      </c>
      <c r="C253" s="14" t="s">
        <v>554</v>
      </c>
      <c r="E253" s="46">
        <v>10081337468</v>
      </c>
      <c r="F253" s="14">
        <v>944553300</v>
      </c>
      <c r="G253" s="14" t="s">
        <v>555</v>
      </c>
      <c r="I253"/>
      <c r="J253" s="14" t="s">
        <v>556</v>
      </c>
      <c r="K253" s="1">
        <v>44886</v>
      </c>
      <c r="L253" t="s">
        <v>1578</v>
      </c>
      <c r="M253" s="14" t="s">
        <v>21</v>
      </c>
      <c r="N253" s="69">
        <v>360</v>
      </c>
      <c r="P253" t="s">
        <v>10</v>
      </c>
      <c r="Q253" t="s">
        <v>11</v>
      </c>
      <c r="S253" s="69"/>
      <c r="T253" s="112">
        <f>120*2</f>
        <v>240</v>
      </c>
      <c r="U253" s="20">
        <f>N253-T253</f>
        <v>120</v>
      </c>
      <c r="V253" s="61">
        <f>U253/T253*100</f>
        <v>50</v>
      </c>
      <c r="W253" s="73"/>
    </row>
    <row r="254" spans="1:23" s="14" customFormat="1" ht="15" customHeight="1">
      <c r="A254" s="45">
        <v>222</v>
      </c>
      <c r="B254" s="45" t="s">
        <v>12</v>
      </c>
      <c r="C254" s="14" t="s">
        <v>557</v>
      </c>
      <c r="E254" s="46">
        <v>20600137094</v>
      </c>
      <c r="F254" s="14">
        <v>986618181</v>
      </c>
      <c r="G254" s="14" t="s">
        <v>558</v>
      </c>
      <c r="I254"/>
      <c r="J254" s="14" t="s">
        <v>7</v>
      </c>
      <c r="K254" s="1">
        <v>44887</v>
      </c>
      <c r="L254" t="s">
        <v>1577</v>
      </c>
      <c r="M254" s="14" t="s">
        <v>8</v>
      </c>
      <c r="N254" s="69">
        <v>430</v>
      </c>
      <c r="P254" t="s">
        <v>10</v>
      </c>
      <c r="Q254" t="s">
        <v>11</v>
      </c>
      <c r="S254" s="69"/>
      <c r="T254" s="112">
        <f>270+12</f>
        <v>282</v>
      </c>
      <c r="U254" s="20">
        <f>N254-T254</f>
        <v>148</v>
      </c>
      <c r="V254" s="61">
        <f>U254/T254*100</f>
        <v>52.4822695035461</v>
      </c>
      <c r="W254" s="73"/>
    </row>
    <row r="255" spans="1:23" s="14" customFormat="1" ht="15" customHeight="1">
      <c r="A255" s="45">
        <v>221</v>
      </c>
      <c r="B255" s="45" t="s">
        <v>12</v>
      </c>
      <c r="C255" s="14" t="s">
        <v>559</v>
      </c>
      <c r="E255" s="46">
        <v>20553732647</v>
      </c>
      <c r="F255" s="14">
        <v>918346106</v>
      </c>
      <c r="G255" s="14" t="s">
        <v>560</v>
      </c>
      <c r="I255"/>
      <c r="J255" s="14" t="s">
        <v>420</v>
      </c>
      <c r="K255" s="1">
        <v>44887</v>
      </c>
      <c r="L255" t="s">
        <v>1574</v>
      </c>
      <c r="M255" s="14" t="s">
        <v>8</v>
      </c>
      <c r="N255" s="69">
        <v>330</v>
      </c>
      <c r="P255" t="s">
        <v>10</v>
      </c>
      <c r="Q255" t="s">
        <v>11</v>
      </c>
      <c r="S255" s="69"/>
      <c r="T255" s="112">
        <v>170</v>
      </c>
      <c r="U255" s="20">
        <f>N255-T255</f>
        <v>160</v>
      </c>
      <c r="V255" s="61">
        <f>U255/T255*100</f>
        <v>94.117647058823522</v>
      </c>
      <c r="W255" s="73"/>
    </row>
    <row r="256" spans="1:23" s="14" customFormat="1" ht="15" customHeight="1">
      <c r="A256" s="43">
        <v>124</v>
      </c>
      <c r="B256" s="39" t="s">
        <v>12</v>
      </c>
      <c r="C256" s="40" t="s">
        <v>360</v>
      </c>
      <c r="D256" s="44">
        <v>20601379377</v>
      </c>
      <c r="E256" s="44">
        <v>46047067</v>
      </c>
      <c r="F256" s="40">
        <v>933784155</v>
      </c>
      <c r="G256" s="40" t="s">
        <v>561</v>
      </c>
      <c r="H256" s="40" t="s">
        <v>1257</v>
      </c>
      <c r="I256" s="40" t="s">
        <v>29</v>
      </c>
      <c r="J256" s="40"/>
      <c r="K256" s="47">
        <v>44887</v>
      </c>
      <c r="L256" s="41" t="s">
        <v>1576</v>
      </c>
      <c r="M256" s="40" t="s">
        <v>56</v>
      </c>
      <c r="N256" s="49">
        <v>500</v>
      </c>
      <c r="O256" s="40"/>
      <c r="P256" s="41" t="s">
        <v>31</v>
      </c>
      <c r="Q256" s="41" t="s">
        <v>11</v>
      </c>
      <c r="S256" s="69"/>
      <c r="T256" s="112">
        <f>176+176</f>
        <v>352</v>
      </c>
      <c r="U256" s="67">
        <f>N256-T256</f>
        <v>148</v>
      </c>
      <c r="V256" s="61">
        <f>U256/T256*100</f>
        <v>42.045454545454547</v>
      </c>
      <c r="W256" s="73"/>
    </row>
    <row r="257" spans="1:23" s="14" customFormat="1" ht="15" customHeight="1">
      <c r="A257" s="45">
        <v>223</v>
      </c>
      <c r="B257" s="45" t="s">
        <v>12</v>
      </c>
      <c r="C257" s="14" t="s">
        <v>562</v>
      </c>
      <c r="D257" s="14">
        <v>10182201222</v>
      </c>
      <c r="E257" s="46">
        <v>18220122</v>
      </c>
      <c r="F257" s="14">
        <v>949703013</v>
      </c>
      <c r="G257" s="14" t="s">
        <v>563</v>
      </c>
      <c r="H257" s="14" t="s">
        <v>355</v>
      </c>
      <c r="I257"/>
      <c r="K257" s="1">
        <v>44888</v>
      </c>
      <c r="L257" t="s">
        <v>1575</v>
      </c>
      <c r="M257" s="14" t="s">
        <v>1221</v>
      </c>
      <c r="N257" s="69">
        <v>515</v>
      </c>
      <c r="P257" t="s">
        <v>10</v>
      </c>
      <c r="Q257" t="s">
        <v>22</v>
      </c>
      <c r="S257" s="69"/>
      <c r="T257" s="112">
        <f>250+15+12</f>
        <v>277</v>
      </c>
      <c r="U257" s="67">
        <f>N257-T257</f>
        <v>238</v>
      </c>
      <c r="V257" s="61">
        <f>U257/T257*100</f>
        <v>85.920577617328519</v>
      </c>
      <c r="W257" s="73"/>
    </row>
    <row r="258" spans="1:23" s="14" customFormat="1" ht="15" customHeight="1">
      <c r="A258" s="45">
        <v>224</v>
      </c>
      <c r="B258" s="45" t="s">
        <v>23</v>
      </c>
      <c r="C258" s="14" t="s">
        <v>564</v>
      </c>
      <c r="E258" s="46"/>
      <c r="F258" s="14">
        <v>917003298</v>
      </c>
      <c r="I258"/>
      <c r="J258" s="14" t="s">
        <v>565</v>
      </c>
      <c r="K258" s="1">
        <v>44889</v>
      </c>
      <c r="L258" t="s">
        <v>1557</v>
      </c>
      <c r="M258" s="14" t="s">
        <v>21</v>
      </c>
      <c r="N258" s="69">
        <v>200</v>
      </c>
      <c r="P258" t="s">
        <v>10</v>
      </c>
      <c r="Q258" t="s">
        <v>11</v>
      </c>
      <c r="S258" s="69"/>
      <c r="T258" s="112">
        <v>100</v>
      </c>
      <c r="U258" s="67">
        <f>N258-T258</f>
        <v>100</v>
      </c>
      <c r="V258" s="61">
        <f>U258/T258*100</f>
        <v>100</v>
      </c>
      <c r="W258" s="73"/>
    </row>
    <row r="259" spans="1:23" s="14" customFormat="1" ht="15" customHeight="1">
      <c r="A259" s="45">
        <v>225</v>
      </c>
      <c r="B259" s="45" t="s">
        <v>60</v>
      </c>
      <c r="C259" s="14" t="s">
        <v>566</v>
      </c>
      <c r="E259" s="46"/>
      <c r="F259" s="14">
        <v>986930346</v>
      </c>
      <c r="G259" s="14" t="s">
        <v>567</v>
      </c>
      <c r="I259"/>
      <c r="J259" s="14" t="s">
        <v>364</v>
      </c>
      <c r="K259" s="1">
        <v>44892</v>
      </c>
      <c r="L259" t="s">
        <v>1574</v>
      </c>
      <c r="M259" s="14" t="s">
        <v>8</v>
      </c>
      <c r="N259" s="69">
        <v>330</v>
      </c>
      <c r="P259" t="s">
        <v>10</v>
      </c>
      <c r="Q259" t="s">
        <v>11</v>
      </c>
      <c r="S259" s="69"/>
      <c r="T259" s="112">
        <v>170</v>
      </c>
      <c r="U259" s="67">
        <f>N259-T259</f>
        <v>160</v>
      </c>
      <c r="V259" s="61">
        <f>U259/T259*100</f>
        <v>94.117647058823522</v>
      </c>
      <c r="W259" s="73"/>
    </row>
    <row r="260" spans="1:23" s="14" customFormat="1" ht="15" customHeight="1">
      <c r="A260" s="45">
        <v>227</v>
      </c>
      <c r="B260" s="45" t="s">
        <v>23</v>
      </c>
      <c r="C260" s="14" t="s">
        <v>568</v>
      </c>
      <c r="E260" s="46"/>
      <c r="F260" s="14">
        <v>970651377</v>
      </c>
      <c r="I260"/>
      <c r="J260" s="14" t="s">
        <v>569</v>
      </c>
      <c r="K260" s="1">
        <v>44893</v>
      </c>
      <c r="L260" t="s">
        <v>1573</v>
      </c>
      <c r="M260" s="14" t="s">
        <v>21</v>
      </c>
      <c r="N260" s="69">
        <v>330</v>
      </c>
      <c r="O260" s="14" t="s">
        <v>134</v>
      </c>
      <c r="P260" t="s">
        <v>10</v>
      </c>
      <c r="Q260" t="s">
        <v>22</v>
      </c>
      <c r="S260" s="69"/>
      <c r="T260" s="112">
        <f>170+15</f>
        <v>185</v>
      </c>
      <c r="U260" s="67">
        <f>N260-T260</f>
        <v>145</v>
      </c>
      <c r="V260" s="61">
        <f>U260/T260*100</f>
        <v>78.378378378378372</v>
      </c>
      <c r="W260" s="73"/>
    </row>
    <row r="261" spans="1:23" s="14" customFormat="1" ht="15" customHeight="1">
      <c r="A261" s="45">
        <v>226</v>
      </c>
      <c r="B261" s="45" t="s">
        <v>12</v>
      </c>
      <c r="C261" s="14" t="s">
        <v>570</v>
      </c>
      <c r="E261" s="46">
        <v>44143269</v>
      </c>
      <c r="F261" s="14">
        <v>959379078</v>
      </c>
      <c r="G261" s="14" t="s">
        <v>571</v>
      </c>
      <c r="H261" s="14" t="s">
        <v>1572</v>
      </c>
      <c r="I261" t="s">
        <v>572</v>
      </c>
      <c r="K261" s="1">
        <v>44893</v>
      </c>
      <c r="L261" t="s">
        <v>1571</v>
      </c>
      <c r="M261" s="14" t="s">
        <v>8</v>
      </c>
      <c r="N261" s="69">
        <v>510</v>
      </c>
      <c r="P261" t="s">
        <v>10</v>
      </c>
      <c r="Q261" t="s">
        <v>11</v>
      </c>
      <c r="S261" s="69"/>
      <c r="T261" s="112">
        <f>100*3</f>
        <v>300</v>
      </c>
      <c r="U261" s="67">
        <f>N261-T261</f>
        <v>210</v>
      </c>
      <c r="V261" s="61">
        <f>U261/T261*100</f>
        <v>70</v>
      </c>
      <c r="W261" s="73"/>
    </row>
    <row r="262" spans="1:23" s="14" customFormat="1" ht="15" customHeight="1">
      <c r="A262" s="43">
        <v>124</v>
      </c>
      <c r="B262" s="39" t="s">
        <v>12</v>
      </c>
      <c r="C262" s="40" t="s">
        <v>360</v>
      </c>
      <c r="D262" s="44">
        <v>20601379377</v>
      </c>
      <c r="E262" s="44">
        <v>46047067</v>
      </c>
      <c r="F262" s="40">
        <v>933784155</v>
      </c>
      <c r="G262" s="40" t="s">
        <v>573</v>
      </c>
      <c r="H262" s="40" t="s">
        <v>1257</v>
      </c>
      <c r="I262" s="40" t="s">
        <v>29</v>
      </c>
      <c r="J262" s="40"/>
      <c r="K262" s="47">
        <v>44893</v>
      </c>
      <c r="L262" s="41" t="s">
        <v>1570</v>
      </c>
      <c r="M262" s="40" t="s">
        <v>56</v>
      </c>
      <c r="N262" s="49">
        <f>250+250+390+390+150</f>
        <v>1430</v>
      </c>
      <c r="O262" s="40"/>
      <c r="P262" s="41" t="s">
        <v>31</v>
      </c>
      <c r="Q262" s="41" t="s">
        <v>11</v>
      </c>
      <c r="S262" s="69"/>
      <c r="T262" s="112">
        <f>250+250+190+190+110</f>
        <v>990</v>
      </c>
      <c r="U262" s="67">
        <f>N262-T262</f>
        <v>440</v>
      </c>
      <c r="V262" s="61">
        <f>U262/T262*100</f>
        <v>44.444444444444443</v>
      </c>
      <c r="W262" s="73"/>
    </row>
    <row r="263" spans="1:23" s="14" customFormat="1" ht="15" customHeight="1">
      <c r="A263" s="43">
        <v>133</v>
      </c>
      <c r="B263" s="39" t="s">
        <v>23</v>
      </c>
      <c r="C263" s="40" t="s">
        <v>384</v>
      </c>
      <c r="D263" s="40"/>
      <c r="E263" s="44"/>
      <c r="F263" s="40">
        <v>993104850</v>
      </c>
      <c r="G263" s="40"/>
      <c r="H263" s="40"/>
      <c r="I263" s="40"/>
      <c r="J263" s="40" t="s">
        <v>495</v>
      </c>
      <c r="K263" s="47">
        <v>44895</v>
      </c>
      <c r="L263" s="41" t="s">
        <v>1569</v>
      </c>
      <c r="M263" s="41" t="s">
        <v>21</v>
      </c>
      <c r="N263" s="49">
        <f>280*3</f>
        <v>840</v>
      </c>
      <c r="O263" s="40"/>
      <c r="P263" s="41" t="s">
        <v>10</v>
      </c>
      <c r="Q263" s="41" t="s">
        <v>22</v>
      </c>
      <c r="R263" s="40"/>
      <c r="S263" s="69"/>
      <c r="T263" s="112">
        <f>190*3+45</f>
        <v>615</v>
      </c>
      <c r="U263" s="20">
        <f>N263-T263</f>
        <v>225</v>
      </c>
      <c r="V263" s="61">
        <f>U263/T263*100</f>
        <v>36.585365853658537</v>
      </c>
      <c r="W263" s="73"/>
    </row>
    <row r="264" spans="1:23" s="14" customFormat="1" ht="15" customHeight="1">
      <c r="A264" s="43">
        <v>111</v>
      </c>
      <c r="B264" s="43" t="s">
        <v>12</v>
      </c>
      <c r="C264" s="40" t="s">
        <v>340</v>
      </c>
      <c r="D264" s="40"/>
      <c r="E264" s="44">
        <v>20606086459</v>
      </c>
      <c r="F264" s="40">
        <v>913004278</v>
      </c>
      <c r="G264" s="40" t="s">
        <v>574</v>
      </c>
      <c r="H264" s="40"/>
      <c r="I264" s="41"/>
      <c r="J264" s="41" t="s">
        <v>329</v>
      </c>
      <c r="K264" s="47">
        <v>44895</v>
      </c>
      <c r="L264" s="41" t="s">
        <v>1568</v>
      </c>
      <c r="M264" s="40" t="s">
        <v>1221</v>
      </c>
      <c r="N264" s="49">
        <f>175*11</f>
        <v>1925</v>
      </c>
      <c r="O264" s="40"/>
      <c r="P264" s="41" t="s">
        <v>31</v>
      </c>
      <c r="Q264" s="41" t="s">
        <v>22</v>
      </c>
      <c r="R264" s="40"/>
      <c r="S264" s="69"/>
      <c r="T264" s="112">
        <f>100*11</f>
        <v>1100</v>
      </c>
      <c r="U264" s="20">
        <f>N264-T264</f>
        <v>825</v>
      </c>
      <c r="V264" s="61">
        <f>U264/T264*100</f>
        <v>75</v>
      </c>
      <c r="W264" s="73"/>
    </row>
    <row r="265" spans="1:23" s="14" customFormat="1" ht="15" customHeight="1">
      <c r="A265" s="45">
        <v>228</v>
      </c>
      <c r="B265" s="45" t="s">
        <v>60</v>
      </c>
      <c r="C265" s="14" t="s">
        <v>575</v>
      </c>
      <c r="E265" s="46"/>
      <c r="F265" s="14">
        <v>992476748</v>
      </c>
      <c r="G265" s="14" t="s">
        <v>576</v>
      </c>
      <c r="I265"/>
      <c r="J265" s="14" t="s">
        <v>383</v>
      </c>
      <c r="K265" s="1">
        <v>44896</v>
      </c>
      <c r="L265" t="s">
        <v>1567</v>
      </c>
      <c r="M265" s="14" t="s">
        <v>8</v>
      </c>
      <c r="N265" s="69">
        <v>575</v>
      </c>
      <c r="P265" t="s">
        <v>10</v>
      </c>
      <c r="Q265" t="s">
        <v>22</v>
      </c>
      <c r="S265" s="69"/>
      <c r="T265" s="112">
        <f>50+30+230</f>
        <v>310</v>
      </c>
      <c r="U265" s="20">
        <f>N265-T265</f>
        <v>265</v>
      </c>
      <c r="V265" s="61">
        <f>U265/T265*100</f>
        <v>85.483870967741936</v>
      </c>
      <c r="W265" s="73"/>
    </row>
    <row r="266" spans="1:23" s="14" customFormat="1" ht="15" customHeight="1">
      <c r="A266" s="45">
        <v>229</v>
      </c>
      <c r="B266" s="45"/>
      <c r="C266" s="14" t="s">
        <v>577</v>
      </c>
      <c r="E266" s="46"/>
      <c r="F266" s="14">
        <v>997974554</v>
      </c>
      <c r="I266"/>
      <c r="J266" s="14" t="s">
        <v>578</v>
      </c>
      <c r="K266" s="1">
        <v>44896</v>
      </c>
      <c r="L266" t="s">
        <v>1566</v>
      </c>
      <c r="M266" s="14" t="s">
        <v>8</v>
      </c>
      <c r="N266" s="69">
        <v>180</v>
      </c>
      <c r="O266" s="14" t="s">
        <v>1565</v>
      </c>
      <c r="P266" t="s">
        <v>10</v>
      </c>
      <c r="Q266" t="s">
        <v>11</v>
      </c>
      <c r="S266" s="69"/>
      <c r="T266" s="112">
        <f>110+12</f>
        <v>122</v>
      </c>
      <c r="U266" s="20">
        <f>N266-T266</f>
        <v>58</v>
      </c>
      <c r="V266" s="61">
        <f>U266/T266*100</f>
        <v>47.540983606557376</v>
      </c>
      <c r="W266" s="73"/>
    </row>
    <row r="267" spans="1:23" s="14" customFormat="1" ht="15" customHeight="1">
      <c r="A267" s="45">
        <v>230</v>
      </c>
      <c r="B267" s="45"/>
      <c r="C267" s="14" t="s">
        <v>579</v>
      </c>
      <c r="E267" s="46"/>
      <c r="F267" s="14">
        <v>989150267</v>
      </c>
      <c r="I267"/>
      <c r="J267" s="14" t="s">
        <v>580</v>
      </c>
      <c r="K267" s="1">
        <v>44896</v>
      </c>
      <c r="L267" t="s">
        <v>1564</v>
      </c>
      <c r="M267" s="14" t="s">
        <v>8</v>
      </c>
      <c r="N267" s="69">
        <v>330</v>
      </c>
      <c r="P267" t="s">
        <v>10</v>
      </c>
      <c r="Q267" t="s">
        <v>11</v>
      </c>
      <c r="S267" s="69"/>
      <c r="T267" s="112">
        <f>190+15</f>
        <v>205</v>
      </c>
      <c r="U267" s="20">
        <f>N267-T267</f>
        <v>125</v>
      </c>
      <c r="V267" s="61">
        <f>U267/T267*100</f>
        <v>60.975609756097562</v>
      </c>
      <c r="W267" s="73"/>
    </row>
    <row r="268" spans="1:23" s="14" customFormat="1" ht="15" customHeight="1">
      <c r="A268" s="45">
        <v>138</v>
      </c>
      <c r="B268" s="45" t="s">
        <v>23</v>
      </c>
      <c r="C268" s="14" t="s">
        <v>393</v>
      </c>
      <c r="E268" s="46"/>
      <c r="F268" s="14">
        <v>955440204</v>
      </c>
      <c r="J268" s="14" t="s">
        <v>144</v>
      </c>
      <c r="K268" s="1">
        <v>44897</v>
      </c>
      <c r="L268" t="s">
        <v>1563</v>
      </c>
      <c r="M268" s="14" t="s">
        <v>21</v>
      </c>
      <c r="N268" s="54">
        <v>35</v>
      </c>
      <c r="P268" t="s">
        <v>10</v>
      </c>
      <c r="Q268" t="s">
        <v>22</v>
      </c>
      <c r="S268" s="69"/>
      <c r="T268" s="112">
        <v>12</v>
      </c>
      <c r="U268" s="67">
        <f>N268-T268</f>
        <v>23</v>
      </c>
      <c r="V268" s="61">
        <f>U268/T268*100</f>
        <v>191.66666666666669</v>
      </c>
      <c r="W268" s="73"/>
    </row>
    <row r="269" spans="1:23" s="14" customFormat="1" ht="15" customHeight="1">
      <c r="A269" s="45">
        <v>231</v>
      </c>
      <c r="B269" s="45" t="s">
        <v>60</v>
      </c>
      <c r="C269" s="14" t="s">
        <v>581</v>
      </c>
      <c r="E269" s="46">
        <v>75072160</v>
      </c>
      <c r="F269" s="14">
        <v>960624525</v>
      </c>
      <c r="G269" s="14" t="s">
        <v>582</v>
      </c>
      <c r="H269" s="14" t="s">
        <v>51</v>
      </c>
      <c r="I269" t="s">
        <v>29</v>
      </c>
      <c r="K269" s="1">
        <v>44897</v>
      </c>
      <c r="L269" t="s">
        <v>1562</v>
      </c>
      <c r="M269" s="14" t="s">
        <v>56</v>
      </c>
      <c r="N269" s="69">
        <v>480</v>
      </c>
      <c r="P269" t="s">
        <v>10</v>
      </c>
      <c r="Q269" t="s">
        <v>22</v>
      </c>
      <c r="S269" s="69"/>
      <c r="T269" s="112">
        <f>190+120</f>
        <v>310</v>
      </c>
      <c r="U269" s="20">
        <f>N269-T269</f>
        <v>170</v>
      </c>
      <c r="V269" s="61">
        <f>U269/T269*100</f>
        <v>54.838709677419352</v>
      </c>
      <c r="W269" s="73"/>
    </row>
    <row r="270" spans="1:23" s="51" customFormat="1" ht="15" customHeight="1">
      <c r="A270" s="87">
        <v>232</v>
      </c>
      <c r="B270" s="87" t="s">
        <v>23</v>
      </c>
      <c r="C270" s="51" t="s">
        <v>583</v>
      </c>
      <c r="E270" s="86"/>
      <c r="F270" s="51">
        <v>965815272</v>
      </c>
      <c r="I270" s="26"/>
      <c r="J270" s="51" t="s">
        <v>155</v>
      </c>
      <c r="K270" s="27">
        <v>44897</v>
      </c>
      <c r="L270" s="26" t="s">
        <v>1561</v>
      </c>
      <c r="M270" s="51" t="s">
        <v>21</v>
      </c>
      <c r="N270" s="83">
        <v>240</v>
      </c>
      <c r="P270" s="26" t="s">
        <v>10</v>
      </c>
      <c r="Q270" s="26" t="s">
        <v>22</v>
      </c>
      <c r="S270" s="83"/>
      <c r="T270" s="124">
        <f>100+12</f>
        <v>112</v>
      </c>
      <c r="U270" s="53">
        <f>N270-T270</f>
        <v>128</v>
      </c>
      <c r="V270" s="71">
        <f>U270/T270*100</f>
        <v>114.28571428571428</v>
      </c>
      <c r="W270" s="82"/>
    </row>
    <row r="271" spans="1:23" s="14" customFormat="1" ht="15" customHeight="1">
      <c r="A271" s="45">
        <v>233</v>
      </c>
      <c r="B271" s="45"/>
      <c r="C271" s="14" t="s">
        <v>584</v>
      </c>
      <c r="E271" s="46"/>
      <c r="F271" s="14">
        <v>993109460</v>
      </c>
      <c r="H271" s="14" t="s">
        <v>585</v>
      </c>
      <c r="I271" t="s">
        <v>29</v>
      </c>
      <c r="K271" s="1">
        <v>44901</v>
      </c>
      <c r="L271" t="s">
        <v>1561</v>
      </c>
      <c r="M271" s="14" t="s">
        <v>1221</v>
      </c>
      <c r="N271" s="69">
        <v>220</v>
      </c>
      <c r="P271" t="s">
        <v>10</v>
      </c>
      <c r="Q271" t="s">
        <v>22</v>
      </c>
      <c r="S271" s="69"/>
      <c r="T271" s="112">
        <f>100+12</f>
        <v>112</v>
      </c>
      <c r="U271" s="20">
        <f>N271-T271</f>
        <v>108</v>
      </c>
      <c r="V271" s="61">
        <f>U271/T271*100</f>
        <v>96.428571428571431</v>
      </c>
      <c r="W271" s="73"/>
    </row>
    <row r="272" spans="1:23" s="14" customFormat="1" ht="15" customHeight="1">
      <c r="A272" s="43">
        <v>111</v>
      </c>
      <c r="B272" s="43" t="s">
        <v>12</v>
      </c>
      <c r="C272" s="40" t="s">
        <v>340</v>
      </c>
      <c r="D272" s="40"/>
      <c r="E272" s="44">
        <v>20606086459</v>
      </c>
      <c r="F272" s="40">
        <v>913004278</v>
      </c>
      <c r="G272" s="40" t="s">
        <v>586</v>
      </c>
      <c r="H272" s="40"/>
      <c r="I272" s="41"/>
      <c r="J272" s="41" t="s">
        <v>329</v>
      </c>
      <c r="K272" s="47">
        <v>44901</v>
      </c>
      <c r="L272" s="41" t="s">
        <v>1546</v>
      </c>
      <c r="M272" s="40" t="s">
        <v>1221</v>
      </c>
      <c r="N272" s="49">
        <v>350</v>
      </c>
      <c r="O272" s="40"/>
      <c r="P272" s="41" t="s">
        <v>31</v>
      </c>
      <c r="Q272" s="41" t="s">
        <v>22</v>
      </c>
      <c r="R272" s="40"/>
      <c r="S272" s="69"/>
      <c r="T272" s="112">
        <f>100*2</f>
        <v>200</v>
      </c>
      <c r="U272" s="20">
        <f>N272-T272</f>
        <v>150</v>
      </c>
      <c r="V272" s="61">
        <f>U272/T272*100</f>
        <v>75</v>
      </c>
      <c r="W272" s="73"/>
    </row>
    <row r="273" spans="1:23" s="14" customFormat="1" ht="15" customHeight="1">
      <c r="A273" s="45">
        <v>212</v>
      </c>
      <c r="B273" s="45"/>
      <c r="C273" s="14" t="s">
        <v>542</v>
      </c>
      <c r="E273" s="46">
        <v>74201265</v>
      </c>
      <c r="F273" s="14">
        <v>922475825</v>
      </c>
      <c r="H273" s="14" t="s">
        <v>514</v>
      </c>
      <c r="I273" t="s">
        <v>147</v>
      </c>
      <c r="K273" s="1">
        <v>44902</v>
      </c>
      <c r="L273" t="s">
        <v>1560</v>
      </c>
      <c r="M273" s="14" t="s">
        <v>8</v>
      </c>
      <c r="N273" s="69">
        <v>100</v>
      </c>
      <c r="P273" t="s">
        <v>10</v>
      </c>
      <c r="Q273" t="s">
        <v>11</v>
      </c>
      <c r="R273" s="14">
        <v>42</v>
      </c>
      <c r="S273" s="69"/>
      <c r="T273" s="112">
        <f>15*2+20</f>
        <v>50</v>
      </c>
      <c r="U273" s="20">
        <f>N273-T273</f>
        <v>50</v>
      </c>
      <c r="V273" s="61">
        <f>U273/T273*100</f>
        <v>100</v>
      </c>
      <c r="W273" s="73"/>
    </row>
    <row r="274" spans="1:23" s="14" customFormat="1" ht="15" customHeight="1">
      <c r="A274" s="45">
        <v>234</v>
      </c>
      <c r="B274" s="45" t="s">
        <v>12</v>
      </c>
      <c r="C274" s="14" t="s">
        <v>587</v>
      </c>
      <c r="D274" s="14">
        <v>10429261916</v>
      </c>
      <c r="E274" s="46">
        <v>41494782</v>
      </c>
      <c r="F274" s="14">
        <v>951070224</v>
      </c>
      <c r="G274" s="14" t="s">
        <v>588</v>
      </c>
      <c r="H274" s="14" t="s">
        <v>48</v>
      </c>
      <c r="I274" t="s">
        <v>29</v>
      </c>
      <c r="K274" s="1">
        <v>44902</v>
      </c>
      <c r="L274" t="s">
        <v>1559</v>
      </c>
      <c r="M274" s="14" t="s">
        <v>8</v>
      </c>
      <c r="N274" s="69">
        <v>300</v>
      </c>
      <c r="P274" t="s">
        <v>10</v>
      </c>
      <c r="Q274" t="s">
        <v>11</v>
      </c>
      <c r="S274" s="69"/>
      <c r="T274" s="112">
        <f>190+15</f>
        <v>205</v>
      </c>
      <c r="U274" s="20">
        <f>N274-T274</f>
        <v>95</v>
      </c>
      <c r="V274" s="61">
        <f>U274/T274*100</f>
        <v>46.341463414634148</v>
      </c>
      <c r="W274" s="73"/>
    </row>
    <row r="275" spans="1:23" s="14" customFormat="1" ht="15" customHeight="1">
      <c r="A275" s="45">
        <v>236</v>
      </c>
      <c r="B275" s="45"/>
      <c r="C275" s="14" t="s">
        <v>589</v>
      </c>
      <c r="E275" s="46">
        <v>48357413</v>
      </c>
      <c r="F275" s="14">
        <v>948624123</v>
      </c>
      <c r="H275" s="14" t="s">
        <v>1518</v>
      </c>
      <c r="I275" t="s">
        <v>147</v>
      </c>
      <c r="K275" s="1">
        <v>44903</v>
      </c>
      <c r="L275" t="s">
        <v>1558</v>
      </c>
      <c r="M275" s="14" t="s">
        <v>56</v>
      </c>
      <c r="N275" s="69">
        <v>600</v>
      </c>
      <c r="P275" t="s">
        <v>10</v>
      </c>
      <c r="Q275" t="s">
        <v>22</v>
      </c>
      <c r="S275" s="69"/>
      <c r="T275" s="112">
        <f>230+15*5</f>
        <v>305</v>
      </c>
      <c r="U275" s="20">
        <f>N275-T275</f>
        <v>295</v>
      </c>
      <c r="V275" s="61">
        <f>U275/T275*100</f>
        <v>96.721311475409834</v>
      </c>
      <c r="W275" s="73"/>
    </row>
    <row r="276" spans="1:23" s="14" customFormat="1" ht="15" customHeight="1">
      <c r="A276" s="45">
        <v>237</v>
      </c>
      <c r="B276" s="45" t="s">
        <v>12</v>
      </c>
      <c r="C276" s="14" t="s">
        <v>590</v>
      </c>
      <c r="D276" s="14">
        <v>20606965571</v>
      </c>
      <c r="E276" s="46"/>
      <c r="F276" s="14">
        <v>940192389</v>
      </c>
      <c r="G276" s="14" t="s">
        <v>591</v>
      </c>
      <c r="I276"/>
      <c r="J276" s="14" t="s">
        <v>547</v>
      </c>
      <c r="K276" s="1">
        <v>44905</v>
      </c>
      <c r="L276" t="s">
        <v>1557</v>
      </c>
      <c r="M276" s="14" t="s">
        <v>1221</v>
      </c>
      <c r="N276" s="69">
        <v>220</v>
      </c>
      <c r="P276" t="s">
        <v>10</v>
      </c>
      <c r="Q276" t="s">
        <v>22</v>
      </c>
      <c r="S276" s="69"/>
      <c r="T276" s="112">
        <v>100</v>
      </c>
      <c r="U276" s="20">
        <f>N276-T276</f>
        <v>120</v>
      </c>
      <c r="V276" s="61">
        <f>U276/T276*100</f>
        <v>120</v>
      </c>
      <c r="W276" s="73"/>
    </row>
    <row r="277" spans="1:23" s="14" customFormat="1" ht="15" customHeight="1">
      <c r="A277" s="39">
        <v>32</v>
      </c>
      <c r="B277" s="39"/>
      <c r="C277" s="41" t="s">
        <v>592</v>
      </c>
      <c r="D277" s="41"/>
      <c r="E277" s="41"/>
      <c r="F277" s="41">
        <v>993400767</v>
      </c>
      <c r="G277" s="41"/>
      <c r="H277" s="41"/>
      <c r="I277" s="41"/>
      <c r="J277" s="41" t="s">
        <v>593</v>
      </c>
      <c r="K277" s="47">
        <v>44907</v>
      </c>
      <c r="L277" s="41" t="s">
        <v>1556</v>
      </c>
      <c r="M277" s="41" t="s">
        <v>8</v>
      </c>
      <c r="N277" s="48">
        <v>370</v>
      </c>
      <c r="O277" s="41" t="s">
        <v>1555</v>
      </c>
      <c r="P277" s="41" t="s">
        <v>31</v>
      </c>
      <c r="Q277" s="41" t="s">
        <v>11</v>
      </c>
      <c r="R277" s="41" t="s">
        <v>224</v>
      </c>
      <c r="S277"/>
      <c r="T277" s="112">
        <f>100+100+12+12+12</f>
        <v>236</v>
      </c>
      <c r="U277" s="20">
        <f>N277-T277</f>
        <v>134</v>
      </c>
      <c r="V277" s="61">
        <f>U277/T277*100</f>
        <v>56.779661016949156</v>
      </c>
      <c r="W277" s="73"/>
    </row>
    <row r="278" spans="1:23" s="14" customFormat="1" ht="15" customHeight="1">
      <c r="A278" s="45">
        <v>238</v>
      </c>
      <c r="B278" s="45" t="s">
        <v>12</v>
      </c>
      <c r="C278" s="14" t="s">
        <v>594</v>
      </c>
      <c r="D278" s="14">
        <v>20603952406</v>
      </c>
      <c r="E278" s="46"/>
      <c r="F278" s="14">
        <v>995737871</v>
      </c>
      <c r="G278" s="14" t="s">
        <v>595</v>
      </c>
      <c r="I278"/>
      <c r="J278" s="14" t="s">
        <v>596</v>
      </c>
      <c r="K278" s="1">
        <v>44907</v>
      </c>
      <c r="L278" t="s">
        <v>1554</v>
      </c>
      <c r="M278" s="14" t="s">
        <v>21</v>
      </c>
      <c r="N278" s="69">
        <v>580</v>
      </c>
      <c r="P278" t="s">
        <v>10</v>
      </c>
      <c r="Q278" t="s">
        <v>22</v>
      </c>
      <c r="S278" s="69"/>
      <c r="T278" s="112">
        <f>230+50+15</f>
        <v>295</v>
      </c>
      <c r="U278" s="20">
        <f>N278-T278</f>
        <v>285</v>
      </c>
      <c r="V278" s="61">
        <f>U278/T278*100</f>
        <v>96.610169491525426</v>
      </c>
      <c r="W278" s="73"/>
    </row>
    <row r="279" spans="1:23" ht="15" customHeight="1">
      <c r="A279" s="45">
        <v>239</v>
      </c>
      <c r="B279" s="45" t="s">
        <v>12</v>
      </c>
      <c r="C279" s="14" t="s">
        <v>597</v>
      </c>
      <c r="D279" s="14">
        <v>20600049837</v>
      </c>
      <c r="E279" s="46"/>
      <c r="F279" s="14">
        <v>991031485</v>
      </c>
      <c r="G279" s="14" t="s">
        <v>598</v>
      </c>
      <c r="H279" s="14"/>
      <c r="J279" s="14" t="s">
        <v>478</v>
      </c>
      <c r="K279" s="1">
        <v>44907</v>
      </c>
      <c r="L279" t="s">
        <v>1553</v>
      </c>
      <c r="M279" s="14" t="s">
        <v>56</v>
      </c>
      <c r="N279" s="69">
        <v>430</v>
      </c>
      <c r="O279" s="14"/>
      <c r="P279" t="s">
        <v>10</v>
      </c>
      <c r="Q279" t="s">
        <v>22</v>
      </c>
      <c r="R279" s="14"/>
      <c r="S279" s="69"/>
      <c r="T279" s="112">
        <v>250</v>
      </c>
      <c r="U279" s="20">
        <f>N279-T279</f>
        <v>180</v>
      </c>
      <c r="V279" s="61">
        <f>U279/T279*100</f>
        <v>72</v>
      </c>
    </row>
    <row r="280" spans="1:23" s="14" customFormat="1" ht="15" customHeight="1">
      <c r="A280" s="39">
        <v>111</v>
      </c>
      <c r="B280" s="39" t="s">
        <v>12</v>
      </c>
      <c r="C280" s="41" t="s">
        <v>340</v>
      </c>
      <c r="D280" s="41"/>
      <c r="E280" s="41">
        <v>20606086459</v>
      </c>
      <c r="F280" s="40">
        <v>913004278</v>
      </c>
      <c r="G280" s="41" t="s">
        <v>599</v>
      </c>
      <c r="H280" s="41"/>
      <c r="I280" s="41"/>
      <c r="J280" s="41" t="s">
        <v>329</v>
      </c>
      <c r="K280" s="47">
        <v>44908</v>
      </c>
      <c r="L280" s="41" t="s">
        <v>1552</v>
      </c>
      <c r="M280" s="41" t="s">
        <v>8</v>
      </c>
      <c r="N280" s="48">
        <f>175*6</f>
        <v>1050</v>
      </c>
      <c r="O280" s="41" t="s">
        <v>1536</v>
      </c>
      <c r="P280" s="41" t="s">
        <v>31</v>
      </c>
      <c r="Q280" s="41" t="s">
        <v>315</v>
      </c>
      <c r="R280"/>
      <c r="S280" s="69"/>
      <c r="T280" s="112">
        <f>100*6</f>
        <v>600</v>
      </c>
      <c r="U280" s="67">
        <f>N280-T280</f>
        <v>450</v>
      </c>
      <c r="V280" s="61">
        <f>U280/T280*100</f>
        <v>75</v>
      </c>
      <c r="W280" s="73"/>
    </row>
    <row r="281" spans="1:23" s="14" customFormat="1" ht="15" customHeight="1">
      <c r="A281" s="45">
        <v>221</v>
      </c>
      <c r="B281" s="45" t="s">
        <v>12</v>
      </c>
      <c r="C281" s="14" t="s">
        <v>559</v>
      </c>
      <c r="E281" s="46">
        <v>20553732647</v>
      </c>
      <c r="F281" s="14">
        <v>918346106</v>
      </c>
      <c r="G281" s="14" t="s">
        <v>600</v>
      </c>
      <c r="I281"/>
      <c r="J281" s="14" t="s">
        <v>420</v>
      </c>
      <c r="K281" s="1">
        <v>44908</v>
      </c>
      <c r="L281" t="s">
        <v>1551</v>
      </c>
      <c r="M281" s="14" t="s">
        <v>8</v>
      </c>
      <c r="N281" s="69">
        <f>480+150+25</f>
        <v>655</v>
      </c>
      <c r="P281" t="s">
        <v>10</v>
      </c>
      <c r="Q281" t="s">
        <v>11</v>
      </c>
      <c r="S281" s="69"/>
      <c r="T281" s="112">
        <f>230+15+150</f>
        <v>395</v>
      </c>
      <c r="U281" s="20">
        <f>N281-T281</f>
        <v>260</v>
      </c>
      <c r="V281" s="61">
        <f>U281/T281*100</f>
        <v>65.822784810126578</v>
      </c>
      <c r="W281" s="73"/>
    </row>
    <row r="282" spans="1:23" s="88" customFormat="1" ht="15" customHeight="1">
      <c r="A282" s="96">
        <v>221</v>
      </c>
      <c r="B282" s="96" t="s">
        <v>12</v>
      </c>
      <c r="C282" s="88" t="s">
        <v>559</v>
      </c>
      <c r="E282" s="95">
        <v>20553732647</v>
      </c>
      <c r="F282" s="88">
        <v>918346106</v>
      </c>
      <c r="G282" s="88" t="s">
        <v>600</v>
      </c>
      <c r="I282" s="93"/>
      <c r="J282" s="88" t="s">
        <v>420</v>
      </c>
      <c r="K282" s="94">
        <v>44909</v>
      </c>
      <c r="L282" s="93" t="s">
        <v>1550</v>
      </c>
      <c r="M282" s="88" t="s">
        <v>8</v>
      </c>
      <c r="N282" s="92">
        <v>1225</v>
      </c>
      <c r="P282" s="93" t="s">
        <v>10</v>
      </c>
      <c r="Q282" s="93" t="s">
        <v>11</v>
      </c>
      <c r="S282" s="92"/>
      <c r="T282" s="125">
        <f>230+97+19*15+130</f>
        <v>742</v>
      </c>
      <c r="U282" s="91">
        <f>N282-T282</f>
        <v>483</v>
      </c>
      <c r="V282" s="90">
        <f>U282/T282*100</f>
        <v>65.094339622641513</v>
      </c>
      <c r="W282" s="89"/>
    </row>
    <row r="283" spans="1:23" s="14" customFormat="1" ht="15" customHeight="1">
      <c r="A283" s="45">
        <v>240</v>
      </c>
      <c r="B283" s="45" t="s">
        <v>12</v>
      </c>
      <c r="C283" t="s">
        <v>601</v>
      </c>
      <c r="E283" s="46">
        <v>20610075691</v>
      </c>
      <c r="G283" s="14" t="s">
        <v>602</v>
      </c>
      <c r="I283"/>
      <c r="K283" s="1">
        <v>44909</v>
      </c>
      <c r="L283" t="s">
        <v>1549</v>
      </c>
      <c r="M283" s="14" t="s">
        <v>21</v>
      </c>
      <c r="N283" s="69">
        <v>390</v>
      </c>
      <c r="P283" t="s">
        <v>10</v>
      </c>
      <c r="Q283" t="s">
        <v>22</v>
      </c>
      <c r="S283" s="69"/>
      <c r="T283" s="112">
        <f>190+15+15</f>
        <v>220</v>
      </c>
      <c r="U283" s="20">
        <f>N283-T283</f>
        <v>170</v>
      </c>
      <c r="V283" s="61">
        <f>U283/T283*100</f>
        <v>77.272727272727266</v>
      </c>
      <c r="W283" s="73"/>
    </row>
    <row r="284" spans="1:23" s="14" customFormat="1" ht="15" customHeight="1">
      <c r="A284" s="45">
        <v>241</v>
      </c>
      <c r="B284" s="45" t="s">
        <v>12</v>
      </c>
      <c r="C284" s="14" t="s">
        <v>603</v>
      </c>
      <c r="D284" s="14">
        <v>10153844297</v>
      </c>
      <c r="E284" s="46">
        <v>15384429</v>
      </c>
      <c r="F284" s="14">
        <v>955274572</v>
      </c>
      <c r="G284" s="14" t="s">
        <v>604</v>
      </c>
      <c r="H284" s="14" t="s">
        <v>1432</v>
      </c>
      <c r="I284" t="s">
        <v>29</v>
      </c>
      <c r="K284" s="1">
        <v>44909</v>
      </c>
      <c r="L284" t="s">
        <v>1548</v>
      </c>
      <c r="M284" s="14" t="s">
        <v>8</v>
      </c>
      <c r="N284" s="69">
        <v>330</v>
      </c>
      <c r="P284" t="s">
        <v>10</v>
      </c>
      <c r="Q284" t="s">
        <v>11</v>
      </c>
      <c r="S284" s="69"/>
      <c r="T284" s="112">
        <f>170+15</f>
        <v>185</v>
      </c>
      <c r="U284" s="20">
        <f>N284-T284</f>
        <v>145</v>
      </c>
      <c r="V284" s="61">
        <f>U284/T284*100</f>
        <v>78.378378378378372</v>
      </c>
      <c r="W284" s="73"/>
    </row>
    <row r="285" spans="1:23" s="14" customFormat="1" ht="15" customHeight="1">
      <c r="A285" s="45">
        <v>242</v>
      </c>
      <c r="B285" s="45"/>
      <c r="C285" t="s">
        <v>605</v>
      </c>
      <c r="E285" s="46"/>
      <c r="I285"/>
      <c r="K285" s="1">
        <v>44910</v>
      </c>
      <c r="L285" t="s">
        <v>1547</v>
      </c>
      <c r="M285" s="14" t="s">
        <v>1221</v>
      </c>
      <c r="N285" s="69">
        <v>245</v>
      </c>
      <c r="P285" t="s">
        <v>10</v>
      </c>
      <c r="Q285" t="s">
        <v>22</v>
      </c>
      <c r="S285" s="69"/>
      <c r="T285" s="112">
        <f>100+15</f>
        <v>115</v>
      </c>
      <c r="U285" s="20">
        <f>N285-T285</f>
        <v>130</v>
      </c>
      <c r="V285" s="61">
        <f>U285/T285*100</f>
        <v>113.04347826086956</v>
      </c>
      <c r="W285" s="73"/>
    </row>
    <row r="286" spans="1:23" s="14" customFormat="1" ht="15" customHeight="1">
      <c r="A286" s="43">
        <v>111</v>
      </c>
      <c r="B286" s="43" t="s">
        <v>12</v>
      </c>
      <c r="C286" s="40" t="s">
        <v>340</v>
      </c>
      <c r="D286" s="40"/>
      <c r="E286" s="44">
        <v>20606086459</v>
      </c>
      <c r="F286" s="40">
        <v>913004278</v>
      </c>
      <c r="G286" s="40" t="s">
        <v>606</v>
      </c>
      <c r="H286" s="40"/>
      <c r="I286" s="41"/>
      <c r="J286" s="41" t="s">
        <v>329</v>
      </c>
      <c r="K286" s="47">
        <v>44910</v>
      </c>
      <c r="L286" s="41" t="s">
        <v>1546</v>
      </c>
      <c r="M286" s="40" t="s">
        <v>1221</v>
      </c>
      <c r="N286" s="49">
        <v>350</v>
      </c>
      <c r="O286" s="40"/>
      <c r="P286" s="41" t="s">
        <v>31</v>
      </c>
      <c r="Q286" s="41" t="s">
        <v>22</v>
      </c>
      <c r="R286" s="40"/>
      <c r="S286" s="69"/>
      <c r="T286" s="112">
        <f>100*2</f>
        <v>200</v>
      </c>
      <c r="U286" s="20">
        <f>N286-T286</f>
        <v>150</v>
      </c>
      <c r="V286" s="61">
        <f>U286/T286*100</f>
        <v>75</v>
      </c>
      <c r="W286" s="73"/>
    </row>
    <row r="287" spans="1:23" s="14" customFormat="1" ht="15" customHeight="1">
      <c r="A287" s="37">
        <v>243</v>
      </c>
      <c r="B287" s="37"/>
      <c r="C287" s="14" t="s">
        <v>607</v>
      </c>
      <c r="D287"/>
      <c r="E287"/>
      <c r="F287" s="14">
        <v>947230452</v>
      </c>
      <c r="G287"/>
      <c r="H287"/>
      <c r="I287"/>
      <c r="J287" t="s">
        <v>608</v>
      </c>
      <c r="K287" s="1">
        <v>44911</v>
      </c>
      <c r="L287" t="s">
        <v>1469</v>
      </c>
      <c r="M287" s="14" t="s">
        <v>8</v>
      </c>
      <c r="N287" s="67">
        <v>300</v>
      </c>
      <c r="O287"/>
      <c r="P287" t="s">
        <v>10</v>
      </c>
      <c r="Q287" t="s">
        <v>11</v>
      </c>
      <c r="R287"/>
      <c r="S287" s="69"/>
      <c r="T287" s="112">
        <f>190+15</f>
        <v>205</v>
      </c>
      <c r="U287" s="20">
        <f>N287-T287</f>
        <v>95</v>
      </c>
      <c r="V287" s="61">
        <f>U287/T287*100</f>
        <v>46.341463414634148</v>
      </c>
      <c r="W287" s="73"/>
    </row>
    <row r="288" spans="1:23" s="14" customFormat="1" ht="15" customHeight="1">
      <c r="A288" s="37">
        <v>244</v>
      </c>
      <c r="B288" s="37"/>
      <c r="C288" s="14" t="s">
        <v>609</v>
      </c>
      <c r="D288"/>
      <c r="E288"/>
      <c r="F288">
        <v>918149852</v>
      </c>
      <c r="G288"/>
      <c r="H288"/>
      <c r="I288"/>
      <c r="J288" t="s">
        <v>144</v>
      </c>
      <c r="K288" s="1">
        <v>44914</v>
      </c>
      <c r="L288" t="s">
        <v>1545</v>
      </c>
      <c r="M288" s="14" t="s">
        <v>1221</v>
      </c>
      <c r="N288" s="67">
        <v>560</v>
      </c>
      <c r="O288" t="s">
        <v>610</v>
      </c>
      <c r="P288" t="s">
        <v>10</v>
      </c>
      <c r="Q288" t="s">
        <v>22</v>
      </c>
      <c r="R288"/>
      <c r="S288" s="69"/>
      <c r="T288" s="112">
        <f>250+97</f>
        <v>347</v>
      </c>
      <c r="U288" s="20">
        <f>N288-T288</f>
        <v>213</v>
      </c>
      <c r="V288" s="61">
        <f>U288/T288*100</f>
        <v>61.383285302593663</v>
      </c>
      <c r="W288" s="73"/>
    </row>
    <row r="289" spans="1:23" s="14" customFormat="1" ht="15" customHeight="1">
      <c r="A289" s="37">
        <v>245</v>
      </c>
      <c r="B289" s="37"/>
      <c r="C289" s="14" t="s">
        <v>611</v>
      </c>
      <c r="D289"/>
      <c r="E289">
        <v>44651426</v>
      </c>
      <c r="F289">
        <v>979669353</v>
      </c>
      <c r="G289"/>
      <c r="H289" t="s">
        <v>612</v>
      </c>
      <c r="I289" t="s">
        <v>613</v>
      </c>
      <c r="J289"/>
      <c r="K289" s="1">
        <v>44914</v>
      </c>
      <c r="L289" t="s">
        <v>1545</v>
      </c>
      <c r="M289" s="14" t="s">
        <v>1221</v>
      </c>
      <c r="N289" s="67">
        <v>550</v>
      </c>
      <c r="O289"/>
      <c r="P289" t="s">
        <v>10</v>
      </c>
      <c r="Q289" t="s">
        <v>22</v>
      </c>
      <c r="R289"/>
      <c r="S289" s="69"/>
      <c r="T289" s="112">
        <f>250+97</f>
        <v>347</v>
      </c>
      <c r="U289" s="20">
        <f>N289-T289</f>
        <v>203</v>
      </c>
      <c r="V289" s="61">
        <f>U289/T289*100</f>
        <v>58.501440922190206</v>
      </c>
      <c r="W289" s="73"/>
    </row>
    <row r="290" spans="1:23" s="14" customFormat="1" ht="15" customHeight="1">
      <c r="A290" s="37">
        <v>246</v>
      </c>
      <c r="B290" s="37"/>
      <c r="C290" s="14" t="s">
        <v>614</v>
      </c>
      <c r="D290"/>
      <c r="E290"/>
      <c r="F290">
        <v>968585010</v>
      </c>
      <c r="G290"/>
      <c r="H290" t="s">
        <v>355</v>
      </c>
      <c r="I290" t="s">
        <v>29</v>
      </c>
      <c r="J290"/>
      <c r="K290" s="1">
        <v>44915</v>
      </c>
      <c r="L290" t="s">
        <v>1544</v>
      </c>
      <c r="M290" s="14" t="s">
        <v>1221</v>
      </c>
      <c r="N290" s="67">
        <v>350</v>
      </c>
      <c r="O290"/>
      <c r="P290" t="s">
        <v>10</v>
      </c>
      <c r="Q290" t="s">
        <v>22</v>
      </c>
      <c r="R290"/>
      <c r="S290" s="69"/>
      <c r="T290" s="112">
        <v>170</v>
      </c>
      <c r="U290" s="67">
        <f>N290-T290</f>
        <v>180</v>
      </c>
      <c r="V290" s="61">
        <f>U290/T290*100</f>
        <v>105.88235294117648</v>
      </c>
      <c r="W290" s="73"/>
    </row>
    <row r="291" spans="1:23" s="14" customFormat="1" ht="15" customHeight="1">
      <c r="A291" s="37">
        <v>248</v>
      </c>
      <c r="B291" s="37"/>
      <c r="C291" s="14" t="s">
        <v>615</v>
      </c>
      <c r="D291"/>
      <c r="E291"/>
      <c r="F291">
        <v>980519707</v>
      </c>
      <c r="G291"/>
      <c r="H291" t="s">
        <v>1543</v>
      </c>
      <c r="I291" t="s">
        <v>616</v>
      </c>
      <c r="J291"/>
      <c r="K291" s="1">
        <v>44915</v>
      </c>
      <c r="L291" t="s">
        <v>1542</v>
      </c>
      <c r="M291" s="14" t="s">
        <v>56</v>
      </c>
      <c r="N291" s="67">
        <v>430</v>
      </c>
      <c r="O291"/>
      <c r="P291" t="s">
        <v>10</v>
      </c>
      <c r="Q291" t="s">
        <v>22</v>
      </c>
      <c r="R291"/>
      <c r="S291" s="69"/>
      <c r="T291" s="112">
        <v>250</v>
      </c>
      <c r="U291" s="67">
        <f>N291-T291</f>
        <v>180</v>
      </c>
      <c r="V291" s="61">
        <f>U291/T291*100</f>
        <v>72</v>
      </c>
      <c r="W291" s="73"/>
    </row>
    <row r="292" spans="1:23" s="14" customFormat="1" ht="15" customHeight="1">
      <c r="A292" s="37">
        <v>249</v>
      </c>
      <c r="B292" s="37"/>
      <c r="C292" s="14" t="s">
        <v>617</v>
      </c>
      <c r="D292"/>
      <c r="E292"/>
      <c r="F292">
        <v>987598101</v>
      </c>
      <c r="G292"/>
      <c r="H292"/>
      <c r="I292"/>
      <c r="J292" t="s">
        <v>618</v>
      </c>
      <c r="K292" s="1">
        <v>44916</v>
      </c>
      <c r="L292" t="s">
        <v>1541</v>
      </c>
      <c r="M292" s="14" t="s">
        <v>1221</v>
      </c>
      <c r="N292" s="67">
        <v>530</v>
      </c>
      <c r="O292"/>
      <c r="P292" t="s">
        <v>10</v>
      </c>
      <c r="Q292" t="s">
        <v>22</v>
      </c>
      <c r="R292"/>
      <c r="S292" s="69"/>
      <c r="T292" s="112">
        <v>240</v>
      </c>
      <c r="U292" s="67">
        <f>N292-T292</f>
        <v>290</v>
      </c>
      <c r="V292" s="61">
        <f>U292/T292*100</f>
        <v>120.83333333333333</v>
      </c>
      <c r="W292" s="73"/>
    </row>
    <row r="293" spans="1:23" s="14" customFormat="1" ht="15" customHeight="1">
      <c r="A293" s="37">
        <v>250</v>
      </c>
      <c r="B293" s="37"/>
      <c r="C293" s="14" t="s">
        <v>619</v>
      </c>
      <c r="D293"/>
      <c r="E293"/>
      <c r="F293">
        <v>966308617</v>
      </c>
      <c r="G293"/>
      <c r="H293"/>
      <c r="I293"/>
      <c r="J293" t="s">
        <v>620</v>
      </c>
      <c r="K293" s="1">
        <v>44916</v>
      </c>
      <c r="L293" t="s">
        <v>1540</v>
      </c>
      <c r="M293" s="14" t="s">
        <v>1221</v>
      </c>
      <c r="N293" s="67">
        <f>300+150</f>
        <v>450</v>
      </c>
      <c r="O293"/>
      <c r="P293" t="s">
        <v>10</v>
      </c>
      <c r="Q293" t="s">
        <v>22</v>
      </c>
      <c r="R293"/>
      <c r="S293" s="69"/>
      <c r="T293" s="112">
        <f>190+15*5</f>
        <v>265</v>
      </c>
      <c r="U293" s="67">
        <f>N293-T293</f>
        <v>185</v>
      </c>
      <c r="V293" s="61">
        <f>U293/T293*100</f>
        <v>69.811320754716974</v>
      </c>
      <c r="W293" s="73"/>
    </row>
    <row r="294" spans="1:23" s="14" customFormat="1" ht="15" customHeight="1">
      <c r="A294" s="37">
        <v>251</v>
      </c>
      <c r="B294" s="37"/>
      <c r="C294" s="14" t="s">
        <v>621</v>
      </c>
      <c r="D294"/>
      <c r="E294"/>
      <c r="F294">
        <v>949713566</v>
      </c>
      <c r="G294"/>
      <c r="H294" t="s">
        <v>1539</v>
      </c>
      <c r="I294" t="s">
        <v>29</v>
      </c>
      <c r="J294"/>
      <c r="K294" s="1">
        <v>44916</v>
      </c>
      <c r="L294" t="s">
        <v>1538</v>
      </c>
      <c r="M294" s="14" t="s">
        <v>38</v>
      </c>
      <c r="N294" s="67">
        <v>220</v>
      </c>
      <c r="O294"/>
      <c r="P294" t="s">
        <v>10</v>
      </c>
      <c r="Q294" t="s">
        <v>22</v>
      </c>
      <c r="R294"/>
      <c r="S294" s="69"/>
      <c r="T294" s="112">
        <v>100</v>
      </c>
      <c r="U294" s="67">
        <f>N294-T294</f>
        <v>120</v>
      </c>
      <c r="V294" s="61">
        <f>U294/T294*100</f>
        <v>120</v>
      </c>
      <c r="W294" s="73"/>
    </row>
    <row r="295" spans="1:23" s="14" customFormat="1" ht="15" customHeight="1">
      <c r="A295" s="39">
        <v>111</v>
      </c>
      <c r="B295" s="39" t="s">
        <v>12</v>
      </c>
      <c r="C295" s="41" t="s">
        <v>340</v>
      </c>
      <c r="D295" s="41"/>
      <c r="E295" s="41">
        <v>20606086459</v>
      </c>
      <c r="F295" s="40">
        <v>913004278</v>
      </c>
      <c r="G295" s="41" t="s">
        <v>622</v>
      </c>
      <c r="H295" s="41"/>
      <c r="I295" s="41"/>
      <c r="J295" s="41" t="s">
        <v>329</v>
      </c>
      <c r="K295" s="47">
        <v>44916</v>
      </c>
      <c r="L295" s="41" t="s">
        <v>1537</v>
      </c>
      <c r="M295" s="41" t="s">
        <v>8</v>
      </c>
      <c r="N295" s="48">
        <f>175*5</f>
        <v>875</v>
      </c>
      <c r="O295" s="41" t="s">
        <v>1536</v>
      </c>
      <c r="P295" s="41" t="s">
        <v>31</v>
      </c>
      <c r="Q295" s="41" t="s">
        <v>315</v>
      </c>
      <c r="R295"/>
      <c r="S295" s="69"/>
      <c r="T295" s="112">
        <f>100*5</f>
        <v>500</v>
      </c>
      <c r="U295" s="67">
        <f>N295-T295</f>
        <v>375</v>
      </c>
      <c r="V295" s="61">
        <f>U295/T295*100</f>
        <v>75</v>
      </c>
      <c r="W295" s="73"/>
    </row>
    <row r="296" spans="1:23" s="14" customFormat="1" ht="15" customHeight="1">
      <c r="A296" s="37">
        <v>252</v>
      </c>
      <c r="B296" s="37"/>
      <c r="C296" s="14" t="s">
        <v>623</v>
      </c>
      <c r="D296"/>
      <c r="E296"/>
      <c r="F296">
        <v>933323959</v>
      </c>
      <c r="G296"/>
      <c r="H296"/>
      <c r="I296"/>
      <c r="J296" t="s">
        <v>624</v>
      </c>
      <c r="K296" s="1">
        <v>44918</v>
      </c>
      <c r="L296" t="s">
        <v>1535</v>
      </c>
      <c r="M296" s="14" t="s">
        <v>1221</v>
      </c>
      <c r="N296" s="67">
        <v>690</v>
      </c>
      <c r="O296"/>
      <c r="P296" t="s">
        <v>10</v>
      </c>
      <c r="Q296" t="s">
        <v>22</v>
      </c>
      <c r="R296"/>
      <c r="S296" s="69"/>
      <c r="T296" s="112">
        <f>250+200</f>
        <v>450</v>
      </c>
      <c r="U296" s="67">
        <f>N296-T296</f>
        <v>240</v>
      </c>
      <c r="V296" s="61">
        <f>U296/T296*100</f>
        <v>53.333333333333336</v>
      </c>
      <c r="W296" s="73"/>
    </row>
    <row r="297" spans="1:23" s="14" customFormat="1" ht="15" customHeight="1">
      <c r="A297" s="37">
        <v>253</v>
      </c>
      <c r="B297" s="37" t="s">
        <v>12</v>
      </c>
      <c r="C297" s="14" t="s">
        <v>625</v>
      </c>
      <c r="D297"/>
      <c r="E297">
        <v>42670644</v>
      </c>
      <c r="F297">
        <v>975561007</v>
      </c>
      <c r="G297" t="s">
        <v>626</v>
      </c>
      <c r="H297" t="s">
        <v>612</v>
      </c>
      <c r="I297" t="s">
        <v>29</v>
      </c>
      <c r="J297"/>
      <c r="K297" s="1">
        <v>44921</v>
      </c>
      <c r="L297" t="s">
        <v>1534</v>
      </c>
      <c r="M297" s="14" t="s">
        <v>1221</v>
      </c>
      <c r="N297" s="67">
        <v>380</v>
      </c>
      <c r="O297"/>
      <c r="P297" t="s">
        <v>10</v>
      </c>
      <c r="Q297" t="s">
        <v>22</v>
      </c>
      <c r="R297"/>
      <c r="S297" s="69"/>
      <c r="T297" s="112">
        <f>170+15</f>
        <v>185</v>
      </c>
      <c r="U297" s="67">
        <f>N297-T297</f>
        <v>195</v>
      </c>
      <c r="V297" s="61">
        <f>U297/T297*100</f>
        <v>105.40540540540539</v>
      </c>
      <c r="W297" s="73"/>
    </row>
    <row r="298" spans="1:23" s="14" customFormat="1" ht="15" customHeight="1">
      <c r="A298" s="37">
        <v>255</v>
      </c>
      <c r="B298" s="37"/>
      <c r="C298" s="14" t="s">
        <v>579</v>
      </c>
      <c r="D298"/>
      <c r="E298">
        <v>42070525</v>
      </c>
      <c r="F298">
        <v>900188955</v>
      </c>
      <c r="G298"/>
      <c r="H298" t="s">
        <v>266</v>
      </c>
      <c r="I298" t="s">
        <v>147</v>
      </c>
      <c r="J298"/>
      <c r="K298" s="1">
        <v>44922</v>
      </c>
      <c r="L298" t="s">
        <v>1533</v>
      </c>
      <c r="M298" s="14" t="s">
        <v>1221</v>
      </c>
      <c r="N298" s="67">
        <v>500</v>
      </c>
      <c r="O298"/>
      <c r="P298" t="s">
        <v>10</v>
      </c>
      <c r="Q298" t="s">
        <v>22</v>
      </c>
      <c r="R298"/>
      <c r="S298" s="69"/>
      <c r="T298" s="112">
        <f>170+120</f>
        <v>290</v>
      </c>
      <c r="U298" s="67">
        <f>N298-T298</f>
        <v>210</v>
      </c>
      <c r="V298" s="61">
        <f>U298/T298*100</f>
        <v>72.41379310344827</v>
      </c>
      <c r="W298" s="73"/>
    </row>
    <row r="299" spans="1:23" s="14" customFormat="1" ht="15" customHeight="1">
      <c r="A299" s="37">
        <v>254</v>
      </c>
      <c r="B299" s="37" t="s">
        <v>12</v>
      </c>
      <c r="C299" s="14" t="s">
        <v>627</v>
      </c>
      <c r="D299">
        <v>10451605009</v>
      </c>
      <c r="E299">
        <v>45160500</v>
      </c>
      <c r="F299">
        <v>937588805</v>
      </c>
      <c r="G299" t="s">
        <v>628</v>
      </c>
      <c r="H299" t="s">
        <v>514</v>
      </c>
      <c r="I299" t="s">
        <v>29</v>
      </c>
      <c r="J299"/>
      <c r="K299" s="1">
        <v>44922</v>
      </c>
      <c r="L299" t="s">
        <v>1532</v>
      </c>
      <c r="M299" s="14" t="s">
        <v>56</v>
      </c>
      <c r="N299" s="67">
        <v>620</v>
      </c>
      <c r="O299"/>
      <c r="P299" t="s">
        <v>10</v>
      </c>
      <c r="Q299" t="s">
        <v>11</v>
      </c>
      <c r="R299"/>
      <c r="S299" s="69"/>
      <c r="T299" s="112">
        <f>240+175</f>
        <v>415</v>
      </c>
      <c r="U299" s="67">
        <f>N299-T299</f>
        <v>205</v>
      </c>
      <c r="V299" s="61">
        <f>U299/T299*100</f>
        <v>49.397590361445779</v>
      </c>
      <c r="W299" s="73"/>
    </row>
    <row r="300" spans="1:23" s="14" customFormat="1" ht="15" customHeight="1">
      <c r="A300" s="37">
        <v>256</v>
      </c>
      <c r="B300" s="37"/>
      <c r="C300" s="14" t="s">
        <v>629</v>
      </c>
      <c r="D300"/>
      <c r="E300">
        <v>7355689</v>
      </c>
      <c r="F300">
        <v>992484937</v>
      </c>
      <c r="G300"/>
      <c r="H300"/>
      <c r="I300"/>
      <c r="J300" t="s">
        <v>90</v>
      </c>
      <c r="K300" s="1">
        <v>44923</v>
      </c>
      <c r="L300" t="s">
        <v>1531</v>
      </c>
      <c r="M300" s="14" t="s">
        <v>21</v>
      </c>
      <c r="N300" s="67">
        <v>220</v>
      </c>
      <c r="O300"/>
      <c r="P300" t="s">
        <v>10</v>
      </c>
      <c r="Q300" t="s">
        <v>22</v>
      </c>
      <c r="R300"/>
      <c r="S300" s="69"/>
      <c r="T300" s="112">
        <v>100</v>
      </c>
      <c r="U300" s="67">
        <f>N300-T300</f>
        <v>120</v>
      </c>
      <c r="V300" s="61">
        <f>U300/T300*100</f>
        <v>120</v>
      </c>
      <c r="W300" s="73"/>
    </row>
    <row r="301" spans="1:23" s="14" customFormat="1" ht="15" customHeight="1">
      <c r="A301" s="37">
        <v>257</v>
      </c>
      <c r="B301" s="37"/>
      <c r="C301" s="14" t="s">
        <v>547</v>
      </c>
      <c r="D301"/>
      <c r="E301"/>
      <c r="F301">
        <v>994507131</v>
      </c>
      <c r="G301"/>
      <c r="H301"/>
      <c r="I301"/>
      <c r="J301" t="s">
        <v>547</v>
      </c>
      <c r="K301" s="1">
        <v>44924</v>
      </c>
      <c r="L301" t="s">
        <v>1530</v>
      </c>
      <c r="M301" s="14" t="s">
        <v>1221</v>
      </c>
      <c r="N301" s="67">
        <v>355</v>
      </c>
      <c r="O301"/>
      <c r="P301" t="s">
        <v>10</v>
      </c>
      <c r="Q301" t="s">
        <v>22</v>
      </c>
      <c r="R301"/>
      <c r="S301" s="69"/>
      <c r="T301" s="112">
        <f>190+15</f>
        <v>205</v>
      </c>
      <c r="U301" s="67">
        <f>N301-T301</f>
        <v>150</v>
      </c>
      <c r="V301" s="61">
        <f>U301/T301*100</f>
        <v>73.170731707317074</v>
      </c>
      <c r="W301" s="73"/>
    </row>
    <row r="302" spans="1:23" s="14" customFormat="1" ht="15" customHeight="1">
      <c r="A302" s="84">
        <v>258</v>
      </c>
      <c r="B302" s="37" t="s">
        <v>12</v>
      </c>
      <c r="C302" s="14" t="s">
        <v>630</v>
      </c>
      <c r="D302">
        <v>20609165198</v>
      </c>
      <c r="E302">
        <v>42721036</v>
      </c>
      <c r="F302">
        <v>958357604</v>
      </c>
      <c r="G302" t="s">
        <v>631</v>
      </c>
      <c r="H302" t="s">
        <v>1529</v>
      </c>
      <c r="I302" t="s">
        <v>29</v>
      </c>
      <c r="J302"/>
      <c r="K302" s="1">
        <v>44924</v>
      </c>
      <c r="L302" t="s">
        <v>1528</v>
      </c>
      <c r="M302" s="14" t="s">
        <v>8</v>
      </c>
      <c r="N302" s="67">
        <v>510</v>
      </c>
      <c r="O302"/>
      <c r="P302" t="s">
        <v>10</v>
      </c>
      <c r="Q302" t="s">
        <v>11</v>
      </c>
      <c r="R302"/>
      <c r="S302" s="69"/>
      <c r="T302" s="112">
        <f>96+240</f>
        <v>336</v>
      </c>
      <c r="U302" s="67">
        <f>N302-T302</f>
        <v>174</v>
      </c>
      <c r="V302" s="61">
        <f>U302/T302*100</f>
        <v>51.785714285714292</v>
      </c>
      <c r="W302" s="73"/>
    </row>
    <row r="303" spans="1:23" s="14" customFormat="1" ht="15" customHeight="1">
      <c r="A303" s="37">
        <v>259</v>
      </c>
      <c r="B303" s="37"/>
      <c r="C303" s="14" t="s">
        <v>632</v>
      </c>
      <c r="D303"/>
      <c r="E303">
        <v>71585559</v>
      </c>
      <c r="F303">
        <v>963499445</v>
      </c>
      <c r="G303"/>
      <c r="H303" t="s">
        <v>1527</v>
      </c>
      <c r="I303" t="s">
        <v>29</v>
      </c>
      <c r="J303"/>
      <c r="K303" s="1">
        <v>44925</v>
      </c>
      <c r="L303" t="s">
        <v>1526</v>
      </c>
      <c r="M303" s="14" t="s">
        <v>1525</v>
      </c>
      <c r="N303" s="67">
        <v>620</v>
      </c>
      <c r="O303"/>
      <c r="P303" t="s">
        <v>10</v>
      </c>
      <c r="Q303" t="s">
        <v>22</v>
      </c>
      <c r="R303"/>
      <c r="S303" s="69"/>
      <c r="T303" s="112">
        <f>240+110+48.2</f>
        <v>398.2</v>
      </c>
      <c r="U303" s="67">
        <f>N303-T303</f>
        <v>221.8</v>
      </c>
      <c r="V303" s="61">
        <f>U303/T303*100</f>
        <v>55.700652938222007</v>
      </c>
      <c r="W303" s="73"/>
    </row>
    <row r="304" spans="1:23" s="14" customFormat="1" ht="15" customHeight="1">
      <c r="A304" s="37">
        <v>260</v>
      </c>
      <c r="B304" s="37"/>
      <c r="C304" s="14" t="s">
        <v>633</v>
      </c>
      <c r="D304"/>
      <c r="E304"/>
      <c r="F304">
        <v>943369304</v>
      </c>
      <c r="G304"/>
      <c r="H304"/>
      <c r="I304"/>
      <c r="J304" t="s">
        <v>634</v>
      </c>
      <c r="K304" s="1">
        <v>44928</v>
      </c>
      <c r="L304" t="s">
        <v>1524</v>
      </c>
      <c r="M304" s="14" t="s">
        <v>21</v>
      </c>
      <c r="N304" s="67">
        <v>560</v>
      </c>
      <c r="O304"/>
      <c r="P304" t="s">
        <v>10</v>
      </c>
      <c r="Q304" t="s">
        <v>22</v>
      </c>
      <c r="R304"/>
      <c r="S304" s="69"/>
      <c r="T304" s="112">
        <f>96.4+250</f>
        <v>346.4</v>
      </c>
      <c r="U304" s="67">
        <f>N304-T304</f>
        <v>213.60000000000002</v>
      </c>
      <c r="V304" s="61">
        <f>U304/T304*100</f>
        <v>61.662817551963059</v>
      </c>
      <c r="W304" s="73"/>
    </row>
    <row r="305" spans="1:23" s="14" customFormat="1" ht="15" customHeight="1">
      <c r="A305" s="37">
        <v>261</v>
      </c>
      <c r="B305" s="37"/>
      <c r="C305" s="14" t="s">
        <v>635</v>
      </c>
      <c r="D305"/>
      <c r="E305">
        <v>70826336</v>
      </c>
      <c r="F305">
        <v>953700811</v>
      </c>
      <c r="G305"/>
      <c r="H305" t="s">
        <v>1198</v>
      </c>
      <c r="I305" t="s">
        <v>29</v>
      </c>
      <c r="J305"/>
      <c r="K305" s="1">
        <v>44930</v>
      </c>
      <c r="L305" t="s">
        <v>1523</v>
      </c>
      <c r="M305" s="14" t="s">
        <v>1221</v>
      </c>
      <c r="N305" s="67">
        <v>530</v>
      </c>
      <c r="O305"/>
      <c r="P305" t="s">
        <v>10</v>
      </c>
      <c r="Q305" t="s">
        <v>22</v>
      </c>
      <c r="R305"/>
      <c r="S305" s="69"/>
      <c r="T305" s="112">
        <f>240+96</f>
        <v>336</v>
      </c>
      <c r="U305" s="67">
        <f>N305-T305</f>
        <v>194</v>
      </c>
      <c r="V305" s="61">
        <f>U305/T305*100</f>
        <v>57.738095238095234</v>
      </c>
      <c r="W305" s="73"/>
    </row>
    <row r="306" spans="1:23" s="14" customFormat="1" ht="15" customHeight="1">
      <c r="A306" s="37">
        <v>263</v>
      </c>
      <c r="B306" s="37"/>
      <c r="C306" t="s">
        <v>636</v>
      </c>
      <c r="D306"/>
      <c r="E306"/>
      <c r="F306">
        <v>961455891</v>
      </c>
      <c r="G306"/>
      <c r="H306"/>
      <c r="I306"/>
      <c r="J306" t="s">
        <v>383</v>
      </c>
      <c r="K306" s="1">
        <v>44933</v>
      </c>
      <c r="L306" t="s">
        <v>1522</v>
      </c>
      <c r="M306" s="14" t="s">
        <v>1221</v>
      </c>
      <c r="N306" s="67">
        <v>840</v>
      </c>
      <c r="O306"/>
      <c r="P306" t="s">
        <v>10</v>
      </c>
      <c r="Q306" t="s">
        <v>22</v>
      </c>
      <c r="R306"/>
      <c r="S306" s="69"/>
      <c r="T306" s="112">
        <f>270+120+110+45</f>
        <v>545</v>
      </c>
      <c r="U306" s="67">
        <f>N306-T306</f>
        <v>295</v>
      </c>
      <c r="V306" s="61">
        <f>U306/T306*100</f>
        <v>54.128440366972477</v>
      </c>
      <c r="W306" s="73"/>
    </row>
    <row r="307" spans="1:23" s="14" customFormat="1">
      <c r="A307" s="37">
        <v>262</v>
      </c>
      <c r="B307" s="37" t="s">
        <v>12</v>
      </c>
      <c r="C307" s="14" t="s">
        <v>637</v>
      </c>
      <c r="D307"/>
      <c r="E307">
        <v>45752997</v>
      </c>
      <c r="F307">
        <v>968231634</v>
      </c>
      <c r="G307" t="s">
        <v>638</v>
      </c>
      <c r="H307" t="s">
        <v>51</v>
      </c>
      <c r="I307" t="s">
        <v>29</v>
      </c>
      <c r="J307"/>
      <c r="K307" s="1">
        <v>44933</v>
      </c>
      <c r="L307" t="s">
        <v>1521</v>
      </c>
      <c r="M307" s="14" t="s">
        <v>1221</v>
      </c>
      <c r="N307" s="67">
        <v>410</v>
      </c>
      <c r="O307"/>
      <c r="P307" t="s">
        <v>10</v>
      </c>
      <c r="Q307" t="s">
        <v>22</v>
      </c>
      <c r="R307"/>
      <c r="S307" s="69"/>
      <c r="T307" s="112">
        <f>170+30</f>
        <v>200</v>
      </c>
      <c r="U307" s="67">
        <f>N307-T307</f>
        <v>210</v>
      </c>
      <c r="V307" s="61">
        <f>U307/T307*100</f>
        <v>105</v>
      </c>
      <c r="W307" s="73"/>
    </row>
    <row r="308" spans="1:23" s="14" customFormat="1">
      <c r="A308" s="37">
        <v>264</v>
      </c>
      <c r="B308" s="37"/>
      <c r="C308" s="14" t="s">
        <v>639</v>
      </c>
      <c r="D308"/>
      <c r="E308">
        <v>43583078</v>
      </c>
      <c r="F308">
        <v>917373144</v>
      </c>
      <c r="G308"/>
      <c r="H308" t="s">
        <v>1520</v>
      </c>
      <c r="I308" t="s">
        <v>640</v>
      </c>
      <c r="J308"/>
      <c r="K308" s="1">
        <v>44935</v>
      </c>
      <c r="L308" t="s">
        <v>1429</v>
      </c>
      <c r="M308" s="14" t="s">
        <v>1221</v>
      </c>
      <c r="N308" s="67">
        <v>380</v>
      </c>
      <c r="O308"/>
      <c r="P308" t="s">
        <v>10</v>
      </c>
      <c r="Q308" t="s">
        <v>22</v>
      </c>
      <c r="R308"/>
      <c r="S308" s="69"/>
      <c r="T308" s="112">
        <f>170+15</f>
        <v>185</v>
      </c>
      <c r="U308" s="67">
        <f>N308-T308</f>
        <v>195</v>
      </c>
      <c r="V308" s="61">
        <f>U308/T308*100</f>
        <v>105.40540540540539</v>
      </c>
      <c r="W308" s="73"/>
    </row>
    <row r="309" spans="1:23" s="14" customFormat="1">
      <c r="A309" s="45">
        <v>138</v>
      </c>
      <c r="B309" s="45"/>
      <c r="C309" s="14" t="s">
        <v>393</v>
      </c>
      <c r="E309" s="46"/>
      <c r="F309" s="14">
        <v>955440204</v>
      </c>
      <c r="J309" s="14" t="s">
        <v>144</v>
      </c>
      <c r="K309" s="1">
        <v>44935</v>
      </c>
      <c r="L309" t="s">
        <v>1519</v>
      </c>
      <c r="M309" s="14" t="s">
        <v>56</v>
      </c>
      <c r="N309" s="67">
        <v>410</v>
      </c>
      <c r="O309"/>
      <c r="P309" t="s">
        <v>10</v>
      </c>
      <c r="Q309" t="s">
        <v>11</v>
      </c>
      <c r="R309"/>
      <c r="S309" s="69"/>
      <c r="T309" s="112">
        <f>150+175</f>
        <v>325</v>
      </c>
      <c r="U309" s="67">
        <f>N309-T309</f>
        <v>85</v>
      </c>
      <c r="V309" s="61">
        <f>U309/T309*100</f>
        <v>26.153846153846157</v>
      </c>
      <c r="W309" s="73"/>
    </row>
    <row r="310" spans="1:23" s="14" customFormat="1">
      <c r="A310" s="37">
        <v>265</v>
      </c>
      <c r="B310" s="37" t="s">
        <v>12</v>
      </c>
      <c r="C310" s="14" t="s">
        <v>641</v>
      </c>
      <c r="D310"/>
      <c r="E310">
        <v>45461616</v>
      </c>
      <c r="F310">
        <v>968245635</v>
      </c>
      <c r="G310" t="s">
        <v>642</v>
      </c>
      <c r="H310" s="14" t="s">
        <v>643</v>
      </c>
      <c r="I310" t="s">
        <v>644</v>
      </c>
      <c r="J310"/>
      <c r="K310" s="1">
        <v>44936</v>
      </c>
      <c r="L310" t="s">
        <v>1515</v>
      </c>
      <c r="M310" s="14" t="s">
        <v>1221</v>
      </c>
      <c r="N310" s="67">
        <v>1120</v>
      </c>
      <c r="O310"/>
      <c r="P310" t="s">
        <v>10</v>
      </c>
      <c r="Q310" t="s">
        <v>22</v>
      </c>
      <c r="R310"/>
      <c r="S310" s="69"/>
      <c r="T310" s="112">
        <f>97+97+250+250</f>
        <v>694</v>
      </c>
      <c r="U310" s="67">
        <f>N310-T310</f>
        <v>426</v>
      </c>
      <c r="V310" s="61">
        <f>U310/T310*100</f>
        <v>61.383285302593663</v>
      </c>
      <c r="W310" s="73"/>
    </row>
    <row r="311" spans="1:23" s="51" customFormat="1">
      <c r="A311" s="87">
        <v>236</v>
      </c>
      <c r="B311" s="87"/>
      <c r="C311" s="51" t="s">
        <v>589</v>
      </c>
      <c r="E311" s="86">
        <v>48357413</v>
      </c>
      <c r="F311" s="51">
        <v>948624123</v>
      </c>
      <c r="H311" s="51" t="s">
        <v>1518</v>
      </c>
      <c r="I311" s="26" t="s">
        <v>147</v>
      </c>
      <c r="K311" s="27">
        <v>44937</v>
      </c>
      <c r="L311" s="26" t="s">
        <v>1517</v>
      </c>
      <c r="M311" s="51" t="s">
        <v>8</v>
      </c>
      <c r="N311" s="53">
        <v>180</v>
      </c>
      <c r="O311" s="26"/>
      <c r="P311" s="26" t="s">
        <v>10</v>
      </c>
      <c r="Q311" s="26" t="s">
        <v>22</v>
      </c>
      <c r="R311" s="26"/>
      <c r="S311" s="83"/>
      <c r="T311" s="124">
        <f>15*6</f>
        <v>90</v>
      </c>
      <c r="U311" s="53">
        <f>N311-T311</f>
        <v>90</v>
      </c>
      <c r="V311" s="71">
        <f>U311/T311*100</f>
        <v>100</v>
      </c>
      <c r="W311" s="82"/>
    </row>
    <row r="312" spans="1:23" s="14" customFormat="1">
      <c r="A312" s="37">
        <v>266</v>
      </c>
      <c r="B312" s="37"/>
      <c r="C312" s="14" t="s">
        <v>645</v>
      </c>
      <c r="D312"/>
      <c r="E312"/>
      <c r="F312" s="14">
        <v>949772683</v>
      </c>
      <c r="G312"/>
      <c r="H312"/>
      <c r="I312"/>
      <c r="J312" t="s">
        <v>646</v>
      </c>
      <c r="K312" s="1">
        <v>44938</v>
      </c>
      <c r="L312" t="s">
        <v>1516</v>
      </c>
      <c r="M312" s="14" t="s">
        <v>21</v>
      </c>
      <c r="N312" s="67">
        <v>200</v>
      </c>
      <c r="O312"/>
      <c r="P312" t="s">
        <v>10</v>
      </c>
      <c r="Q312" t="s">
        <v>22</v>
      </c>
      <c r="R312"/>
      <c r="S312" s="69"/>
      <c r="T312" s="112">
        <f>110+12</f>
        <v>122</v>
      </c>
      <c r="U312" s="67">
        <f>N312-T312</f>
        <v>78</v>
      </c>
      <c r="V312" s="61">
        <f>U312/T312*100</f>
        <v>63.934426229508205</v>
      </c>
      <c r="W312" s="73"/>
    </row>
    <row r="313" spans="1:23" s="14" customFormat="1">
      <c r="A313" s="39">
        <v>111</v>
      </c>
      <c r="B313" s="39" t="s">
        <v>12</v>
      </c>
      <c r="C313" s="41" t="s">
        <v>647</v>
      </c>
      <c r="D313" s="41"/>
      <c r="E313" s="41">
        <v>20606086459</v>
      </c>
      <c r="F313" s="40">
        <v>913004278</v>
      </c>
      <c r="G313" s="41" t="s">
        <v>648</v>
      </c>
      <c r="H313" s="41"/>
      <c r="I313" s="41"/>
      <c r="J313" s="41" t="s">
        <v>329</v>
      </c>
      <c r="K313" s="1">
        <v>44938</v>
      </c>
      <c r="L313" t="s">
        <v>1515</v>
      </c>
      <c r="M313" s="14" t="s">
        <v>1221</v>
      </c>
      <c r="N313" s="67">
        <v>875</v>
      </c>
      <c r="O313"/>
      <c r="P313" t="s">
        <v>10</v>
      </c>
      <c r="Q313" t="s">
        <v>22</v>
      </c>
      <c r="R313"/>
      <c r="S313" s="69"/>
      <c r="T313" s="112">
        <f>110*5</f>
        <v>550</v>
      </c>
      <c r="U313" s="67">
        <f>N313-T313</f>
        <v>325</v>
      </c>
      <c r="V313" s="61">
        <f>U313/T313*100</f>
        <v>59.090909090909093</v>
      </c>
      <c r="W313" s="73"/>
    </row>
    <row r="314" spans="1:23" s="14" customFormat="1">
      <c r="A314" s="37">
        <v>267</v>
      </c>
      <c r="B314" s="37"/>
      <c r="C314" s="85" t="s">
        <v>649</v>
      </c>
      <c r="D314"/>
      <c r="E314">
        <v>45767810</v>
      </c>
      <c r="F314" s="14">
        <v>917715467</v>
      </c>
      <c r="G314"/>
      <c r="H314" t="s">
        <v>1514</v>
      </c>
      <c r="I314" t="s">
        <v>29</v>
      </c>
      <c r="J314"/>
      <c r="K314" s="1">
        <v>44939</v>
      </c>
      <c r="L314" t="s">
        <v>1513</v>
      </c>
      <c r="M314" s="14" t="s">
        <v>38</v>
      </c>
      <c r="N314" s="67">
        <v>370</v>
      </c>
      <c r="O314"/>
      <c r="P314" t="s">
        <v>10</v>
      </c>
      <c r="Q314" t="s">
        <v>11</v>
      </c>
      <c r="R314"/>
      <c r="S314" s="69"/>
      <c r="T314" s="112">
        <f>190+30</f>
        <v>220</v>
      </c>
      <c r="U314" s="67">
        <f>N314-T314</f>
        <v>150</v>
      </c>
      <c r="V314" s="61">
        <f>U314/T314*100</f>
        <v>68.181818181818173</v>
      </c>
      <c r="W314" s="73"/>
    </row>
    <row r="315" spans="1:23" s="14" customFormat="1">
      <c r="A315" s="37">
        <v>268</v>
      </c>
      <c r="B315" s="37"/>
      <c r="C315" s="14" t="s">
        <v>650</v>
      </c>
      <c r="D315"/>
      <c r="E315">
        <v>77136223</v>
      </c>
      <c r="F315" s="14">
        <v>968830029</v>
      </c>
      <c r="G315"/>
      <c r="H315" t="s">
        <v>651</v>
      </c>
      <c r="I315" t="s">
        <v>29</v>
      </c>
      <c r="J315"/>
      <c r="K315" s="1">
        <v>44939</v>
      </c>
      <c r="L315" t="s">
        <v>1512</v>
      </c>
      <c r="M315" s="14" t="s">
        <v>1221</v>
      </c>
      <c r="N315" s="67">
        <v>200</v>
      </c>
      <c r="O315"/>
      <c r="P315" t="s">
        <v>10</v>
      </c>
      <c r="Q315" t="s">
        <v>22</v>
      </c>
      <c r="R315"/>
      <c r="S315" s="69"/>
      <c r="T315" s="112">
        <f>110+12</f>
        <v>122</v>
      </c>
      <c r="U315" s="67">
        <f>N315-T315</f>
        <v>78</v>
      </c>
      <c r="V315" s="61">
        <f>U315/T315*100</f>
        <v>63.934426229508205</v>
      </c>
      <c r="W315" s="73"/>
    </row>
    <row r="316" spans="1:23" s="14" customFormat="1">
      <c r="A316" s="37">
        <v>270</v>
      </c>
      <c r="B316" s="37"/>
      <c r="C316" s="14" t="s">
        <v>652</v>
      </c>
      <c r="D316"/>
      <c r="E316"/>
      <c r="F316" s="14">
        <v>940261581</v>
      </c>
      <c r="G316"/>
      <c r="H316" t="s">
        <v>355</v>
      </c>
      <c r="I316" t="s">
        <v>29</v>
      </c>
      <c r="J316"/>
      <c r="K316" s="1">
        <v>44939</v>
      </c>
      <c r="L316" t="s">
        <v>1511</v>
      </c>
      <c r="M316" s="14" t="s">
        <v>1510</v>
      </c>
      <c r="N316" s="67">
        <f>750+200</f>
        <v>950</v>
      </c>
      <c r="O316"/>
      <c r="P316" t="s">
        <v>10</v>
      </c>
      <c r="Q316" t="s">
        <v>22</v>
      </c>
      <c r="R316"/>
      <c r="S316" s="69"/>
      <c r="T316" s="112">
        <f>120+100*4</f>
        <v>520</v>
      </c>
      <c r="U316" s="67">
        <f>N316-T316</f>
        <v>430</v>
      </c>
      <c r="V316" s="61">
        <f>U316/T316*100</f>
        <v>82.692307692307693</v>
      </c>
      <c r="W316" s="73"/>
    </row>
    <row r="317" spans="1:23" s="14" customFormat="1">
      <c r="A317" s="37">
        <v>269</v>
      </c>
      <c r="B317" s="37" t="s">
        <v>12</v>
      </c>
      <c r="C317" s="14" t="s">
        <v>653</v>
      </c>
      <c r="D317"/>
      <c r="E317">
        <v>25703614</v>
      </c>
      <c r="F317" s="14">
        <v>942442353</v>
      </c>
      <c r="G317" t="s">
        <v>654</v>
      </c>
      <c r="H317" t="s">
        <v>1509</v>
      </c>
      <c r="I317" t="s">
        <v>29</v>
      </c>
      <c r="J317"/>
      <c r="K317" s="1">
        <v>44939</v>
      </c>
      <c r="L317" t="s">
        <v>1508</v>
      </c>
      <c r="M317" s="14" t="s">
        <v>8</v>
      </c>
      <c r="N317" s="67">
        <v>1140</v>
      </c>
      <c r="O317"/>
      <c r="P317" t="s">
        <v>10</v>
      </c>
      <c r="Q317" t="s">
        <v>11</v>
      </c>
      <c r="R317"/>
      <c r="S317" s="69"/>
      <c r="T317" s="112">
        <f>240+240+170+96</f>
        <v>746</v>
      </c>
      <c r="U317" s="67">
        <f>N317-T317</f>
        <v>394</v>
      </c>
      <c r="V317" s="61">
        <f>U317/T317*100</f>
        <v>52.815013404825741</v>
      </c>
      <c r="W317" s="73"/>
    </row>
    <row r="318" spans="1:23" s="14" customFormat="1">
      <c r="A318" s="37">
        <v>271</v>
      </c>
      <c r="B318" s="37"/>
      <c r="C318" s="14" t="s">
        <v>655</v>
      </c>
      <c r="D318"/>
      <c r="E318"/>
      <c r="F318" s="14">
        <v>981665607</v>
      </c>
      <c r="G318"/>
      <c r="H318"/>
      <c r="I318"/>
      <c r="J318" t="s">
        <v>90</v>
      </c>
      <c r="K318" s="1">
        <v>44940</v>
      </c>
      <c r="L318" t="s">
        <v>1507</v>
      </c>
      <c r="M318" s="14" t="s">
        <v>1221</v>
      </c>
      <c r="N318" s="67">
        <v>450</v>
      </c>
      <c r="O318"/>
      <c r="P318" t="s">
        <v>10</v>
      </c>
      <c r="Q318" t="s">
        <v>22</v>
      </c>
      <c r="R318"/>
      <c r="S318" s="69"/>
      <c r="T318" s="112">
        <v>200</v>
      </c>
      <c r="U318" s="67">
        <f>N318-T318</f>
        <v>250</v>
      </c>
      <c r="V318" s="61">
        <f>U318/T318*100</f>
        <v>125</v>
      </c>
      <c r="W318" s="73"/>
    </row>
    <row r="319" spans="1:23" s="14" customFormat="1">
      <c r="A319" s="37">
        <v>272</v>
      </c>
      <c r="B319" s="37" t="s">
        <v>60</v>
      </c>
      <c r="C319" t="s">
        <v>656</v>
      </c>
      <c r="D319"/>
      <c r="E319">
        <v>70509720</v>
      </c>
      <c r="F319" s="14">
        <v>916365248</v>
      </c>
      <c r="G319" t="s">
        <v>657</v>
      </c>
      <c r="H319" t="s">
        <v>1257</v>
      </c>
      <c r="I319" t="s">
        <v>29</v>
      </c>
      <c r="J319"/>
      <c r="K319" s="1">
        <v>44940</v>
      </c>
      <c r="L319" t="s">
        <v>1506</v>
      </c>
      <c r="M319" s="14" t="s">
        <v>8</v>
      </c>
      <c r="N319" s="67">
        <v>1440</v>
      </c>
      <c r="O319"/>
      <c r="P319" t="s">
        <v>10</v>
      </c>
      <c r="Q319" t="s">
        <v>11</v>
      </c>
      <c r="R319"/>
      <c r="S319" s="69"/>
      <c r="T319" s="112">
        <f>240+240+96+96+170+170</f>
        <v>1012</v>
      </c>
      <c r="U319" s="67">
        <f>N319-T319</f>
        <v>428</v>
      </c>
      <c r="V319" s="61">
        <f>U319/T319*100</f>
        <v>42.292490118577078</v>
      </c>
      <c r="W319" s="73"/>
    </row>
    <row r="320" spans="1:23" s="14" customFormat="1">
      <c r="A320" s="37">
        <v>273</v>
      </c>
      <c r="B320" s="37"/>
      <c r="C320" s="14" t="s">
        <v>658</v>
      </c>
      <c r="D320"/>
      <c r="E320">
        <v>28068552</v>
      </c>
      <c r="F320" s="14">
        <v>925633050</v>
      </c>
      <c r="G320"/>
      <c r="H320" t="s">
        <v>1505</v>
      </c>
      <c r="I320" t="s">
        <v>178</v>
      </c>
      <c r="J320"/>
      <c r="K320" s="1">
        <v>44940</v>
      </c>
      <c r="L320" t="s">
        <v>1502</v>
      </c>
      <c r="M320" s="14" t="s">
        <v>38</v>
      </c>
      <c r="N320" s="67">
        <v>560</v>
      </c>
      <c r="O320"/>
      <c r="P320" t="s">
        <v>10</v>
      </c>
      <c r="Q320" t="s">
        <v>11</v>
      </c>
      <c r="R320"/>
      <c r="S320" s="69"/>
      <c r="T320" s="112">
        <f>250+96</f>
        <v>346</v>
      </c>
      <c r="U320" s="67">
        <f>N320-T320</f>
        <v>214</v>
      </c>
      <c r="V320" s="61">
        <f>U320/T320*100</f>
        <v>61.849710982658955</v>
      </c>
      <c r="W320" s="73"/>
    </row>
    <row r="321" spans="1:23" s="14" customFormat="1">
      <c r="A321" s="37">
        <v>276</v>
      </c>
      <c r="B321" s="37"/>
      <c r="C321" t="s">
        <v>659</v>
      </c>
      <c r="D321"/>
      <c r="E321">
        <v>73984728</v>
      </c>
      <c r="F321" s="14">
        <v>975023866</v>
      </c>
      <c r="G321"/>
      <c r="H321" t="s">
        <v>552</v>
      </c>
      <c r="I321" t="s">
        <v>147</v>
      </c>
      <c r="J321"/>
      <c r="K321" s="1">
        <v>44942</v>
      </c>
      <c r="L321" t="s">
        <v>1504</v>
      </c>
      <c r="M321" s="14" t="s">
        <v>1221</v>
      </c>
      <c r="N321" s="67">
        <v>199</v>
      </c>
      <c r="O321"/>
      <c r="P321" t="s">
        <v>10</v>
      </c>
      <c r="Q321" t="s">
        <v>22</v>
      </c>
      <c r="R321"/>
      <c r="S321" s="69"/>
      <c r="T321" s="112">
        <f>110+12</f>
        <v>122</v>
      </c>
      <c r="U321" s="67">
        <f>N321-T321</f>
        <v>77</v>
      </c>
      <c r="V321" s="61">
        <f>U321/T321*100</f>
        <v>63.114754098360656</v>
      </c>
      <c r="W321" s="73"/>
    </row>
    <row r="322" spans="1:23" s="14" customFormat="1">
      <c r="A322" s="37">
        <v>277</v>
      </c>
      <c r="B322" s="37"/>
      <c r="C322" s="14" t="s">
        <v>660</v>
      </c>
      <c r="D322"/>
      <c r="E322"/>
      <c r="F322" s="14">
        <v>938184084</v>
      </c>
      <c r="G322"/>
      <c r="H322"/>
      <c r="I322"/>
      <c r="J322" t="s">
        <v>661</v>
      </c>
      <c r="K322" s="1">
        <v>44942</v>
      </c>
      <c r="L322" t="s">
        <v>1503</v>
      </c>
      <c r="M322" s="14" t="s">
        <v>21</v>
      </c>
      <c r="N322" s="67">
        <v>330</v>
      </c>
      <c r="O322"/>
      <c r="P322" t="s">
        <v>10</v>
      </c>
      <c r="Q322" t="s">
        <v>22</v>
      </c>
      <c r="R322"/>
      <c r="S322" s="69"/>
      <c r="T322" s="112">
        <f>190+15</f>
        <v>205</v>
      </c>
      <c r="U322" s="67">
        <f>N322-T322</f>
        <v>125</v>
      </c>
      <c r="V322" s="61">
        <f>U322/T322*100</f>
        <v>60.975609756097562</v>
      </c>
      <c r="W322" s="73"/>
    </row>
    <row r="323" spans="1:23" s="14" customFormat="1">
      <c r="A323" s="37">
        <v>274</v>
      </c>
      <c r="B323" s="37" t="s">
        <v>12</v>
      </c>
      <c r="C323" s="14" t="s">
        <v>662</v>
      </c>
      <c r="D323">
        <v>20607638404</v>
      </c>
      <c r="E323"/>
      <c r="F323" s="14">
        <v>982598416</v>
      </c>
      <c r="G323" t="s">
        <v>663</v>
      </c>
      <c r="H323"/>
      <c r="I323"/>
      <c r="J323" t="s">
        <v>664</v>
      </c>
      <c r="K323" s="1">
        <v>44942</v>
      </c>
      <c r="L323" t="s">
        <v>1503</v>
      </c>
      <c r="M323" s="14" t="s">
        <v>21</v>
      </c>
      <c r="N323" s="67">
        <v>330</v>
      </c>
      <c r="O323"/>
      <c r="P323" t="s">
        <v>10</v>
      </c>
      <c r="Q323" t="s">
        <v>22</v>
      </c>
      <c r="R323"/>
      <c r="S323" s="69"/>
      <c r="T323" s="112">
        <f>190+15</f>
        <v>205</v>
      </c>
      <c r="U323" s="67">
        <f>N323-T323</f>
        <v>125</v>
      </c>
      <c r="V323" s="61">
        <f>U323/T323*100</f>
        <v>60.975609756097562</v>
      </c>
      <c r="W323" s="73"/>
    </row>
    <row r="324" spans="1:23" s="14" customFormat="1">
      <c r="A324" s="37">
        <v>275</v>
      </c>
      <c r="B324" s="37" t="s">
        <v>12</v>
      </c>
      <c r="C324" s="14" t="s">
        <v>665</v>
      </c>
      <c r="D324">
        <v>20609952033</v>
      </c>
      <c r="E324">
        <v>73943441</v>
      </c>
      <c r="F324" s="14">
        <v>936217535</v>
      </c>
      <c r="G324" t="s">
        <v>666</v>
      </c>
      <c r="H324" t="s">
        <v>667</v>
      </c>
      <c r="I324" t="s">
        <v>29</v>
      </c>
      <c r="J324"/>
      <c r="K324" s="1">
        <v>44942</v>
      </c>
      <c r="L324" t="s">
        <v>1502</v>
      </c>
      <c r="M324" s="14" t="s">
        <v>668</v>
      </c>
      <c r="N324" s="67">
        <v>550</v>
      </c>
      <c r="O324"/>
      <c r="P324" t="s">
        <v>10</v>
      </c>
      <c r="Q324" t="s">
        <v>11</v>
      </c>
      <c r="R324"/>
      <c r="S324" s="69"/>
      <c r="T324" s="112">
        <f>250+96</f>
        <v>346</v>
      </c>
      <c r="U324" s="67">
        <f>N324-T324</f>
        <v>204</v>
      </c>
      <c r="V324" s="61">
        <f>U324/T324*100</f>
        <v>58.959537572254341</v>
      </c>
      <c r="W324" s="73"/>
    </row>
    <row r="325" spans="1:23" s="14" customFormat="1">
      <c r="A325" s="37">
        <v>278</v>
      </c>
      <c r="B325" s="37"/>
      <c r="C325" s="14" t="s">
        <v>669</v>
      </c>
      <c r="D325"/>
      <c r="E325"/>
      <c r="F325" s="14">
        <v>979797816</v>
      </c>
      <c r="G325"/>
      <c r="H325"/>
      <c r="I325"/>
      <c r="J325" t="s">
        <v>670</v>
      </c>
      <c r="K325" s="1">
        <v>44944</v>
      </c>
      <c r="L325" t="s">
        <v>1501</v>
      </c>
      <c r="M325" s="14" t="s">
        <v>21</v>
      </c>
      <c r="N325" s="67">
        <v>760</v>
      </c>
      <c r="O325"/>
      <c r="P325" t="s">
        <v>10</v>
      </c>
      <c r="Q325" t="s">
        <v>11</v>
      </c>
      <c r="R325"/>
      <c r="S325" s="69"/>
      <c r="T325" s="112">
        <f>170+170+120</f>
        <v>460</v>
      </c>
      <c r="U325" s="67">
        <f>N325-T325</f>
        <v>300</v>
      </c>
      <c r="V325" s="61">
        <f>U325/T325*100</f>
        <v>65.217391304347828</v>
      </c>
      <c r="W325" s="73"/>
    </row>
    <row r="326" spans="1:23" s="14" customFormat="1">
      <c r="A326" s="37">
        <v>279</v>
      </c>
      <c r="B326" s="37"/>
      <c r="C326" s="14" t="s">
        <v>671</v>
      </c>
      <c r="D326"/>
      <c r="E326">
        <v>74176679</v>
      </c>
      <c r="F326" s="14">
        <v>926080637</v>
      </c>
      <c r="G326"/>
      <c r="H326"/>
      <c r="I326"/>
      <c r="J326" t="s">
        <v>7</v>
      </c>
      <c r="K326" s="1">
        <v>44944</v>
      </c>
      <c r="L326" t="s">
        <v>1498</v>
      </c>
      <c r="M326" s="14" t="s">
        <v>1500</v>
      </c>
      <c r="N326" s="67">
        <v>200</v>
      </c>
      <c r="O326"/>
      <c r="P326" t="s">
        <v>10</v>
      </c>
      <c r="Q326" t="s">
        <v>22</v>
      </c>
      <c r="R326"/>
      <c r="S326" s="69"/>
      <c r="T326" s="112">
        <f>110+12</f>
        <v>122</v>
      </c>
      <c r="U326" s="67">
        <f>N326-T326</f>
        <v>78</v>
      </c>
      <c r="V326" s="61">
        <f>U326/T326*100</f>
        <v>63.934426229508205</v>
      </c>
      <c r="W326" s="73"/>
    </row>
    <row r="327" spans="1:23" s="14" customFormat="1">
      <c r="A327" s="37">
        <v>280</v>
      </c>
      <c r="B327" s="37" t="s">
        <v>12</v>
      </c>
      <c r="C327" s="14" t="s">
        <v>672</v>
      </c>
      <c r="D327"/>
      <c r="E327"/>
      <c r="F327" s="14">
        <v>960222975</v>
      </c>
      <c r="G327" t="s">
        <v>673</v>
      </c>
      <c r="H327"/>
      <c r="I327"/>
      <c r="J327" t="s">
        <v>674</v>
      </c>
      <c r="K327" s="1">
        <v>44945</v>
      </c>
      <c r="L327" t="s">
        <v>1387</v>
      </c>
      <c r="M327" s="14" t="s">
        <v>8</v>
      </c>
      <c r="N327" s="67">
        <v>440</v>
      </c>
      <c r="O327"/>
      <c r="P327" t="s">
        <v>10</v>
      </c>
      <c r="Q327" t="s">
        <v>11</v>
      </c>
      <c r="R327"/>
      <c r="S327" s="69"/>
      <c r="T327" s="112">
        <v>250</v>
      </c>
      <c r="U327" s="67">
        <f>N327-T327</f>
        <v>190</v>
      </c>
      <c r="V327" s="61">
        <f>U327/T327*100</f>
        <v>76</v>
      </c>
      <c r="W327" s="73"/>
    </row>
    <row r="328" spans="1:23" s="14" customFormat="1">
      <c r="A328" s="45">
        <v>189</v>
      </c>
      <c r="B328" s="37" t="s">
        <v>23</v>
      </c>
      <c r="C328" s="14" t="s">
        <v>493</v>
      </c>
      <c r="E328" s="46">
        <v>10101613246</v>
      </c>
      <c r="F328" s="14">
        <v>941569887</v>
      </c>
      <c r="I328"/>
      <c r="J328" s="14" t="s">
        <v>244</v>
      </c>
      <c r="K328" s="1">
        <v>44946</v>
      </c>
      <c r="L328" t="s">
        <v>1499</v>
      </c>
      <c r="M328" s="14" t="s">
        <v>21</v>
      </c>
      <c r="N328" s="67">
        <v>430</v>
      </c>
      <c r="O328"/>
      <c r="P328" t="s">
        <v>10</v>
      </c>
      <c r="Q328" t="s">
        <v>22</v>
      </c>
      <c r="R328"/>
      <c r="S328" s="69"/>
      <c r="T328" s="112">
        <f>250+45</f>
        <v>295</v>
      </c>
      <c r="U328" s="67">
        <f>N328-T328</f>
        <v>135</v>
      </c>
      <c r="V328" s="61">
        <f>U328/T328*100</f>
        <v>45.762711864406782</v>
      </c>
      <c r="W328" s="73"/>
    </row>
    <row r="329" spans="1:23" s="14" customFormat="1">
      <c r="A329" s="37">
        <v>280</v>
      </c>
      <c r="B329" s="37" t="s">
        <v>12</v>
      </c>
      <c r="C329" s="14" t="s">
        <v>672</v>
      </c>
      <c r="D329"/>
      <c r="E329"/>
      <c r="F329" s="14">
        <v>960222975</v>
      </c>
      <c r="G329" t="s">
        <v>675</v>
      </c>
      <c r="H329"/>
      <c r="I329"/>
      <c r="J329" t="s">
        <v>674</v>
      </c>
      <c r="K329" s="1">
        <v>44946</v>
      </c>
      <c r="L329" t="s">
        <v>1315</v>
      </c>
      <c r="M329" s="14" t="s">
        <v>8</v>
      </c>
      <c r="N329" s="67">
        <v>130</v>
      </c>
      <c r="O329"/>
      <c r="P329" t="s">
        <v>10</v>
      </c>
      <c r="Q329" t="s">
        <v>11</v>
      </c>
      <c r="R329"/>
      <c r="S329" s="69"/>
      <c r="T329" s="112">
        <v>96</v>
      </c>
      <c r="U329" s="67">
        <f>N329-T329</f>
        <v>34</v>
      </c>
      <c r="V329" s="61">
        <f>U329/T329*100</f>
        <v>35.416666666666671</v>
      </c>
      <c r="W329" s="73"/>
    </row>
    <row r="330" spans="1:23" s="14" customFormat="1">
      <c r="A330" s="37">
        <v>281</v>
      </c>
      <c r="B330" s="37"/>
      <c r="C330" s="14" t="s">
        <v>676</v>
      </c>
      <c r="D330"/>
      <c r="E330">
        <v>71807200</v>
      </c>
      <c r="F330" s="14">
        <v>934867846</v>
      </c>
      <c r="G330"/>
      <c r="H330" t="s">
        <v>241</v>
      </c>
      <c r="I330" t="s">
        <v>158</v>
      </c>
      <c r="J330"/>
      <c r="K330" s="1">
        <v>44947</v>
      </c>
      <c r="L330" t="s">
        <v>1498</v>
      </c>
      <c r="M330" s="14" t="s">
        <v>1221</v>
      </c>
      <c r="N330" s="67">
        <v>200</v>
      </c>
      <c r="O330"/>
      <c r="P330" t="s">
        <v>10</v>
      </c>
      <c r="Q330" t="s">
        <v>22</v>
      </c>
      <c r="R330"/>
      <c r="S330" s="69"/>
      <c r="T330" s="112">
        <f>110+12</f>
        <v>122</v>
      </c>
      <c r="U330" s="67">
        <f>N330-T330</f>
        <v>78</v>
      </c>
      <c r="V330" s="61">
        <f>U330/T330*100</f>
        <v>63.934426229508205</v>
      </c>
      <c r="W330" s="73"/>
    </row>
    <row r="331" spans="1:23" s="14" customFormat="1">
      <c r="A331" s="37">
        <v>203</v>
      </c>
      <c r="B331" s="37"/>
      <c r="C331" s="14" t="s">
        <v>677</v>
      </c>
      <c r="D331"/>
      <c r="E331">
        <v>43361573</v>
      </c>
      <c r="F331" s="14">
        <v>994825357</v>
      </c>
      <c r="G331"/>
      <c r="H331" t="s">
        <v>1497</v>
      </c>
      <c r="I331" t="s">
        <v>29</v>
      </c>
      <c r="J331"/>
      <c r="K331" s="1">
        <v>44949</v>
      </c>
      <c r="L331" t="s">
        <v>1496</v>
      </c>
      <c r="M331" s="14" t="s">
        <v>1221</v>
      </c>
      <c r="N331" s="67">
        <v>485</v>
      </c>
      <c r="O331"/>
      <c r="P331" t="s">
        <v>10</v>
      </c>
      <c r="Q331" t="s">
        <v>22</v>
      </c>
      <c r="R331"/>
      <c r="S331" s="69"/>
      <c r="T331" s="112">
        <f>230+15</f>
        <v>245</v>
      </c>
      <c r="U331" s="67">
        <f>N331-T331</f>
        <v>240</v>
      </c>
      <c r="V331" s="61">
        <f>U331/T331*100</f>
        <v>97.959183673469383</v>
      </c>
      <c r="W331" s="73"/>
    </row>
    <row r="332" spans="1:23" s="14" customFormat="1">
      <c r="A332" s="45">
        <v>202</v>
      </c>
      <c r="B332" s="45" t="s">
        <v>12</v>
      </c>
      <c r="C332" s="14" t="s">
        <v>522</v>
      </c>
      <c r="D332" s="46">
        <v>10439601201</v>
      </c>
      <c r="E332" s="46">
        <v>43960120</v>
      </c>
      <c r="F332" s="14">
        <v>991844209</v>
      </c>
      <c r="G332" s="14" t="s">
        <v>678</v>
      </c>
      <c r="I332"/>
      <c r="J332" s="14" t="s">
        <v>524</v>
      </c>
      <c r="K332" s="1">
        <v>44949</v>
      </c>
      <c r="L332" t="s">
        <v>1495</v>
      </c>
      <c r="M332" s="14" t="s">
        <v>21</v>
      </c>
      <c r="N332" s="67">
        <v>520</v>
      </c>
      <c r="O332"/>
      <c r="P332" t="s">
        <v>10</v>
      </c>
      <c r="Q332" t="s">
        <v>22</v>
      </c>
      <c r="R332"/>
      <c r="S332" s="69"/>
      <c r="T332" s="112">
        <f>240+96</f>
        <v>336</v>
      </c>
      <c r="U332" s="67">
        <f>N332-T332</f>
        <v>184</v>
      </c>
      <c r="V332" s="61">
        <f>U332/T332*100</f>
        <v>54.761904761904766</v>
      </c>
      <c r="W332" s="73"/>
    </row>
    <row r="333" spans="1:23" s="14" customFormat="1">
      <c r="A333" s="37">
        <v>282</v>
      </c>
      <c r="B333" s="37" t="s">
        <v>12</v>
      </c>
      <c r="C333" s="14" t="s">
        <v>679</v>
      </c>
      <c r="D333">
        <v>20609935678</v>
      </c>
      <c r="E333"/>
      <c r="F333" s="14">
        <v>900134413</v>
      </c>
      <c r="G333" s="14" t="s">
        <v>680</v>
      </c>
      <c r="H333" t="s">
        <v>681</v>
      </c>
      <c r="I333" t="s">
        <v>682</v>
      </c>
      <c r="J333"/>
      <c r="K333" s="1">
        <v>44949</v>
      </c>
      <c r="L333" t="s">
        <v>1494</v>
      </c>
      <c r="M333" s="14" t="s">
        <v>1221</v>
      </c>
      <c r="N333" s="67">
        <v>640</v>
      </c>
      <c r="O333"/>
      <c r="P333" t="s">
        <v>10</v>
      </c>
      <c r="Q333" t="s">
        <v>22</v>
      </c>
      <c r="R333"/>
      <c r="S333" s="69"/>
      <c r="T333" s="112">
        <f>230+96+30</f>
        <v>356</v>
      </c>
      <c r="U333" s="67">
        <f>N333-T333</f>
        <v>284</v>
      </c>
      <c r="V333" s="61">
        <f>U333/T333*100</f>
        <v>79.775280898876403</v>
      </c>
      <c r="W333" s="73"/>
    </row>
    <row r="334" spans="1:23" s="14" customFormat="1">
      <c r="A334" s="84">
        <v>235</v>
      </c>
      <c r="B334" s="37"/>
      <c r="C334" s="14" t="s">
        <v>683</v>
      </c>
      <c r="D334"/>
      <c r="E334">
        <v>42965665</v>
      </c>
      <c r="F334" s="14">
        <v>930318496</v>
      </c>
      <c r="G334"/>
      <c r="H334" t="s">
        <v>1493</v>
      </c>
      <c r="I334" t="s">
        <v>685</v>
      </c>
      <c r="J334"/>
      <c r="K334" s="1">
        <v>44952</v>
      </c>
      <c r="L334" t="s">
        <v>1492</v>
      </c>
      <c r="M334" s="14" t="s">
        <v>1221</v>
      </c>
      <c r="N334" s="67">
        <v>430</v>
      </c>
      <c r="O334"/>
      <c r="P334" t="s">
        <v>10</v>
      </c>
      <c r="Q334" t="s">
        <v>22</v>
      </c>
      <c r="R334"/>
      <c r="S334" s="69"/>
      <c r="T334" s="112">
        <v>250</v>
      </c>
      <c r="U334" s="67">
        <f>N334-T334</f>
        <v>180</v>
      </c>
      <c r="V334" s="61">
        <f>U334/T334*100</f>
        <v>72</v>
      </c>
      <c r="W334" s="73"/>
    </row>
    <row r="335" spans="1:23" s="14" customFormat="1">
      <c r="A335" s="37">
        <v>283</v>
      </c>
      <c r="B335" s="37" t="s">
        <v>12</v>
      </c>
      <c r="C335" s="14" t="s">
        <v>686</v>
      </c>
      <c r="D335">
        <v>20608134841</v>
      </c>
      <c r="E335">
        <v>15667932</v>
      </c>
      <c r="F335" s="14">
        <v>953297276</v>
      </c>
      <c r="G335" s="14" t="s">
        <v>687</v>
      </c>
      <c r="H335" t="s">
        <v>688</v>
      </c>
      <c r="I335" t="s">
        <v>29</v>
      </c>
      <c r="J335"/>
      <c r="K335" s="1">
        <v>44952</v>
      </c>
      <c r="L335" t="s">
        <v>1491</v>
      </c>
      <c r="M335" s="14" t="s">
        <v>1221</v>
      </c>
      <c r="N335" s="67">
        <f>430+65</f>
        <v>495</v>
      </c>
      <c r="O335"/>
      <c r="P335" t="s">
        <v>10</v>
      </c>
      <c r="Q335" t="s">
        <v>22</v>
      </c>
      <c r="R335"/>
      <c r="S335" s="69"/>
      <c r="T335" s="112">
        <f>250+48</f>
        <v>298</v>
      </c>
      <c r="U335" s="67">
        <f>N335-T335</f>
        <v>197</v>
      </c>
      <c r="V335" s="61">
        <f>U335/T335*100</f>
        <v>66.107382550335572</v>
      </c>
      <c r="W335" s="73"/>
    </row>
    <row r="336" spans="1:23" s="14" customFormat="1">
      <c r="A336" s="39">
        <v>111</v>
      </c>
      <c r="B336" s="39" t="s">
        <v>12</v>
      </c>
      <c r="C336" s="40" t="s">
        <v>689</v>
      </c>
      <c r="D336" s="41">
        <v>20521356309</v>
      </c>
      <c r="E336" s="41"/>
      <c r="F336" s="40">
        <v>913004278</v>
      </c>
      <c r="G336" s="41" t="s">
        <v>690</v>
      </c>
      <c r="H336" s="41"/>
      <c r="I336" s="41"/>
      <c r="J336" s="41" t="s">
        <v>329</v>
      </c>
      <c r="K336" s="1">
        <v>44952</v>
      </c>
      <c r="L336" t="s">
        <v>1490</v>
      </c>
      <c r="M336" s="14" t="s">
        <v>1221</v>
      </c>
      <c r="N336" s="67">
        <v>390</v>
      </c>
      <c r="O336"/>
      <c r="P336" t="s">
        <v>10</v>
      </c>
      <c r="Q336" t="s">
        <v>22</v>
      </c>
      <c r="R336"/>
      <c r="S336" s="69"/>
      <c r="T336" s="112">
        <f>110+110</f>
        <v>220</v>
      </c>
      <c r="U336" s="67">
        <f>N336-T336</f>
        <v>170</v>
      </c>
      <c r="V336" s="61">
        <f>U336/T336*100</f>
        <v>77.272727272727266</v>
      </c>
      <c r="W336" s="73"/>
    </row>
    <row r="337" spans="1:23" s="51" customFormat="1">
      <c r="A337" s="50">
        <v>112</v>
      </c>
      <c r="B337" s="50" t="s">
        <v>12</v>
      </c>
      <c r="C337" s="51" t="s">
        <v>691</v>
      </c>
      <c r="D337" s="26"/>
      <c r="E337" s="26">
        <v>41962066</v>
      </c>
      <c r="F337" s="51">
        <v>930619884</v>
      </c>
      <c r="G337" s="51" t="s">
        <v>692</v>
      </c>
      <c r="H337" s="26" t="s">
        <v>693</v>
      </c>
      <c r="I337" s="26" t="s">
        <v>1489</v>
      </c>
      <c r="J337" s="26"/>
      <c r="K337" s="27">
        <v>44952</v>
      </c>
      <c r="L337" s="26" t="s">
        <v>1488</v>
      </c>
      <c r="M337" s="51" t="s">
        <v>1221</v>
      </c>
      <c r="N337" s="53">
        <f>400+400+430+130</f>
        <v>1360</v>
      </c>
      <c r="O337" s="26"/>
      <c r="P337" s="26" t="s">
        <v>10</v>
      </c>
      <c r="Q337" s="26" t="s">
        <v>22</v>
      </c>
      <c r="R337" s="26"/>
      <c r="S337" s="83"/>
      <c r="T337" s="124">
        <f>240+240+250+96</f>
        <v>826</v>
      </c>
      <c r="U337" s="53">
        <f>N337-T337</f>
        <v>534</v>
      </c>
      <c r="V337" s="71">
        <f>U337/T337*100</f>
        <v>64.648910411622268</v>
      </c>
      <c r="W337" s="82"/>
    </row>
    <row r="338" spans="1:23" s="14" customFormat="1">
      <c r="A338" s="37">
        <v>284</v>
      </c>
      <c r="B338" s="37" t="s">
        <v>12</v>
      </c>
      <c r="C338" s="14" t="s">
        <v>694</v>
      </c>
      <c r="D338">
        <v>10474028874</v>
      </c>
      <c r="E338">
        <v>47402887</v>
      </c>
      <c r="F338" s="14">
        <v>991378798</v>
      </c>
      <c r="G338" s="14" t="s">
        <v>695</v>
      </c>
      <c r="H338"/>
      <c r="I338"/>
      <c r="J338" t="s">
        <v>696</v>
      </c>
      <c r="K338" s="1">
        <v>44954</v>
      </c>
      <c r="L338" t="s">
        <v>1484</v>
      </c>
      <c r="M338" s="14" t="s">
        <v>1221</v>
      </c>
      <c r="N338" s="67">
        <v>560</v>
      </c>
      <c r="O338"/>
      <c r="P338" t="s">
        <v>10</v>
      </c>
      <c r="Q338" t="s">
        <v>22</v>
      </c>
      <c r="R338"/>
      <c r="S338" s="69"/>
      <c r="T338" s="112">
        <f>250+96</f>
        <v>346</v>
      </c>
      <c r="U338" s="67">
        <f>N338-T338</f>
        <v>214</v>
      </c>
      <c r="V338" s="61">
        <f>U338/T338*100</f>
        <v>61.849710982658955</v>
      </c>
      <c r="W338" s="73"/>
    </row>
    <row r="339" spans="1:23" s="14" customFormat="1">
      <c r="A339" s="37">
        <v>285</v>
      </c>
      <c r="B339" s="37"/>
      <c r="C339" s="14" t="s">
        <v>697</v>
      </c>
      <c r="D339"/>
      <c r="E339"/>
      <c r="F339" s="14">
        <v>945174408</v>
      </c>
      <c r="G339"/>
      <c r="H339"/>
      <c r="I339"/>
      <c r="J339" t="s">
        <v>698</v>
      </c>
      <c r="K339" s="1">
        <v>44957</v>
      </c>
      <c r="L339" t="s">
        <v>1487</v>
      </c>
      <c r="M339" s="14" t="s">
        <v>21</v>
      </c>
      <c r="N339" s="67">
        <v>275</v>
      </c>
      <c r="O339"/>
      <c r="P339" t="s">
        <v>10</v>
      </c>
      <c r="Q339" t="s">
        <v>22</v>
      </c>
      <c r="R339"/>
      <c r="S339" s="69"/>
      <c r="T339" s="112">
        <f>110+12+12</f>
        <v>134</v>
      </c>
      <c r="U339" s="67">
        <f>N339-T339</f>
        <v>141</v>
      </c>
      <c r="V339" s="61">
        <f>U339/T339*100</f>
        <v>105.22388059701493</v>
      </c>
      <c r="W339" s="73"/>
    </row>
    <row r="340" spans="1:23" s="40" customFormat="1">
      <c r="A340" s="39">
        <v>286</v>
      </c>
      <c r="B340" s="39"/>
      <c r="C340" s="40" t="s">
        <v>699</v>
      </c>
      <c r="D340" s="41"/>
      <c r="E340" s="41"/>
      <c r="F340" s="40">
        <v>983965244</v>
      </c>
      <c r="G340" s="41"/>
      <c r="H340" s="41" t="s">
        <v>51</v>
      </c>
      <c r="I340" s="41" t="s">
        <v>29</v>
      </c>
      <c r="J340" s="41"/>
      <c r="K340" s="47">
        <v>44958</v>
      </c>
      <c r="L340" s="41" t="s">
        <v>1485</v>
      </c>
      <c r="M340" s="40" t="s">
        <v>8</v>
      </c>
      <c r="N340" s="48">
        <v>190</v>
      </c>
      <c r="O340" s="41"/>
      <c r="P340" s="41" t="s">
        <v>10</v>
      </c>
      <c r="Q340" s="41" t="s">
        <v>11</v>
      </c>
      <c r="R340" s="41"/>
      <c r="S340" s="49"/>
      <c r="T340" s="126">
        <f>110+12</f>
        <v>122</v>
      </c>
      <c r="U340" s="48">
        <f>N340-T340</f>
        <v>68</v>
      </c>
      <c r="V340" s="68">
        <f>U340/T340*100</f>
        <v>55.737704918032783</v>
      </c>
      <c r="W340" s="81"/>
    </row>
    <row r="341" spans="1:23" s="14" customFormat="1">
      <c r="A341" s="37">
        <v>287</v>
      </c>
      <c r="B341" s="37" t="s">
        <v>12</v>
      </c>
      <c r="C341" s="14" t="s">
        <v>700</v>
      </c>
      <c r="D341"/>
      <c r="E341"/>
      <c r="F341" s="14">
        <v>970405721</v>
      </c>
      <c r="G341" t="s">
        <v>701</v>
      </c>
      <c r="H341"/>
      <c r="I341"/>
      <c r="J341" t="s">
        <v>702</v>
      </c>
      <c r="K341" s="1">
        <v>44958</v>
      </c>
      <c r="L341" t="s">
        <v>1486</v>
      </c>
      <c r="M341" s="14" t="s">
        <v>21</v>
      </c>
      <c r="N341" s="67">
        <v>495</v>
      </c>
      <c r="O341"/>
      <c r="P341" t="s">
        <v>10</v>
      </c>
      <c r="Q341" t="s">
        <v>22</v>
      </c>
      <c r="R341"/>
      <c r="S341" s="69"/>
      <c r="T341" s="112">
        <f>250+48</f>
        <v>298</v>
      </c>
      <c r="U341" s="67">
        <f>N341-T341</f>
        <v>197</v>
      </c>
      <c r="V341" s="61">
        <f>U341/T341*100</f>
        <v>66.107382550335572</v>
      </c>
      <c r="W341" s="73"/>
    </row>
    <row r="342" spans="1:23" s="14" customFormat="1">
      <c r="A342" s="37">
        <v>288</v>
      </c>
      <c r="B342" s="37"/>
      <c r="C342" s="14" t="s">
        <v>703</v>
      </c>
      <c r="D342"/>
      <c r="E342">
        <v>72297337</v>
      </c>
      <c r="F342" s="14">
        <v>925725916</v>
      </c>
      <c r="G342"/>
      <c r="H342" t="s">
        <v>436</v>
      </c>
      <c r="I342" t="s">
        <v>29</v>
      </c>
      <c r="J342"/>
      <c r="K342" s="1">
        <v>44959</v>
      </c>
      <c r="L342" t="s">
        <v>1486</v>
      </c>
      <c r="M342" s="14" t="s">
        <v>8</v>
      </c>
      <c r="N342" s="67">
        <v>450</v>
      </c>
      <c r="O342"/>
      <c r="P342" t="s">
        <v>10</v>
      </c>
      <c r="Q342" t="s">
        <v>11</v>
      </c>
      <c r="R342"/>
      <c r="S342" s="69"/>
      <c r="T342" s="112">
        <f>250+48</f>
        <v>298</v>
      </c>
      <c r="U342" s="67">
        <f>N342-T342</f>
        <v>152</v>
      </c>
      <c r="V342" s="61">
        <f>U342/T342*100</f>
        <v>51.006711409395976</v>
      </c>
      <c r="W342" s="73"/>
    </row>
    <row r="343" spans="1:23" s="14" customFormat="1">
      <c r="A343" s="37">
        <v>289</v>
      </c>
      <c r="B343" s="37"/>
      <c r="C343" s="14" t="s">
        <v>704</v>
      </c>
      <c r="D343"/>
      <c r="E343">
        <v>40646362</v>
      </c>
      <c r="F343" s="14">
        <v>951691860</v>
      </c>
      <c r="G343"/>
      <c r="H343" t="s">
        <v>1257</v>
      </c>
      <c r="I343" t="s">
        <v>147</v>
      </c>
      <c r="J343"/>
      <c r="K343" s="1">
        <v>44959</v>
      </c>
      <c r="L343" t="s">
        <v>1485</v>
      </c>
      <c r="M343" s="14" t="s">
        <v>56</v>
      </c>
      <c r="N343" s="67">
        <v>220</v>
      </c>
      <c r="O343"/>
      <c r="P343" t="s">
        <v>10</v>
      </c>
      <c r="Q343" t="s">
        <v>11</v>
      </c>
      <c r="R343"/>
      <c r="S343" s="69"/>
      <c r="T343" s="112">
        <f>110+12</f>
        <v>122</v>
      </c>
      <c r="U343" s="67">
        <f>N343-T343</f>
        <v>98</v>
      </c>
      <c r="V343" s="61">
        <f>U343/T343*100</f>
        <v>80.327868852459019</v>
      </c>
      <c r="W343" s="73"/>
    </row>
    <row r="344" spans="1:23" s="14" customFormat="1">
      <c r="A344" s="37">
        <v>291</v>
      </c>
      <c r="B344" s="37"/>
      <c r="C344" s="14" t="s">
        <v>705</v>
      </c>
      <c r="D344"/>
      <c r="E344">
        <v>45141708</v>
      </c>
      <c r="F344" s="14">
        <v>934525564</v>
      </c>
      <c r="G344"/>
      <c r="H344" t="s">
        <v>229</v>
      </c>
      <c r="I344" t="s">
        <v>706</v>
      </c>
      <c r="J344"/>
      <c r="K344" s="1">
        <v>44959</v>
      </c>
      <c r="L344" t="s">
        <v>1485</v>
      </c>
      <c r="M344" s="14" t="s">
        <v>56</v>
      </c>
      <c r="N344" s="67">
        <v>199</v>
      </c>
      <c r="O344"/>
      <c r="P344" t="s">
        <v>10</v>
      </c>
      <c r="Q344" t="s">
        <v>22</v>
      </c>
      <c r="R344"/>
      <c r="S344" s="69"/>
      <c r="T344" s="112">
        <f>110+12</f>
        <v>122</v>
      </c>
      <c r="U344" s="67">
        <f>N344-T344</f>
        <v>77</v>
      </c>
      <c r="V344" s="61">
        <f>U344/T344*100</f>
        <v>63.114754098360656</v>
      </c>
      <c r="W344" s="73"/>
    </row>
    <row r="345" spans="1:23" s="14" customFormat="1">
      <c r="A345" s="37">
        <v>290</v>
      </c>
      <c r="B345" s="37" t="s">
        <v>12</v>
      </c>
      <c r="C345" s="14" t="s">
        <v>707</v>
      </c>
      <c r="D345">
        <v>20549599665</v>
      </c>
      <c r="E345"/>
      <c r="F345" s="14">
        <v>947330792</v>
      </c>
      <c r="G345" s="14" t="s">
        <v>708</v>
      </c>
      <c r="H345"/>
      <c r="I345"/>
      <c r="J345" t="s">
        <v>709</v>
      </c>
      <c r="K345" s="1">
        <v>44959</v>
      </c>
      <c r="L345" t="s">
        <v>1484</v>
      </c>
      <c r="M345" s="14" t="s">
        <v>21</v>
      </c>
      <c r="N345" s="67">
        <v>500</v>
      </c>
      <c r="O345"/>
      <c r="P345" t="s">
        <v>10</v>
      </c>
      <c r="Q345" t="s">
        <v>11</v>
      </c>
      <c r="R345"/>
      <c r="S345" s="69"/>
      <c r="T345" s="112">
        <f>250+96</f>
        <v>346</v>
      </c>
      <c r="U345" s="67">
        <f>N345-T345</f>
        <v>154</v>
      </c>
      <c r="V345" s="61">
        <f>U345/T345*100</f>
        <v>44.508670520231213</v>
      </c>
      <c r="W345" s="73"/>
    </row>
    <row r="346" spans="1:23" s="14" customFormat="1">
      <c r="A346" s="37">
        <v>292</v>
      </c>
      <c r="B346" s="37"/>
      <c r="C346" s="14" t="s">
        <v>710</v>
      </c>
      <c r="D346"/>
      <c r="E346"/>
      <c r="F346" s="14">
        <v>902268412</v>
      </c>
      <c r="G346"/>
      <c r="H346"/>
      <c r="I346"/>
      <c r="J346" t="s">
        <v>144</v>
      </c>
      <c r="K346" s="1">
        <v>44961</v>
      </c>
      <c r="L346" t="s">
        <v>1482</v>
      </c>
      <c r="M346" s="14" t="s">
        <v>21</v>
      </c>
      <c r="N346" s="67">
        <v>220</v>
      </c>
      <c r="O346"/>
      <c r="P346" t="s">
        <v>10</v>
      </c>
      <c r="Q346" t="s">
        <v>22</v>
      </c>
      <c r="R346"/>
      <c r="S346" s="69"/>
      <c r="T346" s="112">
        <f>110+12</f>
        <v>122</v>
      </c>
      <c r="U346" s="67">
        <f>N346-T346</f>
        <v>98</v>
      </c>
      <c r="V346" s="61">
        <f>U346/T346*100</f>
        <v>80.327868852459019</v>
      </c>
      <c r="W346" s="73"/>
    </row>
    <row r="347" spans="1:23" s="14" customFormat="1">
      <c r="A347" s="37">
        <v>295</v>
      </c>
      <c r="B347" s="37"/>
      <c r="C347" s="14" t="s">
        <v>711</v>
      </c>
      <c r="D347"/>
      <c r="E347"/>
      <c r="F347" s="14">
        <v>958089275</v>
      </c>
      <c r="G347"/>
      <c r="H347"/>
      <c r="I347"/>
      <c r="J347" t="s">
        <v>712</v>
      </c>
      <c r="K347" s="1">
        <v>44963</v>
      </c>
      <c r="L347" t="s">
        <v>1483</v>
      </c>
      <c r="M347" s="14" t="s">
        <v>56</v>
      </c>
      <c r="N347" s="67">
        <v>335</v>
      </c>
      <c r="O347"/>
      <c r="P347" t="s">
        <v>10</v>
      </c>
      <c r="Q347" t="s">
        <v>22</v>
      </c>
      <c r="R347"/>
      <c r="S347" s="69"/>
      <c r="T347" s="112">
        <f>190+15</f>
        <v>205</v>
      </c>
      <c r="U347" s="67">
        <f>N347-T347</f>
        <v>130</v>
      </c>
      <c r="V347" s="61">
        <f>U347/T347*100</f>
        <v>63.414634146341463</v>
      </c>
      <c r="W347" s="73"/>
    </row>
    <row r="348" spans="1:23" s="14" customFormat="1">
      <c r="A348" s="37">
        <v>296</v>
      </c>
      <c r="B348" s="37"/>
      <c r="C348" s="14" t="s">
        <v>713</v>
      </c>
      <c r="D348"/>
      <c r="E348"/>
      <c r="F348" s="14">
        <v>926332412</v>
      </c>
      <c r="G348"/>
      <c r="H348"/>
      <c r="I348"/>
      <c r="J348" t="s">
        <v>714</v>
      </c>
      <c r="K348" s="1">
        <v>44963</v>
      </c>
      <c r="L348" t="s">
        <v>1482</v>
      </c>
      <c r="M348" s="14" t="s">
        <v>21</v>
      </c>
      <c r="N348" s="67">
        <v>200</v>
      </c>
      <c r="O348"/>
      <c r="P348" t="s">
        <v>10</v>
      </c>
      <c r="Q348" t="s">
        <v>22</v>
      </c>
      <c r="R348"/>
      <c r="S348" s="69"/>
      <c r="T348" s="112">
        <f>110+12</f>
        <v>122</v>
      </c>
      <c r="U348" s="67">
        <f>N348-T348</f>
        <v>78</v>
      </c>
      <c r="V348" s="61">
        <f>U348/T348*100</f>
        <v>63.934426229508205</v>
      </c>
      <c r="W348" s="73"/>
    </row>
    <row r="349" spans="1:23" s="51" customFormat="1">
      <c r="A349" s="50">
        <v>293</v>
      </c>
      <c r="B349" s="50" t="s">
        <v>12</v>
      </c>
      <c r="C349" s="51" t="s">
        <v>715</v>
      </c>
      <c r="D349" s="26">
        <v>20603031203</v>
      </c>
      <c r="E349" s="26"/>
      <c r="F349" s="51">
        <v>940978613</v>
      </c>
      <c r="G349" s="26" t="s">
        <v>716</v>
      </c>
      <c r="H349" s="26"/>
      <c r="I349" s="26"/>
      <c r="J349" s="26" t="s">
        <v>717</v>
      </c>
      <c r="K349" s="27">
        <v>44963</v>
      </c>
      <c r="L349" s="26" t="s">
        <v>1481</v>
      </c>
      <c r="M349" s="51" t="s">
        <v>21</v>
      </c>
      <c r="N349" s="53">
        <v>600</v>
      </c>
      <c r="O349" s="26"/>
      <c r="P349" s="26" t="s">
        <v>10</v>
      </c>
      <c r="Q349" s="26" t="s">
        <v>11</v>
      </c>
      <c r="R349" s="26"/>
      <c r="S349" s="83"/>
      <c r="T349" s="124">
        <f>230+96</f>
        <v>326</v>
      </c>
      <c r="U349" s="53">
        <f>N349-T349</f>
        <v>274</v>
      </c>
      <c r="V349" s="71">
        <f>U349/T349*100</f>
        <v>84.049079754601223</v>
      </c>
      <c r="W349" s="82"/>
    </row>
    <row r="350" spans="1:23" s="14" customFormat="1">
      <c r="A350" s="37">
        <v>294</v>
      </c>
      <c r="B350" s="37" t="s">
        <v>12</v>
      </c>
      <c r="C350" s="14" t="s">
        <v>718</v>
      </c>
      <c r="D350">
        <v>20604814694</v>
      </c>
      <c r="E350"/>
      <c r="F350" s="14">
        <v>987151244</v>
      </c>
      <c r="G350" t="s">
        <v>719</v>
      </c>
      <c r="H350"/>
      <c r="I350"/>
      <c r="J350" t="s">
        <v>183</v>
      </c>
      <c r="K350" s="1">
        <v>44963</v>
      </c>
      <c r="L350" t="s">
        <v>1480</v>
      </c>
      <c r="M350" s="14" t="s">
        <v>1221</v>
      </c>
      <c r="N350" s="67">
        <v>265</v>
      </c>
      <c r="O350"/>
      <c r="P350" t="s">
        <v>10</v>
      </c>
      <c r="Q350" t="s">
        <v>22</v>
      </c>
      <c r="R350"/>
      <c r="S350" s="69"/>
      <c r="T350" s="112">
        <f>96+96</f>
        <v>192</v>
      </c>
      <c r="U350" s="67">
        <f>N350-T350</f>
        <v>73</v>
      </c>
      <c r="V350" s="61">
        <f>U350/T350*100</f>
        <v>38.020833333333329</v>
      </c>
      <c r="W350" s="73"/>
    </row>
    <row r="351" spans="1:23" s="14" customFormat="1">
      <c r="A351" s="39">
        <v>297</v>
      </c>
      <c r="B351" s="39"/>
      <c r="C351" s="40" t="s">
        <v>720</v>
      </c>
      <c r="D351" s="41"/>
      <c r="E351" s="41"/>
      <c r="F351" s="41">
        <v>952780649</v>
      </c>
      <c r="G351" s="41"/>
      <c r="H351" s="41"/>
      <c r="I351" s="41"/>
      <c r="J351" s="41" t="s">
        <v>721</v>
      </c>
      <c r="K351" s="47">
        <v>44964</v>
      </c>
      <c r="L351" s="41" t="s">
        <v>1479</v>
      </c>
      <c r="M351" s="40" t="s">
        <v>1478</v>
      </c>
      <c r="N351" s="48">
        <f>400+120+200+150</f>
        <v>870</v>
      </c>
      <c r="O351" s="41"/>
      <c r="P351" s="41" t="s">
        <v>10</v>
      </c>
      <c r="Q351" s="41" t="s">
        <v>11</v>
      </c>
      <c r="R351" s="41" t="s">
        <v>224</v>
      </c>
      <c r="S351" s="41"/>
      <c r="T351" s="126">
        <f>240+110+170+96</f>
        <v>616</v>
      </c>
      <c r="U351" s="48">
        <f>N351-T351</f>
        <v>254</v>
      </c>
      <c r="V351" s="68">
        <f>U351/T351*100</f>
        <v>41.233766233766232</v>
      </c>
      <c r="W351" s="73"/>
    </row>
    <row r="352" spans="1:23" s="14" customFormat="1">
      <c r="A352" s="37">
        <v>266</v>
      </c>
      <c r="B352" s="37"/>
      <c r="C352" s="14" t="s">
        <v>645</v>
      </c>
      <c r="D352"/>
      <c r="E352"/>
      <c r="F352" s="14">
        <v>949772683</v>
      </c>
      <c r="G352"/>
      <c r="H352"/>
      <c r="I352"/>
      <c r="J352" t="s">
        <v>646</v>
      </c>
      <c r="K352" s="1">
        <v>44964</v>
      </c>
      <c r="L352" t="s">
        <v>1477</v>
      </c>
      <c r="M352" s="14" t="s">
        <v>21</v>
      </c>
      <c r="N352" s="67">
        <v>345</v>
      </c>
      <c r="O352"/>
      <c r="P352" t="s">
        <v>10</v>
      </c>
      <c r="Q352" t="s">
        <v>22</v>
      </c>
      <c r="R352"/>
      <c r="S352" s="69"/>
      <c r="T352" s="112">
        <f>110+115</f>
        <v>225</v>
      </c>
      <c r="U352" s="67">
        <f>N352-T352</f>
        <v>120</v>
      </c>
      <c r="V352" s="61">
        <f>U352/T352*100</f>
        <v>53.333333333333336</v>
      </c>
      <c r="W352" s="73"/>
    </row>
    <row r="353" spans="1:23" s="14" customFormat="1">
      <c r="A353" s="37">
        <v>298</v>
      </c>
      <c r="B353" s="37"/>
      <c r="C353" s="14" t="s">
        <v>722</v>
      </c>
      <c r="D353"/>
      <c r="E353">
        <v>33328262</v>
      </c>
      <c r="F353">
        <v>988540317</v>
      </c>
      <c r="G353"/>
      <c r="H353" t="s">
        <v>1476</v>
      </c>
      <c r="I353" t="s">
        <v>29</v>
      </c>
      <c r="J353"/>
      <c r="K353" s="1">
        <v>44965</v>
      </c>
      <c r="L353" t="s">
        <v>1438</v>
      </c>
      <c r="M353" s="14" t="s">
        <v>8</v>
      </c>
      <c r="N353" s="67">
        <v>200</v>
      </c>
      <c r="O353"/>
      <c r="P353" t="s">
        <v>10</v>
      </c>
      <c r="Q353" t="s">
        <v>11</v>
      </c>
      <c r="R353"/>
      <c r="S353" s="69"/>
      <c r="T353" s="112">
        <f>110+12</f>
        <v>122</v>
      </c>
      <c r="U353" s="67">
        <f>N353-T353</f>
        <v>78</v>
      </c>
      <c r="V353" s="61">
        <f>U353/T353*100</f>
        <v>63.934426229508205</v>
      </c>
      <c r="W353" s="73"/>
    </row>
    <row r="354" spans="1:23" s="14" customFormat="1">
      <c r="A354" s="37">
        <v>299</v>
      </c>
      <c r="B354" s="37" t="s">
        <v>12</v>
      </c>
      <c r="C354" s="14" t="s">
        <v>723</v>
      </c>
      <c r="D354" t="s">
        <v>1475</v>
      </c>
      <c r="E354">
        <v>42569579</v>
      </c>
      <c r="F354">
        <v>949090096</v>
      </c>
      <c r="G354" t="s">
        <v>724</v>
      </c>
      <c r="H354" t="s">
        <v>514</v>
      </c>
      <c r="I354" t="s">
        <v>29</v>
      </c>
      <c r="J354"/>
      <c r="K354" s="1">
        <v>44965</v>
      </c>
      <c r="L354" t="s">
        <v>1438</v>
      </c>
      <c r="M354" s="14" t="s">
        <v>1221</v>
      </c>
      <c r="N354" s="67">
        <v>200</v>
      </c>
      <c r="O354"/>
      <c r="P354" t="s">
        <v>10</v>
      </c>
      <c r="Q354" t="s">
        <v>22</v>
      </c>
      <c r="R354"/>
      <c r="S354" s="69"/>
      <c r="T354" s="112">
        <f>110+12</f>
        <v>122</v>
      </c>
      <c r="U354" s="67">
        <f>N354-T354</f>
        <v>78</v>
      </c>
      <c r="V354" s="61">
        <f>U354/T354*100</f>
        <v>63.934426229508205</v>
      </c>
      <c r="W354" s="73"/>
    </row>
    <row r="355" spans="1:23" s="14" customFormat="1">
      <c r="A355" s="37">
        <v>300</v>
      </c>
      <c r="B355" s="37"/>
      <c r="C355" s="14" t="s">
        <v>725</v>
      </c>
      <c r="D355"/>
      <c r="E355"/>
      <c r="F355">
        <v>941356341</v>
      </c>
      <c r="G355"/>
      <c r="H355"/>
      <c r="I355"/>
      <c r="J355" t="s">
        <v>364</v>
      </c>
      <c r="K355" s="1">
        <v>44966</v>
      </c>
      <c r="L355" t="s">
        <v>1474</v>
      </c>
      <c r="M355" s="14" t="s">
        <v>8</v>
      </c>
      <c r="N355" s="67">
        <v>425</v>
      </c>
      <c r="O355"/>
      <c r="P355" t="s">
        <v>10</v>
      </c>
      <c r="Q355" t="s">
        <v>11</v>
      </c>
      <c r="R355"/>
      <c r="S355" s="69"/>
      <c r="T355" s="112">
        <f>100+100+12</f>
        <v>212</v>
      </c>
      <c r="U355" s="67">
        <f>N355-T355</f>
        <v>213</v>
      </c>
      <c r="V355" s="61">
        <f>U355/T355*100</f>
        <v>100.47169811320755</v>
      </c>
      <c r="W355" s="73"/>
    </row>
    <row r="356" spans="1:23" s="14" customFormat="1">
      <c r="A356" s="37">
        <v>302</v>
      </c>
      <c r="B356" s="37"/>
      <c r="C356" s="14" t="s">
        <v>726</v>
      </c>
      <c r="D356"/>
      <c r="E356">
        <v>70081928</v>
      </c>
      <c r="F356">
        <v>951015289</v>
      </c>
      <c r="G356"/>
      <c r="H356" t="s">
        <v>44</v>
      </c>
      <c r="I356" t="s">
        <v>178</v>
      </c>
      <c r="J356"/>
      <c r="K356" s="1">
        <v>44967</v>
      </c>
      <c r="L356" t="s">
        <v>1438</v>
      </c>
      <c r="M356" s="14" t="s">
        <v>56</v>
      </c>
      <c r="N356" s="67">
        <v>200</v>
      </c>
      <c r="O356"/>
      <c r="P356" t="s">
        <v>10</v>
      </c>
      <c r="Q356" t="s">
        <v>11</v>
      </c>
      <c r="R356"/>
      <c r="S356" s="69"/>
      <c r="T356" s="112">
        <f>110+12</f>
        <v>122</v>
      </c>
      <c r="U356" s="67">
        <f>N356-T356</f>
        <v>78</v>
      </c>
      <c r="V356" s="61">
        <f>U356/T356*100</f>
        <v>63.934426229508205</v>
      </c>
      <c r="W356" s="73"/>
    </row>
    <row r="357" spans="1:23" s="14" customFormat="1">
      <c r="A357" s="37">
        <v>303</v>
      </c>
      <c r="B357" s="37"/>
      <c r="C357" s="14" t="s">
        <v>727</v>
      </c>
      <c r="D357"/>
      <c r="E357"/>
      <c r="F357">
        <v>940059707</v>
      </c>
      <c r="G357"/>
      <c r="H357"/>
      <c r="I357"/>
      <c r="J357" t="s">
        <v>728</v>
      </c>
      <c r="K357" s="1">
        <v>44967</v>
      </c>
      <c r="L357" t="s">
        <v>1438</v>
      </c>
      <c r="M357" s="14" t="s">
        <v>21</v>
      </c>
      <c r="N357" s="67">
        <v>200</v>
      </c>
      <c r="O357"/>
      <c r="P357" t="s">
        <v>10</v>
      </c>
      <c r="Q357" t="s">
        <v>11</v>
      </c>
      <c r="R357"/>
      <c r="S357" s="69"/>
      <c r="T357" s="112">
        <f>110+12</f>
        <v>122</v>
      </c>
      <c r="U357" s="67">
        <f>N357-T357</f>
        <v>78</v>
      </c>
      <c r="V357" s="61">
        <f>U357/T357*100</f>
        <v>63.934426229508205</v>
      </c>
      <c r="W357" s="73"/>
    </row>
    <row r="358" spans="1:23" s="14" customFormat="1">
      <c r="A358" s="37">
        <v>301</v>
      </c>
      <c r="B358" s="37" t="s">
        <v>12</v>
      </c>
      <c r="C358" s="14" t="s">
        <v>729</v>
      </c>
      <c r="D358">
        <v>20604193100</v>
      </c>
      <c r="E358"/>
      <c r="F358">
        <v>999337236</v>
      </c>
      <c r="G358" t="s">
        <v>730</v>
      </c>
      <c r="H358"/>
      <c r="I358"/>
      <c r="J358" t="s">
        <v>731</v>
      </c>
      <c r="K358" s="1">
        <v>44967</v>
      </c>
      <c r="L358" t="s">
        <v>1473</v>
      </c>
      <c r="M358" s="14" t="s">
        <v>8</v>
      </c>
      <c r="N358" s="67">
        <f>340*6</f>
        <v>2040</v>
      </c>
      <c r="O358"/>
      <c r="P358" t="s">
        <v>10</v>
      </c>
      <c r="Q358" t="s">
        <v>11</v>
      </c>
      <c r="R358"/>
      <c r="S358" s="69"/>
      <c r="T358" s="112">
        <f>240*6</f>
        <v>1440</v>
      </c>
      <c r="U358" s="67">
        <f>N358-T358</f>
        <v>600</v>
      </c>
      <c r="V358" s="61">
        <f>U358/T358*100</f>
        <v>41.666666666666671</v>
      </c>
      <c r="W358" s="73"/>
    </row>
    <row r="359" spans="1:23" s="14" customFormat="1">
      <c r="A359" s="37">
        <v>304</v>
      </c>
      <c r="B359" s="37"/>
      <c r="C359" s="14" t="s">
        <v>732</v>
      </c>
      <c r="D359"/>
      <c r="E359">
        <v>76348277</v>
      </c>
      <c r="F359">
        <v>901128308</v>
      </c>
      <c r="G359"/>
      <c r="H359" t="s">
        <v>51</v>
      </c>
      <c r="I359" t="s">
        <v>733</v>
      </c>
      <c r="J359"/>
      <c r="K359" s="1">
        <v>44968</v>
      </c>
      <c r="L359" t="s">
        <v>1438</v>
      </c>
      <c r="M359" s="14" t="s">
        <v>8</v>
      </c>
      <c r="N359" s="67">
        <v>200</v>
      </c>
      <c r="O359"/>
      <c r="P359" t="s">
        <v>10</v>
      </c>
      <c r="Q359" t="s">
        <v>11</v>
      </c>
      <c r="R359"/>
      <c r="S359" s="69"/>
      <c r="T359" s="112">
        <f>110+12</f>
        <v>122</v>
      </c>
      <c r="U359" s="67">
        <f>N359-T359</f>
        <v>78</v>
      </c>
      <c r="V359" s="61">
        <f>U359/T359*100</f>
        <v>63.934426229508205</v>
      </c>
      <c r="W359" s="73"/>
    </row>
    <row r="360" spans="1:23" s="14" customFormat="1">
      <c r="A360" s="37">
        <v>305</v>
      </c>
      <c r="B360" s="37"/>
      <c r="C360" s="14" t="s">
        <v>734</v>
      </c>
      <c r="D360"/>
      <c r="E360">
        <v>70077475</v>
      </c>
      <c r="F360">
        <v>934013644</v>
      </c>
      <c r="G360"/>
      <c r="H360" t="s">
        <v>1350</v>
      </c>
      <c r="I360" t="s">
        <v>29</v>
      </c>
      <c r="J360"/>
      <c r="K360" s="1">
        <v>44968</v>
      </c>
      <c r="L360" t="s">
        <v>1472</v>
      </c>
      <c r="M360" s="14" t="s">
        <v>56</v>
      </c>
      <c r="N360" s="67">
        <v>440</v>
      </c>
      <c r="O360"/>
      <c r="P360" t="s">
        <v>10</v>
      </c>
      <c r="Q360" t="s">
        <v>11</v>
      </c>
      <c r="R360"/>
      <c r="S360" s="69"/>
      <c r="T360" s="112">
        <v>250</v>
      </c>
      <c r="U360" s="67">
        <f>N360-T360</f>
        <v>190</v>
      </c>
      <c r="V360" s="61">
        <f>U360/T360*100</f>
        <v>76</v>
      </c>
      <c r="W360" s="73"/>
    </row>
    <row r="361" spans="1:23" s="14" customFormat="1">
      <c r="A361" s="37">
        <v>306</v>
      </c>
      <c r="B361" s="37"/>
      <c r="C361" s="14" t="s">
        <v>735</v>
      </c>
      <c r="D361"/>
      <c r="E361">
        <v>3364087</v>
      </c>
      <c r="F361">
        <v>969435149</v>
      </c>
      <c r="G361"/>
      <c r="H361" t="s">
        <v>514</v>
      </c>
      <c r="I361" t="s">
        <v>29</v>
      </c>
      <c r="J361"/>
      <c r="K361" s="1">
        <v>44970</v>
      </c>
      <c r="L361" t="s">
        <v>1471</v>
      </c>
      <c r="M361" s="14" t="s">
        <v>1221</v>
      </c>
      <c r="N361" s="67">
        <v>585</v>
      </c>
      <c r="O361"/>
      <c r="P361" t="s">
        <v>10</v>
      </c>
      <c r="Q361" t="s">
        <v>22</v>
      </c>
      <c r="R361"/>
      <c r="S361" s="69"/>
      <c r="T361" s="112">
        <f>230+22+48</f>
        <v>300</v>
      </c>
      <c r="U361" s="67">
        <f>N361-T361</f>
        <v>285</v>
      </c>
      <c r="V361" s="61">
        <f>U361/T361*100</f>
        <v>95</v>
      </c>
      <c r="W361" s="73"/>
    </row>
    <row r="362" spans="1:23" s="14" customFormat="1">
      <c r="A362" s="37">
        <v>307</v>
      </c>
      <c r="B362" s="37"/>
      <c r="C362" s="14" t="s">
        <v>736</v>
      </c>
      <c r="D362"/>
      <c r="E362">
        <v>5341253</v>
      </c>
      <c r="F362">
        <v>967179793</v>
      </c>
      <c r="G362"/>
      <c r="H362" t="s">
        <v>44</v>
      </c>
      <c r="I362" t="s">
        <v>140</v>
      </c>
      <c r="J362"/>
      <c r="K362" s="1">
        <v>44971</v>
      </c>
      <c r="L362" t="s">
        <v>1438</v>
      </c>
      <c r="M362" s="14" t="s">
        <v>8</v>
      </c>
      <c r="N362" s="67">
        <v>199</v>
      </c>
      <c r="O362"/>
      <c r="P362" t="s">
        <v>10</v>
      </c>
      <c r="Q362" t="s">
        <v>11</v>
      </c>
      <c r="R362"/>
      <c r="S362" s="69"/>
      <c r="T362" s="112">
        <f>110+12</f>
        <v>122</v>
      </c>
      <c r="U362" s="67">
        <f>N362-T362</f>
        <v>77</v>
      </c>
      <c r="V362" s="61">
        <f>U362/T362*100</f>
        <v>63.114754098360656</v>
      </c>
      <c r="W362" s="73"/>
    </row>
    <row r="363" spans="1:23" s="14" customFormat="1">
      <c r="A363" s="37">
        <v>308</v>
      </c>
      <c r="B363" s="37"/>
      <c r="C363" s="14" t="s">
        <v>737</v>
      </c>
      <c r="D363"/>
      <c r="E363">
        <v>45379956</v>
      </c>
      <c r="F363">
        <v>979111206</v>
      </c>
      <c r="G363"/>
      <c r="H363" t="s">
        <v>199</v>
      </c>
      <c r="I363" t="s">
        <v>29</v>
      </c>
      <c r="J363"/>
      <c r="K363" s="1">
        <v>44972</v>
      </c>
      <c r="L363" t="s">
        <v>1470</v>
      </c>
      <c r="M363" s="14" t="s">
        <v>8</v>
      </c>
      <c r="N363" s="67">
        <v>230</v>
      </c>
      <c r="O363"/>
      <c r="P363" t="s">
        <v>10</v>
      </c>
      <c r="Q363" t="s">
        <v>11</v>
      </c>
      <c r="R363"/>
      <c r="S363" s="69"/>
      <c r="T363" s="112">
        <f>120+48</f>
        <v>168</v>
      </c>
      <c r="U363" s="67">
        <f>N363-T363</f>
        <v>62</v>
      </c>
      <c r="V363" s="61">
        <f>U363/T363*100</f>
        <v>36.904761904761905</v>
      </c>
      <c r="W363" s="73"/>
    </row>
    <row r="364" spans="1:23" s="51" customFormat="1" ht="15" customHeight="1">
      <c r="A364" s="50">
        <v>243</v>
      </c>
      <c r="B364" s="50"/>
      <c r="C364" s="51" t="s">
        <v>607</v>
      </c>
      <c r="D364" s="26"/>
      <c r="E364" s="26"/>
      <c r="F364" s="51">
        <v>947230452</v>
      </c>
      <c r="G364" s="26"/>
      <c r="H364" s="26"/>
      <c r="I364" s="26"/>
      <c r="J364" s="26" t="s">
        <v>608</v>
      </c>
      <c r="K364" s="27">
        <v>44972</v>
      </c>
      <c r="L364" s="26" t="s">
        <v>1469</v>
      </c>
      <c r="M364" s="51" t="s">
        <v>21</v>
      </c>
      <c r="N364" s="53">
        <v>300</v>
      </c>
      <c r="O364" s="26"/>
      <c r="P364" s="26" t="s">
        <v>10</v>
      </c>
      <c r="Q364" s="26" t="s">
        <v>11</v>
      </c>
      <c r="R364" s="26"/>
      <c r="S364" s="83"/>
      <c r="T364" s="124">
        <f>190+15</f>
        <v>205</v>
      </c>
      <c r="U364" s="53">
        <f>N364-T364</f>
        <v>95</v>
      </c>
      <c r="V364" s="71">
        <f>U364/T364*100</f>
        <v>46.341463414634148</v>
      </c>
      <c r="W364" s="82"/>
    </row>
    <row r="365" spans="1:23" s="14" customFormat="1" ht="15" customHeight="1">
      <c r="A365" s="37">
        <v>309</v>
      </c>
      <c r="B365" s="37"/>
      <c r="C365" s="14" t="s">
        <v>738</v>
      </c>
      <c r="D365"/>
      <c r="E365">
        <v>70556670</v>
      </c>
      <c r="F365" s="14">
        <v>959751818</v>
      </c>
      <c r="G365"/>
      <c r="H365" t="s">
        <v>739</v>
      </c>
      <c r="I365" t="s">
        <v>740</v>
      </c>
      <c r="J365"/>
      <c r="K365" s="1">
        <v>44973</v>
      </c>
      <c r="L365" t="s">
        <v>1468</v>
      </c>
      <c r="M365" s="14" t="s">
        <v>1221</v>
      </c>
      <c r="N365" s="67">
        <v>510</v>
      </c>
      <c r="O365"/>
      <c r="P365" t="s">
        <v>10</v>
      </c>
      <c r="Q365" t="s">
        <v>22</v>
      </c>
      <c r="R365"/>
      <c r="S365" s="69"/>
      <c r="T365" s="112">
        <f>240+96</f>
        <v>336</v>
      </c>
      <c r="U365" s="20">
        <f>N365-T365</f>
        <v>174</v>
      </c>
      <c r="V365" s="61">
        <f>U365/T365*100</f>
        <v>51.785714285714292</v>
      </c>
      <c r="W365" s="73"/>
    </row>
    <row r="366" spans="1:23" s="14" customFormat="1" ht="15" customHeight="1">
      <c r="A366" s="37">
        <v>262</v>
      </c>
      <c r="B366" s="37"/>
      <c r="C366" s="14" t="s">
        <v>637</v>
      </c>
      <c r="D366"/>
      <c r="E366">
        <v>45752997</v>
      </c>
      <c r="F366">
        <v>968231634</v>
      </c>
      <c r="G366"/>
      <c r="H366"/>
      <c r="I366"/>
      <c r="J366" t="s">
        <v>741</v>
      </c>
      <c r="K366" s="1">
        <v>44974</v>
      </c>
      <c r="L366" t="s">
        <v>1429</v>
      </c>
      <c r="M366" s="14" t="s">
        <v>1221</v>
      </c>
      <c r="N366" s="67">
        <v>380</v>
      </c>
      <c r="O366"/>
      <c r="P366" t="s">
        <v>10</v>
      </c>
      <c r="Q366" t="s">
        <v>22</v>
      </c>
      <c r="R366"/>
      <c r="S366" s="69"/>
      <c r="T366" s="112">
        <f>170+15</f>
        <v>185</v>
      </c>
      <c r="U366" s="67">
        <f>N366-T366</f>
        <v>195</v>
      </c>
      <c r="V366" s="61">
        <f>U366/T366*100</f>
        <v>105.40540540540539</v>
      </c>
      <c r="W366" s="73"/>
    </row>
    <row r="367" spans="1:23" s="14" customFormat="1" ht="15" customHeight="1">
      <c r="A367" s="37">
        <v>312</v>
      </c>
      <c r="B367" s="37"/>
      <c r="C367" s="14" t="s">
        <v>742</v>
      </c>
      <c r="D367"/>
      <c r="E367"/>
      <c r="F367" s="14">
        <v>900116983</v>
      </c>
      <c r="G367"/>
      <c r="H367"/>
      <c r="I367"/>
      <c r="J367" t="s">
        <v>7</v>
      </c>
      <c r="K367" s="1">
        <v>44974</v>
      </c>
      <c r="L367" t="s">
        <v>1438</v>
      </c>
      <c r="M367" s="14" t="s">
        <v>8</v>
      </c>
      <c r="N367" s="67">
        <v>200</v>
      </c>
      <c r="O367"/>
      <c r="P367" t="s">
        <v>10</v>
      </c>
      <c r="Q367" t="s">
        <v>11</v>
      </c>
      <c r="R367"/>
      <c r="S367" s="69"/>
      <c r="T367" s="112">
        <f>110+12</f>
        <v>122</v>
      </c>
      <c r="U367" s="67">
        <f>N367-T367</f>
        <v>78</v>
      </c>
      <c r="V367" s="61">
        <f>U367/T367*100</f>
        <v>63.934426229508205</v>
      </c>
      <c r="W367" s="73"/>
    </row>
    <row r="368" spans="1:23" s="14" customFormat="1" ht="15" customHeight="1">
      <c r="A368" s="37">
        <v>313</v>
      </c>
      <c r="B368" s="37"/>
      <c r="C368" s="14" t="s">
        <v>743</v>
      </c>
      <c r="D368"/>
      <c r="E368">
        <v>76269360</v>
      </c>
      <c r="F368" s="14">
        <v>918881948</v>
      </c>
      <c r="G368"/>
      <c r="H368" s="14" t="s">
        <v>1467</v>
      </c>
      <c r="I368" t="s">
        <v>29</v>
      </c>
      <c r="J368"/>
      <c r="K368" s="1">
        <v>44974</v>
      </c>
      <c r="L368" t="s">
        <v>1466</v>
      </c>
      <c r="M368" s="14" t="s">
        <v>1221</v>
      </c>
      <c r="N368" s="67">
        <v>245</v>
      </c>
      <c r="O368"/>
      <c r="P368" t="s">
        <v>10</v>
      </c>
      <c r="Q368" t="s">
        <v>22</v>
      </c>
      <c r="R368"/>
      <c r="S368" s="69"/>
      <c r="T368" s="112">
        <f>100+12</f>
        <v>112</v>
      </c>
      <c r="U368" s="67">
        <f>N368-T368</f>
        <v>133</v>
      </c>
      <c r="V368" s="61">
        <f>U368/T368*100</f>
        <v>118.75</v>
      </c>
      <c r="W368" s="73"/>
    </row>
    <row r="369" spans="1:23" s="14" customFormat="1" ht="15" customHeight="1">
      <c r="A369" s="37">
        <v>311</v>
      </c>
      <c r="B369" s="37" t="s">
        <v>12</v>
      </c>
      <c r="C369" s="14" t="s">
        <v>744</v>
      </c>
      <c r="D369">
        <v>20541289322</v>
      </c>
      <c r="E369">
        <v>73768490</v>
      </c>
      <c r="F369" s="14">
        <v>941929874</v>
      </c>
      <c r="G369" t="s">
        <v>745</v>
      </c>
      <c r="H369" t="s">
        <v>44</v>
      </c>
      <c r="I369" t="s">
        <v>178</v>
      </c>
      <c r="J369"/>
      <c r="K369" s="1">
        <v>44974</v>
      </c>
      <c r="L369" t="s">
        <v>1465</v>
      </c>
      <c r="M369" s="14" t="s">
        <v>1221</v>
      </c>
      <c r="N369" s="67">
        <f>90+464</f>
        <v>554</v>
      </c>
      <c r="O369"/>
      <c r="P369" t="s">
        <v>10</v>
      </c>
      <c r="Q369" t="s">
        <v>22</v>
      </c>
      <c r="R369"/>
      <c r="S369" s="69"/>
      <c r="T369" s="112">
        <f>170+120+54</f>
        <v>344</v>
      </c>
      <c r="U369" s="67">
        <f>N369-T369</f>
        <v>210</v>
      </c>
      <c r="V369" s="61">
        <f>U369/T369*100</f>
        <v>61.046511627906973</v>
      </c>
      <c r="W369" s="73"/>
    </row>
    <row r="370" spans="1:23" s="14" customFormat="1" ht="15" customHeight="1">
      <c r="A370" s="37">
        <v>310</v>
      </c>
      <c r="B370" s="37" t="s">
        <v>12</v>
      </c>
      <c r="C370" s="14" t="s">
        <v>746</v>
      </c>
      <c r="D370">
        <v>10713802013</v>
      </c>
      <c r="E370">
        <v>71374351</v>
      </c>
      <c r="F370" s="14">
        <v>983940563</v>
      </c>
      <c r="G370" t="s">
        <v>747</v>
      </c>
      <c r="H370" t="s">
        <v>748</v>
      </c>
      <c r="I370" t="s">
        <v>147</v>
      </c>
      <c r="J370"/>
      <c r="K370" s="1">
        <v>44974</v>
      </c>
      <c r="L370" t="s">
        <v>1438</v>
      </c>
      <c r="M370" s="14" t="s">
        <v>1221</v>
      </c>
      <c r="N370" s="67">
        <v>200</v>
      </c>
      <c r="O370"/>
      <c r="P370" t="s">
        <v>10</v>
      </c>
      <c r="Q370" t="s">
        <v>22</v>
      </c>
      <c r="R370"/>
      <c r="S370" s="69"/>
      <c r="T370" s="112">
        <f>110+12</f>
        <v>122</v>
      </c>
      <c r="U370" s="20">
        <f>N370-T370</f>
        <v>78</v>
      </c>
      <c r="V370" s="61">
        <f>U370/T370*100</f>
        <v>63.934426229508205</v>
      </c>
      <c r="W370" s="73"/>
    </row>
    <row r="371" spans="1:23" s="14" customFormat="1" ht="15" customHeight="1">
      <c r="A371" s="37">
        <v>314</v>
      </c>
      <c r="B371" s="37"/>
      <c r="C371" s="14" t="s">
        <v>749</v>
      </c>
      <c r="D371"/>
      <c r="E371">
        <v>42204528</v>
      </c>
      <c r="F371" s="14">
        <v>972371703</v>
      </c>
      <c r="G371"/>
      <c r="H371" t="s">
        <v>79</v>
      </c>
      <c r="I371" t="s">
        <v>29</v>
      </c>
      <c r="J371"/>
      <c r="K371" s="1">
        <v>44975</v>
      </c>
      <c r="L371" t="s">
        <v>1438</v>
      </c>
      <c r="M371" s="14" t="s">
        <v>1221</v>
      </c>
      <c r="N371" s="67">
        <v>200</v>
      </c>
      <c r="O371"/>
      <c r="P371" t="s">
        <v>10</v>
      </c>
      <c r="Q371" t="s">
        <v>22</v>
      </c>
      <c r="R371"/>
      <c r="S371" s="69"/>
      <c r="T371" s="112">
        <f>110+12</f>
        <v>122</v>
      </c>
      <c r="U371" s="67">
        <f>N371-T371</f>
        <v>78</v>
      </c>
      <c r="V371" s="61">
        <f>U371/T371*100</f>
        <v>63.934426229508205</v>
      </c>
      <c r="W371" s="73"/>
    </row>
    <row r="372" spans="1:23" s="14" customFormat="1" ht="15" customHeight="1">
      <c r="A372" s="45">
        <v>126</v>
      </c>
      <c r="B372" s="37" t="s">
        <v>23</v>
      </c>
      <c r="C372" s="14" t="s">
        <v>365</v>
      </c>
      <c r="E372" s="46"/>
      <c r="F372" s="14">
        <v>987117816</v>
      </c>
      <c r="J372" s="14" t="s">
        <v>58</v>
      </c>
      <c r="K372" s="1">
        <v>44975</v>
      </c>
      <c r="L372" t="s">
        <v>1336</v>
      </c>
      <c r="M372" s="14" t="s">
        <v>8</v>
      </c>
      <c r="N372" s="67">
        <v>30</v>
      </c>
      <c r="O372"/>
      <c r="P372" t="s">
        <v>10</v>
      </c>
      <c r="Q372" t="s">
        <v>22</v>
      </c>
      <c r="R372"/>
      <c r="S372" s="69"/>
      <c r="T372" s="112">
        <v>12</v>
      </c>
      <c r="U372" s="67">
        <f>N372-T372</f>
        <v>18</v>
      </c>
      <c r="V372" s="61">
        <f>U372/T372*100</f>
        <v>150</v>
      </c>
      <c r="W372" s="73"/>
    </row>
    <row r="373" spans="1:23" s="14" customFormat="1" ht="15" customHeight="1">
      <c r="A373" s="37">
        <v>301</v>
      </c>
      <c r="B373" s="37" t="s">
        <v>12</v>
      </c>
      <c r="C373" s="14" t="s">
        <v>729</v>
      </c>
      <c r="D373">
        <v>20604193100</v>
      </c>
      <c r="E373"/>
      <c r="F373">
        <v>999337236</v>
      </c>
      <c r="G373" t="s">
        <v>750</v>
      </c>
      <c r="H373"/>
      <c r="I373"/>
      <c r="J373" t="s">
        <v>731</v>
      </c>
      <c r="K373" s="1">
        <v>44975</v>
      </c>
      <c r="L373" t="s">
        <v>1359</v>
      </c>
      <c r="M373" s="14" t="s">
        <v>8</v>
      </c>
      <c r="N373" s="67">
        <v>120</v>
      </c>
      <c r="O373"/>
      <c r="P373" t="s">
        <v>10</v>
      </c>
      <c r="Q373" t="s">
        <v>11</v>
      </c>
      <c r="R373"/>
      <c r="S373" s="69"/>
      <c r="T373" s="112">
        <v>96</v>
      </c>
      <c r="U373" s="67">
        <f>N373-T373</f>
        <v>24</v>
      </c>
      <c r="V373" s="61">
        <f>U373/T373*100</f>
        <v>25</v>
      </c>
      <c r="W373" s="73"/>
    </row>
    <row r="374" spans="1:23" s="14" customFormat="1" ht="15" customHeight="1">
      <c r="A374" s="37">
        <v>315</v>
      </c>
      <c r="B374" s="37"/>
      <c r="C374" s="14" t="s">
        <v>751</v>
      </c>
      <c r="D374"/>
      <c r="E374">
        <v>40850745</v>
      </c>
      <c r="F374" s="14">
        <v>995680468</v>
      </c>
      <c r="G374"/>
      <c r="H374" t="s">
        <v>36</v>
      </c>
      <c r="I374" t="s">
        <v>29</v>
      </c>
      <c r="J374"/>
      <c r="K374" s="1">
        <v>44977</v>
      </c>
      <c r="L374" t="s">
        <v>1464</v>
      </c>
      <c r="M374" s="14" t="s">
        <v>56</v>
      </c>
      <c r="N374" s="67">
        <v>405</v>
      </c>
      <c r="O374"/>
      <c r="P374" t="s">
        <v>10</v>
      </c>
      <c r="Q374" t="s">
        <v>22</v>
      </c>
      <c r="R374"/>
      <c r="S374" s="69"/>
      <c r="T374" s="112">
        <f>170+15</f>
        <v>185</v>
      </c>
      <c r="U374" s="67">
        <f>N374-T374</f>
        <v>220</v>
      </c>
      <c r="V374" s="61">
        <f>U374/T374*100</f>
        <v>118.91891891891892</v>
      </c>
      <c r="W374" s="73"/>
    </row>
    <row r="375" spans="1:23" s="14" customFormat="1" ht="15" customHeight="1">
      <c r="A375" s="37">
        <v>316</v>
      </c>
      <c r="B375" s="37" t="s">
        <v>12</v>
      </c>
      <c r="C375" s="14" t="s">
        <v>752</v>
      </c>
      <c r="D375">
        <v>1046900089</v>
      </c>
      <c r="E375">
        <v>46900089</v>
      </c>
      <c r="F375" s="14">
        <v>938288058</v>
      </c>
      <c r="G375" t="s">
        <v>753</v>
      </c>
      <c r="H375" t="s">
        <v>266</v>
      </c>
      <c r="I375" t="s">
        <v>29</v>
      </c>
      <c r="J375"/>
      <c r="K375" s="1">
        <v>44977</v>
      </c>
      <c r="L375" t="s">
        <v>1429</v>
      </c>
      <c r="M375" s="14" t="s">
        <v>8</v>
      </c>
      <c r="N375" s="67">
        <v>380</v>
      </c>
      <c r="O375"/>
      <c r="P375" t="s">
        <v>10</v>
      </c>
      <c r="Q375" t="s">
        <v>11</v>
      </c>
      <c r="R375"/>
      <c r="S375" s="69"/>
      <c r="T375" s="112">
        <f>170+15</f>
        <v>185</v>
      </c>
      <c r="U375" s="67">
        <f>N375-T375</f>
        <v>195</v>
      </c>
      <c r="V375" s="61">
        <f>U375/T375*100</f>
        <v>105.40540540540539</v>
      </c>
      <c r="W375" s="73"/>
    </row>
    <row r="376" spans="1:23" s="14" customFormat="1" ht="15" customHeight="1">
      <c r="A376" s="37">
        <v>318</v>
      </c>
      <c r="B376" s="37" t="s">
        <v>12</v>
      </c>
      <c r="C376" s="14" t="s">
        <v>754</v>
      </c>
      <c r="D376">
        <v>10412106593</v>
      </c>
      <c r="E376"/>
      <c r="F376" s="14">
        <v>966371769</v>
      </c>
      <c r="G376" t="s">
        <v>755</v>
      </c>
      <c r="H376"/>
      <c r="I376"/>
      <c r="J376" t="s">
        <v>364</v>
      </c>
      <c r="K376" s="1">
        <v>44979</v>
      </c>
      <c r="L376" t="s">
        <v>1463</v>
      </c>
      <c r="M376" s="14" t="s">
        <v>56</v>
      </c>
      <c r="N376" s="67">
        <v>545</v>
      </c>
      <c r="O376"/>
      <c r="P376" t="s">
        <v>10</v>
      </c>
      <c r="Q376" t="s">
        <v>22</v>
      </c>
      <c r="R376"/>
      <c r="S376" s="69"/>
      <c r="T376" s="112">
        <f>230+48+15</f>
        <v>293</v>
      </c>
      <c r="U376" s="67">
        <f>N376-T376</f>
        <v>252</v>
      </c>
      <c r="V376" s="61">
        <f>U376/T376*100</f>
        <v>86.00682593856655</v>
      </c>
      <c r="W376" s="73"/>
    </row>
    <row r="377" spans="1:23" s="14" customFormat="1" ht="15" customHeight="1">
      <c r="A377" s="37">
        <v>319</v>
      </c>
      <c r="B377" s="37"/>
      <c r="C377" s="14" t="s">
        <v>756</v>
      </c>
      <c r="D377"/>
      <c r="E377"/>
      <c r="F377" s="14">
        <v>947773255</v>
      </c>
      <c r="G377"/>
      <c r="H377"/>
      <c r="I377"/>
      <c r="J377" t="s">
        <v>757</v>
      </c>
      <c r="K377" s="1">
        <v>44980</v>
      </c>
      <c r="L377" t="s">
        <v>1462</v>
      </c>
      <c r="M377" s="14" t="s">
        <v>21</v>
      </c>
      <c r="N377" s="67">
        <v>660</v>
      </c>
      <c r="O377"/>
      <c r="P377" t="s">
        <v>10</v>
      </c>
      <c r="Q377" t="s">
        <v>11</v>
      </c>
      <c r="R377"/>
      <c r="S377" s="69"/>
      <c r="T377" s="112">
        <f>250+15+170</f>
        <v>435</v>
      </c>
      <c r="U377" s="67">
        <f>N377-T377</f>
        <v>225</v>
      </c>
      <c r="V377" s="61">
        <f>U377/T377*100</f>
        <v>51.724137931034484</v>
      </c>
      <c r="W377" s="73"/>
    </row>
    <row r="378" spans="1:23" s="14" customFormat="1" ht="15" customHeight="1">
      <c r="A378" s="37">
        <v>320</v>
      </c>
      <c r="B378" s="37"/>
      <c r="C378" s="14" t="s">
        <v>758</v>
      </c>
      <c r="D378">
        <v>20610586270</v>
      </c>
      <c r="E378"/>
      <c r="F378" s="14">
        <v>912438264</v>
      </c>
      <c r="G378"/>
      <c r="H378"/>
      <c r="I378"/>
      <c r="J378" t="s">
        <v>759</v>
      </c>
      <c r="K378" s="1">
        <v>44981</v>
      </c>
      <c r="L378" t="s">
        <v>1461</v>
      </c>
      <c r="M378" s="14" t="s">
        <v>8</v>
      </c>
      <c r="N378" s="67">
        <v>1220</v>
      </c>
      <c r="O378"/>
      <c r="P378" t="s">
        <v>10</v>
      </c>
      <c r="Q378" t="s">
        <v>11</v>
      </c>
      <c r="R378"/>
      <c r="S378" s="69"/>
      <c r="T378" s="112">
        <f>250+250+170+96</f>
        <v>766</v>
      </c>
      <c r="U378" s="67">
        <f>N378-T378</f>
        <v>454</v>
      </c>
      <c r="V378" s="61">
        <f>U378/T378*100</f>
        <v>59.268929503916446</v>
      </c>
      <c r="W378" s="73"/>
    </row>
    <row r="379" spans="1:23" s="14" customFormat="1" ht="15" customHeight="1">
      <c r="A379" s="37">
        <v>321</v>
      </c>
      <c r="B379" s="37" t="s">
        <v>12</v>
      </c>
      <c r="C379" s="14" t="s">
        <v>760</v>
      </c>
      <c r="D379">
        <v>10738759988</v>
      </c>
      <c r="E379">
        <v>73875998</v>
      </c>
      <c r="F379" s="14">
        <v>965021229</v>
      </c>
      <c r="G379" t="s">
        <v>761</v>
      </c>
      <c r="H379" t="s">
        <v>514</v>
      </c>
      <c r="I379" t="s">
        <v>29</v>
      </c>
      <c r="J379"/>
      <c r="K379" s="1">
        <v>44981</v>
      </c>
      <c r="L379" t="s">
        <v>1460</v>
      </c>
      <c r="M379" s="14" t="s">
        <v>8</v>
      </c>
      <c r="N379" s="67">
        <v>500</v>
      </c>
      <c r="O379"/>
      <c r="P379" t="s">
        <v>10</v>
      </c>
      <c r="Q379" t="s">
        <v>11</v>
      </c>
      <c r="R379"/>
      <c r="S379" s="69"/>
      <c r="T379" s="112">
        <f>250+48</f>
        <v>298</v>
      </c>
      <c r="U379" s="67">
        <f>N379-T379</f>
        <v>202</v>
      </c>
      <c r="V379" s="61">
        <f>U379/T379*100</f>
        <v>67.785234899328856</v>
      </c>
      <c r="W379" s="73"/>
    </row>
    <row r="380" spans="1:23" s="14" customFormat="1" ht="15" customHeight="1">
      <c r="A380" s="37">
        <v>322</v>
      </c>
      <c r="B380" s="37"/>
      <c r="C380" s="14" t="s">
        <v>762</v>
      </c>
      <c r="D380"/>
      <c r="E380">
        <v>29636136</v>
      </c>
      <c r="F380" s="14">
        <v>959627403</v>
      </c>
      <c r="G380"/>
      <c r="H380" t="s">
        <v>199</v>
      </c>
      <c r="I380" t="s">
        <v>29</v>
      </c>
      <c r="J380"/>
      <c r="K380" s="1">
        <v>44982</v>
      </c>
      <c r="L380" t="s">
        <v>1459</v>
      </c>
      <c r="M380" s="14" t="s">
        <v>1221</v>
      </c>
      <c r="N380" s="67">
        <v>700</v>
      </c>
      <c r="O380"/>
      <c r="P380" t="s">
        <v>10</v>
      </c>
      <c r="Q380" t="s">
        <v>22</v>
      </c>
      <c r="R380"/>
      <c r="S380" s="69"/>
      <c r="T380" s="112">
        <f>230+15*4+22*4</f>
        <v>378</v>
      </c>
      <c r="U380" s="67">
        <f>N380-T380</f>
        <v>322</v>
      </c>
      <c r="V380" s="61">
        <f>U380/T380*100</f>
        <v>85.18518518518519</v>
      </c>
      <c r="W380" s="73"/>
    </row>
    <row r="381" spans="1:23" s="14" customFormat="1" ht="15" customHeight="1">
      <c r="A381" s="37">
        <v>323</v>
      </c>
      <c r="B381" s="37"/>
      <c r="C381" s="14" t="s">
        <v>763</v>
      </c>
      <c r="D381"/>
      <c r="E381">
        <v>41939638</v>
      </c>
      <c r="F381" s="14">
        <v>926655669</v>
      </c>
      <c r="G381"/>
      <c r="H381"/>
      <c r="I381"/>
      <c r="J381" t="s">
        <v>765</v>
      </c>
      <c r="K381" s="1">
        <v>44982</v>
      </c>
      <c r="L381" t="s">
        <v>1458</v>
      </c>
      <c r="M381" s="14" t="s">
        <v>21</v>
      </c>
      <c r="N381" s="67">
        <v>550</v>
      </c>
      <c r="O381"/>
      <c r="P381" t="s">
        <v>10</v>
      </c>
      <c r="Q381" t="s">
        <v>11</v>
      </c>
      <c r="R381"/>
      <c r="S381" s="69"/>
      <c r="T381" s="112">
        <f>96+250</f>
        <v>346</v>
      </c>
      <c r="U381" s="67">
        <f>N381-T381</f>
        <v>204</v>
      </c>
      <c r="V381" s="61">
        <f>U381/T381*100</f>
        <v>58.959537572254341</v>
      </c>
      <c r="W381" s="73"/>
    </row>
    <row r="382" spans="1:23" s="51" customFormat="1" ht="15" customHeight="1">
      <c r="A382" s="50">
        <v>280</v>
      </c>
      <c r="B382" s="50" t="s">
        <v>12</v>
      </c>
      <c r="C382" s="51" t="s">
        <v>672</v>
      </c>
      <c r="D382" s="26"/>
      <c r="E382" s="26"/>
      <c r="F382" s="51">
        <v>960222975</v>
      </c>
      <c r="G382" s="26" t="s">
        <v>766</v>
      </c>
      <c r="H382" s="26"/>
      <c r="I382" s="26"/>
      <c r="J382" s="26" t="s">
        <v>674</v>
      </c>
      <c r="K382" s="27">
        <v>44982</v>
      </c>
      <c r="L382" s="26" t="s">
        <v>1315</v>
      </c>
      <c r="M382" s="51" t="s">
        <v>8</v>
      </c>
      <c r="N382" s="53">
        <v>130</v>
      </c>
      <c r="O382" s="26"/>
      <c r="P382" s="26" t="s">
        <v>10</v>
      </c>
      <c r="Q382" s="26" t="s">
        <v>11</v>
      </c>
      <c r="R382" s="26"/>
      <c r="S382" s="83"/>
      <c r="T382" s="124">
        <v>96</v>
      </c>
      <c r="U382" s="53">
        <f>N382-T382</f>
        <v>34</v>
      </c>
      <c r="V382" s="71">
        <f>U382/T382*100</f>
        <v>35.416666666666671</v>
      </c>
      <c r="W382" s="82"/>
    </row>
    <row r="383" spans="1:23" s="14" customFormat="1" ht="15" customHeight="1">
      <c r="A383" s="37">
        <v>324</v>
      </c>
      <c r="B383" s="37"/>
      <c r="C383" s="14" t="s">
        <v>767</v>
      </c>
      <c r="D383"/>
      <c r="E383">
        <v>20036143</v>
      </c>
      <c r="F383" s="14">
        <v>953607712</v>
      </c>
      <c r="G383"/>
      <c r="H383" t="s">
        <v>768</v>
      </c>
      <c r="I383" t="s">
        <v>29</v>
      </c>
      <c r="J383"/>
      <c r="K383" s="1">
        <v>44984</v>
      </c>
      <c r="L383" t="s">
        <v>1438</v>
      </c>
      <c r="M383" s="14" t="s">
        <v>1221</v>
      </c>
      <c r="N383" s="67">
        <v>200</v>
      </c>
      <c r="O383"/>
      <c r="P383" t="s">
        <v>10</v>
      </c>
      <c r="Q383" t="s">
        <v>22</v>
      </c>
      <c r="R383"/>
      <c r="S383" s="69"/>
      <c r="T383" s="112">
        <f>110+12</f>
        <v>122</v>
      </c>
      <c r="U383" s="67">
        <f>N383-T383</f>
        <v>78</v>
      </c>
      <c r="V383" s="61">
        <f>U383/T383*100</f>
        <v>63.934426229508205</v>
      </c>
      <c r="W383" s="73"/>
    </row>
    <row r="384" spans="1:23" s="14" customFormat="1" ht="15" customHeight="1">
      <c r="A384" s="37">
        <v>325</v>
      </c>
      <c r="B384" s="37" t="s">
        <v>12</v>
      </c>
      <c r="C384" s="14" t="s">
        <v>769</v>
      </c>
      <c r="D384">
        <v>20603193149</v>
      </c>
      <c r="E384"/>
      <c r="F384" s="14">
        <v>944919223</v>
      </c>
      <c r="G384" t="s">
        <v>770</v>
      </c>
      <c r="H384"/>
      <c r="I384"/>
      <c r="J384" t="s">
        <v>771</v>
      </c>
      <c r="K384" s="1">
        <v>44984</v>
      </c>
      <c r="L384" t="s">
        <v>1457</v>
      </c>
      <c r="M384" s="14" t="s">
        <v>8</v>
      </c>
      <c r="N384" s="67">
        <v>520</v>
      </c>
      <c r="O384"/>
      <c r="P384" t="s">
        <v>10</v>
      </c>
      <c r="Q384" t="s">
        <v>11</v>
      </c>
      <c r="R384"/>
      <c r="S384" s="69"/>
      <c r="T384" s="112">
        <f>230+22+22</f>
        <v>274</v>
      </c>
      <c r="U384" s="67">
        <f>N384-T384</f>
        <v>246</v>
      </c>
      <c r="V384" s="61">
        <f>U384/T384*100</f>
        <v>89.78102189781022</v>
      </c>
      <c r="W384" s="73"/>
    </row>
    <row r="385" spans="1:23" s="14" customFormat="1" ht="15" customHeight="1">
      <c r="A385" s="37">
        <v>326</v>
      </c>
      <c r="B385" s="37"/>
      <c r="C385" s="14" t="s">
        <v>772</v>
      </c>
      <c r="D385"/>
      <c r="E385">
        <v>77329479</v>
      </c>
      <c r="F385" s="14">
        <v>921550137</v>
      </c>
      <c r="G385"/>
      <c r="H385" t="s">
        <v>507</v>
      </c>
      <c r="I385" t="s">
        <v>29</v>
      </c>
      <c r="J385"/>
      <c r="K385" s="1">
        <v>44985</v>
      </c>
      <c r="L385" t="s">
        <v>1456</v>
      </c>
      <c r="M385" s="14" t="s">
        <v>38</v>
      </c>
      <c r="N385" s="67">
        <v>670</v>
      </c>
      <c r="O385"/>
      <c r="P385" t="s">
        <v>10</v>
      </c>
      <c r="Q385" t="s">
        <v>22</v>
      </c>
      <c r="R385"/>
      <c r="S385" s="69"/>
      <c r="T385" s="112">
        <f>110+230+30</f>
        <v>370</v>
      </c>
      <c r="U385" s="67">
        <f>N385-T385</f>
        <v>300</v>
      </c>
      <c r="V385" s="61">
        <f>U385/T385*100</f>
        <v>81.081081081081081</v>
      </c>
      <c r="W385" s="73"/>
    </row>
    <row r="386" spans="1:23" s="14" customFormat="1" ht="15" customHeight="1">
      <c r="A386" s="37">
        <v>327</v>
      </c>
      <c r="B386" s="37"/>
      <c r="C386" s="14" t="s">
        <v>773</v>
      </c>
      <c r="D386"/>
      <c r="E386">
        <v>73883251</v>
      </c>
      <c r="F386" s="14">
        <v>943736485</v>
      </c>
      <c r="G386"/>
      <c r="H386" t="s">
        <v>774</v>
      </c>
      <c r="I386" t="s">
        <v>29</v>
      </c>
      <c r="J386"/>
      <c r="K386" s="1">
        <v>44985</v>
      </c>
      <c r="L386" t="s">
        <v>1438</v>
      </c>
      <c r="M386" s="14" t="s">
        <v>1221</v>
      </c>
      <c r="N386" s="67">
        <v>200</v>
      </c>
      <c r="O386"/>
      <c r="P386" t="s">
        <v>10</v>
      </c>
      <c r="Q386" t="s">
        <v>22</v>
      </c>
      <c r="R386"/>
      <c r="S386" s="69"/>
      <c r="T386" s="112">
        <f>110+12</f>
        <v>122</v>
      </c>
      <c r="U386" s="67">
        <f>N386-T386</f>
        <v>78</v>
      </c>
      <c r="V386" s="61">
        <f>U386/T386*100</f>
        <v>63.934426229508205</v>
      </c>
      <c r="W386" s="73"/>
    </row>
    <row r="387" spans="1:23" s="14" customFormat="1" ht="15" customHeight="1">
      <c r="A387" s="37">
        <v>328</v>
      </c>
      <c r="B387" s="37"/>
      <c r="C387" s="14" t="s">
        <v>775</v>
      </c>
      <c r="D387"/>
      <c r="E387">
        <v>46589743</v>
      </c>
      <c r="F387" s="14">
        <v>950880614</v>
      </c>
      <c r="G387"/>
      <c r="H387" t="s">
        <v>405</v>
      </c>
      <c r="I387" t="s">
        <v>140</v>
      </c>
      <c r="J387"/>
      <c r="K387" s="1">
        <v>44985</v>
      </c>
      <c r="L387" t="s">
        <v>1438</v>
      </c>
      <c r="M387" s="14" t="s">
        <v>1221</v>
      </c>
      <c r="N387" s="67">
        <v>200</v>
      </c>
      <c r="O387"/>
      <c r="P387" t="s">
        <v>10</v>
      </c>
      <c r="Q387" t="s">
        <v>22</v>
      </c>
      <c r="R387"/>
      <c r="S387" s="69"/>
      <c r="T387" s="112">
        <f>110+12</f>
        <v>122</v>
      </c>
      <c r="U387" s="67">
        <f>N387-T387</f>
        <v>78</v>
      </c>
      <c r="V387" s="61">
        <f>U387/T387*100</f>
        <v>63.934426229508205</v>
      </c>
      <c r="W387" s="73"/>
    </row>
    <row r="388" spans="1:23" s="14" customFormat="1" ht="15" customHeight="1">
      <c r="A388" s="37">
        <v>329</v>
      </c>
      <c r="B388" s="37" t="s">
        <v>60</v>
      </c>
      <c r="C388" s="14" t="s">
        <v>776</v>
      </c>
      <c r="D388"/>
      <c r="E388">
        <v>44714398</v>
      </c>
      <c r="F388" s="14">
        <v>964926779</v>
      </c>
      <c r="G388" t="s">
        <v>777</v>
      </c>
      <c r="H388" t="s">
        <v>48</v>
      </c>
      <c r="I388" t="s">
        <v>29</v>
      </c>
      <c r="J388"/>
      <c r="K388" s="1">
        <v>44985</v>
      </c>
      <c r="L388" t="s">
        <v>1455</v>
      </c>
      <c r="M388" s="14" t="s">
        <v>8</v>
      </c>
      <c r="N388" s="67">
        <v>2550</v>
      </c>
      <c r="O388"/>
      <c r="P388" t="s">
        <v>10</v>
      </c>
      <c r="Q388" t="s">
        <v>11</v>
      </c>
      <c r="R388"/>
      <c r="S388" s="69"/>
      <c r="T388" s="112">
        <f>230*4+6*15+109*4</f>
        <v>1446</v>
      </c>
      <c r="U388" s="67">
        <f>N388-T388</f>
        <v>1104</v>
      </c>
      <c r="V388" s="61">
        <f>U388/T388*100</f>
        <v>76.348547717842322</v>
      </c>
      <c r="W388" s="73"/>
    </row>
    <row r="389" spans="1:23" s="40" customFormat="1" ht="15" customHeight="1">
      <c r="A389" s="39">
        <v>330</v>
      </c>
      <c r="B389" s="39"/>
      <c r="C389" s="40" t="s">
        <v>778</v>
      </c>
      <c r="D389" s="41"/>
      <c r="E389" s="41"/>
      <c r="F389" s="40">
        <v>992080769</v>
      </c>
      <c r="G389" s="41"/>
      <c r="H389" s="41"/>
      <c r="I389" s="41"/>
      <c r="J389" s="41" t="s">
        <v>779</v>
      </c>
      <c r="K389" s="47">
        <v>44986</v>
      </c>
      <c r="L389" s="41" t="s">
        <v>1436</v>
      </c>
      <c r="M389" s="40" t="s">
        <v>1221</v>
      </c>
      <c r="N389" s="48">
        <v>350</v>
      </c>
      <c r="O389" s="41"/>
      <c r="P389" s="41" t="s">
        <v>10</v>
      </c>
      <c r="Q389" s="41" t="s">
        <v>22</v>
      </c>
      <c r="R389" s="41"/>
      <c r="S389" s="49"/>
      <c r="T389" s="126">
        <f>170+15</f>
        <v>185</v>
      </c>
      <c r="U389" s="48">
        <f>N389-T389</f>
        <v>165</v>
      </c>
      <c r="V389" s="68">
        <f>U389/T389*100</f>
        <v>89.189189189189193</v>
      </c>
      <c r="W389" s="81"/>
    </row>
    <row r="390" spans="1:23" s="14" customFormat="1" ht="15" customHeight="1">
      <c r="A390" s="37">
        <v>331</v>
      </c>
      <c r="B390" s="37" t="s">
        <v>12</v>
      </c>
      <c r="C390" s="14" t="s">
        <v>780</v>
      </c>
      <c r="D390"/>
      <c r="E390">
        <v>70247203</v>
      </c>
      <c r="F390" s="14">
        <v>931662707</v>
      </c>
      <c r="G390" t="s">
        <v>781</v>
      </c>
      <c r="H390" t="s">
        <v>782</v>
      </c>
      <c r="I390" t="s">
        <v>147</v>
      </c>
      <c r="J390"/>
      <c r="K390" s="1">
        <v>44987</v>
      </c>
      <c r="L390" t="s">
        <v>1454</v>
      </c>
      <c r="M390" s="14" t="s">
        <v>1221</v>
      </c>
      <c r="N390" s="67">
        <v>440</v>
      </c>
      <c r="O390"/>
      <c r="P390" t="s">
        <v>10</v>
      </c>
      <c r="Q390" t="s">
        <v>22</v>
      </c>
      <c r="R390"/>
      <c r="S390" s="69"/>
      <c r="T390" s="112">
        <f>240+30</f>
        <v>270</v>
      </c>
      <c r="U390" s="67">
        <f>N390-T390</f>
        <v>170</v>
      </c>
      <c r="V390" s="61">
        <f>U390/T390*100</f>
        <v>62.962962962962962</v>
      </c>
      <c r="W390" s="73"/>
    </row>
    <row r="391" spans="1:23" s="14" customFormat="1" ht="15" customHeight="1">
      <c r="A391" s="37">
        <v>332</v>
      </c>
      <c r="B391" s="37"/>
      <c r="C391" s="14" t="s">
        <v>783</v>
      </c>
      <c r="D391"/>
      <c r="E391" s="38">
        <v>3896516</v>
      </c>
      <c r="F391" s="14">
        <v>952946964</v>
      </c>
      <c r="G391"/>
      <c r="H391" t="s">
        <v>74</v>
      </c>
      <c r="I391" t="s">
        <v>29</v>
      </c>
      <c r="J391"/>
      <c r="K391" s="1">
        <v>44988</v>
      </c>
      <c r="L391" t="s">
        <v>1453</v>
      </c>
      <c r="M391" s="14" t="s">
        <v>8</v>
      </c>
      <c r="N391" s="67">
        <v>400</v>
      </c>
      <c r="O391"/>
      <c r="P391" t="s">
        <v>10</v>
      </c>
      <c r="Q391" t="s">
        <v>11</v>
      </c>
      <c r="R391"/>
      <c r="S391" s="69"/>
      <c r="T391" s="112">
        <v>230</v>
      </c>
      <c r="U391" s="67">
        <f>N391-T391</f>
        <v>170</v>
      </c>
      <c r="V391" s="61">
        <f>U391/T391*100</f>
        <v>73.91304347826086</v>
      </c>
      <c r="W391" s="73"/>
    </row>
    <row r="392" spans="1:23" s="14" customFormat="1" ht="15" customHeight="1">
      <c r="A392" s="45">
        <v>147</v>
      </c>
      <c r="B392" s="37" t="s">
        <v>23</v>
      </c>
      <c r="C392" s="14" t="s">
        <v>413</v>
      </c>
      <c r="E392"/>
      <c r="F392" s="14">
        <v>955263462</v>
      </c>
      <c r="J392" s="14" t="s">
        <v>414</v>
      </c>
      <c r="K392" s="1">
        <v>44988</v>
      </c>
      <c r="L392" t="s">
        <v>1452</v>
      </c>
      <c r="M392" s="14" t="s">
        <v>8</v>
      </c>
      <c r="N392" s="54">
        <v>220</v>
      </c>
      <c r="P392" t="s">
        <v>10</v>
      </c>
      <c r="Q392" t="s">
        <v>11</v>
      </c>
      <c r="S392" s="69"/>
      <c r="T392" s="112">
        <v>150</v>
      </c>
      <c r="U392" s="20">
        <f>N392-T392</f>
        <v>70</v>
      </c>
      <c r="V392" s="61">
        <f>U392/T392*100</f>
        <v>46.666666666666664</v>
      </c>
      <c r="W392" s="73"/>
    </row>
    <row r="393" spans="1:23" s="14" customFormat="1" ht="15" customHeight="1">
      <c r="A393" s="37">
        <v>334</v>
      </c>
      <c r="B393" s="37"/>
      <c r="C393" s="14" t="s">
        <v>784</v>
      </c>
      <c r="D393"/>
      <c r="E393">
        <v>42504333</v>
      </c>
      <c r="F393" s="14">
        <v>983047649</v>
      </c>
      <c r="G393"/>
      <c r="H393" t="s">
        <v>1196</v>
      </c>
      <c r="I393" t="s">
        <v>29</v>
      </c>
      <c r="J393"/>
      <c r="K393" s="1">
        <v>44988</v>
      </c>
      <c r="L393" t="s">
        <v>1451</v>
      </c>
      <c r="M393" s="14" t="s">
        <v>38</v>
      </c>
      <c r="N393" s="67">
        <v>225</v>
      </c>
      <c r="O393"/>
      <c r="P393" t="s">
        <v>10</v>
      </c>
      <c r="Q393" t="s">
        <v>11</v>
      </c>
      <c r="R393"/>
      <c r="S393" s="69"/>
      <c r="T393" s="112">
        <f>110+24</f>
        <v>134</v>
      </c>
      <c r="U393" s="67">
        <f>N393-T393</f>
        <v>91</v>
      </c>
      <c r="V393" s="61">
        <f>U393/T393*100</f>
        <v>67.910447761194021</v>
      </c>
      <c r="W393" s="73"/>
    </row>
    <row r="394" spans="1:23" s="14" customFormat="1" ht="15" customHeight="1">
      <c r="A394" s="37">
        <v>335</v>
      </c>
      <c r="B394" s="37"/>
      <c r="C394" s="14" t="s">
        <v>785</v>
      </c>
      <c r="D394"/>
      <c r="E394">
        <v>47403429</v>
      </c>
      <c r="F394" s="14">
        <v>997708634</v>
      </c>
      <c r="G394"/>
      <c r="H394" t="s">
        <v>1450</v>
      </c>
      <c r="I394" t="s">
        <v>786</v>
      </c>
      <c r="J394"/>
      <c r="K394" s="1">
        <v>44988</v>
      </c>
      <c r="L394" t="s">
        <v>1449</v>
      </c>
      <c r="M394" s="14" t="s">
        <v>1221</v>
      </c>
      <c r="N394" s="67">
        <v>450</v>
      </c>
      <c r="O394"/>
      <c r="P394" t="s">
        <v>10</v>
      </c>
      <c r="Q394" t="s">
        <v>22</v>
      </c>
      <c r="R394"/>
      <c r="S394" s="69"/>
      <c r="T394" s="112">
        <f>250+5</f>
        <v>255</v>
      </c>
      <c r="U394" s="67">
        <f>N394-T394</f>
        <v>195</v>
      </c>
      <c r="V394" s="61">
        <f>U394/T394*100</f>
        <v>76.470588235294116</v>
      </c>
      <c r="W394" s="73"/>
    </row>
    <row r="395" spans="1:23" s="14" customFormat="1" ht="15" customHeight="1">
      <c r="A395" s="43">
        <v>133</v>
      </c>
      <c r="B395" s="39" t="s">
        <v>23</v>
      </c>
      <c r="C395" s="40" t="s">
        <v>384</v>
      </c>
      <c r="D395" s="40"/>
      <c r="E395" s="44"/>
      <c r="F395" s="40">
        <v>993104850</v>
      </c>
      <c r="G395" s="40"/>
      <c r="H395" s="40"/>
      <c r="I395" s="40"/>
      <c r="J395" s="40" t="s">
        <v>385</v>
      </c>
      <c r="K395" s="47">
        <v>44988</v>
      </c>
      <c r="L395" s="41" t="s">
        <v>1448</v>
      </c>
      <c r="M395" s="40" t="s">
        <v>1221</v>
      </c>
      <c r="N395" s="49">
        <v>630</v>
      </c>
      <c r="O395" s="40"/>
      <c r="P395" s="41" t="s">
        <v>10</v>
      </c>
      <c r="Q395" s="41" t="s">
        <v>22</v>
      </c>
      <c r="R395" s="40"/>
      <c r="S395" s="69"/>
      <c r="T395" s="112">
        <f>190+190+45</f>
        <v>425</v>
      </c>
      <c r="U395" s="67">
        <f>N395-T395</f>
        <v>205</v>
      </c>
      <c r="V395" s="61">
        <f>U395/T395*100</f>
        <v>48.235294117647058</v>
      </c>
      <c r="W395" s="73"/>
    </row>
    <row r="396" spans="1:23" s="14" customFormat="1" ht="15" customHeight="1">
      <c r="A396" s="37">
        <v>333</v>
      </c>
      <c r="B396" s="37" t="s">
        <v>12</v>
      </c>
      <c r="C396" s="14" t="s">
        <v>787</v>
      </c>
      <c r="D396"/>
      <c r="E396">
        <v>44046563</v>
      </c>
      <c r="F396" s="14">
        <v>949563282</v>
      </c>
      <c r="G396" t="s">
        <v>788</v>
      </c>
      <c r="H396" t="s">
        <v>1439</v>
      </c>
      <c r="I396" t="s">
        <v>789</v>
      </c>
      <c r="J396"/>
      <c r="K396" s="1">
        <v>44988</v>
      </c>
      <c r="L396" t="s">
        <v>1445</v>
      </c>
      <c r="M396" s="14" t="s">
        <v>8</v>
      </c>
      <c r="N396" s="67">
        <v>440</v>
      </c>
      <c r="O396"/>
      <c r="P396" t="s">
        <v>10</v>
      </c>
      <c r="Q396" t="s">
        <v>11</v>
      </c>
      <c r="R396"/>
      <c r="S396" s="69"/>
      <c r="T396" s="112">
        <v>250</v>
      </c>
      <c r="U396" s="67">
        <f>N396-T396</f>
        <v>190</v>
      </c>
      <c r="V396" s="61">
        <f>U396/T396*100</f>
        <v>76</v>
      </c>
      <c r="W396" s="73"/>
    </row>
    <row r="397" spans="1:23" s="14" customFormat="1" ht="15" customHeight="1">
      <c r="A397" s="37">
        <v>336</v>
      </c>
      <c r="B397" s="37"/>
      <c r="C397" s="14" t="s">
        <v>790</v>
      </c>
      <c r="D397"/>
      <c r="E397"/>
      <c r="F397" s="14">
        <v>962225919</v>
      </c>
      <c r="G397"/>
      <c r="H397"/>
      <c r="I397"/>
      <c r="J397" t="s">
        <v>791</v>
      </c>
      <c r="K397" s="1">
        <v>44989</v>
      </c>
      <c r="L397" t="s">
        <v>1438</v>
      </c>
      <c r="M397" s="14" t="s">
        <v>56</v>
      </c>
      <c r="N397" s="67">
        <v>200</v>
      </c>
      <c r="O397"/>
      <c r="P397" t="s">
        <v>10</v>
      </c>
      <c r="Q397" t="s">
        <v>22</v>
      </c>
      <c r="R397"/>
      <c r="S397" s="69"/>
      <c r="T397" s="112">
        <f>110+12</f>
        <v>122</v>
      </c>
      <c r="U397" s="67">
        <f>N397-T397</f>
        <v>78</v>
      </c>
      <c r="V397" s="61">
        <f>U397/T397*100</f>
        <v>63.934426229508205</v>
      </c>
      <c r="W397" s="73"/>
    </row>
    <row r="398" spans="1:23" s="14" customFormat="1" ht="15" customHeight="1">
      <c r="A398" s="37">
        <v>338</v>
      </c>
      <c r="B398" s="37"/>
      <c r="C398" s="14" t="s">
        <v>792</v>
      </c>
      <c r="D398"/>
      <c r="E398"/>
      <c r="F398" s="14">
        <v>983725219</v>
      </c>
      <c r="G398"/>
      <c r="H398"/>
      <c r="I398"/>
      <c r="J398" t="s">
        <v>793</v>
      </c>
      <c r="K398" s="1">
        <v>44991</v>
      </c>
      <c r="L398" t="s">
        <v>1447</v>
      </c>
      <c r="M398" s="14" t="s">
        <v>8</v>
      </c>
      <c r="N398" s="67">
        <v>1080</v>
      </c>
      <c r="O398"/>
      <c r="P398" t="s">
        <v>10</v>
      </c>
      <c r="Q398" t="s">
        <v>11</v>
      </c>
      <c r="R398"/>
      <c r="S398" s="69"/>
      <c r="T398" s="112">
        <f>240+240+240+15</f>
        <v>735</v>
      </c>
      <c r="U398" s="67">
        <f>N398-T398</f>
        <v>345</v>
      </c>
      <c r="V398" s="61">
        <f>U398/T398*100</f>
        <v>46.938775510204081</v>
      </c>
      <c r="W398" s="73"/>
    </row>
    <row r="399" spans="1:23" s="14" customFormat="1" ht="15" customHeight="1">
      <c r="A399" s="37">
        <v>337</v>
      </c>
      <c r="B399" s="37"/>
      <c r="C399" s="14" t="s">
        <v>794</v>
      </c>
      <c r="D399">
        <v>20600499476</v>
      </c>
      <c r="E399"/>
      <c r="F399" s="14">
        <v>942168005</v>
      </c>
      <c r="G399" t="s">
        <v>795</v>
      </c>
      <c r="H399"/>
      <c r="I399"/>
      <c r="J399" t="s">
        <v>144</v>
      </c>
      <c r="K399" s="1">
        <v>44991</v>
      </c>
      <c r="L399" t="s">
        <v>1446</v>
      </c>
      <c r="M399" s="14" t="s">
        <v>21</v>
      </c>
      <c r="N399" s="67">
        <v>605</v>
      </c>
      <c r="O399"/>
      <c r="P399" t="s">
        <v>10</v>
      </c>
      <c r="Q399" t="s">
        <v>22</v>
      </c>
      <c r="R399"/>
      <c r="S399" s="69"/>
      <c r="T399" s="112">
        <f>15+25+22+230</f>
        <v>292</v>
      </c>
      <c r="U399" s="67">
        <f>N399-T399</f>
        <v>313</v>
      </c>
      <c r="V399" s="61">
        <f>U399/T399*100</f>
        <v>107.1917808219178</v>
      </c>
      <c r="W399" s="73"/>
    </row>
    <row r="400" spans="1:23" s="14" customFormat="1" ht="15" customHeight="1">
      <c r="A400" s="37">
        <v>340</v>
      </c>
      <c r="B400" s="37"/>
      <c r="C400" s="14" t="s">
        <v>796</v>
      </c>
      <c r="D400"/>
      <c r="E400">
        <v>43998478</v>
      </c>
      <c r="F400" s="14">
        <v>969400036</v>
      </c>
      <c r="G400"/>
      <c r="H400" t="s">
        <v>89</v>
      </c>
      <c r="I400" t="s">
        <v>797</v>
      </c>
      <c r="J400"/>
      <c r="K400" s="1">
        <v>44993</v>
      </c>
      <c r="L400" t="s">
        <v>1445</v>
      </c>
      <c r="M400" s="14" t="s">
        <v>8</v>
      </c>
      <c r="N400" s="48">
        <v>428</v>
      </c>
      <c r="O400"/>
      <c r="P400" t="s">
        <v>10</v>
      </c>
      <c r="Q400" t="s">
        <v>11</v>
      </c>
      <c r="R400"/>
      <c r="S400" s="69"/>
      <c r="T400" s="112">
        <f>250+5</f>
        <v>255</v>
      </c>
      <c r="U400" s="67">
        <f>N400-T400</f>
        <v>173</v>
      </c>
      <c r="V400" s="61">
        <f>U400/T400*100</f>
        <v>67.843137254901961</v>
      </c>
      <c r="W400" s="73"/>
    </row>
    <row r="401" spans="1:23" s="14" customFormat="1" ht="15" customHeight="1">
      <c r="A401" s="37">
        <v>339</v>
      </c>
      <c r="B401" s="37" t="s">
        <v>12</v>
      </c>
      <c r="C401" s="14" t="s">
        <v>798</v>
      </c>
      <c r="D401">
        <v>20607696803</v>
      </c>
      <c r="E401"/>
      <c r="F401" s="14">
        <v>979002964</v>
      </c>
      <c r="G401" t="s">
        <v>799</v>
      </c>
      <c r="H401"/>
      <c r="I401"/>
      <c r="J401" t="s">
        <v>7</v>
      </c>
      <c r="K401" s="1">
        <v>44993</v>
      </c>
      <c r="L401" t="s">
        <v>1444</v>
      </c>
      <c r="M401" s="14" t="s">
        <v>1443</v>
      </c>
      <c r="N401" s="67">
        <v>580</v>
      </c>
      <c r="O401"/>
      <c r="P401" t="s">
        <v>10</v>
      </c>
      <c r="Q401" t="s">
        <v>22</v>
      </c>
      <c r="R401"/>
      <c r="S401" s="69"/>
      <c r="T401" s="112">
        <f>200+15*6</f>
        <v>290</v>
      </c>
      <c r="U401" s="67">
        <f>N401-T401</f>
        <v>290</v>
      </c>
      <c r="V401" s="61">
        <f>U401/T401*100</f>
        <v>100</v>
      </c>
      <c r="W401" s="73"/>
    </row>
    <row r="402" spans="1:23" s="14" customFormat="1" ht="15" customHeight="1">
      <c r="A402" s="37">
        <v>341</v>
      </c>
      <c r="B402" s="37"/>
      <c r="C402" s="14" t="s">
        <v>800</v>
      </c>
      <c r="D402"/>
      <c r="E402">
        <v>42226905</v>
      </c>
      <c r="F402" s="14">
        <v>947696480</v>
      </c>
      <c r="G402"/>
      <c r="H402" t="s">
        <v>774</v>
      </c>
      <c r="I402" t="s">
        <v>29</v>
      </c>
      <c r="J402"/>
      <c r="K402" s="1">
        <v>44994</v>
      </c>
      <c r="L402" t="s">
        <v>1438</v>
      </c>
      <c r="M402" s="14" t="s">
        <v>1221</v>
      </c>
      <c r="N402" s="67">
        <v>200</v>
      </c>
      <c r="O402"/>
      <c r="P402" t="s">
        <v>10</v>
      </c>
      <c r="Q402" t="s">
        <v>22</v>
      </c>
      <c r="R402"/>
      <c r="S402" s="69"/>
      <c r="T402" s="112">
        <f>110+12</f>
        <v>122</v>
      </c>
      <c r="U402" s="67">
        <f>N402-T402</f>
        <v>78</v>
      </c>
      <c r="V402" s="61">
        <f>U402/T402*100</f>
        <v>63.934426229508205</v>
      </c>
      <c r="W402" s="73"/>
    </row>
    <row r="403" spans="1:23" s="14" customFormat="1" ht="15" customHeight="1">
      <c r="A403" s="37">
        <v>344</v>
      </c>
      <c r="B403" s="37"/>
      <c r="C403" s="14" t="s">
        <v>801</v>
      </c>
      <c r="D403"/>
      <c r="E403"/>
      <c r="F403" s="14">
        <v>986116633</v>
      </c>
      <c r="G403"/>
      <c r="H403"/>
      <c r="I403"/>
      <c r="J403" t="s">
        <v>155</v>
      </c>
      <c r="K403" s="1">
        <v>44994</v>
      </c>
      <c r="L403" t="s">
        <v>1442</v>
      </c>
      <c r="M403" s="14" t="s">
        <v>1221</v>
      </c>
      <c r="N403" s="67">
        <v>750</v>
      </c>
      <c r="O403"/>
      <c r="P403" t="s">
        <v>10</v>
      </c>
      <c r="Q403" t="s">
        <v>22</v>
      </c>
      <c r="R403"/>
      <c r="S403" s="69"/>
      <c r="T403" s="112">
        <f>230+15*8+15*2</f>
        <v>380</v>
      </c>
      <c r="U403" s="113">
        <f>N403-T403</f>
        <v>370</v>
      </c>
      <c r="V403" s="114">
        <f>U403/T403*100</f>
        <v>97.368421052631575</v>
      </c>
      <c r="W403" s="73"/>
    </row>
    <row r="404" spans="1:23" s="14" customFormat="1" ht="15" customHeight="1">
      <c r="A404" s="37">
        <v>342</v>
      </c>
      <c r="B404" s="37" t="s">
        <v>12</v>
      </c>
      <c r="C404" s="14" t="s">
        <v>802</v>
      </c>
      <c r="D404"/>
      <c r="E404">
        <v>42077238</v>
      </c>
      <c r="F404" s="14">
        <v>935817476</v>
      </c>
      <c r="G404" t="s">
        <v>803</v>
      </c>
      <c r="H404" t="s">
        <v>681</v>
      </c>
      <c r="I404" t="s">
        <v>29</v>
      </c>
      <c r="J404"/>
      <c r="K404" s="1">
        <v>44994</v>
      </c>
      <c r="L404" t="s">
        <v>1441</v>
      </c>
      <c r="M404" s="14" t="s">
        <v>1440</v>
      </c>
      <c r="N404" s="67">
        <v>810</v>
      </c>
      <c r="O404"/>
      <c r="P404" t="s">
        <v>10</v>
      </c>
      <c r="Q404" t="s">
        <v>11</v>
      </c>
      <c r="R404"/>
      <c r="S404" s="69"/>
      <c r="T404" s="112">
        <f>230+150+170+15</f>
        <v>565</v>
      </c>
      <c r="U404" s="113">
        <f>N404-T404</f>
        <v>245</v>
      </c>
      <c r="V404" s="114">
        <f>U404/T404*100</f>
        <v>43.362831858407077</v>
      </c>
      <c r="W404" s="73"/>
    </row>
    <row r="405" spans="1:23" s="14" customFormat="1" ht="15" customHeight="1">
      <c r="A405" s="37">
        <v>343</v>
      </c>
      <c r="B405" s="37" t="s">
        <v>12</v>
      </c>
      <c r="C405" s="14" t="s">
        <v>804</v>
      </c>
      <c r="D405">
        <v>10068059335</v>
      </c>
      <c r="E405"/>
      <c r="F405" s="14">
        <v>948578164</v>
      </c>
      <c r="G405" t="s">
        <v>805</v>
      </c>
      <c r="H405"/>
      <c r="I405"/>
      <c r="J405" t="s">
        <v>806</v>
      </c>
      <c r="K405" s="1">
        <v>44994</v>
      </c>
      <c r="L405" t="s">
        <v>1436</v>
      </c>
      <c r="M405" s="14" t="s">
        <v>56</v>
      </c>
      <c r="N405" s="67">
        <v>350</v>
      </c>
      <c r="O405"/>
      <c r="P405" t="s">
        <v>10</v>
      </c>
      <c r="Q405" t="s">
        <v>11</v>
      </c>
      <c r="R405"/>
      <c r="S405" s="69"/>
      <c r="T405" s="112">
        <f>170+15</f>
        <v>185</v>
      </c>
      <c r="U405" s="113">
        <f>N405-T405</f>
        <v>165</v>
      </c>
      <c r="V405" s="114">
        <f>U405/T405*100</f>
        <v>89.189189189189193</v>
      </c>
      <c r="W405" s="73"/>
    </row>
    <row r="406" spans="1:23" s="14" customFormat="1" ht="15" customHeight="1">
      <c r="A406" s="37">
        <v>345</v>
      </c>
      <c r="B406" s="37"/>
      <c r="C406" s="14" t="s">
        <v>807</v>
      </c>
      <c r="D406"/>
      <c r="E406">
        <v>74310096</v>
      </c>
      <c r="F406" s="14">
        <v>922789315</v>
      </c>
      <c r="G406"/>
      <c r="H406" t="s">
        <v>1439</v>
      </c>
      <c r="I406" t="s">
        <v>29</v>
      </c>
      <c r="J406"/>
      <c r="K406" s="1">
        <v>44995</v>
      </c>
      <c r="L406" t="s">
        <v>1438</v>
      </c>
      <c r="M406" s="14" t="s">
        <v>8</v>
      </c>
      <c r="N406" s="67">
        <v>200</v>
      </c>
      <c r="O406"/>
      <c r="P406" t="s">
        <v>10</v>
      </c>
      <c r="Q406" t="s">
        <v>11</v>
      </c>
      <c r="R406"/>
      <c r="S406" s="69"/>
      <c r="T406" s="112">
        <f>110+12</f>
        <v>122</v>
      </c>
      <c r="U406" s="113">
        <f>N406-T406</f>
        <v>78</v>
      </c>
      <c r="V406" s="114">
        <f>U406/T406*100</f>
        <v>63.934426229508205</v>
      </c>
      <c r="W406" s="73"/>
    </row>
    <row r="407" spans="1:23" s="14" customFormat="1" ht="15" customHeight="1">
      <c r="A407" s="37">
        <v>332</v>
      </c>
      <c r="B407" s="37"/>
      <c r="C407" s="14" t="s">
        <v>783</v>
      </c>
      <c r="D407"/>
      <c r="E407" s="38">
        <v>3896516</v>
      </c>
      <c r="F407" s="14">
        <v>952946964</v>
      </c>
      <c r="G407"/>
      <c r="H407" t="s">
        <v>74</v>
      </c>
      <c r="I407" t="s">
        <v>29</v>
      </c>
      <c r="J407"/>
      <c r="K407" s="1">
        <v>44995</v>
      </c>
      <c r="L407" t="s">
        <v>1437</v>
      </c>
      <c r="M407" s="14" t="s">
        <v>8</v>
      </c>
      <c r="N407" s="67">
        <v>125</v>
      </c>
      <c r="O407"/>
      <c r="P407" t="s">
        <v>10</v>
      </c>
      <c r="Q407" t="s">
        <v>11</v>
      </c>
      <c r="R407"/>
      <c r="S407" s="69"/>
      <c r="T407" s="112">
        <f>10*5</f>
        <v>50</v>
      </c>
      <c r="U407" s="113">
        <f>N407-T407</f>
        <v>75</v>
      </c>
      <c r="V407" s="114">
        <f>U407/T407*100</f>
        <v>150</v>
      </c>
      <c r="W407" s="73"/>
    </row>
    <row r="408" spans="1:23" s="14" customFormat="1" ht="15" customHeight="1">
      <c r="A408" s="37">
        <v>346</v>
      </c>
      <c r="B408" s="37"/>
      <c r="C408" s="14" t="s">
        <v>808</v>
      </c>
      <c r="D408"/>
      <c r="E408"/>
      <c r="F408" s="14">
        <v>966678761</v>
      </c>
      <c r="G408"/>
      <c r="H408"/>
      <c r="I408"/>
      <c r="J408" t="s">
        <v>809</v>
      </c>
      <c r="K408" s="1">
        <v>44995</v>
      </c>
      <c r="L408" t="s">
        <v>1436</v>
      </c>
      <c r="M408" s="14" t="s">
        <v>21</v>
      </c>
      <c r="N408" s="67">
        <v>350</v>
      </c>
      <c r="O408"/>
      <c r="P408" t="s">
        <v>10</v>
      </c>
      <c r="Q408" t="s">
        <v>22</v>
      </c>
      <c r="R408"/>
      <c r="S408" s="69"/>
      <c r="T408" s="112">
        <f>170+15</f>
        <v>185</v>
      </c>
      <c r="U408" s="113">
        <f>N408-T408</f>
        <v>165</v>
      </c>
      <c r="V408" s="114">
        <f>U408/T408*100</f>
        <v>89.189189189189193</v>
      </c>
      <c r="W408" s="73"/>
    </row>
    <row r="409" spans="1:23" s="14" customFormat="1" ht="15" customHeight="1">
      <c r="A409" s="37">
        <v>347</v>
      </c>
      <c r="B409" s="37"/>
      <c r="C409" s="14" t="s">
        <v>810</v>
      </c>
      <c r="D409"/>
      <c r="E409">
        <v>74757510</v>
      </c>
      <c r="F409" s="14">
        <v>984558776</v>
      </c>
      <c r="G409"/>
      <c r="H409" t="s">
        <v>1198</v>
      </c>
      <c r="I409" t="s">
        <v>29</v>
      </c>
      <c r="J409"/>
      <c r="K409" s="1">
        <v>44995</v>
      </c>
      <c r="L409" t="s">
        <v>1436</v>
      </c>
      <c r="M409" s="14" t="s">
        <v>8</v>
      </c>
      <c r="N409" s="67">
        <v>350</v>
      </c>
      <c r="O409"/>
      <c r="P409" t="s">
        <v>10</v>
      </c>
      <c r="Q409" t="s">
        <v>11</v>
      </c>
      <c r="R409"/>
      <c r="S409" s="69"/>
      <c r="T409" s="112">
        <f>170+15</f>
        <v>185</v>
      </c>
      <c r="U409" s="113">
        <f>N409-T409</f>
        <v>165</v>
      </c>
      <c r="V409" s="114">
        <f>U409/T409*100</f>
        <v>89.189189189189193</v>
      </c>
      <c r="W409" s="73"/>
    </row>
    <row r="410" spans="1:23" s="14" customFormat="1" ht="15" customHeight="1">
      <c r="A410" s="37">
        <v>348</v>
      </c>
      <c r="B410" s="37"/>
      <c r="C410" s="14" t="s">
        <v>811</v>
      </c>
      <c r="D410"/>
      <c r="E410"/>
      <c r="F410" s="14">
        <v>922171306</v>
      </c>
      <c r="G410"/>
      <c r="H410"/>
      <c r="I410"/>
      <c r="J410" t="s">
        <v>812</v>
      </c>
      <c r="K410" s="1">
        <v>44996</v>
      </c>
      <c r="L410" t="s">
        <v>1435</v>
      </c>
      <c r="M410" s="14" t="s">
        <v>21</v>
      </c>
      <c r="N410" s="48">
        <v>335</v>
      </c>
      <c r="O410"/>
      <c r="P410" t="s">
        <v>10</v>
      </c>
      <c r="Q410" t="s">
        <v>11</v>
      </c>
      <c r="R410"/>
      <c r="S410" s="69"/>
      <c r="T410" s="112">
        <f>190+15</f>
        <v>205</v>
      </c>
      <c r="U410" s="113">
        <f>N410-T410</f>
        <v>130</v>
      </c>
      <c r="V410" s="114">
        <f>U410/T410*100</f>
        <v>63.414634146341463</v>
      </c>
      <c r="W410" s="73"/>
    </row>
    <row r="411" spans="1:23" s="14" customFormat="1" ht="15" customHeight="1">
      <c r="A411" s="37">
        <v>349</v>
      </c>
      <c r="B411" s="37"/>
      <c r="C411" s="14" t="s">
        <v>813</v>
      </c>
      <c r="D411"/>
      <c r="E411">
        <v>63436057</v>
      </c>
      <c r="F411" s="14">
        <v>979494718</v>
      </c>
      <c r="G411"/>
      <c r="H411" t="s">
        <v>814</v>
      </c>
      <c r="I411" t="s">
        <v>29</v>
      </c>
      <c r="J411"/>
      <c r="K411" s="1">
        <v>44996</v>
      </c>
      <c r="L411" t="s">
        <v>1434</v>
      </c>
      <c r="M411" s="14" t="s">
        <v>1221</v>
      </c>
      <c r="N411" s="67">
        <v>795</v>
      </c>
      <c r="O411"/>
      <c r="P411" t="s">
        <v>10</v>
      </c>
      <c r="Q411" t="s">
        <v>22</v>
      </c>
      <c r="R411"/>
      <c r="S411" s="69"/>
      <c r="T411" s="112">
        <f>230+150+49+2*15</f>
        <v>459</v>
      </c>
      <c r="U411" s="113">
        <f>N411-T411</f>
        <v>336</v>
      </c>
      <c r="V411" s="114">
        <f>U411/T411*100</f>
        <v>73.202614379084963</v>
      </c>
      <c r="W411" s="73"/>
    </row>
    <row r="412" spans="1:23" s="14" customFormat="1" ht="15" customHeight="1">
      <c r="A412" s="37">
        <v>350</v>
      </c>
      <c r="B412" s="37"/>
      <c r="C412" s="14" t="s">
        <v>815</v>
      </c>
      <c r="D412"/>
      <c r="E412" s="38">
        <v>4082587</v>
      </c>
      <c r="F412" s="14">
        <v>999088612</v>
      </c>
      <c r="G412"/>
      <c r="H412" t="s">
        <v>816</v>
      </c>
      <c r="I412" t="s">
        <v>817</v>
      </c>
      <c r="J412"/>
      <c r="K412" s="1">
        <v>44999</v>
      </c>
      <c r="L412" t="s">
        <v>1433</v>
      </c>
      <c r="M412" s="14" t="s">
        <v>8</v>
      </c>
      <c r="N412" s="67">
        <v>905</v>
      </c>
      <c r="O412"/>
      <c r="P412" t="s">
        <v>10</v>
      </c>
      <c r="Q412" t="s">
        <v>11</v>
      </c>
      <c r="R412"/>
      <c r="S412" s="69"/>
      <c r="T412" s="112">
        <f>230+150+10+170</f>
        <v>560</v>
      </c>
      <c r="U412" s="113">
        <f>N412-T412</f>
        <v>345</v>
      </c>
      <c r="V412" s="114">
        <f>U412/T412*100</f>
        <v>61.607142857142861</v>
      </c>
      <c r="W412" s="73"/>
    </row>
    <row r="413" spans="1:23" s="14" customFormat="1" ht="15" customHeight="1">
      <c r="A413" s="37">
        <v>351</v>
      </c>
      <c r="B413" s="37"/>
      <c r="C413" s="14" t="s">
        <v>818</v>
      </c>
      <c r="D413"/>
      <c r="E413">
        <v>46630334</v>
      </c>
      <c r="F413" s="14">
        <v>993007908</v>
      </c>
      <c r="G413"/>
      <c r="H413" t="s">
        <v>1432</v>
      </c>
      <c r="I413" t="s">
        <v>29</v>
      </c>
      <c r="J413"/>
      <c r="K413" s="1">
        <v>44999</v>
      </c>
      <c r="L413" t="s">
        <v>1431</v>
      </c>
      <c r="M413" s="14" t="s">
        <v>56</v>
      </c>
      <c r="N413" s="67">
        <v>220</v>
      </c>
      <c r="O413"/>
      <c r="P413" t="s">
        <v>10</v>
      </c>
      <c r="Q413" t="s">
        <v>22</v>
      </c>
      <c r="R413"/>
      <c r="S413" s="69"/>
      <c r="T413" s="112">
        <v>100</v>
      </c>
      <c r="U413" s="113">
        <f>N413-T413</f>
        <v>120</v>
      </c>
      <c r="V413" s="114">
        <f>U413/T413*100</f>
        <v>120</v>
      </c>
      <c r="W413" s="73"/>
    </row>
    <row r="414" spans="1:23" s="14" customFormat="1" ht="15" customHeight="1">
      <c r="A414" s="37">
        <v>352</v>
      </c>
      <c r="B414" s="37"/>
      <c r="C414" s="14" t="s">
        <v>819</v>
      </c>
      <c r="D414"/>
      <c r="E414"/>
      <c r="F414" s="14">
        <v>935775355</v>
      </c>
      <c r="G414"/>
      <c r="H414"/>
      <c r="I414"/>
      <c r="J414" t="s">
        <v>820</v>
      </c>
      <c r="K414" s="1">
        <v>45000</v>
      </c>
      <c r="L414" t="s">
        <v>1430</v>
      </c>
      <c r="M414" s="14" t="s">
        <v>8</v>
      </c>
      <c r="N414" s="67">
        <f>400+25+25</f>
        <v>450</v>
      </c>
      <c r="O414"/>
      <c r="P414" t="s">
        <v>10</v>
      </c>
      <c r="Q414" t="s">
        <v>11</v>
      </c>
      <c r="R414"/>
      <c r="S414" s="69"/>
      <c r="T414" s="112">
        <f>270+15+10+12</f>
        <v>307</v>
      </c>
      <c r="U414" s="113">
        <f>N414-T414</f>
        <v>143</v>
      </c>
      <c r="V414" s="114">
        <f>U414/T414*100</f>
        <v>46.579804560260584</v>
      </c>
      <c r="W414" s="73"/>
    </row>
    <row r="415" spans="1:23" s="14" customFormat="1" ht="15" customHeight="1">
      <c r="A415" s="37">
        <v>353</v>
      </c>
      <c r="B415" s="37"/>
      <c r="C415" s="14" t="s">
        <v>821</v>
      </c>
      <c r="D415"/>
      <c r="E415">
        <v>22500428</v>
      </c>
      <c r="F415" s="14">
        <v>971999926</v>
      </c>
      <c r="G415"/>
      <c r="H415" t="s">
        <v>77</v>
      </c>
      <c r="I415" t="s">
        <v>29</v>
      </c>
      <c r="J415"/>
      <c r="K415" s="1">
        <v>45000</v>
      </c>
      <c r="L415" t="s">
        <v>1231</v>
      </c>
      <c r="M415" s="14" t="s">
        <v>56</v>
      </c>
      <c r="N415" s="67">
        <v>200</v>
      </c>
      <c r="O415"/>
      <c r="P415" t="s">
        <v>10</v>
      </c>
      <c r="Q415" t="s">
        <v>11</v>
      </c>
      <c r="R415"/>
      <c r="S415" s="69"/>
      <c r="T415" s="112">
        <f>110+12</f>
        <v>122</v>
      </c>
      <c r="U415" s="113">
        <f>N415-T415</f>
        <v>78</v>
      </c>
      <c r="V415" s="114">
        <f>U415/T415*100</f>
        <v>63.934426229508205</v>
      </c>
      <c r="W415" s="73"/>
    </row>
    <row r="416" spans="1:23" s="14" customFormat="1" ht="15" customHeight="1">
      <c r="A416" s="37">
        <v>262</v>
      </c>
      <c r="B416" s="37"/>
      <c r="C416" s="14" t="s">
        <v>637</v>
      </c>
      <c r="D416"/>
      <c r="E416">
        <v>45752997</v>
      </c>
      <c r="F416">
        <v>968231634</v>
      </c>
      <c r="G416"/>
      <c r="H416"/>
      <c r="I416"/>
      <c r="J416" t="s">
        <v>741</v>
      </c>
      <c r="K416" s="1">
        <v>45000</v>
      </c>
      <c r="L416" t="s">
        <v>1429</v>
      </c>
      <c r="M416" s="14" t="s">
        <v>1221</v>
      </c>
      <c r="N416" s="48">
        <v>380</v>
      </c>
      <c r="O416"/>
      <c r="P416" t="s">
        <v>10</v>
      </c>
      <c r="Q416" t="s">
        <v>22</v>
      </c>
      <c r="R416"/>
      <c r="S416" s="69"/>
      <c r="T416" s="112">
        <f>170+15</f>
        <v>185</v>
      </c>
      <c r="U416" s="113">
        <f>N416-T416</f>
        <v>195</v>
      </c>
      <c r="V416" s="114">
        <f>U416/T416*100</f>
        <v>105.40540540540539</v>
      </c>
      <c r="W416" s="73"/>
    </row>
    <row r="417" spans="1:24" s="14" customFormat="1" ht="15" customHeight="1">
      <c r="A417" s="37">
        <v>355</v>
      </c>
      <c r="B417" s="37"/>
      <c r="C417" s="14" t="s">
        <v>822</v>
      </c>
      <c r="D417"/>
      <c r="E417">
        <v>76399922</v>
      </c>
      <c r="F417" s="14">
        <v>989824301</v>
      </c>
      <c r="G417"/>
      <c r="H417" t="s">
        <v>823</v>
      </c>
      <c r="I417" t="s">
        <v>824</v>
      </c>
      <c r="J417"/>
      <c r="K417" s="1">
        <v>45000</v>
      </c>
      <c r="L417" t="s">
        <v>1428</v>
      </c>
      <c r="M417" s="14" t="s">
        <v>38</v>
      </c>
      <c r="N417" s="67">
        <v>660</v>
      </c>
      <c r="O417"/>
      <c r="P417" t="s">
        <v>10</v>
      </c>
      <c r="Q417" t="s">
        <v>11</v>
      </c>
      <c r="R417"/>
      <c r="S417" s="69"/>
      <c r="T417" s="112">
        <f>170+170+15+15</f>
        <v>370</v>
      </c>
      <c r="U417" s="113">
        <f>N417-T417</f>
        <v>290</v>
      </c>
      <c r="V417" s="114">
        <f>U417/T417*100</f>
        <v>78.378378378378372</v>
      </c>
      <c r="W417" s="73"/>
      <c r="X417" s="14" t="s">
        <v>1427</v>
      </c>
    </row>
    <row r="418" spans="1:24" s="14" customFormat="1" ht="15" customHeight="1">
      <c r="A418" s="37">
        <v>354</v>
      </c>
      <c r="B418" s="37" t="s">
        <v>12</v>
      </c>
      <c r="C418" s="14" t="s">
        <v>825</v>
      </c>
      <c r="D418">
        <v>20309242662</v>
      </c>
      <c r="E418">
        <v>46728422</v>
      </c>
      <c r="F418" s="14">
        <v>944244064</v>
      </c>
      <c r="G418" t="s">
        <v>826</v>
      </c>
      <c r="H418" t="s">
        <v>1426</v>
      </c>
      <c r="I418" t="s">
        <v>140</v>
      </c>
      <c r="J418"/>
      <c r="K418" s="1">
        <v>45000</v>
      </c>
      <c r="L418" t="s">
        <v>1425</v>
      </c>
      <c r="M418" s="14" t="s">
        <v>56</v>
      </c>
      <c r="N418" s="67">
        <v>634</v>
      </c>
      <c r="O418"/>
      <c r="P418" t="s">
        <v>10</v>
      </c>
      <c r="Q418" t="s">
        <v>22</v>
      </c>
      <c r="R418"/>
      <c r="S418" s="69"/>
      <c r="T418" s="112">
        <f>230+10+15+18+64.76</f>
        <v>337.76</v>
      </c>
      <c r="U418" s="113">
        <f>N418-T418</f>
        <v>296.24</v>
      </c>
      <c r="V418" s="114">
        <f>U418/T418*100</f>
        <v>87.707247749881574</v>
      </c>
      <c r="W418" s="73"/>
    </row>
    <row r="419" spans="1:24" s="14" customFormat="1" ht="15" customHeight="1">
      <c r="A419" s="37">
        <v>356</v>
      </c>
      <c r="B419" s="37"/>
      <c r="C419" s="14" t="s">
        <v>828</v>
      </c>
      <c r="D419"/>
      <c r="E419"/>
      <c r="F419" s="14">
        <v>932112430</v>
      </c>
      <c r="G419"/>
      <c r="H419" t="s">
        <v>199</v>
      </c>
      <c r="I419" t="s">
        <v>29</v>
      </c>
      <c r="J419"/>
      <c r="K419" s="1">
        <v>45001</v>
      </c>
      <c r="L419" t="s">
        <v>1424</v>
      </c>
      <c r="M419" s="14" t="s">
        <v>56</v>
      </c>
      <c r="N419" s="67">
        <v>440</v>
      </c>
      <c r="O419"/>
      <c r="P419" t="s">
        <v>10</v>
      </c>
      <c r="Q419" t="s">
        <v>22</v>
      </c>
      <c r="R419"/>
      <c r="S419" s="69"/>
      <c r="T419" s="112">
        <f>250+5</f>
        <v>255</v>
      </c>
      <c r="U419" s="113">
        <f>N419-T419</f>
        <v>185</v>
      </c>
      <c r="V419" s="114">
        <f>U419/T419*100</f>
        <v>72.549019607843135</v>
      </c>
      <c r="W419" s="73"/>
    </row>
    <row r="420" spans="1:24" s="14" customFormat="1" ht="15" customHeight="1">
      <c r="A420" s="39">
        <v>111</v>
      </c>
      <c r="B420" s="39" t="s">
        <v>12</v>
      </c>
      <c r="C420" s="41" t="s">
        <v>647</v>
      </c>
      <c r="D420" s="41"/>
      <c r="E420" s="41">
        <v>20606086459</v>
      </c>
      <c r="F420" s="40">
        <v>913004278</v>
      </c>
      <c r="G420" s="41" t="s">
        <v>829</v>
      </c>
      <c r="H420" s="41"/>
      <c r="I420" s="41"/>
      <c r="J420" s="41" t="s">
        <v>329</v>
      </c>
      <c r="K420" s="1">
        <v>45001</v>
      </c>
      <c r="L420" t="s">
        <v>1423</v>
      </c>
      <c r="M420" s="14" t="s">
        <v>1221</v>
      </c>
      <c r="N420" s="67">
        <v>400</v>
      </c>
      <c r="O420"/>
      <c r="P420" t="s">
        <v>10</v>
      </c>
      <c r="Q420" t="s">
        <v>22</v>
      </c>
      <c r="R420"/>
      <c r="S420" s="69"/>
      <c r="T420" s="112">
        <f>109+109</f>
        <v>218</v>
      </c>
      <c r="U420" s="113">
        <f>N420-T420</f>
        <v>182</v>
      </c>
      <c r="V420" s="114">
        <f>U420/T420*100</f>
        <v>83.486238532110093</v>
      </c>
      <c r="W420" s="73"/>
    </row>
    <row r="421" spans="1:24" s="14" customFormat="1" ht="15" customHeight="1">
      <c r="A421" s="37">
        <v>357</v>
      </c>
      <c r="B421" s="37"/>
      <c r="C421" s="14" t="s">
        <v>830</v>
      </c>
      <c r="D421"/>
      <c r="E421"/>
      <c r="F421" s="14">
        <v>980474996</v>
      </c>
      <c r="G421"/>
      <c r="H421"/>
      <c r="I421"/>
      <c r="J421" t="s">
        <v>831</v>
      </c>
      <c r="K421" s="1">
        <v>45002</v>
      </c>
      <c r="L421" t="s">
        <v>1231</v>
      </c>
      <c r="M421" s="14" t="s">
        <v>56</v>
      </c>
      <c r="N421" s="67">
        <v>200</v>
      </c>
      <c r="O421"/>
      <c r="P421" t="s">
        <v>10</v>
      </c>
      <c r="Q421" t="s">
        <v>11</v>
      </c>
      <c r="R421"/>
      <c r="S421" s="69"/>
      <c r="T421" s="112">
        <f>110+12</f>
        <v>122</v>
      </c>
      <c r="U421" s="113">
        <f>N421-T421</f>
        <v>78</v>
      </c>
      <c r="V421" s="114">
        <f>U421/T421*100</f>
        <v>63.934426229508205</v>
      </c>
      <c r="W421" s="73"/>
    </row>
    <row r="422" spans="1:24" s="14" customFormat="1" ht="15" customHeight="1">
      <c r="A422" s="37">
        <v>358</v>
      </c>
      <c r="B422" s="37"/>
      <c r="C422" s="14" t="s">
        <v>832</v>
      </c>
      <c r="D422"/>
      <c r="E422"/>
      <c r="F422" s="14">
        <v>951530878</v>
      </c>
      <c r="G422"/>
      <c r="H422"/>
      <c r="I422"/>
      <c r="J422" t="s">
        <v>833</v>
      </c>
      <c r="K422" s="1">
        <v>45002</v>
      </c>
      <c r="L422" t="s">
        <v>1231</v>
      </c>
      <c r="M422" s="14" t="s">
        <v>8</v>
      </c>
      <c r="N422" s="67">
        <v>210</v>
      </c>
      <c r="O422"/>
      <c r="P422" t="s">
        <v>10</v>
      </c>
      <c r="Q422" t="s">
        <v>11</v>
      </c>
      <c r="R422"/>
      <c r="S422" s="69"/>
      <c r="T422" s="112">
        <f>110+12</f>
        <v>122</v>
      </c>
      <c r="U422" s="113">
        <f>N422-T422</f>
        <v>88</v>
      </c>
      <c r="V422" s="114">
        <f>U422/T422*100</f>
        <v>72.131147540983605</v>
      </c>
      <c r="W422" s="73"/>
    </row>
    <row r="423" spans="1:24" s="14" customFormat="1" ht="15" customHeight="1">
      <c r="A423" s="37">
        <v>359</v>
      </c>
      <c r="B423" s="37"/>
      <c r="C423" s="14" t="s">
        <v>834</v>
      </c>
      <c r="D423"/>
      <c r="E423"/>
      <c r="F423" s="14">
        <v>937540030</v>
      </c>
      <c r="G423"/>
      <c r="H423"/>
      <c r="I423"/>
      <c r="J423" t="s">
        <v>835</v>
      </c>
      <c r="K423" s="1">
        <v>45005</v>
      </c>
      <c r="L423" t="s">
        <v>1422</v>
      </c>
      <c r="M423" s="14" t="s">
        <v>21</v>
      </c>
      <c r="N423" s="67">
        <v>480</v>
      </c>
      <c r="O423"/>
      <c r="P423" t="s">
        <v>10</v>
      </c>
      <c r="Q423" t="s">
        <v>11</v>
      </c>
      <c r="R423"/>
      <c r="S423" s="69"/>
      <c r="T423" s="112">
        <v>230</v>
      </c>
      <c r="U423" s="113">
        <f>N423-T423</f>
        <v>250</v>
      </c>
      <c r="V423" s="114">
        <f>U423/T423*100</f>
        <v>108.69565217391303</v>
      </c>
      <c r="W423" s="73"/>
    </row>
    <row r="424" spans="1:24" s="14" customFormat="1" ht="15" customHeight="1">
      <c r="A424" s="37">
        <v>360</v>
      </c>
      <c r="B424" s="37"/>
      <c r="C424" s="14" t="s">
        <v>836</v>
      </c>
      <c r="D424"/>
      <c r="E424"/>
      <c r="F424" s="14">
        <v>952987796</v>
      </c>
      <c r="G424"/>
      <c r="H424"/>
      <c r="I424"/>
      <c r="J424" t="s">
        <v>837</v>
      </c>
      <c r="K424" s="1">
        <v>45005</v>
      </c>
      <c r="L424" t="s">
        <v>1231</v>
      </c>
      <c r="M424" s="14" t="s">
        <v>1221</v>
      </c>
      <c r="N424" s="67">
        <v>200</v>
      </c>
      <c r="O424"/>
      <c r="P424" t="s">
        <v>10</v>
      </c>
      <c r="Q424" t="s">
        <v>22</v>
      </c>
      <c r="R424"/>
      <c r="S424" s="69"/>
      <c r="T424" s="112">
        <f>110+12</f>
        <v>122</v>
      </c>
      <c r="U424" s="113">
        <f>N424-T424</f>
        <v>78</v>
      </c>
      <c r="V424" s="114">
        <f>U424/T424*100</f>
        <v>63.934426229508205</v>
      </c>
      <c r="W424" s="73"/>
    </row>
    <row r="425" spans="1:24" s="14" customFormat="1" ht="15" customHeight="1">
      <c r="A425" s="37">
        <v>362</v>
      </c>
      <c r="B425" s="37" t="s">
        <v>12</v>
      </c>
      <c r="C425" s="14" t="s">
        <v>838</v>
      </c>
      <c r="D425">
        <v>20606782552</v>
      </c>
      <c r="E425">
        <v>43877154</v>
      </c>
      <c r="F425" s="14">
        <v>918655820</v>
      </c>
      <c r="G425" t="s">
        <v>839</v>
      </c>
      <c r="H425" t="s">
        <v>585</v>
      </c>
      <c r="I425" t="s">
        <v>29</v>
      </c>
      <c r="J425"/>
      <c r="K425" s="1">
        <v>45006</v>
      </c>
      <c r="L425" t="s">
        <v>1421</v>
      </c>
      <c r="M425" s="14" t="s">
        <v>38</v>
      </c>
      <c r="N425" s="67">
        <v>510</v>
      </c>
      <c r="O425"/>
      <c r="P425" t="s">
        <v>10</v>
      </c>
      <c r="Q425" t="s">
        <v>11</v>
      </c>
      <c r="R425"/>
      <c r="S425" s="69"/>
      <c r="T425" s="112">
        <f>230+15</f>
        <v>245</v>
      </c>
      <c r="U425" s="113">
        <f>N425-T425</f>
        <v>265</v>
      </c>
      <c r="V425" s="114">
        <f>U425/T425*100</f>
        <v>108.16326530612245</v>
      </c>
      <c r="W425" s="73"/>
    </row>
    <row r="426" spans="1:24" s="14" customFormat="1" ht="15" customHeight="1">
      <c r="A426" s="37">
        <v>361</v>
      </c>
      <c r="B426" s="37"/>
      <c r="C426" s="14" t="s">
        <v>840</v>
      </c>
      <c r="D426"/>
      <c r="E426">
        <v>31665415</v>
      </c>
      <c r="F426" s="14">
        <v>942652922</v>
      </c>
      <c r="G426"/>
      <c r="H426" t="s">
        <v>612</v>
      </c>
      <c r="I426" t="s">
        <v>29</v>
      </c>
      <c r="J426"/>
      <c r="K426" s="1">
        <v>45006</v>
      </c>
      <c r="L426" t="s">
        <v>1420</v>
      </c>
      <c r="M426" s="14" t="s">
        <v>8</v>
      </c>
      <c r="N426" s="67">
        <v>400</v>
      </c>
      <c r="O426"/>
      <c r="P426" t="s">
        <v>10</v>
      </c>
      <c r="Q426" t="s">
        <v>11</v>
      </c>
      <c r="R426"/>
      <c r="S426" s="69"/>
      <c r="T426" s="112">
        <f>270+10</f>
        <v>280</v>
      </c>
      <c r="U426" s="113">
        <f>N426-T426</f>
        <v>120</v>
      </c>
      <c r="V426" s="114">
        <f>U426/T426*100</f>
        <v>42.857142857142854</v>
      </c>
      <c r="W426" s="73"/>
    </row>
    <row r="427" spans="1:24" s="14" customFormat="1" ht="15" customHeight="1">
      <c r="A427" s="37">
        <v>363</v>
      </c>
      <c r="B427" s="37"/>
      <c r="C427" s="14" t="s">
        <v>841</v>
      </c>
      <c r="D427"/>
      <c r="E427"/>
      <c r="F427" s="14">
        <v>963627350</v>
      </c>
      <c r="G427"/>
      <c r="H427"/>
      <c r="I427"/>
      <c r="J427" t="s">
        <v>443</v>
      </c>
      <c r="K427" s="1">
        <v>45006</v>
      </c>
      <c r="L427" t="s">
        <v>1419</v>
      </c>
      <c r="M427" s="14" t="s">
        <v>21</v>
      </c>
      <c r="N427" s="67">
        <v>340</v>
      </c>
      <c r="O427" s="61"/>
      <c r="P427" t="s">
        <v>10</v>
      </c>
      <c r="Q427" t="s">
        <v>22</v>
      </c>
      <c r="R427"/>
      <c r="S427" s="69"/>
      <c r="T427" s="112">
        <f>190+15</f>
        <v>205</v>
      </c>
      <c r="U427" s="113">
        <f>N427-T427</f>
        <v>135</v>
      </c>
      <c r="V427" s="114">
        <f>U427/T427*100</f>
        <v>65.853658536585371</v>
      </c>
      <c r="W427" s="73"/>
    </row>
    <row r="428" spans="1:24" s="14" customFormat="1" ht="15" customHeight="1">
      <c r="A428" s="37">
        <v>364</v>
      </c>
      <c r="B428" s="37"/>
      <c r="C428" s="14" t="s">
        <v>843</v>
      </c>
      <c r="D428"/>
      <c r="E428"/>
      <c r="F428" s="14">
        <v>918655820</v>
      </c>
      <c r="G428"/>
      <c r="H428"/>
      <c r="I428"/>
      <c r="J428" t="s">
        <v>844</v>
      </c>
      <c r="K428" s="1">
        <v>45007</v>
      </c>
      <c r="L428" t="s">
        <v>1418</v>
      </c>
      <c r="M428" s="14" t="s">
        <v>21</v>
      </c>
      <c r="N428" s="67">
        <v>920</v>
      </c>
      <c r="O428" s="61"/>
      <c r="P428" t="s">
        <v>10</v>
      </c>
      <c r="Q428" t="s">
        <v>11</v>
      </c>
      <c r="R428"/>
      <c r="S428" s="69"/>
      <c r="T428" s="112">
        <f>170+170+110+110+12+12</f>
        <v>584</v>
      </c>
      <c r="U428" s="113">
        <f>N428-T428</f>
        <v>336</v>
      </c>
      <c r="V428" s="114">
        <f>U428/T428*100</f>
        <v>57.534246575342465</v>
      </c>
      <c r="W428" s="73"/>
    </row>
    <row r="429" spans="1:24" s="14" customFormat="1" ht="15" customHeight="1">
      <c r="A429" s="37">
        <v>365</v>
      </c>
      <c r="B429" s="37"/>
      <c r="C429" s="14" t="s">
        <v>845</v>
      </c>
      <c r="D429"/>
      <c r="E429">
        <v>46003808</v>
      </c>
      <c r="F429" s="14">
        <v>975781053</v>
      </c>
      <c r="G429"/>
      <c r="H429" t="s">
        <v>1417</v>
      </c>
      <c r="I429" t="s">
        <v>613</v>
      </c>
      <c r="J429"/>
      <c r="K429" s="1">
        <v>45007</v>
      </c>
      <c r="L429" t="s">
        <v>1416</v>
      </c>
      <c r="M429" s="14" t="s">
        <v>1221</v>
      </c>
      <c r="N429" s="67">
        <v>570</v>
      </c>
      <c r="O429" s="61"/>
      <c r="P429" t="s">
        <v>10</v>
      </c>
      <c r="Q429" t="s">
        <v>22</v>
      </c>
      <c r="R429"/>
      <c r="S429" s="69"/>
      <c r="T429" s="112">
        <f>250+98</f>
        <v>348</v>
      </c>
      <c r="U429" s="113">
        <f>N429-T429</f>
        <v>222</v>
      </c>
      <c r="V429" s="114">
        <f>U429/T429*100</f>
        <v>63.793103448275865</v>
      </c>
      <c r="W429" s="73"/>
    </row>
    <row r="430" spans="1:24" s="14" customFormat="1" ht="15" customHeight="1">
      <c r="A430" s="37">
        <v>366</v>
      </c>
      <c r="B430" s="37"/>
      <c r="C430" s="14" t="s">
        <v>848</v>
      </c>
      <c r="D430"/>
      <c r="E430">
        <v>48426171</v>
      </c>
      <c r="F430" s="14">
        <v>934114702</v>
      </c>
      <c r="G430"/>
      <c r="H430" t="s">
        <v>1415</v>
      </c>
      <c r="I430" t="s">
        <v>29</v>
      </c>
      <c r="J430"/>
      <c r="K430" s="1">
        <v>45008</v>
      </c>
      <c r="L430" t="s">
        <v>1361</v>
      </c>
      <c r="M430" s="14" t="s">
        <v>38</v>
      </c>
      <c r="N430" s="67">
        <v>225</v>
      </c>
      <c r="O430" s="61"/>
      <c r="P430" t="s">
        <v>10</v>
      </c>
      <c r="Q430" t="s">
        <v>22</v>
      </c>
      <c r="R430"/>
      <c r="S430" s="69"/>
      <c r="T430" s="112">
        <f>110+12+12</f>
        <v>134</v>
      </c>
      <c r="U430" s="113">
        <f>N430-T430</f>
        <v>91</v>
      </c>
      <c r="V430" s="114">
        <f>U430/T430*100</f>
        <v>67.910447761194021</v>
      </c>
      <c r="W430" s="73"/>
    </row>
    <row r="431" spans="1:24" s="14" customFormat="1" ht="15" customHeight="1">
      <c r="A431" s="37">
        <v>371</v>
      </c>
      <c r="B431" s="37" t="s">
        <v>12</v>
      </c>
      <c r="C431" s="14" t="s">
        <v>849</v>
      </c>
      <c r="D431">
        <v>20610550941</v>
      </c>
      <c r="E431"/>
      <c r="F431" s="14">
        <v>986204375</v>
      </c>
      <c r="G431" t="s">
        <v>850</v>
      </c>
      <c r="H431" t="s">
        <v>199</v>
      </c>
      <c r="I431" t="s">
        <v>29</v>
      </c>
      <c r="J431"/>
      <c r="K431" s="1">
        <v>45009</v>
      </c>
      <c r="L431" t="s">
        <v>1414</v>
      </c>
      <c r="M431" s="14" t="s">
        <v>8</v>
      </c>
      <c r="N431" s="67">
        <v>400</v>
      </c>
      <c r="O431" s="61"/>
      <c r="P431" t="s">
        <v>10</v>
      </c>
      <c r="Q431" t="s">
        <v>11</v>
      </c>
      <c r="R431"/>
      <c r="S431" s="69"/>
      <c r="T431" s="112">
        <f>270+15</f>
        <v>285</v>
      </c>
      <c r="U431" s="113">
        <f>N431-T431</f>
        <v>115</v>
      </c>
      <c r="V431" s="114">
        <f>U431/T431*100</f>
        <v>40.350877192982452</v>
      </c>
      <c r="W431" s="73"/>
    </row>
    <row r="432" spans="1:24" s="14" customFormat="1" ht="15" customHeight="1">
      <c r="A432" s="37">
        <v>367</v>
      </c>
      <c r="B432" s="37"/>
      <c r="C432" s="14" t="s">
        <v>851</v>
      </c>
      <c r="D432"/>
      <c r="E432">
        <v>42795924</v>
      </c>
      <c r="F432" s="14">
        <v>995031502</v>
      </c>
      <c r="G432"/>
      <c r="H432" t="s">
        <v>1413</v>
      </c>
      <c r="I432" t="s">
        <v>733</v>
      </c>
      <c r="J432"/>
      <c r="K432" s="1">
        <v>45009</v>
      </c>
      <c r="L432" t="s">
        <v>1231</v>
      </c>
      <c r="M432" s="14" t="s">
        <v>8</v>
      </c>
      <c r="N432" s="67">
        <v>200</v>
      </c>
      <c r="O432" s="61"/>
      <c r="P432" t="s">
        <v>10</v>
      </c>
      <c r="Q432" t="s">
        <v>11</v>
      </c>
      <c r="R432"/>
      <c r="S432" s="69"/>
      <c r="T432" s="112">
        <f>110+12</f>
        <v>122</v>
      </c>
      <c r="U432" s="113">
        <f>N432-T432</f>
        <v>78</v>
      </c>
      <c r="V432" s="114">
        <f>U432/T432*100</f>
        <v>63.934426229508205</v>
      </c>
      <c r="W432" s="73"/>
    </row>
    <row r="433" spans="1:23" s="14" customFormat="1" ht="15" customHeight="1">
      <c r="A433" s="37">
        <v>368</v>
      </c>
      <c r="B433" s="37"/>
      <c r="C433" s="14" t="s">
        <v>853</v>
      </c>
      <c r="D433"/>
      <c r="E433">
        <v>45317528</v>
      </c>
      <c r="F433" s="14">
        <v>934219075</v>
      </c>
      <c r="G433"/>
      <c r="H433" t="s">
        <v>1412</v>
      </c>
      <c r="I433" t="s">
        <v>29</v>
      </c>
      <c r="J433"/>
      <c r="K433" s="1">
        <v>45009</v>
      </c>
      <c r="L433" t="s">
        <v>1231</v>
      </c>
      <c r="M433" s="14" t="s">
        <v>8</v>
      </c>
      <c r="N433" s="67">
        <v>200</v>
      </c>
      <c r="O433" s="61"/>
      <c r="P433" t="s">
        <v>10</v>
      </c>
      <c r="Q433" t="s">
        <v>11</v>
      </c>
      <c r="R433"/>
      <c r="S433" s="69"/>
      <c r="T433" s="112">
        <f>110+12</f>
        <v>122</v>
      </c>
      <c r="U433" s="113">
        <f>N433-T433</f>
        <v>78</v>
      </c>
      <c r="V433" s="114">
        <f>U433/T433*100</f>
        <v>63.934426229508205</v>
      </c>
      <c r="W433" s="73"/>
    </row>
    <row r="434" spans="1:23" s="14" customFormat="1" ht="15" customHeight="1">
      <c r="A434" s="37">
        <v>369</v>
      </c>
      <c r="B434" s="37"/>
      <c r="C434" s="14" t="s">
        <v>855</v>
      </c>
      <c r="D434"/>
      <c r="E434">
        <v>43417204</v>
      </c>
      <c r="F434" s="14">
        <v>914612570</v>
      </c>
      <c r="G434"/>
      <c r="H434" t="s">
        <v>41</v>
      </c>
      <c r="I434" t="s">
        <v>29</v>
      </c>
      <c r="J434"/>
      <c r="K434" s="1">
        <v>45009</v>
      </c>
      <c r="L434" t="s">
        <v>1411</v>
      </c>
      <c r="M434" s="14" t="s">
        <v>8</v>
      </c>
      <c r="N434" s="67">
        <v>465</v>
      </c>
      <c r="O434" s="61"/>
      <c r="P434" t="s">
        <v>10</v>
      </c>
      <c r="Q434" t="s">
        <v>11</v>
      </c>
      <c r="R434"/>
      <c r="S434" s="69"/>
      <c r="T434" s="112">
        <f>270+15+22</f>
        <v>307</v>
      </c>
      <c r="U434" s="113">
        <f>N434-T434</f>
        <v>158</v>
      </c>
      <c r="V434" s="114">
        <f>U434/T434*100</f>
        <v>51.465798045602604</v>
      </c>
      <c r="W434" s="73"/>
    </row>
    <row r="435" spans="1:23" s="14" customFormat="1" ht="15" customHeight="1">
      <c r="A435" s="37">
        <v>370</v>
      </c>
      <c r="B435" s="37"/>
      <c r="C435" s="14" t="s">
        <v>856</v>
      </c>
      <c r="D435"/>
      <c r="E435"/>
      <c r="F435" s="14">
        <v>985347395</v>
      </c>
      <c r="G435"/>
      <c r="H435"/>
      <c r="I435"/>
      <c r="J435" t="s">
        <v>857</v>
      </c>
      <c r="K435" s="1">
        <v>45009</v>
      </c>
      <c r="L435" t="s">
        <v>1410</v>
      </c>
      <c r="M435" s="14" t="s">
        <v>21</v>
      </c>
      <c r="N435" s="67">
        <v>300</v>
      </c>
      <c r="O435" s="61"/>
      <c r="P435" t="s">
        <v>10</v>
      </c>
      <c r="Q435" t="s">
        <v>11</v>
      </c>
      <c r="R435"/>
      <c r="S435" s="69"/>
      <c r="T435" s="112">
        <f>190+15</f>
        <v>205</v>
      </c>
      <c r="U435" s="113">
        <f>N435-T435</f>
        <v>95</v>
      </c>
      <c r="V435" s="114">
        <f>U435/T435*100</f>
        <v>46.341463414634148</v>
      </c>
      <c r="W435" s="73"/>
    </row>
    <row r="436" spans="1:23" s="14" customFormat="1" ht="15" customHeight="1">
      <c r="A436" s="37">
        <v>359</v>
      </c>
      <c r="B436" s="37"/>
      <c r="C436" s="14" t="s">
        <v>834</v>
      </c>
      <c r="D436"/>
      <c r="E436"/>
      <c r="F436" s="14">
        <v>937540030</v>
      </c>
      <c r="G436"/>
      <c r="H436"/>
      <c r="I436"/>
      <c r="J436" t="s">
        <v>835</v>
      </c>
      <c r="K436" s="1">
        <v>45009</v>
      </c>
      <c r="L436" t="s">
        <v>1409</v>
      </c>
      <c r="M436" s="14" t="s">
        <v>21</v>
      </c>
      <c r="N436" s="67">
        <f>130+25+30</f>
        <v>185</v>
      </c>
      <c r="O436"/>
      <c r="P436" t="s">
        <v>10</v>
      </c>
      <c r="Q436" t="s">
        <v>11</v>
      </c>
      <c r="R436"/>
      <c r="S436" s="69"/>
      <c r="T436" s="112">
        <f>98+15+10</f>
        <v>123</v>
      </c>
      <c r="U436" s="113">
        <f>N436-T436</f>
        <v>62</v>
      </c>
      <c r="V436" s="114">
        <f>U436/T436*100</f>
        <v>50.40650406504065</v>
      </c>
      <c r="W436" s="73"/>
    </row>
    <row r="437" spans="1:23" s="14" customFormat="1" ht="15" customHeight="1">
      <c r="A437" s="37">
        <v>372</v>
      </c>
      <c r="B437" s="37"/>
      <c r="C437" s="14" t="s">
        <v>858</v>
      </c>
      <c r="D437"/>
      <c r="E437"/>
      <c r="F437" s="14">
        <v>915391532</v>
      </c>
      <c r="G437"/>
      <c r="H437"/>
      <c r="I437"/>
      <c r="J437" t="s">
        <v>859</v>
      </c>
      <c r="K437" s="1">
        <v>45009</v>
      </c>
      <c r="L437" t="s">
        <v>1408</v>
      </c>
      <c r="M437" s="14" t="s">
        <v>1407</v>
      </c>
      <c r="N437" s="67">
        <v>440</v>
      </c>
      <c r="O437" s="61"/>
      <c r="P437" t="s">
        <v>10</v>
      </c>
      <c r="Q437" t="s">
        <v>11</v>
      </c>
      <c r="R437"/>
      <c r="S437" s="69"/>
      <c r="T437" s="112">
        <f>250+5</f>
        <v>255</v>
      </c>
      <c r="U437" s="113">
        <f>N437-T437</f>
        <v>185</v>
      </c>
      <c r="V437" s="114">
        <f>U437/T437*100</f>
        <v>72.549019607843135</v>
      </c>
      <c r="W437" s="73"/>
    </row>
    <row r="438" spans="1:23" s="14" customFormat="1" ht="15" customHeight="1">
      <c r="A438" s="37">
        <v>373</v>
      </c>
      <c r="B438" s="37"/>
      <c r="C438" s="14" t="s">
        <v>860</v>
      </c>
      <c r="D438"/>
      <c r="E438">
        <v>43522128</v>
      </c>
      <c r="F438" s="14">
        <v>979931274</v>
      </c>
      <c r="G438"/>
      <c r="H438" t="s">
        <v>249</v>
      </c>
      <c r="I438" t="s">
        <v>29</v>
      </c>
      <c r="J438"/>
      <c r="K438" s="1">
        <v>45010</v>
      </c>
      <c r="L438" t="s">
        <v>1231</v>
      </c>
      <c r="M438" s="14" t="s">
        <v>56</v>
      </c>
      <c r="N438" s="67">
        <v>199</v>
      </c>
      <c r="O438" s="61"/>
      <c r="P438" t="s">
        <v>10</v>
      </c>
      <c r="Q438" t="s">
        <v>11</v>
      </c>
      <c r="R438"/>
      <c r="S438" s="69"/>
      <c r="T438" s="112">
        <f>110+12</f>
        <v>122</v>
      </c>
      <c r="U438" s="113">
        <f>N438-T438</f>
        <v>77</v>
      </c>
      <c r="V438" s="114">
        <f>U438/T438*100</f>
        <v>63.114754098360656</v>
      </c>
      <c r="W438" s="73"/>
    </row>
    <row r="439" spans="1:23" s="14" customFormat="1" ht="15" customHeight="1">
      <c r="A439" s="37">
        <v>374</v>
      </c>
      <c r="B439" s="37"/>
      <c r="C439" s="14" t="s">
        <v>861</v>
      </c>
      <c r="D439"/>
      <c r="E439">
        <v>47905003</v>
      </c>
      <c r="F439" s="14">
        <v>953953244</v>
      </c>
      <c r="G439"/>
      <c r="H439" t="s">
        <v>436</v>
      </c>
      <c r="I439" t="s">
        <v>29</v>
      </c>
      <c r="J439"/>
      <c r="K439" s="1">
        <v>45010</v>
      </c>
      <c r="L439" t="s">
        <v>1406</v>
      </c>
      <c r="M439" s="14" t="s">
        <v>8</v>
      </c>
      <c r="N439" s="67">
        <v>385</v>
      </c>
      <c r="O439" s="61"/>
      <c r="P439" t="s">
        <v>10</v>
      </c>
      <c r="Q439" t="s">
        <v>11</v>
      </c>
      <c r="R439"/>
      <c r="S439" s="69"/>
      <c r="T439" s="112">
        <f>170+30</f>
        <v>200</v>
      </c>
      <c r="U439" s="113">
        <f>N439-T439</f>
        <v>185</v>
      </c>
      <c r="V439" s="114">
        <f>U439/T439*100</f>
        <v>92.5</v>
      </c>
      <c r="W439" s="73"/>
    </row>
    <row r="440" spans="1:23" s="14" customFormat="1" ht="15" customHeight="1">
      <c r="A440" s="37">
        <v>376</v>
      </c>
      <c r="B440" s="37" t="s">
        <v>12</v>
      </c>
      <c r="C440" s="14" t="s">
        <v>862</v>
      </c>
      <c r="D440">
        <v>10759358797</v>
      </c>
      <c r="E440"/>
      <c r="F440" s="14">
        <v>923981010</v>
      </c>
      <c r="G440" t="s">
        <v>863</v>
      </c>
      <c r="H440"/>
      <c r="I440"/>
      <c r="J440" t="s">
        <v>864</v>
      </c>
      <c r="K440" s="1">
        <v>45012</v>
      </c>
      <c r="L440" t="s">
        <v>1390</v>
      </c>
      <c r="M440" s="14" t="s">
        <v>8</v>
      </c>
      <c r="N440" s="67">
        <v>350</v>
      </c>
      <c r="O440" s="61"/>
      <c r="P440" t="s">
        <v>10</v>
      </c>
      <c r="Q440" t="s">
        <v>11</v>
      </c>
      <c r="R440"/>
      <c r="S440" s="69"/>
      <c r="T440" s="112">
        <f>170+15</f>
        <v>185</v>
      </c>
      <c r="U440" s="113">
        <f>N440-T440</f>
        <v>165</v>
      </c>
      <c r="V440" s="114">
        <f>U440/T440*100</f>
        <v>89.189189189189193</v>
      </c>
      <c r="W440" s="73"/>
    </row>
    <row r="441" spans="1:23" s="14" customFormat="1" ht="15" customHeight="1">
      <c r="A441" s="37">
        <v>378</v>
      </c>
      <c r="B441" s="37" t="s">
        <v>12</v>
      </c>
      <c r="C441" s="14" t="s">
        <v>865</v>
      </c>
      <c r="D441">
        <v>10090982511</v>
      </c>
      <c r="E441"/>
      <c r="F441" s="14">
        <v>967392568</v>
      </c>
      <c r="G441" t="s">
        <v>866</v>
      </c>
      <c r="H441"/>
      <c r="I441"/>
      <c r="J441" t="s">
        <v>90</v>
      </c>
      <c r="K441" s="1">
        <v>45012</v>
      </c>
      <c r="L441" t="s">
        <v>1405</v>
      </c>
      <c r="M441" s="14" t="s">
        <v>21</v>
      </c>
      <c r="N441" s="67">
        <f>440+20</f>
        <v>460</v>
      </c>
      <c r="O441" s="61"/>
      <c r="P441" t="s">
        <v>10</v>
      </c>
      <c r="Q441" t="s">
        <v>11</v>
      </c>
      <c r="R441"/>
      <c r="S441" s="69"/>
      <c r="T441" s="112">
        <f>250+15</f>
        <v>265</v>
      </c>
      <c r="U441" s="113">
        <f>N441-T441</f>
        <v>195</v>
      </c>
      <c r="V441" s="114">
        <f>U441/T441*100</f>
        <v>73.584905660377359</v>
      </c>
      <c r="W441" s="73"/>
    </row>
    <row r="442" spans="1:23" s="14" customFormat="1" ht="15" customHeight="1">
      <c r="A442" s="37">
        <v>375</v>
      </c>
      <c r="B442" s="37"/>
      <c r="C442" s="14" t="s">
        <v>867</v>
      </c>
      <c r="D442"/>
      <c r="E442">
        <v>71256214</v>
      </c>
      <c r="F442" s="14">
        <v>995480565</v>
      </c>
      <c r="G442"/>
      <c r="H442" t="s">
        <v>1404</v>
      </c>
      <c r="I442" t="s">
        <v>868</v>
      </c>
      <c r="J442"/>
      <c r="K442" s="1">
        <v>45012</v>
      </c>
      <c r="L442" t="s">
        <v>1403</v>
      </c>
      <c r="M442" s="14" t="s">
        <v>8</v>
      </c>
      <c r="N442" s="67">
        <v>750</v>
      </c>
      <c r="O442" s="61"/>
      <c r="P442" t="s">
        <v>10</v>
      </c>
      <c r="Q442" t="s">
        <v>11</v>
      </c>
      <c r="R442"/>
      <c r="S442" s="69"/>
      <c r="T442" s="112">
        <f>200+15*10</f>
        <v>350</v>
      </c>
      <c r="U442" s="113">
        <f>N442-T442</f>
        <v>400</v>
      </c>
      <c r="V442" s="114">
        <f>U442/T442*100</f>
        <v>114.28571428571428</v>
      </c>
      <c r="W442" s="73"/>
    </row>
    <row r="443" spans="1:23" s="14" customFormat="1" ht="15" customHeight="1">
      <c r="A443" s="37">
        <v>377</v>
      </c>
      <c r="B443" s="37"/>
      <c r="C443" s="14" t="s">
        <v>869</v>
      </c>
      <c r="D443"/>
      <c r="E443"/>
      <c r="F443" s="14">
        <v>950094006</v>
      </c>
      <c r="G443"/>
      <c r="H443"/>
      <c r="I443"/>
      <c r="J443" t="s">
        <v>209</v>
      </c>
      <c r="K443" s="1">
        <v>45012</v>
      </c>
      <c r="L443" t="s">
        <v>1402</v>
      </c>
      <c r="M443" s="14" t="s">
        <v>21</v>
      </c>
      <c r="N443" s="67">
        <f>420+30</f>
        <v>450</v>
      </c>
      <c r="O443" s="61"/>
      <c r="P443" t="s">
        <v>10</v>
      </c>
      <c r="Q443" t="s">
        <v>11</v>
      </c>
      <c r="R443"/>
      <c r="S443" s="69"/>
      <c r="T443" s="112">
        <f>200+15</f>
        <v>215</v>
      </c>
      <c r="U443" s="113">
        <f>N443-T443</f>
        <v>235</v>
      </c>
      <c r="V443" s="114">
        <f>U443/T443*100</f>
        <v>109.30232558139534</v>
      </c>
      <c r="W443" s="73"/>
    </row>
    <row r="444" spans="1:23" s="14" customFormat="1" ht="15" customHeight="1">
      <c r="A444" s="37">
        <v>379</v>
      </c>
      <c r="B444" s="37"/>
      <c r="C444" s="14" t="s">
        <v>870</v>
      </c>
      <c r="D444"/>
      <c r="E444"/>
      <c r="F444" s="14">
        <v>994120327</v>
      </c>
      <c r="G444"/>
      <c r="H444"/>
      <c r="I444"/>
      <c r="J444" t="s">
        <v>859</v>
      </c>
      <c r="K444" s="1">
        <v>45012</v>
      </c>
      <c r="L444" t="s">
        <v>1361</v>
      </c>
      <c r="M444" s="14" t="s">
        <v>8</v>
      </c>
      <c r="N444" s="67">
        <v>225</v>
      </c>
      <c r="O444" s="61"/>
      <c r="P444" t="s">
        <v>10</v>
      </c>
      <c r="Q444" t="s">
        <v>11</v>
      </c>
      <c r="R444"/>
      <c r="S444" s="69"/>
      <c r="T444" s="112">
        <f>110+12+12</f>
        <v>134</v>
      </c>
      <c r="U444" s="113">
        <f>N444-T444</f>
        <v>91</v>
      </c>
      <c r="V444" s="114">
        <f>U444/T444*100</f>
        <v>67.910447761194021</v>
      </c>
      <c r="W444" s="73"/>
    </row>
    <row r="445" spans="1:23" s="14" customFormat="1" ht="15" customHeight="1">
      <c r="A445" s="37">
        <v>380</v>
      </c>
      <c r="B445" s="37"/>
      <c r="C445" s="14" t="s">
        <v>872</v>
      </c>
      <c r="D445"/>
      <c r="E445">
        <v>3671937</v>
      </c>
      <c r="F445" s="14">
        <v>968830845</v>
      </c>
      <c r="G445"/>
      <c r="H445" t="s">
        <v>51</v>
      </c>
      <c r="I445" t="s">
        <v>29</v>
      </c>
      <c r="J445"/>
      <c r="K445" s="1">
        <v>45012</v>
      </c>
      <c r="L445" t="s">
        <v>1231</v>
      </c>
      <c r="M445" s="14" t="s">
        <v>8</v>
      </c>
      <c r="N445" s="67">
        <v>200</v>
      </c>
      <c r="O445" s="61"/>
      <c r="P445" t="s">
        <v>10</v>
      </c>
      <c r="Q445" t="s">
        <v>11</v>
      </c>
      <c r="R445"/>
      <c r="S445" s="69"/>
      <c r="T445" s="112">
        <f>110+12</f>
        <v>122</v>
      </c>
      <c r="U445" s="113">
        <f>N445-T445</f>
        <v>78</v>
      </c>
      <c r="V445" s="114">
        <f>U445/T445*100</f>
        <v>63.934426229508205</v>
      </c>
      <c r="W445" s="73"/>
    </row>
    <row r="446" spans="1:23" s="14" customFormat="1" ht="15" customHeight="1">
      <c r="A446" s="37">
        <v>381</v>
      </c>
      <c r="B446" s="37"/>
      <c r="C446" s="14" t="s">
        <v>873</v>
      </c>
      <c r="D446"/>
      <c r="E446"/>
      <c r="F446" s="14">
        <v>967846012</v>
      </c>
      <c r="G446"/>
      <c r="H446"/>
      <c r="I446"/>
      <c r="J446" t="s">
        <v>41</v>
      </c>
      <c r="K446" s="1">
        <v>45013</v>
      </c>
      <c r="L446" t="s">
        <v>1401</v>
      </c>
      <c r="M446" s="14" t="s">
        <v>8</v>
      </c>
      <c r="N446" s="67">
        <v>430</v>
      </c>
      <c r="O446" s="61"/>
      <c r="P446" t="s">
        <v>10</v>
      </c>
      <c r="Q446" t="s">
        <v>11</v>
      </c>
      <c r="R446"/>
      <c r="S446" s="69"/>
      <c r="T446" s="112">
        <f>240+0</f>
        <v>240</v>
      </c>
      <c r="U446" s="113">
        <f>N446-T446</f>
        <v>190</v>
      </c>
      <c r="V446" s="114">
        <f>U446/T446*100</f>
        <v>79.166666666666657</v>
      </c>
      <c r="W446" s="73"/>
    </row>
    <row r="447" spans="1:23" s="14" customFormat="1" ht="15" customHeight="1">
      <c r="A447" s="37">
        <v>382</v>
      </c>
      <c r="B447" s="37"/>
      <c r="C447" s="14" t="s">
        <v>874</v>
      </c>
      <c r="D447"/>
      <c r="E447"/>
      <c r="F447" s="14">
        <v>981410450</v>
      </c>
      <c r="G447"/>
      <c r="H447"/>
      <c r="I447"/>
      <c r="J447" t="s">
        <v>478</v>
      </c>
      <c r="K447" s="1">
        <v>45013</v>
      </c>
      <c r="L447" t="s">
        <v>1400</v>
      </c>
      <c r="M447" s="14" t="s">
        <v>8</v>
      </c>
      <c r="N447" s="67">
        <v>455</v>
      </c>
      <c r="O447" s="61"/>
      <c r="P447" t="s">
        <v>10</v>
      </c>
      <c r="Q447" t="s">
        <v>11</v>
      </c>
      <c r="R447"/>
      <c r="S447" s="69"/>
      <c r="T447" s="112">
        <f>200+22</f>
        <v>222</v>
      </c>
      <c r="U447" s="113">
        <f>N447-T447</f>
        <v>233</v>
      </c>
      <c r="V447" s="114">
        <f>U447/T447*100</f>
        <v>104.95495495495494</v>
      </c>
      <c r="W447" s="73"/>
    </row>
    <row r="448" spans="1:23" s="14" customFormat="1" ht="15" customHeight="1">
      <c r="A448" s="37">
        <v>383</v>
      </c>
      <c r="B448" s="37"/>
      <c r="C448" s="14" t="s">
        <v>875</v>
      </c>
      <c r="D448"/>
      <c r="E448">
        <v>75768944</v>
      </c>
      <c r="F448" s="14">
        <v>931302043</v>
      </c>
      <c r="G448" t="s">
        <v>876</v>
      </c>
      <c r="H448" t="s">
        <v>79</v>
      </c>
      <c r="I448" t="s">
        <v>29</v>
      </c>
      <c r="J448"/>
      <c r="K448" s="1">
        <v>45013</v>
      </c>
      <c r="L448" t="s">
        <v>1231</v>
      </c>
      <c r="M448" s="14" t="s">
        <v>56</v>
      </c>
      <c r="N448" s="67">
        <v>200</v>
      </c>
      <c r="O448" s="61"/>
      <c r="P448" t="s">
        <v>10</v>
      </c>
      <c r="Q448" t="s">
        <v>22</v>
      </c>
      <c r="R448"/>
      <c r="S448" s="69"/>
      <c r="T448" s="112">
        <f>110+12</f>
        <v>122</v>
      </c>
      <c r="U448" s="113">
        <f>N448-T448</f>
        <v>78</v>
      </c>
      <c r="V448" s="114">
        <f>U448/T448*100</f>
        <v>63.934426229508205</v>
      </c>
      <c r="W448" s="73"/>
    </row>
    <row r="449" spans="1:23" s="14" customFormat="1" ht="15" customHeight="1">
      <c r="A449" s="37">
        <v>384</v>
      </c>
      <c r="B449" s="37"/>
      <c r="C449" s="14" t="s">
        <v>877</v>
      </c>
      <c r="D449"/>
      <c r="E449">
        <v>73437967</v>
      </c>
      <c r="F449" s="14">
        <v>976188788</v>
      </c>
      <c r="G449"/>
      <c r="H449" t="s">
        <v>1399</v>
      </c>
      <c r="I449" t="s">
        <v>878</v>
      </c>
      <c r="J449"/>
      <c r="K449" s="1">
        <v>45013</v>
      </c>
      <c r="L449" t="s">
        <v>1398</v>
      </c>
      <c r="M449" s="14" t="s">
        <v>38</v>
      </c>
      <c r="N449" s="67">
        <v>1030</v>
      </c>
      <c r="O449" s="61"/>
      <c r="P449" t="s">
        <v>10</v>
      </c>
      <c r="Q449" t="s">
        <v>22</v>
      </c>
      <c r="R449"/>
      <c r="S449" s="69"/>
      <c r="T449" s="112">
        <f>15+15+12+15+200+110+110+150</f>
        <v>627</v>
      </c>
      <c r="U449" s="113">
        <f>N449-T449</f>
        <v>403</v>
      </c>
      <c r="V449" s="114">
        <f>U449/T449*100</f>
        <v>64.274322169059005</v>
      </c>
      <c r="W449" s="73"/>
    </row>
    <row r="450" spans="1:23" s="14" customFormat="1" ht="15" customHeight="1">
      <c r="A450" s="37">
        <v>385</v>
      </c>
      <c r="B450" s="37" t="s">
        <v>12</v>
      </c>
      <c r="C450" s="14" t="s">
        <v>879</v>
      </c>
      <c r="D450"/>
      <c r="E450">
        <v>74298591</v>
      </c>
      <c r="F450" s="14">
        <v>926465124</v>
      </c>
      <c r="G450" t="s">
        <v>880</v>
      </c>
      <c r="H450" t="s">
        <v>1257</v>
      </c>
      <c r="I450" t="s">
        <v>29</v>
      </c>
      <c r="J450"/>
      <c r="K450" s="1">
        <v>45014</v>
      </c>
      <c r="L450" t="s">
        <v>1231</v>
      </c>
      <c r="M450" s="14" t="s">
        <v>8</v>
      </c>
      <c r="N450" s="67">
        <v>200</v>
      </c>
      <c r="O450" s="61"/>
      <c r="P450" t="s">
        <v>10</v>
      </c>
      <c r="Q450" t="s">
        <v>11</v>
      </c>
      <c r="R450"/>
      <c r="S450" s="69"/>
      <c r="T450" s="112">
        <f>110+12</f>
        <v>122</v>
      </c>
      <c r="U450" s="113">
        <f>N450-T450</f>
        <v>78</v>
      </c>
      <c r="V450" s="114">
        <f>U450/T450*100</f>
        <v>63.934426229508205</v>
      </c>
      <c r="W450" s="73"/>
    </row>
    <row r="451" spans="1:23" s="14" customFormat="1" ht="15" customHeight="1">
      <c r="A451" s="37">
        <v>359</v>
      </c>
      <c r="B451" s="37"/>
      <c r="C451" s="14" t="s">
        <v>834</v>
      </c>
      <c r="D451"/>
      <c r="E451"/>
      <c r="F451" s="14">
        <v>937540030</v>
      </c>
      <c r="G451"/>
      <c r="H451"/>
      <c r="I451"/>
      <c r="J451" t="s">
        <v>835</v>
      </c>
      <c r="K451" s="1">
        <v>45014</v>
      </c>
      <c r="L451" t="s">
        <v>1397</v>
      </c>
      <c r="M451" s="14" t="s">
        <v>21</v>
      </c>
      <c r="N451" s="67">
        <v>220</v>
      </c>
      <c r="O451"/>
      <c r="P451" t="s">
        <v>10</v>
      </c>
      <c r="Q451" t="s">
        <v>11</v>
      </c>
      <c r="R451"/>
      <c r="S451" s="69"/>
      <c r="T451" s="112">
        <v>109</v>
      </c>
      <c r="U451" s="113">
        <f>N451-T451</f>
        <v>111</v>
      </c>
      <c r="V451" s="114">
        <f>U451/T451*100</f>
        <v>101.83486238532109</v>
      </c>
      <c r="W451" s="73"/>
    </row>
    <row r="452" spans="1:23" s="14" customFormat="1" ht="15" customHeight="1">
      <c r="A452" s="43">
        <v>124</v>
      </c>
      <c r="B452" s="39"/>
      <c r="C452" s="40" t="s">
        <v>360</v>
      </c>
      <c r="D452" s="44">
        <v>20601379377</v>
      </c>
      <c r="E452" s="44">
        <v>46047067</v>
      </c>
      <c r="F452" s="40">
        <v>933784155</v>
      </c>
      <c r="G452" s="40"/>
      <c r="H452" s="40" t="s">
        <v>1257</v>
      </c>
      <c r="I452" s="40" t="s">
        <v>29</v>
      </c>
      <c r="J452" s="40"/>
      <c r="K452" s="47">
        <v>45015</v>
      </c>
      <c r="L452" s="41" t="s">
        <v>1396</v>
      </c>
      <c r="M452" s="40" t="s">
        <v>38</v>
      </c>
      <c r="N452" s="49">
        <v>1300</v>
      </c>
      <c r="O452" s="40"/>
      <c r="P452" s="41" t="s">
        <v>31</v>
      </c>
      <c r="Q452" s="41" t="s">
        <v>11</v>
      </c>
      <c r="S452" s="69"/>
      <c r="T452" s="112">
        <f>190+190+190+190+120+120+15+15</f>
        <v>1030</v>
      </c>
      <c r="U452" s="113">
        <f>N452-T452</f>
        <v>270</v>
      </c>
      <c r="V452" s="114">
        <f>U452/T452*100</f>
        <v>26.21359223300971</v>
      </c>
      <c r="W452" s="73"/>
    </row>
    <row r="453" spans="1:23" s="14" customFormat="1">
      <c r="A453" s="37">
        <v>281</v>
      </c>
      <c r="B453" s="37"/>
      <c r="C453" s="14" t="s">
        <v>676</v>
      </c>
      <c r="D453"/>
      <c r="E453">
        <v>71807200</v>
      </c>
      <c r="F453" s="14">
        <v>934867846</v>
      </c>
      <c r="G453"/>
      <c r="H453" t="s">
        <v>241</v>
      </c>
      <c r="I453" t="s">
        <v>881</v>
      </c>
      <c r="J453"/>
      <c r="K453" s="1">
        <v>45015</v>
      </c>
      <c r="L453" t="s">
        <v>1395</v>
      </c>
      <c r="M453" s="14" t="s">
        <v>1221</v>
      </c>
      <c r="N453" s="67">
        <v>510</v>
      </c>
      <c r="O453"/>
      <c r="P453" t="s">
        <v>10</v>
      </c>
      <c r="Q453" t="s">
        <v>22</v>
      </c>
      <c r="R453"/>
      <c r="S453" s="69"/>
      <c r="T453" s="112">
        <f>170+15+110</f>
        <v>295</v>
      </c>
      <c r="U453" s="113">
        <f>N453-T453</f>
        <v>215</v>
      </c>
      <c r="V453" s="114">
        <f>U453/T453*100</f>
        <v>72.881355932203391</v>
      </c>
      <c r="W453" s="73"/>
    </row>
    <row r="454" spans="1:23" s="14" customFormat="1" ht="15" customHeight="1">
      <c r="A454" s="37">
        <v>386</v>
      </c>
      <c r="B454" s="37"/>
      <c r="C454" s="14" t="s">
        <v>882</v>
      </c>
      <c r="D454"/>
      <c r="E454"/>
      <c r="F454" s="14">
        <v>982065619</v>
      </c>
      <c r="G454"/>
      <c r="H454"/>
      <c r="I454"/>
      <c r="J454" t="s">
        <v>252</v>
      </c>
      <c r="K454" s="1">
        <v>45016</v>
      </c>
      <c r="L454" t="s">
        <v>1367</v>
      </c>
      <c r="M454" s="14" t="s">
        <v>1394</v>
      </c>
      <c r="N454" s="67">
        <v>440</v>
      </c>
      <c r="O454" s="61"/>
      <c r="P454" t="s">
        <v>10</v>
      </c>
      <c r="Q454" t="s">
        <v>11</v>
      </c>
      <c r="R454"/>
      <c r="S454" s="69"/>
      <c r="T454" s="112">
        <v>250</v>
      </c>
      <c r="U454" s="113">
        <f>N454-T454</f>
        <v>190</v>
      </c>
      <c r="V454" s="114">
        <f>U454/T454*100</f>
        <v>76</v>
      </c>
      <c r="W454" s="73"/>
    </row>
    <row r="455" spans="1:23" s="14" customFormat="1" ht="15" customHeight="1">
      <c r="A455" s="37">
        <v>387</v>
      </c>
      <c r="B455" s="37"/>
      <c r="C455" s="14" t="s">
        <v>7</v>
      </c>
      <c r="D455"/>
      <c r="E455"/>
      <c r="F455" s="14">
        <v>931069156</v>
      </c>
      <c r="G455"/>
      <c r="H455"/>
      <c r="I455"/>
      <c r="J455" t="s">
        <v>7</v>
      </c>
      <c r="K455" s="1">
        <v>45017</v>
      </c>
      <c r="L455" t="s">
        <v>1393</v>
      </c>
      <c r="M455" s="14" t="s">
        <v>21</v>
      </c>
      <c r="N455" s="67">
        <v>1000</v>
      </c>
      <c r="O455" s="61"/>
      <c r="P455" t="s">
        <v>10</v>
      </c>
      <c r="Q455" t="s">
        <v>11</v>
      </c>
      <c r="R455"/>
      <c r="S455" s="69"/>
      <c r="T455" s="112">
        <f>230+170+98+150+30</f>
        <v>678</v>
      </c>
      <c r="U455" s="113">
        <f>N455-T455</f>
        <v>322</v>
      </c>
      <c r="V455" s="114">
        <f>U455/T455*100</f>
        <v>47.492625368731559</v>
      </c>
      <c r="W455" s="73"/>
    </row>
    <row r="456" spans="1:23" s="14" customFormat="1" ht="15" customHeight="1">
      <c r="A456" s="37">
        <v>393</v>
      </c>
      <c r="B456" s="37" t="s">
        <v>12</v>
      </c>
      <c r="C456" s="14" t="s">
        <v>883</v>
      </c>
      <c r="D456">
        <v>20609120062</v>
      </c>
      <c r="E456"/>
      <c r="F456" s="14">
        <v>953505806</v>
      </c>
      <c r="G456" t="s">
        <v>884</v>
      </c>
      <c r="H456"/>
      <c r="I456"/>
      <c r="J456" t="s">
        <v>885</v>
      </c>
      <c r="K456" s="1">
        <v>45020</v>
      </c>
      <c r="L456" t="s">
        <v>1392</v>
      </c>
      <c r="M456" s="14" t="s">
        <v>8</v>
      </c>
      <c r="N456" s="67">
        <v>560</v>
      </c>
      <c r="O456" s="61"/>
      <c r="P456" t="s">
        <v>10</v>
      </c>
      <c r="Q456" t="s">
        <v>11</v>
      </c>
      <c r="R456"/>
      <c r="S456" s="69"/>
      <c r="T456" s="112">
        <f>18+25+200</f>
        <v>243</v>
      </c>
      <c r="U456" s="113">
        <f>N456-T456</f>
        <v>317</v>
      </c>
      <c r="V456" s="114">
        <f>U456/T456*100</f>
        <v>130.45267489711932</v>
      </c>
      <c r="W456" s="73"/>
    </row>
    <row r="457" spans="1:23" s="14" customFormat="1" ht="15" customHeight="1">
      <c r="A457" s="37">
        <v>390</v>
      </c>
      <c r="B457" s="37" t="s">
        <v>12</v>
      </c>
      <c r="C457" s="14" t="s">
        <v>886</v>
      </c>
      <c r="D457">
        <v>20517470971</v>
      </c>
      <c r="E457"/>
      <c r="F457" s="14">
        <v>916410334</v>
      </c>
      <c r="G457" t="s">
        <v>887</v>
      </c>
      <c r="H457"/>
      <c r="I457"/>
      <c r="J457" t="s">
        <v>7</v>
      </c>
      <c r="K457" s="1">
        <v>45020</v>
      </c>
      <c r="L457" t="s">
        <v>1323</v>
      </c>
      <c r="M457" s="14" t="s">
        <v>8</v>
      </c>
      <c r="N457" s="67">
        <v>400</v>
      </c>
      <c r="O457" s="61"/>
      <c r="P457" t="s">
        <v>10</v>
      </c>
      <c r="Q457" t="s">
        <v>11</v>
      </c>
      <c r="R457"/>
      <c r="S457" s="69"/>
      <c r="T457" s="112">
        <f>110+12+110+12</f>
        <v>244</v>
      </c>
      <c r="U457" s="113">
        <f>N457-T457</f>
        <v>156</v>
      </c>
      <c r="V457" s="114">
        <f>U457/T457*100</f>
        <v>63.934426229508205</v>
      </c>
      <c r="W457" s="73"/>
    </row>
    <row r="458" spans="1:23" s="14" customFormat="1" ht="15" customHeight="1">
      <c r="A458" s="37">
        <v>388</v>
      </c>
      <c r="B458" s="37"/>
      <c r="C458" s="14" t="s">
        <v>888</v>
      </c>
      <c r="D458"/>
      <c r="E458"/>
      <c r="F458" s="14">
        <v>957341092</v>
      </c>
      <c r="G458"/>
      <c r="H458"/>
      <c r="I458"/>
      <c r="J458" t="s">
        <v>1391</v>
      </c>
      <c r="K458" s="1">
        <v>45020</v>
      </c>
      <c r="L458" t="s">
        <v>1390</v>
      </c>
      <c r="M458" s="14" t="s">
        <v>8</v>
      </c>
      <c r="N458" s="67">
        <v>350</v>
      </c>
      <c r="O458" s="61"/>
      <c r="P458" t="s">
        <v>10</v>
      </c>
      <c r="Q458" t="s">
        <v>11</v>
      </c>
      <c r="R458"/>
      <c r="S458" s="69"/>
      <c r="T458" s="112">
        <f>170+15</f>
        <v>185</v>
      </c>
      <c r="U458" s="113">
        <f>N458-T458</f>
        <v>165</v>
      </c>
      <c r="V458" s="114">
        <f>U458/T458*100</f>
        <v>89.189189189189193</v>
      </c>
      <c r="W458" s="73"/>
    </row>
    <row r="459" spans="1:23" s="14" customFormat="1" ht="15" customHeight="1">
      <c r="A459" s="37">
        <v>389</v>
      </c>
      <c r="B459" s="37"/>
      <c r="C459" s="14" t="s">
        <v>890</v>
      </c>
      <c r="D459"/>
      <c r="E459">
        <v>44645021</v>
      </c>
      <c r="F459" s="14">
        <v>989928184</v>
      </c>
      <c r="G459"/>
      <c r="H459" t="s">
        <v>65</v>
      </c>
      <c r="I459" t="s">
        <v>29</v>
      </c>
      <c r="J459"/>
      <c r="K459" s="1">
        <v>45020</v>
      </c>
      <c r="L459" t="s">
        <v>1390</v>
      </c>
      <c r="M459" s="14" t="s">
        <v>8</v>
      </c>
      <c r="N459" s="67">
        <v>340</v>
      </c>
      <c r="O459" s="61"/>
      <c r="P459" t="s">
        <v>10</v>
      </c>
      <c r="Q459" t="s">
        <v>11</v>
      </c>
      <c r="R459"/>
      <c r="S459" s="69"/>
      <c r="T459" s="112">
        <f>170+15</f>
        <v>185</v>
      </c>
      <c r="U459" s="113">
        <f>N459-T459</f>
        <v>155</v>
      </c>
      <c r="V459" s="114">
        <f>U459/T459*100</f>
        <v>83.78378378378379</v>
      </c>
      <c r="W459" s="73"/>
    </row>
    <row r="460" spans="1:23" s="14" customFormat="1" ht="15" customHeight="1">
      <c r="A460" s="37">
        <v>391</v>
      </c>
      <c r="B460" s="37"/>
      <c r="C460" s="14" t="s">
        <v>891</v>
      </c>
      <c r="D460"/>
      <c r="E460">
        <v>70539991</v>
      </c>
      <c r="F460" s="14">
        <v>957571101</v>
      </c>
      <c r="G460"/>
      <c r="H460" t="s">
        <v>55</v>
      </c>
      <c r="I460" t="s">
        <v>147</v>
      </c>
      <c r="J460"/>
      <c r="K460" s="1">
        <v>45020</v>
      </c>
      <c r="L460" t="s">
        <v>1389</v>
      </c>
      <c r="M460" s="14" t="s">
        <v>1221</v>
      </c>
      <c r="N460" s="67">
        <v>530</v>
      </c>
      <c r="O460" s="61"/>
      <c r="P460" t="s">
        <v>10</v>
      </c>
      <c r="Q460" t="s">
        <v>22</v>
      </c>
      <c r="R460"/>
      <c r="S460" s="69"/>
      <c r="T460" s="112">
        <f>230+40</f>
        <v>270</v>
      </c>
      <c r="U460" s="113">
        <f>N460-T460</f>
        <v>260</v>
      </c>
      <c r="V460" s="114">
        <f>U460/T460*100</f>
        <v>96.296296296296291</v>
      </c>
      <c r="W460" s="73"/>
    </row>
    <row r="461" spans="1:23" s="14" customFormat="1" ht="15" customHeight="1">
      <c r="A461" s="37">
        <v>392</v>
      </c>
      <c r="B461" s="37"/>
      <c r="C461" s="14" t="s">
        <v>892</v>
      </c>
      <c r="D461"/>
      <c r="E461">
        <v>23977649</v>
      </c>
      <c r="F461" s="14">
        <v>984006390</v>
      </c>
      <c r="G461"/>
      <c r="H461" t="s">
        <v>1196</v>
      </c>
      <c r="I461" t="s">
        <v>893</v>
      </c>
      <c r="J461"/>
      <c r="K461" s="1">
        <v>45020</v>
      </c>
      <c r="L461" t="s">
        <v>1388</v>
      </c>
      <c r="M461" s="14" t="s">
        <v>1221</v>
      </c>
      <c r="N461" s="67">
        <v>855</v>
      </c>
      <c r="O461" s="61"/>
      <c r="P461" t="s">
        <v>10</v>
      </c>
      <c r="Q461" t="s">
        <v>22</v>
      </c>
      <c r="R461"/>
      <c r="S461" s="69"/>
      <c r="T461" s="112">
        <f>230+48+150+15*5</f>
        <v>503</v>
      </c>
      <c r="U461" s="113">
        <f>N461-T461</f>
        <v>352</v>
      </c>
      <c r="V461" s="114">
        <f>U461/T461*100</f>
        <v>69.980119284294233</v>
      </c>
      <c r="W461" s="73"/>
    </row>
    <row r="462" spans="1:23" s="14" customFormat="1" ht="15" customHeight="1">
      <c r="A462" s="37">
        <v>280</v>
      </c>
      <c r="B462" s="37" t="s">
        <v>12</v>
      </c>
      <c r="C462" s="14" t="s">
        <v>894</v>
      </c>
      <c r="D462">
        <v>10179035982</v>
      </c>
      <c r="E462"/>
      <c r="F462" s="14">
        <v>960222975</v>
      </c>
      <c r="G462" t="s">
        <v>895</v>
      </c>
      <c r="H462"/>
      <c r="I462"/>
      <c r="J462" t="s">
        <v>896</v>
      </c>
      <c r="K462" s="1">
        <v>45021</v>
      </c>
      <c r="L462" t="s">
        <v>1387</v>
      </c>
      <c r="M462" s="14" t="s">
        <v>38</v>
      </c>
      <c r="N462" s="67">
        <v>440</v>
      </c>
      <c r="O462"/>
      <c r="P462" t="s">
        <v>10</v>
      </c>
      <c r="Q462" t="s">
        <v>11</v>
      </c>
      <c r="R462"/>
      <c r="S462" s="69"/>
      <c r="T462" s="112">
        <f>250+5</f>
        <v>255</v>
      </c>
      <c r="U462" s="113">
        <f>N462-T462</f>
        <v>185</v>
      </c>
      <c r="V462" s="114">
        <f>U462/T462*100</f>
        <v>72.549019607843135</v>
      </c>
      <c r="W462" s="73"/>
    </row>
    <row r="463" spans="1:23" s="14" customFormat="1" ht="15" customHeight="1">
      <c r="A463" s="43">
        <v>133</v>
      </c>
      <c r="B463" s="39" t="s">
        <v>23</v>
      </c>
      <c r="C463" s="40" t="s">
        <v>384</v>
      </c>
      <c r="D463" s="40"/>
      <c r="E463" s="44"/>
      <c r="F463" s="40">
        <v>993104850</v>
      </c>
      <c r="G463" s="40"/>
      <c r="H463" s="40"/>
      <c r="I463" s="40"/>
      <c r="J463" s="40" t="s">
        <v>495</v>
      </c>
      <c r="K463" s="47">
        <v>45021</v>
      </c>
      <c r="L463" s="41" t="s">
        <v>1386</v>
      </c>
      <c r="M463" s="41" t="s">
        <v>1221</v>
      </c>
      <c r="N463" s="49">
        <v>90</v>
      </c>
      <c r="O463" s="40"/>
      <c r="P463" s="41" t="s">
        <v>10</v>
      </c>
      <c r="Q463" s="41" t="s">
        <v>22</v>
      </c>
      <c r="R463" s="40"/>
      <c r="S463" s="69"/>
      <c r="T463" s="112">
        <v>45</v>
      </c>
      <c r="U463" s="115">
        <f>N463-T463</f>
        <v>45</v>
      </c>
      <c r="V463" s="114">
        <f>U463/T463*100</f>
        <v>100</v>
      </c>
      <c r="W463" s="73"/>
    </row>
    <row r="464" spans="1:23" s="14" customFormat="1" ht="15" customHeight="1">
      <c r="A464" s="37">
        <v>394</v>
      </c>
      <c r="B464" s="37" t="s">
        <v>12</v>
      </c>
      <c r="C464" s="14" t="s">
        <v>897</v>
      </c>
      <c r="D464"/>
      <c r="E464"/>
      <c r="F464" s="14">
        <v>952849806</v>
      </c>
      <c r="G464" t="s">
        <v>898</v>
      </c>
      <c r="H464"/>
      <c r="I464"/>
      <c r="J464" t="s">
        <v>899</v>
      </c>
      <c r="K464" s="1">
        <v>45022</v>
      </c>
      <c r="L464" t="s">
        <v>1385</v>
      </c>
      <c r="M464" s="14" t="s">
        <v>8</v>
      </c>
      <c r="N464" s="67">
        <f>379.99+75</f>
        <v>454.99</v>
      </c>
      <c r="O464" s="61"/>
      <c r="P464" t="s">
        <v>10</v>
      </c>
      <c r="Q464" t="s">
        <v>11</v>
      </c>
      <c r="R464"/>
      <c r="S464" s="69"/>
      <c r="T464" s="112">
        <f>200+3*10</f>
        <v>230</v>
      </c>
      <c r="U464" s="113">
        <f>N464-T464</f>
        <v>224.99</v>
      </c>
      <c r="V464" s="114">
        <f>U464/T464*100</f>
        <v>97.821739130434779</v>
      </c>
      <c r="W464" s="73"/>
    </row>
    <row r="465" spans="1:23" s="14" customFormat="1" ht="15" customHeight="1">
      <c r="A465" s="37">
        <v>395</v>
      </c>
      <c r="B465" s="37"/>
      <c r="C465" s="14" t="s">
        <v>900</v>
      </c>
      <c r="D465"/>
      <c r="E465">
        <v>44126203</v>
      </c>
      <c r="F465" s="14">
        <v>918307218</v>
      </c>
      <c r="G465"/>
      <c r="H465" t="s">
        <v>1384</v>
      </c>
      <c r="I465" t="s">
        <v>29</v>
      </c>
      <c r="J465"/>
      <c r="K465" s="1">
        <v>45024</v>
      </c>
      <c r="L465" t="s">
        <v>1231</v>
      </c>
      <c r="M465" s="14" t="s">
        <v>38</v>
      </c>
      <c r="N465" s="67">
        <v>200</v>
      </c>
      <c r="O465" s="61"/>
      <c r="P465" t="s">
        <v>10</v>
      </c>
      <c r="Q465" t="s">
        <v>11</v>
      </c>
      <c r="R465"/>
      <c r="S465" s="69"/>
      <c r="T465" s="112">
        <f>110+12</f>
        <v>122</v>
      </c>
      <c r="U465" s="113">
        <f>N465-T465</f>
        <v>78</v>
      </c>
      <c r="V465" s="114">
        <f>U465/T465*100</f>
        <v>63.934426229508205</v>
      </c>
      <c r="W465" s="73"/>
    </row>
    <row r="466" spans="1:23" s="14" customFormat="1" ht="15" customHeight="1">
      <c r="A466" s="37">
        <v>396</v>
      </c>
      <c r="B466" s="37"/>
      <c r="C466" s="14" t="s">
        <v>902</v>
      </c>
      <c r="D466"/>
      <c r="E466">
        <v>42288856</v>
      </c>
      <c r="F466" s="14">
        <v>943611836</v>
      </c>
      <c r="G466"/>
      <c r="H466" t="s">
        <v>82</v>
      </c>
      <c r="I466" t="s">
        <v>29</v>
      </c>
      <c r="J466"/>
      <c r="K466" s="1">
        <v>45026</v>
      </c>
      <c r="L466" t="s">
        <v>1231</v>
      </c>
      <c r="M466" s="14" t="s">
        <v>1382</v>
      </c>
      <c r="N466" s="67">
        <v>200</v>
      </c>
      <c r="O466" s="61"/>
      <c r="P466" t="s">
        <v>10</v>
      </c>
      <c r="Q466" t="s">
        <v>22</v>
      </c>
      <c r="R466"/>
      <c r="S466" s="69"/>
      <c r="T466" s="112">
        <f>110+12</f>
        <v>122</v>
      </c>
      <c r="U466" s="113">
        <f>N466-T466</f>
        <v>78</v>
      </c>
      <c r="V466" s="114">
        <f>U466/T466*100</f>
        <v>63.934426229508205</v>
      </c>
      <c r="W466" s="73"/>
    </row>
    <row r="467" spans="1:23" s="14" customFormat="1" ht="15" customHeight="1">
      <c r="A467" s="37">
        <v>397</v>
      </c>
      <c r="B467" s="37" t="s">
        <v>12</v>
      </c>
      <c r="C467" s="14" t="s">
        <v>903</v>
      </c>
      <c r="D467"/>
      <c r="E467">
        <v>73049798</v>
      </c>
      <c r="F467" s="14">
        <v>944449320</v>
      </c>
      <c r="G467" t="s">
        <v>904</v>
      </c>
      <c r="H467" t="s">
        <v>55</v>
      </c>
      <c r="I467" t="s">
        <v>29</v>
      </c>
      <c r="J467"/>
      <c r="K467" s="1">
        <v>45027</v>
      </c>
      <c r="L467" t="s">
        <v>1383</v>
      </c>
      <c r="M467" s="14" t="s">
        <v>1382</v>
      </c>
      <c r="N467" s="22">
        <v>580</v>
      </c>
      <c r="O467" s="61"/>
      <c r="P467" t="s">
        <v>10</v>
      </c>
      <c r="Q467" t="s">
        <v>11</v>
      </c>
      <c r="R467"/>
      <c r="S467" s="69"/>
      <c r="T467" s="112">
        <f>270+120</f>
        <v>390</v>
      </c>
      <c r="U467" s="113">
        <f>N467-T467</f>
        <v>190</v>
      </c>
      <c r="V467" s="114">
        <f>U467/T467*100</f>
        <v>48.717948717948715</v>
      </c>
      <c r="W467" s="73"/>
    </row>
    <row r="468" spans="1:23" s="14" customFormat="1" ht="15" customHeight="1">
      <c r="A468" s="37">
        <v>401</v>
      </c>
      <c r="B468" s="37" t="s">
        <v>12</v>
      </c>
      <c r="C468" s="14" t="s">
        <v>905</v>
      </c>
      <c r="D468"/>
      <c r="E468">
        <v>45045363</v>
      </c>
      <c r="F468" s="14">
        <v>990236786</v>
      </c>
      <c r="G468" t="s">
        <v>906</v>
      </c>
      <c r="H468" t="s">
        <v>79</v>
      </c>
      <c r="I468" t="s">
        <v>257</v>
      </c>
      <c r="J468"/>
      <c r="K468" s="1">
        <v>45027</v>
      </c>
      <c r="L468" t="s">
        <v>1227</v>
      </c>
      <c r="M468" s="14" t="s">
        <v>1221</v>
      </c>
      <c r="N468" s="22">
        <v>220</v>
      </c>
      <c r="O468" s="61"/>
      <c r="P468" t="s">
        <v>10</v>
      </c>
      <c r="Q468" t="s">
        <v>22</v>
      </c>
      <c r="R468"/>
      <c r="S468" s="69"/>
      <c r="T468" s="112">
        <f>100+12</f>
        <v>112</v>
      </c>
      <c r="U468" s="113">
        <f>N468-T468</f>
        <v>108</v>
      </c>
      <c r="V468" s="114">
        <f>U468/T468*100</f>
        <v>96.428571428571431</v>
      </c>
      <c r="W468" s="73"/>
    </row>
    <row r="469" spans="1:23" s="14" customFormat="1" ht="15" customHeight="1">
      <c r="A469" s="37">
        <v>399</v>
      </c>
      <c r="B469" s="37" t="s">
        <v>12</v>
      </c>
      <c r="C469" s="14" t="s">
        <v>907</v>
      </c>
      <c r="D469"/>
      <c r="E469">
        <v>70183531</v>
      </c>
      <c r="F469" s="14">
        <v>935503491</v>
      </c>
      <c r="G469" t="s">
        <v>908</v>
      </c>
      <c r="H469" t="s">
        <v>1257</v>
      </c>
      <c r="I469" t="s">
        <v>147</v>
      </c>
      <c r="J469"/>
      <c r="K469" s="1">
        <v>45027</v>
      </c>
      <c r="L469" t="s">
        <v>1227</v>
      </c>
      <c r="M469" s="14" t="s">
        <v>1221</v>
      </c>
      <c r="N469" s="22">
        <v>220</v>
      </c>
      <c r="O469" s="61"/>
      <c r="P469" t="s">
        <v>10</v>
      </c>
      <c r="Q469" t="s">
        <v>22</v>
      </c>
      <c r="R469"/>
      <c r="S469" s="69"/>
      <c r="T469" s="112">
        <f>100+12</f>
        <v>112</v>
      </c>
      <c r="U469" s="113">
        <f>N469-T469</f>
        <v>108</v>
      </c>
      <c r="V469" s="114">
        <f>U469/T469*100</f>
        <v>96.428571428571431</v>
      </c>
      <c r="W469" s="73"/>
    </row>
    <row r="470" spans="1:23" s="14" customFormat="1" ht="15" customHeight="1">
      <c r="A470" s="37">
        <v>398</v>
      </c>
      <c r="B470" s="37"/>
      <c r="C470" s="14" t="s">
        <v>909</v>
      </c>
      <c r="D470"/>
      <c r="E470"/>
      <c r="F470" s="14">
        <v>916764333</v>
      </c>
      <c r="G470"/>
      <c r="H470"/>
      <c r="I470"/>
      <c r="J470" t="s">
        <v>910</v>
      </c>
      <c r="K470" s="1">
        <v>45027</v>
      </c>
      <c r="L470" t="s">
        <v>1381</v>
      </c>
      <c r="M470" s="14" t="s">
        <v>8</v>
      </c>
      <c r="N470" s="22">
        <v>430</v>
      </c>
      <c r="O470" s="61"/>
      <c r="P470" t="s">
        <v>10</v>
      </c>
      <c r="Q470" t="s">
        <v>11</v>
      </c>
      <c r="R470"/>
      <c r="S470" s="69"/>
      <c r="T470" s="112">
        <v>250</v>
      </c>
      <c r="U470" s="113">
        <f>N470-T470</f>
        <v>180</v>
      </c>
      <c r="V470" s="114">
        <f>U470/T470*100</f>
        <v>72</v>
      </c>
      <c r="W470" s="73"/>
    </row>
    <row r="471" spans="1:23" s="14" customFormat="1" ht="15" customHeight="1">
      <c r="A471" s="37">
        <v>400</v>
      </c>
      <c r="B471" s="37"/>
      <c r="C471" s="14" t="s">
        <v>911</v>
      </c>
      <c r="D471"/>
      <c r="E471"/>
      <c r="F471" s="14">
        <v>996610624</v>
      </c>
      <c r="G471"/>
      <c r="H471"/>
      <c r="I471"/>
      <c r="J471" t="s">
        <v>912</v>
      </c>
      <c r="K471" s="1">
        <v>45027</v>
      </c>
      <c r="L471" t="s">
        <v>1227</v>
      </c>
      <c r="M471" s="14" t="s">
        <v>8</v>
      </c>
      <c r="N471" s="22">
        <v>220</v>
      </c>
      <c r="O471" s="61"/>
      <c r="P471" t="s">
        <v>10</v>
      </c>
      <c r="Q471" t="s">
        <v>11</v>
      </c>
      <c r="R471"/>
      <c r="S471" s="69"/>
      <c r="T471" s="112">
        <f>100+12</f>
        <v>112</v>
      </c>
      <c r="U471" s="113">
        <f>N471-T471</f>
        <v>108</v>
      </c>
      <c r="V471" s="114">
        <f>U471/T471*100</f>
        <v>96.428571428571431</v>
      </c>
      <c r="W471" s="73"/>
    </row>
    <row r="472" spans="1:23" s="14" customFormat="1">
      <c r="A472" s="45">
        <v>402</v>
      </c>
      <c r="B472" s="45"/>
      <c r="C472" s="14" t="s">
        <v>913</v>
      </c>
      <c r="E472" s="46"/>
      <c r="F472" s="14">
        <v>924724550</v>
      </c>
      <c r="G472"/>
      <c r="J472" s="14" t="s">
        <v>914</v>
      </c>
      <c r="K472" s="1">
        <v>45027</v>
      </c>
      <c r="L472" t="s">
        <v>1231</v>
      </c>
      <c r="M472" t="s">
        <v>21</v>
      </c>
      <c r="N472" s="80">
        <v>200</v>
      </c>
      <c r="P472" t="s">
        <v>10</v>
      </c>
      <c r="Q472" t="s">
        <v>11</v>
      </c>
      <c r="S472" s="69"/>
      <c r="T472" s="112">
        <f>110+12</f>
        <v>122</v>
      </c>
      <c r="U472" s="113">
        <f>N472-T472</f>
        <v>78</v>
      </c>
      <c r="V472" s="114">
        <f>U472/T472*100</f>
        <v>63.934426229508205</v>
      </c>
      <c r="W472" s="73"/>
    </row>
    <row r="473" spans="1:23">
      <c r="A473" s="37">
        <v>409</v>
      </c>
      <c r="B473" s="37" t="s">
        <v>12</v>
      </c>
      <c r="C473" s="14" t="s">
        <v>915</v>
      </c>
      <c r="E473" s="38">
        <v>74290976</v>
      </c>
      <c r="F473" s="14">
        <v>942469517</v>
      </c>
      <c r="G473" t="s">
        <v>916</v>
      </c>
      <c r="H473" t="s">
        <v>36</v>
      </c>
      <c r="I473" t="s">
        <v>917</v>
      </c>
      <c r="K473" s="1">
        <v>45028</v>
      </c>
      <c r="L473" t="s">
        <v>1380</v>
      </c>
      <c r="M473" s="14" t="s">
        <v>38</v>
      </c>
      <c r="N473" s="20">
        <v>1660</v>
      </c>
      <c r="P473" t="s">
        <v>10</v>
      </c>
      <c r="Q473" t="s">
        <v>22</v>
      </c>
      <c r="R473" s="61"/>
      <c r="T473" s="113">
        <f>15+15+230+230+96+96+110+110</f>
        <v>902</v>
      </c>
      <c r="U473" s="113">
        <f>N473-T473</f>
        <v>758</v>
      </c>
      <c r="V473" s="114">
        <f>U473/T473*100</f>
        <v>84.035476718403544</v>
      </c>
      <c r="W473" s="61"/>
    </row>
    <row r="474" spans="1:23">
      <c r="A474" s="37">
        <v>403</v>
      </c>
      <c r="B474" s="37" t="s">
        <v>12</v>
      </c>
      <c r="C474" s="14" t="s">
        <v>918</v>
      </c>
      <c r="E474" s="38"/>
      <c r="F474" s="14">
        <v>992509434</v>
      </c>
      <c r="G474" t="s">
        <v>919</v>
      </c>
      <c r="J474" t="s">
        <v>920</v>
      </c>
      <c r="K474" s="1">
        <v>45028</v>
      </c>
      <c r="L474" t="s">
        <v>1379</v>
      </c>
      <c r="M474" t="s">
        <v>21</v>
      </c>
      <c r="N474" s="20">
        <v>400</v>
      </c>
      <c r="P474" t="s">
        <v>10</v>
      </c>
      <c r="Q474" t="s">
        <v>11</v>
      </c>
      <c r="R474" s="61"/>
      <c r="T474" s="113">
        <f>240+5</f>
        <v>245</v>
      </c>
      <c r="U474" s="113">
        <f>N474-T474</f>
        <v>155</v>
      </c>
      <c r="V474" s="114">
        <f>U474/T474*100</f>
        <v>63.265306122448983</v>
      </c>
      <c r="W474" s="61"/>
    </row>
    <row r="475" spans="1:23">
      <c r="A475" s="37">
        <v>404</v>
      </c>
      <c r="B475" s="37" t="s">
        <v>12</v>
      </c>
      <c r="C475" s="14" t="s">
        <v>921</v>
      </c>
      <c r="D475">
        <v>10448364491</v>
      </c>
      <c r="E475" s="38"/>
      <c r="F475" s="14">
        <v>980806820</v>
      </c>
      <c r="G475" t="s">
        <v>922</v>
      </c>
      <c r="J475" t="s">
        <v>164</v>
      </c>
      <c r="K475" s="1">
        <v>45028</v>
      </c>
      <c r="L475" t="s">
        <v>1378</v>
      </c>
      <c r="M475" s="14" t="s">
        <v>8</v>
      </c>
      <c r="N475" s="20">
        <f>600-210</f>
        <v>390</v>
      </c>
      <c r="P475" t="s">
        <v>10</v>
      </c>
      <c r="Q475" t="s">
        <v>11</v>
      </c>
      <c r="R475" s="61"/>
      <c r="T475" s="113">
        <f>240+5</f>
        <v>245</v>
      </c>
      <c r="U475" s="113">
        <f>N475-T475</f>
        <v>145</v>
      </c>
      <c r="V475" s="114">
        <f>U475/T475*100</f>
        <v>59.183673469387756</v>
      </c>
      <c r="W475" s="61"/>
    </row>
    <row r="476" spans="1:23">
      <c r="A476" s="37">
        <v>405</v>
      </c>
      <c r="C476" s="14" t="s">
        <v>923</v>
      </c>
      <c r="E476" s="38"/>
      <c r="F476" s="14">
        <v>999918096</v>
      </c>
      <c r="J476" t="s">
        <v>924</v>
      </c>
      <c r="K476" s="1">
        <v>45028</v>
      </c>
      <c r="L476" t="s">
        <v>1377</v>
      </c>
      <c r="M476" s="14" t="s">
        <v>56</v>
      </c>
      <c r="N476" s="20">
        <v>510</v>
      </c>
      <c r="P476" t="s">
        <v>10</v>
      </c>
      <c r="Q476" t="s">
        <v>11</v>
      </c>
      <c r="R476" s="61"/>
      <c r="T476" s="113">
        <f>230+25+15+15</f>
        <v>285</v>
      </c>
      <c r="U476" s="113">
        <f>N476-T476</f>
        <v>225</v>
      </c>
      <c r="V476" s="114">
        <f>U476/T476*100</f>
        <v>78.94736842105263</v>
      </c>
      <c r="W476" s="61"/>
    </row>
    <row r="477" spans="1:23">
      <c r="A477" s="37">
        <v>406</v>
      </c>
      <c r="C477" s="14" t="s">
        <v>925</v>
      </c>
      <c r="E477" s="38"/>
      <c r="F477" s="14">
        <v>962276965</v>
      </c>
      <c r="J477" t="s">
        <v>634</v>
      </c>
      <c r="K477" s="1">
        <v>45028</v>
      </c>
      <c r="L477" t="s">
        <v>1231</v>
      </c>
      <c r="M477" s="14" t="s">
        <v>8</v>
      </c>
      <c r="N477" s="20">
        <v>200</v>
      </c>
      <c r="P477" t="s">
        <v>10</v>
      </c>
      <c r="Q477" t="s">
        <v>11</v>
      </c>
      <c r="R477" s="61"/>
      <c r="T477" s="113">
        <f>110+12</f>
        <v>122</v>
      </c>
      <c r="U477" s="113">
        <f>N477-T477</f>
        <v>78</v>
      </c>
      <c r="V477" s="114">
        <f>U477/T477*100</f>
        <v>63.934426229508205</v>
      </c>
      <c r="W477" s="61"/>
    </row>
    <row r="478" spans="1:23">
      <c r="A478" s="37">
        <v>407</v>
      </c>
      <c r="C478" s="14" t="s">
        <v>926</v>
      </c>
      <c r="E478" s="38">
        <v>46224192</v>
      </c>
      <c r="F478" s="14">
        <v>966415455</v>
      </c>
      <c r="H478" t="s">
        <v>405</v>
      </c>
      <c r="I478" t="s">
        <v>147</v>
      </c>
      <c r="K478" s="1">
        <v>45028</v>
      </c>
      <c r="L478" t="s">
        <v>1231</v>
      </c>
      <c r="M478" s="14" t="s">
        <v>1221</v>
      </c>
      <c r="N478" s="20">
        <v>200</v>
      </c>
      <c r="P478" t="s">
        <v>10</v>
      </c>
      <c r="Q478" t="s">
        <v>22</v>
      </c>
      <c r="R478" s="61"/>
      <c r="T478" s="113">
        <f>110+12</f>
        <v>122</v>
      </c>
      <c r="U478" s="113">
        <f>N478-T478</f>
        <v>78</v>
      </c>
      <c r="V478" s="114">
        <f>U478/T478*100</f>
        <v>63.934426229508205</v>
      </c>
      <c r="W478" s="61"/>
    </row>
    <row r="479" spans="1:23">
      <c r="A479" s="37">
        <v>408</v>
      </c>
      <c r="B479" s="37" t="s">
        <v>12</v>
      </c>
      <c r="C479" s="14" t="s">
        <v>928</v>
      </c>
      <c r="D479">
        <v>20608209744</v>
      </c>
      <c r="E479" s="38"/>
      <c r="F479" s="14">
        <v>974796948</v>
      </c>
      <c r="G479" t="s">
        <v>929</v>
      </c>
      <c r="J479" t="s">
        <v>144</v>
      </c>
      <c r="K479" s="1">
        <v>45028</v>
      </c>
      <c r="L479" t="s">
        <v>1376</v>
      </c>
      <c r="M479" s="14" t="s">
        <v>56</v>
      </c>
      <c r="N479" s="20">
        <v>760</v>
      </c>
      <c r="P479" t="s">
        <v>10</v>
      </c>
      <c r="Q479" t="s">
        <v>22</v>
      </c>
      <c r="R479" s="61"/>
      <c r="T479" s="113" t="s">
        <v>1375</v>
      </c>
      <c r="U479" s="113" t="e">
        <f>N479-T479</f>
        <v>#VALUE!</v>
      </c>
      <c r="V479" s="114" t="e">
        <f>U479/T479*100</f>
        <v>#VALUE!</v>
      </c>
      <c r="W479" s="61"/>
    </row>
    <row r="480" spans="1:23">
      <c r="A480" s="39">
        <v>1</v>
      </c>
      <c r="B480" s="39" t="s">
        <v>12</v>
      </c>
      <c r="C480" s="41" t="s">
        <v>13</v>
      </c>
      <c r="D480" s="41">
        <v>20608133161</v>
      </c>
      <c r="E480" s="41"/>
      <c r="F480" s="40">
        <v>926767316</v>
      </c>
      <c r="G480" s="41" t="s">
        <v>930</v>
      </c>
      <c r="H480" s="41"/>
      <c r="I480" s="41"/>
      <c r="J480" s="41" t="s">
        <v>16</v>
      </c>
      <c r="K480" s="47">
        <v>45029</v>
      </c>
      <c r="L480" s="41" t="s">
        <v>1374</v>
      </c>
      <c r="M480" s="41" t="s">
        <v>8</v>
      </c>
      <c r="N480" s="48">
        <v>370</v>
      </c>
      <c r="O480" s="41" t="s">
        <v>1292</v>
      </c>
      <c r="P480" s="41" t="s">
        <v>10</v>
      </c>
      <c r="Q480" s="41" t="s">
        <v>11</v>
      </c>
      <c r="R480" s="41"/>
      <c r="T480" s="113">
        <f>200</f>
        <v>200</v>
      </c>
      <c r="U480" s="115">
        <f>N480-T480</f>
        <v>170</v>
      </c>
      <c r="V480" s="114">
        <f>U480/T480*100</f>
        <v>85</v>
      </c>
      <c r="W480" s="61"/>
    </row>
    <row r="481" spans="1:28">
      <c r="A481" s="37">
        <v>411</v>
      </c>
      <c r="B481" s="37" t="s">
        <v>12</v>
      </c>
      <c r="C481" s="14" t="s">
        <v>931</v>
      </c>
      <c r="D481">
        <v>10200702285</v>
      </c>
      <c r="E481" s="38">
        <v>20070228</v>
      </c>
      <c r="F481" s="14">
        <v>969838326</v>
      </c>
      <c r="G481" t="s">
        <v>932</v>
      </c>
      <c r="H481" t="s">
        <v>266</v>
      </c>
      <c r="I481" t="s">
        <v>147</v>
      </c>
      <c r="K481" s="1">
        <v>45030</v>
      </c>
      <c r="L481" t="s">
        <v>1373</v>
      </c>
      <c r="M481" t="s">
        <v>8</v>
      </c>
      <c r="N481" s="20">
        <v>1309.99</v>
      </c>
      <c r="P481" t="s">
        <v>10</v>
      </c>
      <c r="Q481" t="s">
        <v>11</v>
      </c>
      <c r="R481" s="61"/>
      <c r="T481" s="113">
        <f>230+250+98+110+70</f>
        <v>758</v>
      </c>
      <c r="U481" s="113">
        <f>N481-T481</f>
        <v>551.99</v>
      </c>
      <c r="V481" s="114">
        <f>U481/T481*100</f>
        <v>72.821899736147756</v>
      </c>
      <c r="W481" s="61"/>
    </row>
    <row r="482" spans="1:28">
      <c r="A482" s="39">
        <v>111</v>
      </c>
      <c r="B482" s="39" t="s">
        <v>12</v>
      </c>
      <c r="C482" s="41" t="s">
        <v>647</v>
      </c>
      <c r="D482" s="41"/>
      <c r="E482" s="41">
        <v>20606086459</v>
      </c>
      <c r="F482" s="40">
        <v>913004278</v>
      </c>
      <c r="G482" s="41" t="s">
        <v>933</v>
      </c>
      <c r="H482" s="41"/>
      <c r="I482" s="41"/>
      <c r="J482" s="41" t="s">
        <v>329</v>
      </c>
      <c r="K482" s="1">
        <v>45030</v>
      </c>
      <c r="L482" t="s">
        <v>1372</v>
      </c>
      <c r="M482" t="s">
        <v>1221</v>
      </c>
      <c r="N482" s="20">
        <v>1050</v>
      </c>
      <c r="P482" t="s">
        <v>10</v>
      </c>
      <c r="Q482" t="s">
        <v>22</v>
      </c>
      <c r="R482" s="61"/>
      <c r="T482" s="113">
        <f>100*6</f>
        <v>600</v>
      </c>
      <c r="U482" s="113">
        <f>N482-T482</f>
        <v>450</v>
      </c>
      <c r="V482" s="114">
        <f>U482/T482*100</f>
        <v>75</v>
      </c>
      <c r="W482" s="61"/>
    </row>
    <row r="483" spans="1:28">
      <c r="A483" s="37">
        <v>410</v>
      </c>
      <c r="C483" s="14" t="s">
        <v>934</v>
      </c>
      <c r="E483" s="38"/>
      <c r="F483" s="14">
        <v>933240275</v>
      </c>
      <c r="J483" t="s">
        <v>935</v>
      </c>
      <c r="K483" s="1">
        <v>45030</v>
      </c>
      <c r="L483" t="s">
        <v>1371</v>
      </c>
      <c r="M483" s="14" t="s">
        <v>21</v>
      </c>
      <c r="N483" s="20">
        <v>1150</v>
      </c>
      <c r="P483" t="s">
        <v>10</v>
      </c>
      <c r="Q483" t="s">
        <v>11</v>
      </c>
      <c r="R483" s="61"/>
      <c r="T483" s="113">
        <f>200+170+170+45</f>
        <v>585</v>
      </c>
      <c r="U483" s="113">
        <f>N483-T483</f>
        <v>565</v>
      </c>
      <c r="V483" s="114">
        <f>U483/T483*100</f>
        <v>96.581196581196579</v>
      </c>
      <c r="W483" s="61"/>
    </row>
    <row r="484" spans="1:28">
      <c r="A484" s="37">
        <v>398</v>
      </c>
      <c r="C484" s="14" t="s">
        <v>909</v>
      </c>
      <c r="F484" s="14">
        <v>916764333</v>
      </c>
      <c r="J484" t="s">
        <v>910</v>
      </c>
      <c r="K484" s="1">
        <v>45031</v>
      </c>
      <c r="L484" t="s">
        <v>1370</v>
      </c>
      <c r="M484" s="14" t="s">
        <v>21</v>
      </c>
      <c r="N484" s="20">
        <v>400</v>
      </c>
      <c r="O484" s="61"/>
      <c r="P484" t="s">
        <v>10</v>
      </c>
      <c r="Q484" t="s">
        <v>11</v>
      </c>
      <c r="S484" s="69"/>
      <c r="T484" s="112">
        <v>230</v>
      </c>
      <c r="U484" s="113">
        <f>N484-T484</f>
        <v>170</v>
      </c>
      <c r="V484" s="114">
        <f>U484/T484*100</f>
        <v>73.91304347826086</v>
      </c>
      <c r="W484" s="73"/>
      <c r="X484" s="14"/>
      <c r="Y484" s="14"/>
    </row>
    <row r="485" spans="1:28">
      <c r="A485" s="37">
        <v>412</v>
      </c>
      <c r="C485" s="14" t="s">
        <v>936</v>
      </c>
      <c r="E485" s="38"/>
      <c r="F485" s="14">
        <v>989321949</v>
      </c>
      <c r="J485" t="s">
        <v>7</v>
      </c>
      <c r="K485" s="1">
        <v>45033</v>
      </c>
      <c r="L485" t="s">
        <v>1369</v>
      </c>
      <c r="M485" s="14" t="s">
        <v>21</v>
      </c>
      <c r="N485" s="20">
        <v>180</v>
      </c>
      <c r="P485" t="s">
        <v>10</v>
      </c>
      <c r="Q485" t="s">
        <v>22</v>
      </c>
      <c r="R485" s="61"/>
      <c r="T485" s="113">
        <v>109</v>
      </c>
      <c r="U485" s="113">
        <f>N485-T485</f>
        <v>71</v>
      </c>
      <c r="V485" s="114">
        <f>U485/T485*100</f>
        <v>65.137614678899084</v>
      </c>
      <c r="W485" s="61"/>
    </row>
    <row r="486" spans="1:28">
      <c r="A486" s="37">
        <v>413</v>
      </c>
      <c r="C486" s="14" t="s">
        <v>937</v>
      </c>
      <c r="E486" s="38"/>
      <c r="F486" s="14">
        <v>978896512</v>
      </c>
      <c r="J486" t="s">
        <v>938</v>
      </c>
      <c r="K486" s="1">
        <v>45035</v>
      </c>
      <c r="L486" t="s">
        <v>1368</v>
      </c>
      <c r="M486" s="14" t="s">
        <v>21</v>
      </c>
      <c r="N486" s="20">
        <v>530</v>
      </c>
      <c r="P486" t="s">
        <v>10</v>
      </c>
      <c r="Q486" t="s">
        <v>11</v>
      </c>
      <c r="R486" s="61"/>
      <c r="T486" s="113">
        <f>230+5+96</f>
        <v>331</v>
      </c>
      <c r="U486" s="113">
        <f>N486-T486</f>
        <v>199</v>
      </c>
      <c r="V486" s="114">
        <f>U486/T486*100</f>
        <v>60.120845921450147</v>
      </c>
      <c r="W486" s="61"/>
    </row>
    <row r="487" spans="1:28">
      <c r="A487" s="37">
        <v>416</v>
      </c>
      <c r="B487" s="37" t="s">
        <v>12</v>
      </c>
      <c r="C487" s="14" t="s">
        <v>939</v>
      </c>
      <c r="D487">
        <v>20545645034</v>
      </c>
      <c r="E487" s="38"/>
      <c r="F487" s="14">
        <v>945053727</v>
      </c>
      <c r="G487" t="s">
        <v>940</v>
      </c>
      <c r="J487" t="s">
        <v>941</v>
      </c>
      <c r="K487" s="1">
        <v>45036</v>
      </c>
      <c r="L487" t="s">
        <v>1367</v>
      </c>
      <c r="M487" s="14" t="s">
        <v>21</v>
      </c>
      <c r="N487" s="20">
        <v>430</v>
      </c>
      <c r="P487" t="s">
        <v>10</v>
      </c>
      <c r="Q487" t="s">
        <v>22</v>
      </c>
      <c r="R487" s="61"/>
      <c r="T487" s="113">
        <f>250+5</f>
        <v>255</v>
      </c>
      <c r="U487" s="113">
        <f>N487-T487</f>
        <v>175</v>
      </c>
      <c r="V487" s="114">
        <f>U487/T487*100</f>
        <v>68.627450980392155</v>
      </c>
      <c r="W487" s="61"/>
    </row>
    <row r="488" spans="1:28">
      <c r="A488" s="37">
        <v>414</v>
      </c>
      <c r="B488" s="37" t="s">
        <v>12</v>
      </c>
      <c r="C488" s="14" t="s">
        <v>942</v>
      </c>
      <c r="D488">
        <v>20609608812</v>
      </c>
      <c r="E488" s="38">
        <v>73119841</v>
      </c>
      <c r="F488" s="14">
        <v>993662972</v>
      </c>
      <c r="G488" t="s">
        <v>943</v>
      </c>
      <c r="H488" t="s">
        <v>782</v>
      </c>
      <c r="I488" t="s">
        <v>29</v>
      </c>
      <c r="K488" s="1">
        <v>45036</v>
      </c>
      <c r="L488" t="s">
        <v>1231</v>
      </c>
      <c r="M488" t="s">
        <v>8</v>
      </c>
      <c r="N488" s="20">
        <v>200</v>
      </c>
      <c r="P488" t="s">
        <v>10</v>
      </c>
      <c r="Q488" t="s">
        <v>11</v>
      </c>
      <c r="R488" s="61"/>
      <c r="T488" s="113">
        <f>110+12</f>
        <v>122</v>
      </c>
      <c r="U488" s="113">
        <f>N488-T488</f>
        <v>78</v>
      </c>
      <c r="V488" s="114">
        <f>U488/T488*100</f>
        <v>63.934426229508205</v>
      </c>
      <c r="W488" s="61"/>
    </row>
    <row r="489" spans="1:28">
      <c r="A489" s="37">
        <v>415</v>
      </c>
      <c r="C489" s="14" t="s">
        <v>944</v>
      </c>
      <c r="E489" s="38">
        <v>42751272</v>
      </c>
      <c r="F489" s="14">
        <v>948912010</v>
      </c>
      <c r="H489" t="s">
        <v>681</v>
      </c>
      <c r="I489" t="s">
        <v>29</v>
      </c>
      <c r="K489" s="1">
        <v>45036</v>
      </c>
      <c r="L489" t="s">
        <v>1366</v>
      </c>
      <c r="M489" t="s">
        <v>8</v>
      </c>
      <c r="N489" s="20">
        <v>350</v>
      </c>
      <c r="P489" t="s">
        <v>10</v>
      </c>
      <c r="Q489" t="s">
        <v>11</v>
      </c>
      <c r="R489" s="61"/>
      <c r="T489" s="113">
        <f>170+15</f>
        <v>185</v>
      </c>
      <c r="U489" s="113">
        <f>N489-T489</f>
        <v>165</v>
      </c>
      <c r="V489" s="114">
        <f>U489/T489*100</f>
        <v>89.189189189189193</v>
      </c>
      <c r="W489" s="61"/>
    </row>
    <row r="490" spans="1:28">
      <c r="A490" s="39">
        <v>417</v>
      </c>
      <c r="B490" s="39" t="s">
        <v>12</v>
      </c>
      <c r="C490" s="40" t="s">
        <v>945</v>
      </c>
      <c r="D490" s="41">
        <v>10106823095</v>
      </c>
      <c r="E490" s="42"/>
      <c r="F490" s="40">
        <v>985346268</v>
      </c>
      <c r="G490" s="41" t="s">
        <v>946</v>
      </c>
      <c r="H490" s="41"/>
      <c r="I490" s="41"/>
      <c r="J490" s="41" t="s">
        <v>7</v>
      </c>
      <c r="K490" s="47">
        <v>45037</v>
      </c>
      <c r="L490" s="41" t="s">
        <v>1333</v>
      </c>
      <c r="M490" s="41" t="s">
        <v>8</v>
      </c>
      <c r="N490" s="48">
        <v>660</v>
      </c>
      <c r="O490" s="41"/>
      <c r="P490" s="41" t="s">
        <v>10</v>
      </c>
      <c r="Q490" s="41" t="s">
        <v>11</v>
      </c>
      <c r="R490" s="68"/>
      <c r="S490" s="41"/>
      <c r="T490" s="116">
        <f>230+96+96+96</f>
        <v>518</v>
      </c>
      <c r="U490" s="116">
        <f>N490-T490</f>
        <v>142</v>
      </c>
      <c r="V490" s="117">
        <f>U490/T490*100</f>
        <v>27.413127413127413</v>
      </c>
      <c r="W490" s="68"/>
      <c r="X490" s="41"/>
      <c r="Y490" s="41"/>
      <c r="Z490" s="41"/>
      <c r="AA490" s="41"/>
      <c r="AB490" s="41"/>
    </row>
    <row r="491" spans="1:28">
      <c r="A491" s="37">
        <v>418</v>
      </c>
      <c r="B491" s="37" t="s">
        <v>12</v>
      </c>
      <c r="C491" s="14" t="s">
        <v>947</v>
      </c>
      <c r="D491">
        <v>2060601260</v>
      </c>
      <c r="E491" s="38">
        <v>41560724</v>
      </c>
      <c r="F491" s="14">
        <v>923840135</v>
      </c>
      <c r="G491" t="s">
        <v>948</v>
      </c>
      <c r="H491" t="s">
        <v>82</v>
      </c>
      <c r="I491" t="s">
        <v>949</v>
      </c>
      <c r="K491" s="1">
        <v>45038</v>
      </c>
      <c r="L491" t="s">
        <v>1366</v>
      </c>
      <c r="M491" t="s">
        <v>8</v>
      </c>
      <c r="N491" s="20">
        <v>340</v>
      </c>
      <c r="P491" t="s">
        <v>10</v>
      </c>
      <c r="Q491" t="s">
        <v>11</v>
      </c>
      <c r="R491" s="61"/>
      <c r="T491" s="113">
        <f>170+15</f>
        <v>185</v>
      </c>
      <c r="U491" s="113">
        <f>N491-T491</f>
        <v>155</v>
      </c>
      <c r="V491" s="114">
        <f>U491/T491*100</f>
        <v>83.78378378378379</v>
      </c>
      <c r="W491" s="61"/>
    </row>
    <row r="492" spans="1:28">
      <c r="A492" s="37">
        <v>419</v>
      </c>
      <c r="B492" s="37" t="s">
        <v>12</v>
      </c>
      <c r="C492" s="14" t="s">
        <v>950</v>
      </c>
      <c r="D492">
        <v>10054053024</v>
      </c>
      <c r="E492" s="38">
        <v>5405302</v>
      </c>
      <c r="F492" s="38">
        <v>989908189</v>
      </c>
      <c r="G492" t="s">
        <v>951</v>
      </c>
      <c r="H492" t="s">
        <v>44</v>
      </c>
      <c r="I492" t="s">
        <v>178</v>
      </c>
      <c r="K492" s="1">
        <v>45038</v>
      </c>
      <c r="L492" t="s">
        <v>1365</v>
      </c>
      <c r="M492" s="14" t="s">
        <v>38</v>
      </c>
      <c r="N492" s="20">
        <f>430+230+65</f>
        <v>725</v>
      </c>
      <c r="P492" t="s">
        <v>10</v>
      </c>
      <c r="Q492" t="s">
        <v>11</v>
      </c>
      <c r="R492" s="61"/>
      <c r="T492" s="113">
        <f>250+5+170+48</f>
        <v>473</v>
      </c>
      <c r="U492" s="113">
        <f>N492-T492</f>
        <v>252</v>
      </c>
      <c r="V492" s="114">
        <f>U492/T492*100</f>
        <v>53.276955602537001</v>
      </c>
      <c r="W492" s="61"/>
    </row>
    <row r="493" spans="1:28">
      <c r="A493" s="37">
        <v>420</v>
      </c>
      <c r="C493" s="14" t="s">
        <v>952</v>
      </c>
      <c r="E493" s="38">
        <v>42701191</v>
      </c>
      <c r="F493" s="14">
        <v>944910967</v>
      </c>
      <c r="H493" t="s">
        <v>241</v>
      </c>
      <c r="I493" t="s">
        <v>953</v>
      </c>
      <c r="K493" s="1">
        <v>45038</v>
      </c>
      <c r="L493" t="s">
        <v>1358</v>
      </c>
      <c r="M493" s="14" t="s">
        <v>1221</v>
      </c>
      <c r="N493" s="20">
        <v>320</v>
      </c>
      <c r="P493" t="s">
        <v>10</v>
      </c>
      <c r="Q493" t="s">
        <v>22</v>
      </c>
      <c r="R493" s="61"/>
      <c r="T493" s="113">
        <f>190+15</f>
        <v>205</v>
      </c>
      <c r="U493" s="113">
        <f>N493-T493</f>
        <v>115</v>
      </c>
      <c r="V493" s="114">
        <f>U493/T493*100</f>
        <v>56.09756097560976</v>
      </c>
      <c r="W493" s="61"/>
    </row>
    <row r="494" spans="1:28">
      <c r="A494" s="37">
        <v>422</v>
      </c>
      <c r="B494" s="37" t="s">
        <v>12</v>
      </c>
      <c r="C494" s="14" t="s">
        <v>954</v>
      </c>
      <c r="D494">
        <v>10734583958</v>
      </c>
      <c r="E494" s="38">
        <v>73458395</v>
      </c>
      <c r="F494" s="14">
        <v>999545886</v>
      </c>
      <c r="G494" t="s">
        <v>955</v>
      </c>
      <c r="H494" t="s">
        <v>1287</v>
      </c>
      <c r="I494" t="s">
        <v>956</v>
      </c>
      <c r="K494" s="1">
        <v>45040</v>
      </c>
      <c r="L494" t="s">
        <v>1364</v>
      </c>
      <c r="M494" t="s">
        <v>8</v>
      </c>
      <c r="N494" s="20">
        <v>1000</v>
      </c>
      <c r="P494" t="s">
        <v>10</v>
      </c>
      <c r="Q494" t="s">
        <v>11</v>
      </c>
      <c r="R494" s="61"/>
      <c r="T494" s="113">
        <f>230+220+109+10*3+25</f>
        <v>614</v>
      </c>
      <c r="U494" s="113">
        <f>N494-T494</f>
        <v>386</v>
      </c>
      <c r="V494" s="114">
        <f>U494/T494*100</f>
        <v>62.866449511400646</v>
      </c>
      <c r="W494" s="61"/>
    </row>
    <row r="495" spans="1:28">
      <c r="A495" s="37">
        <v>421</v>
      </c>
      <c r="C495" s="14" t="s">
        <v>957</v>
      </c>
      <c r="E495" s="38">
        <v>72521048</v>
      </c>
      <c r="F495" s="14">
        <v>929596055</v>
      </c>
      <c r="H495" t="s">
        <v>74</v>
      </c>
      <c r="I495" t="s">
        <v>958</v>
      </c>
      <c r="K495" s="1">
        <v>45040</v>
      </c>
      <c r="L495" t="s">
        <v>1227</v>
      </c>
      <c r="M495" s="14" t="s">
        <v>56</v>
      </c>
      <c r="N495" s="20">
        <v>220</v>
      </c>
      <c r="P495" t="s">
        <v>10</v>
      </c>
      <c r="Q495" t="s">
        <v>22</v>
      </c>
      <c r="R495" s="61"/>
      <c r="T495" s="113">
        <f>100+12</f>
        <v>112</v>
      </c>
      <c r="U495" s="113">
        <f>N495-T495</f>
        <v>108</v>
      </c>
      <c r="V495" s="114">
        <f>U495/T495*100</f>
        <v>96.428571428571431</v>
      </c>
      <c r="W495" s="61"/>
    </row>
    <row r="496" spans="1:28">
      <c r="A496" s="37">
        <v>404</v>
      </c>
      <c r="B496" s="37" t="s">
        <v>12</v>
      </c>
      <c r="C496" s="14" t="s">
        <v>921</v>
      </c>
      <c r="D496">
        <v>10448364491</v>
      </c>
      <c r="E496" s="38"/>
      <c r="F496" s="14">
        <v>980806820</v>
      </c>
      <c r="G496" t="s">
        <v>922</v>
      </c>
      <c r="J496" t="s">
        <v>164</v>
      </c>
      <c r="K496" s="1">
        <v>45041</v>
      </c>
      <c r="L496" t="s">
        <v>1363</v>
      </c>
      <c r="M496" s="14" t="s">
        <v>8</v>
      </c>
      <c r="N496" s="20">
        <f>689.98+210</f>
        <v>899.98</v>
      </c>
      <c r="P496" t="s">
        <v>10</v>
      </c>
      <c r="Q496" t="s">
        <v>11</v>
      </c>
      <c r="R496" s="61"/>
      <c r="T496" s="113">
        <f>109+109+170+170</f>
        <v>558</v>
      </c>
      <c r="U496" s="113">
        <f>N496-T496</f>
        <v>341.98</v>
      </c>
      <c r="V496" s="114">
        <f>U496/T496*100</f>
        <v>61.286738351254485</v>
      </c>
      <c r="W496" s="61"/>
    </row>
    <row r="497" spans="1:23">
      <c r="A497" s="37">
        <v>423</v>
      </c>
      <c r="C497" s="14" t="s">
        <v>959</v>
      </c>
      <c r="E497" s="38">
        <v>74058690</v>
      </c>
      <c r="F497" s="14">
        <v>983378701</v>
      </c>
      <c r="H497" t="s">
        <v>1196</v>
      </c>
      <c r="I497" t="s">
        <v>29</v>
      </c>
      <c r="K497" s="1">
        <v>45041</v>
      </c>
      <c r="L497" t="s">
        <v>1362</v>
      </c>
      <c r="M497" s="14" t="s">
        <v>56</v>
      </c>
      <c r="N497" s="20">
        <f>450+200</f>
        <v>650</v>
      </c>
      <c r="P497" t="s">
        <v>10</v>
      </c>
      <c r="Q497" t="s">
        <v>22</v>
      </c>
      <c r="R497" s="61"/>
      <c r="T497" s="113">
        <f>200+109+15+15</f>
        <v>339</v>
      </c>
      <c r="U497" s="113">
        <f>N497-T497</f>
        <v>311</v>
      </c>
      <c r="V497" s="114">
        <f>U497/T497*100</f>
        <v>91.740412979351021</v>
      </c>
      <c r="W497" s="61"/>
    </row>
    <row r="498" spans="1:23">
      <c r="A498" s="37">
        <v>424</v>
      </c>
      <c r="C498" s="14" t="s">
        <v>960</v>
      </c>
      <c r="E498" s="38">
        <v>70091724</v>
      </c>
      <c r="F498" s="14">
        <v>980832430</v>
      </c>
      <c r="H498" t="s">
        <v>538</v>
      </c>
      <c r="I498" t="s">
        <v>29</v>
      </c>
      <c r="K498" s="1">
        <v>45043</v>
      </c>
      <c r="L498" t="s">
        <v>1361</v>
      </c>
      <c r="M498" s="14" t="s">
        <v>8</v>
      </c>
      <c r="N498" s="20">
        <v>225</v>
      </c>
      <c r="P498" t="s">
        <v>10</v>
      </c>
      <c r="Q498" t="s">
        <v>11</v>
      </c>
      <c r="R498" s="61"/>
      <c r="T498" s="113">
        <f>110+12+12</f>
        <v>134</v>
      </c>
      <c r="U498" s="113">
        <f>N498-T498</f>
        <v>91</v>
      </c>
      <c r="V498" s="114">
        <f>U498/T498*100</f>
        <v>67.910447761194021</v>
      </c>
      <c r="W498" s="61"/>
    </row>
    <row r="499" spans="1:23">
      <c r="A499" s="37">
        <v>427</v>
      </c>
      <c r="B499" s="37" t="s">
        <v>12</v>
      </c>
      <c r="C499" s="70" t="s">
        <v>961</v>
      </c>
      <c r="D499">
        <v>20544391055</v>
      </c>
      <c r="E499" s="38"/>
      <c r="F499" s="14">
        <v>973997714</v>
      </c>
      <c r="G499" t="s">
        <v>962</v>
      </c>
      <c r="J499" t="s">
        <v>963</v>
      </c>
      <c r="K499" s="1">
        <v>45044</v>
      </c>
      <c r="L499" t="s">
        <v>1358</v>
      </c>
      <c r="M499" s="14" t="s">
        <v>8</v>
      </c>
      <c r="N499" s="20">
        <v>319.99</v>
      </c>
      <c r="P499" t="s">
        <v>10</v>
      </c>
      <c r="Q499" t="s">
        <v>11</v>
      </c>
      <c r="R499" s="61"/>
      <c r="T499" s="113">
        <f>190+15</f>
        <v>205</v>
      </c>
      <c r="U499" s="113">
        <f>N499-T499</f>
        <v>114.99000000000001</v>
      </c>
      <c r="V499" s="114">
        <f>U499/T499*100</f>
        <v>56.092682926829276</v>
      </c>
      <c r="W499" s="61"/>
    </row>
    <row r="500" spans="1:23">
      <c r="A500" s="37">
        <v>425</v>
      </c>
      <c r="C500" s="14" t="s">
        <v>964</v>
      </c>
      <c r="E500" s="38">
        <v>21867567</v>
      </c>
      <c r="F500" s="14">
        <v>956664972</v>
      </c>
      <c r="H500" t="s">
        <v>774</v>
      </c>
      <c r="I500" t="s">
        <v>29</v>
      </c>
      <c r="K500" s="1">
        <v>45044</v>
      </c>
      <c r="L500" t="s">
        <v>1231</v>
      </c>
      <c r="M500" s="14" t="s">
        <v>8</v>
      </c>
      <c r="N500" s="20">
        <v>200</v>
      </c>
      <c r="P500" t="s">
        <v>10</v>
      </c>
      <c r="Q500" t="s">
        <v>11</v>
      </c>
      <c r="R500" s="61"/>
      <c r="T500" s="113">
        <f>110+12</f>
        <v>122</v>
      </c>
      <c r="U500" s="113">
        <f>N500-T500</f>
        <v>78</v>
      </c>
      <c r="V500" s="114">
        <f>U500/T500*100</f>
        <v>63.934426229508205</v>
      </c>
      <c r="W500" s="61"/>
    </row>
    <row r="501" spans="1:23">
      <c r="A501" s="37">
        <v>426</v>
      </c>
      <c r="C501" s="14" t="s">
        <v>965</v>
      </c>
      <c r="E501" s="38">
        <v>45901323</v>
      </c>
      <c r="F501" s="14">
        <v>995723818</v>
      </c>
      <c r="H501" t="s">
        <v>966</v>
      </c>
      <c r="I501" t="s">
        <v>29</v>
      </c>
      <c r="K501" s="1">
        <v>45044</v>
      </c>
      <c r="L501" t="s">
        <v>1360</v>
      </c>
      <c r="M501" s="14" t="s">
        <v>1221</v>
      </c>
      <c r="N501" s="20">
        <v>520</v>
      </c>
      <c r="P501" t="s">
        <v>10</v>
      </c>
      <c r="Q501" t="s">
        <v>22</v>
      </c>
      <c r="R501" s="61"/>
      <c r="T501" s="113">
        <f>15+15+15+230</f>
        <v>275</v>
      </c>
      <c r="U501" s="113">
        <f>N501-T501</f>
        <v>245</v>
      </c>
      <c r="V501" s="114">
        <f>U501/T501*100</f>
        <v>89.090909090909093</v>
      </c>
      <c r="W501" s="61"/>
    </row>
    <row r="502" spans="1:23">
      <c r="A502" s="37">
        <v>432</v>
      </c>
      <c r="B502" s="37" t="s">
        <v>12</v>
      </c>
      <c r="C502" s="70" t="s">
        <v>967</v>
      </c>
      <c r="E502" s="38">
        <v>41267020</v>
      </c>
      <c r="F502" s="14">
        <v>986653389</v>
      </c>
      <c r="G502" t="s">
        <v>968</v>
      </c>
      <c r="H502" t="s">
        <v>969</v>
      </c>
      <c r="I502" t="s">
        <v>29</v>
      </c>
      <c r="K502" s="1">
        <v>45048</v>
      </c>
      <c r="L502" t="s">
        <v>1359</v>
      </c>
      <c r="M502" s="14" t="s">
        <v>8</v>
      </c>
      <c r="N502" s="20">
        <v>130</v>
      </c>
      <c r="P502" t="s">
        <v>10</v>
      </c>
      <c r="Q502" t="s">
        <v>11</v>
      </c>
      <c r="R502" s="61"/>
      <c r="T502" s="113">
        <v>96</v>
      </c>
      <c r="U502" s="113">
        <f>N502-T502</f>
        <v>34</v>
      </c>
      <c r="V502" s="114">
        <f>U502/T502*100</f>
        <v>35.416666666666671</v>
      </c>
      <c r="W502" s="61"/>
    </row>
    <row r="503" spans="1:23">
      <c r="A503" s="37">
        <v>428</v>
      </c>
      <c r="C503" s="70" t="s">
        <v>970</v>
      </c>
      <c r="E503" s="38"/>
      <c r="F503" s="14">
        <v>944455601</v>
      </c>
      <c r="J503" t="s">
        <v>748</v>
      </c>
      <c r="K503" s="1">
        <v>45048</v>
      </c>
      <c r="L503" t="s">
        <v>1358</v>
      </c>
      <c r="M503" s="14" t="s">
        <v>8</v>
      </c>
      <c r="N503" s="20">
        <v>320</v>
      </c>
      <c r="P503" t="s">
        <v>10</v>
      </c>
      <c r="Q503" t="s">
        <v>11</v>
      </c>
      <c r="R503" s="61"/>
      <c r="T503" s="113">
        <f>190+15</f>
        <v>205</v>
      </c>
      <c r="U503" s="113">
        <f>N503-T503</f>
        <v>115</v>
      </c>
      <c r="V503" s="114">
        <f>U503/T503*100</f>
        <v>56.09756097560976</v>
      </c>
      <c r="W503" s="61"/>
    </row>
    <row r="504" spans="1:23">
      <c r="A504" s="37">
        <v>429</v>
      </c>
      <c r="C504" s="70" t="s">
        <v>971</v>
      </c>
      <c r="E504" s="38">
        <v>80488293</v>
      </c>
      <c r="F504" s="14">
        <v>931394132</v>
      </c>
      <c r="H504" t="s">
        <v>514</v>
      </c>
      <c r="I504" t="s">
        <v>613</v>
      </c>
      <c r="K504" s="1">
        <v>45048</v>
      </c>
      <c r="L504" t="s">
        <v>1231</v>
      </c>
      <c r="M504" s="14" t="s">
        <v>1221</v>
      </c>
      <c r="N504" s="20">
        <v>200</v>
      </c>
      <c r="P504" t="s">
        <v>10</v>
      </c>
      <c r="Q504" t="s">
        <v>22</v>
      </c>
      <c r="R504" s="61"/>
      <c r="T504" s="113">
        <f>110+12</f>
        <v>122</v>
      </c>
      <c r="U504" s="113">
        <f>N504-T504</f>
        <v>78</v>
      </c>
      <c r="V504" s="114">
        <f>U504/T504*100</f>
        <v>63.934426229508205</v>
      </c>
      <c r="W504" s="61"/>
    </row>
    <row r="505" spans="1:23">
      <c r="A505" s="37">
        <v>430</v>
      </c>
      <c r="C505" s="70" t="s">
        <v>972</v>
      </c>
      <c r="E505" s="38">
        <v>5258467</v>
      </c>
      <c r="F505" s="14">
        <v>931508226</v>
      </c>
      <c r="H505" t="s">
        <v>973</v>
      </c>
      <c r="I505" t="s">
        <v>29</v>
      </c>
      <c r="K505" s="1">
        <v>45048</v>
      </c>
      <c r="L505" t="s">
        <v>1323</v>
      </c>
      <c r="M505" s="14" t="s">
        <v>1221</v>
      </c>
      <c r="N505" s="20">
        <v>398</v>
      </c>
      <c r="P505" t="s">
        <v>10</v>
      </c>
      <c r="Q505" t="s">
        <v>22</v>
      </c>
      <c r="R505" s="61"/>
      <c r="T505" s="113">
        <f>110+110+12+12</f>
        <v>244</v>
      </c>
      <c r="U505" s="113">
        <f>N505-T505</f>
        <v>154</v>
      </c>
      <c r="V505" s="114">
        <f>U505/T505*100</f>
        <v>63.114754098360656</v>
      </c>
      <c r="W505" s="61"/>
    </row>
    <row r="506" spans="1:23">
      <c r="A506" s="37">
        <v>431</v>
      </c>
      <c r="C506" s="70" t="s">
        <v>974</v>
      </c>
      <c r="E506" s="38">
        <v>18091094</v>
      </c>
      <c r="F506" s="14">
        <v>950010978</v>
      </c>
      <c r="H506" t="s">
        <v>975</v>
      </c>
      <c r="I506" t="s">
        <v>29</v>
      </c>
      <c r="K506" s="1">
        <v>45048</v>
      </c>
      <c r="L506" t="s">
        <v>1282</v>
      </c>
      <c r="M506" s="14" t="s">
        <v>8</v>
      </c>
      <c r="N506" s="20">
        <v>400</v>
      </c>
      <c r="P506" t="s">
        <v>10</v>
      </c>
      <c r="Q506" t="s">
        <v>11</v>
      </c>
      <c r="R506" s="61"/>
      <c r="T506" s="113">
        <f>240+5</f>
        <v>245</v>
      </c>
      <c r="U506" s="113">
        <f>N506-T506</f>
        <v>155</v>
      </c>
      <c r="V506" s="114">
        <f>U506/T506*100</f>
        <v>63.265306122448983</v>
      </c>
      <c r="W506" s="61"/>
    </row>
    <row r="507" spans="1:23">
      <c r="A507" s="37">
        <v>434</v>
      </c>
      <c r="B507" s="37" t="s">
        <v>12</v>
      </c>
      <c r="C507" s="70" t="s">
        <v>976</v>
      </c>
      <c r="D507">
        <v>20610633456</v>
      </c>
      <c r="E507" s="38">
        <v>42006965</v>
      </c>
      <c r="F507" s="14">
        <v>979894191</v>
      </c>
      <c r="G507" t="s">
        <v>977</v>
      </c>
      <c r="H507" t="s">
        <v>229</v>
      </c>
      <c r="I507" t="s">
        <v>978</v>
      </c>
      <c r="K507" s="1">
        <v>45049</v>
      </c>
      <c r="L507" t="s">
        <v>1318</v>
      </c>
      <c r="M507" s="14" t="s">
        <v>1357</v>
      </c>
      <c r="N507" s="20">
        <v>349</v>
      </c>
      <c r="P507" t="s">
        <v>10</v>
      </c>
      <c r="Q507" t="s">
        <v>11</v>
      </c>
      <c r="R507" s="61"/>
      <c r="T507" s="113">
        <f>170+15</f>
        <v>185</v>
      </c>
      <c r="U507" s="113">
        <f>N507-T507</f>
        <v>164</v>
      </c>
      <c r="V507" s="114">
        <f>U507/T507*100</f>
        <v>88.64864864864866</v>
      </c>
      <c r="W507" s="61"/>
    </row>
    <row r="508" spans="1:23">
      <c r="A508" s="37">
        <v>433</v>
      </c>
      <c r="B508" s="37" t="s">
        <v>12</v>
      </c>
      <c r="C508" s="70" t="s">
        <v>979</v>
      </c>
      <c r="D508">
        <v>10465649637</v>
      </c>
      <c r="E508" s="38"/>
      <c r="F508" s="14">
        <v>933257751</v>
      </c>
      <c r="G508" t="s">
        <v>980</v>
      </c>
      <c r="J508" t="s">
        <v>7</v>
      </c>
      <c r="K508" s="1">
        <v>45049</v>
      </c>
      <c r="L508" t="s">
        <v>1356</v>
      </c>
      <c r="M508" s="14" t="s">
        <v>21</v>
      </c>
      <c r="N508" s="20">
        <v>515</v>
      </c>
      <c r="P508" t="s">
        <v>10</v>
      </c>
      <c r="Q508" t="s">
        <v>22</v>
      </c>
      <c r="R508" s="61"/>
      <c r="T508" s="113">
        <f>230+15+15+22</f>
        <v>282</v>
      </c>
      <c r="U508" s="113">
        <f>N508-T508</f>
        <v>233</v>
      </c>
      <c r="V508" s="114">
        <f>U508/T508*100</f>
        <v>82.62411347517731</v>
      </c>
      <c r="W508" s="61"/>
    </row>
    <row r="509" spans="1:23">
      <c r="A509" s="37">
        <v>436</v>
      </c>
      <c r="B509" s="37" t="s">
        <v>12</v>
      </c>
      <c r="C509" s="70" t="s">
        <v>981</v>
      </c>
      <c r="D509">
        <v>20601510007</v>
      </c>
      <c r="E509" s="38">
        <v>16785306</v>
      </c>
      <c r="F509" s="14">
        <v>941190505</v>
      </c>
      <c r="G509" t="s">
        <v>982</v>
      </c>
      <c r="H509" t="s">
        <v>681</v>
      </c>
      <c r="I509" t="s">
        <v>29</v>
      </c>
      <c r="K509" s="1">
        <v>45049</v>
      </c>
      <c r="L509" t="s">
        <v>1355</v>
      </c>
      <c r="M509" s="14" t="s">
        <v>1354</v>
      </c>
      <c r="N509" s="20">
        <f>350+290+160</f>
        <v>800</v>
      </c>
      <c r="P509" t="s">
        <v>10</v>
      </c>
      <c r="Q509" t="s">
        <v>22</v>
      </c>
      <c r="R509" s="61"/>
      <c r="T509" s="113">
        <f>200+170+15+15+25</f>
        <v>425</v>
      </c>
      <c r="U509" s="113">
        <f>N509-T509</f>
        <v>375</v>
      </c>
      <c r="V509" s="114">
        <f>U509/T509*100</f>
        <v>88.235294117647058</v>
      </c>
      <c r="W509" s="61"/>
    </row>
    <row r="510" spans="1:23">
      <c r="A510" s="37">
        <v>438</v>
      </c>
      <c r="B510" s="37" t="s">
        <v>12</v>
      </c>
      <c r="C510" s="70" t="s">
        <v>984</v>
      </c>
      <c r="D510">
        <v>10486524788</v>
      </c>
      <c r="E510" s="38"/>
      <c r="F510" s="14">
        <v>976519889</v>
      </c>
      <c r="G510" t="s">
        <v>985</v>
      </c>
      <c r="J510" t="s">
        <v>986</v>
      </c>
      <c r="K510" s="1">
        <v>45049</v>
      </c>
      <c r="L510" t="s">
        <v>1353</v>
      </c>
      <c r="M510" s="14" t="s">
        <v>21</v>
      </c>
      <c r="N510" s="20">
        <v>550</v>
      </c>
      <c r="P510" t="s">
        <v>10</v>
      </c>
      <c r="Q510" t="s">
        <v>22</v>
      </c>
      <c r="R510" s="61"/>
      <c r="T510" s="113">
        <f>250+96</f>
        <v>346</v>
      </c>
      <c r="U510" s="113">
        <f>N510-T510</f>
        <v>204</v>
      </c>
      <c r="V510" s="114">
        <f>U510/T510*100</f>
        <v>58.959537572254341</v>
      </c>
      <c r="W510" s="61"/>
    </row>
    <row r="511" spans="1:23">
      <c r="A511" s="37">
        <v>435</v>
      </c>
      <c r="C511" s="70" t="s">
        <v>987</v>
      </c>
      <c r="E511" s="38">
        <v>71249808</v>
      </c>
      <c r="F511" s="14">
        <v>948427643</v>
      </c>
      <c r="H511" t="s">
        <v>1352</v>
      </c>
      <c r="I511" t="s">
        <v>29</v>
      </c>
      <c r="K511" s="1">
        <v>45049</v>
      </c>
      <c r="L511" t="s">
        <v>1329</v>
      </c>
      <c r="M511" s="14" t="s">
        <v>8</v>
      </c>
      <c r="N511" s="20">
        <v>400</v>
      </c>
      <c r="P511" t="s">
        <v>10</v>
      </c>
      <c r="Q511" t="s">
        <v>11</v>
      </c>
      <c r="R511" s="61"/>
      <c r="T511" s="113">
        <f>270+15</f>
        <v>285</v>
      </c>
      <c r="U511" s="113">
        <f>N511-T511</f>
        <v>115</v>
      </c>
      <c r="V511" s="114">
        <f>U511/T511*100</f>
        <v>40.350877192982452</v>
      </c>
      <c r="W511" s="61"/>
    </row>
    <row r="512" spans="1:23">
      <c r="A512" s="37">
        <v>437</v>
      </c>
      <c r="C512" s="70" t="s">
        <v>988</v>
      </c>
      <c r="E512" s="38">
        <v>43856754</v>
      </c>
      <c r="F512" s="14">
        <v>979300376</v>
      </c>
      <c r="H512" t="s">
        <v>355</v>
      </c>
      <c r="I512" t="s">
        <v>147</v>
      </c>
      <c r="K512" s="1">
        <v>45049</v>
      </c>
      <c r="L512" t="s">
        <v>1231</v>
      </c>
      <c r="M512" s="14" t="s">
        <v>56</v>
      </c>
      <c r="N512" s="20">
        <v>200</v>
      </c>
      <c r="P512" t="s">
        <v>10</v>
      </c>
      <c r="Q512" t="s">
        <v>22</v>
      </c>
      <c r="R512" s="61"/>
      <c r="T512" s="113">
        <f>110+12</f>
        <v>122</v>
      </c>
      <c r="U512" s="113">
        <f>N512-T512</f>
        <v>78</v>
      </c>
      <c r="V512" s="114">
        <f>U512/T512*100</f>
        <v>63.934426229508205</v>
      </c>
      <c r="W512" s="61"/>
    </row>
    <row r="513" spans="1:38">
      <c r="A513" s="37">
        <v>439</v>
      </c>
      <c r="C513" s="70" t="s">
        <v>989</v>
      </c>
      <c r="E513" s="38"/>
      <c r="F513" s="14">
        <v>987968540</v>
      </c>
      <c r="J513" t="s">
        <v>144</v>
      </c>
      <c r="K513" s="1">
        <v>45049</v>
      </c>
      <c r="L513" t="s">
        <v>1351</v>
      </c>
      <c r="M513" s="14" t="s">
        <v>21</v>
      </c>
      <c r="N513" s="20">
        <v>625</v>
      </c>
      <c r="P513" t="s">
        <v>10</v>
      </c>
      <c r="Q513" t="s">
        <v>22</v>
      </c>
      <c r="R513" s="61"/>
      <c r="T513" s="113">
        <f>200+15+22*6</f>
        <v>347</v>
      </c>
      <c r="U513" s="113">
        <f>N513-T513</f>
        <v>278</v>
      </c>
      <c r="V513" s="114">
        <f>U513/T513*100</f>
        <v>80.115273775216139</v>
      </c>
      <c r="W513" s="61"/>
    </row>
    <row r="514" spans="1:38">
      <c r="A514" s="37">
        <v>440</v>
      </c>
      <c r="B514" s="37" t="s">
        <v>0</v>
      </c>
      <c r="C514" s="70" t="s">
        <v>990</v>
      </c>
      <c r="E514" s="38">
        <v>42623628</v>
      </c>
      <c r="F514" s="14">
        <v>933483119</v>
      </c>
      <c r="G514" t="s">
        <v>991</v>
      </c>
      <c r="J514" t="s">
        <v>7</v>
      </c>
      <c r="K514" s="1">
        <v>45050</v>
      </c>
      <c r="L514" t="s">
        <v>1231</v>
      </c>
      <c r="M514" s="14" t="s">
        <v>21</v>
      </c>
      <c r="N514" s="20">
        <v>200</v>
      </c>
      <c r="P514" t="s">
        <v>10</v>
      </c>
      <c r="Q514" t="s">
        <v>22</v>
      </c>
      <c r="R514" s="61"/>
      <c r="T514" s="113">
        <f>110+12</f>
        <v>122</v>
      </c>
      <c r="U514" s="113">
        <f>N514-T514</f>
        <v>78</v>
      </c>
      <c r="V514" s="114">
        <f>U514/T514*100</f>
        <v>63.934426229508205</v>
      </c>
      <c r="W514" s="61"/>
    </row>
    <row r="515" spans="1:38">
      <c r="A515" s="37">
        <v>441</v>
      </c>
      <c r="C515" s="70" t="s">
        <v>992</v>
      </c>
      <c r="E515" s="38">
        <v>45174131</v>
      </c>
      <c r="F515" s="14">
        <v>988855540</v>
      </c>
      <c r="H515" t="s">
        <v>1350</v>
      </c>
      <c r="I515" t="s">
        <v>29</v>
      </c>
      <c r="K515" s="1">
        <v>45050</v>
      </c>
      <c r="L515" t="s">
        <v>1231</v>
      </c>
      <c r="M515" s="14" t="s">
        <v>8</v>
      </c>
      <c r="N515" s="20">
        <v>200</v>
      </c>
      <c r="P515" t="s">
        <v>10</v>
      </c>
      <c r="Q515" t="s">
        <v>11</v>
      </c>
      <c r="R515" s="61"/>
      <c r="T515" s="113">
        <f>110+12</f>
        <v>122</v>
      </c>
      <c r="U515" s="113">
        <f>N515-T515</f>
        <v>78</v>
      </c>
      <c r="V515" s="114">
        <f>U515/T515*100</f>
        <v>63.934426229508205</v>
      </c>
      <c r="W515" s="61"/>
    </row>
    <row r="516" spans="1:38">
      <c r="A516" s="37">
        <v>442</v>
      </c>
      <c r="C516" s="14" t="s">
        <v>993</v>
      </c>
      <c r="E516" s="38"/>
      <c r="F516" s="14">
        <v>913484035</v>
      </c>
      <c r="J516" t="s">
        <v>995</v>
      </c>
      <c r="K516" s="1">
        <v>45050</v>
      </c>
      <c r="L516" t="s">
        <v>1231</v>
      </c>
      <c r="M516" s="14" t="s">
        <v>21</v>
      </c>
      <c r="N516" s="20">
        <v>200</v>
      </c>
      <c r="P516" t="s">
        <v>10</v>
      </c>
      <c r="Q516" t="s">
        <v>11</v>
      </c>
      <c r="R516" s="61"/>
      <c r="T516" s="113">
        <f>110+12</f>
        <v>122</v>
      </c>
      <c r="U516" s="113">
        <f>N516-T516</f>
        <v>78</v>
      </c>
      <c r="V516" s="114">
        <f>U516/T516*100</f>
        <v>63.934426229508205</v>
      </c>
      <c r="W516" s="61"/>
    </row>
    <row r="517" spans="1:38">
      <c r="A517" s="37">
        <v>443</v>
      </c>
      <c r="C517" s="14" t="s">
        <v>996</v>
      </c>
      <c r="E517" s="38">
        <v>44166417</v>
      </c>
      <c r="F517" s="14">
        <v>988988799</v>
      </c>
      <c r="H517" t="s">
        <v>1349</v>
      </c>
      <c r="I517" t="s">
        <v>147</v>
      </c>
      <c r="K517" s="1">
        <v>45050</v>
      </c>
      <c r="L517" t="s">
        <v>1348</v>
      </c>
      <c r="M517" s="14" t="s">
        <v>8</v>
      </c>
      <c r="N517" s="20">
        <v>465</v>
      </c>
      <c r="P517" t="s">
        <v>10</v>
      </c>
      <c r="Q517" t="s">
        <v>11</v>
      </c>
      <c r="R517" s="61"/>
      <c r="T517" s="113">
        <f>240+48</f>
        <v>288</v>
      </c>
      <c r="U517" s="113">
        <f>N517-T517</f>
        <v>177</v>
      </c>
      <c r="V517" s="114">
        <f>U517/T517*100</f>
        <v>61.458333333333336</v>
      </c>
      <c r="W517" s="61"/>
    </row>
    <row r="518" spans="1:38">
      <c r="A518" s="37">
        <v>444</v>
      </c>
      <c r="C518" s="14" t="s">
        <v>998</v>
      </c>
      <c r="E518" s="38">
        <v>70549800</v>
      </c>
      <c r="F518" s="14">
        <v>951125377</v>
      </c>
      <c r="H518" t="s">
        <v>999</v>
      </c>
      <c r="I518" t="s">
        <v>1000</v>
      </c>
      <c r="K518" s="1">
        <v>45051</v>
      </c>
      <c r="L518" t="s">
        <v>1347</v>
      </c>
      <c r="M518" s="14" t="s">
        <v>1221</v>
      </c>
      <c r="N518" s="20">
        <f>199.99+90</f>
        <v>289.99</v>
      </c>
      <c r="P518" t="s">
        <v>10</v>
      </c>
      <c r="Q518" t="s">
        <v>22</v>
      </c>
      <c r="R518" s="61"/>
      <c r="T518" s="113">
        <f>110+12+57.5</f>
        <v>179.5</v>
      </c>
      <c r="U518" s="113">
        <f>N518-T518</f>
        <v>110.49000000000001</v>
      </c>
      <c r="V518" s="114">
        <f>U518/T518*100</f>
        <v>61.554317548746518</v>
      </c>
      <c r="W518" s="61"/>
    </row>
    <row r="519" spans="1:38">
      <c r="A519" s="37">
        <v>445</v>
      </c>
      <c r="C519" s="14" t="s">
        <v>1001</v>
      </c>
      <c r="E519" s="38">
        <v>44088140</v>
      </c>
      <c r="F519" s="14">
        <v>998422843</v>
      </c>
      <c r="H519" t="s">
        <v>846</v>
      </c>
      <c r="I519" t="s">
        <v>1002</v>
      </c>
      <c r="K519" s="1">
        <v>45051</v>
      </c>
      <c r="L519" t="s">
        <v>1346</v>
      </c>
      <c r="M519" s="14" t="s">
        <v>8</v>
      </c>
      <c r="N519" s="20">
        <f>160+199.99</f>
        <v>359.99</v>
      </c>
      <c r="P519" t="s">
        <v>10</v>
      </c>
      <c r="Q519" t="s">
        <v>11</v>
      </c>
      <c r="R519" s="61"/>
      <c r="T519" s="113">
        <f>110+12+115</f>
        <v>237</v>
      </c>
      <c r="U519" s="113">
        <f>N519-T519</f>
        <v>122.99000000000001</v>
      </c>
      <c r="V519" s="114">
        <f>U519/T519*100</f>
        <v>51.894514767932499</v>
      </c>
      <c r="W519" s="61"/>
    </row>
    <row r="520" spans="1:38">
      <c r="A520" s="37">
        <v>446</v>
      </c>
      <c r="C520" s="14" t="s">
        <v>1003</v>
      </c>
      <c r="E520" s="38"/>
      <c r="F520" s="14">
        <v>921964723</v>
      </c>
      <c r="J520" t="s">
        <v>183</v>
      </c>
      <c r="K520" s="1">
        <v>45051</v>
      </c>
      <c r="L520" t="s">
        <v>1345</v>
      </c>
      <c r="M520" s="14" t="s">
        <v>1221</v>
      </c>
      <c r="N520" s="20">
        <f>395+55</f>
        <v>450</v>
      </c>
      <c r="P520" t="s">
        <v>10</v>
      </c>
      <c r="Q520" t="s">
        <v>22</v>
      </c>
      <c r="R520" s="61"/>
      <c r="T520" s="113">
        <f>200+15</f>
        <v>215</v>
      </c>
      <c r="U520" s="113">
        <f>N520-T520</f>
        <v>235</v>
      </c>
      <c r="V520" s="114">
        <f>U520/T520*100</f>
        <v>109.30232558139534</v>
      </c>
      <c r="W520" s="61"/>
    </row>
    <row r="521" spans="1:38">
      <c r="A521" s="37">
        <v>447</v>
      </c>
      <c r="C521" s="14" t="s">
        <v>1004</v>
      </c>
      <c r="E521" s="38"/>
      <c r="F521" s="14">
        <v>942935806</v>
      </c>
      <c r="J521" t="s">
        <v>765</v>
      </c>
      <c r="K521" s="1">
        <v>45052</v>
      </c>
      <c r="L521" t="s">
        <v>1231</v>
      </c>
      <c r="M521" s="14" t="s">
        <v>8</v>
      </c>
      <c r="N521" s="20">
        <v>200</v>
      </c>
      <c r="P521" t="s">
        <v>10</v>
      </c>
      <c r="Q521" t="s">
        <v>11</v>
      </c>
      <c r="R521" s="61"/>
      <c r="T521" s="113">
        <f>110+12</f>
        <v>122</v>
      </c>
      <c r="U521" s="113">
        <f>N521-T521</f>
        <v>78</v>
      </c>
      <c r="V521" s="114">
        <f>U521/T521*100</f>
        <v>63.934426229508205</v>
      </c>
      <c r="W521" s="61"/>
    </row>
    <row r="522" spans="1:38">
      <c r="A522" s="37">
        <v>448</v>
      </c>
      <c r="B522" s="37" t="s">
        <v>12</v>
      </c>
      <c r="C522" s="14" t="s">
        <v>1005</v>
      </c>
      <c r="D522">
        <v>20601880297</v>
      </c>
      <c r="E522" s="38">
        <v>45696453</v>
      </c>
      <c r="F522" s="14">
        <v>944633116</v>
      </c>
      <c r="G522" t="s">
        <v>1006</v>
      </c>
      <c r="H522" t="s">
        <v>199</v>
      </c>
      <c r="I522" t="s">
        <v>147</v>
      </c>
      <c r="K522" s="1">
        <v>45054</v>
      </c>
      <c r="L522" t="s">
        <v>1344</v>
      </c>
      <c r="M522" s="14" t="s">
        <v>1221</v>
      </c>
      <c r="N522" s="20">
        <v>440</v>
      </c>
      <c r="P522" t="s">
        <v>10</v>
      </c>
      <c r="Q522" t="s">
        <v>22</v>
      </c>
      <c r="R522" s="61"/>
      <c r="T522" s="113">
        <f>250+15</f>
        <v>265</v>
      </c>
      <c r="U522" s="113">
        <f>N522-T522</f>
        <v>175</v>
      </c>
      <c r="V522" s="114">
        <f>U522/T522*100</f>
        <v>66.037735849056602</v>
      </c>
      <c r="W522" s="61"/>
    </row>
    <row r="523" spans="1:38">
      <c r="A523" s="37">
        <v>449</v>
      </c>
      <c r="C523" s="14" t="s">
        <v>1007</v>
      </c>
      <c r="E523" s="38"/>
      <c r="F523" s="14">
        <v>942903760</v>
      </c>
      <c r="J523" t="s">
        <v>1008</v>
      </c>
      <c r="K523" s="1">
        <v>45054</v>
      </c>
      <c r="L523" t="s">
        <v>1323</v>
      </c>
      <c r="M523" s="14" t="s">
        <v>8</v>
      </c>
      <c r="N523" s="20">
        <v>370</v>
      </c>
      <c r="P523" t="s">
        <v>10</v>
      </c>
      <c r="Q523" t="s">
        <v>11</v>
      </c>
      <c r="R523" s="61"/>
      <c r="T523" s="113">
        <f>110+110+12+12</f>
        <v>244</v>
      </c>
      <c r="U523" s="113">
        <f>N523-T523</f>
        <v>126</v>
      </c>
      <c r="V523" s="114">
        <f>U523/T523*100</f>
        <v>51.639344262295083</v>
      </c>
      <c r="W523" s="61"/>
    </row>
    <row r="524" spans="1:38">
      <c r="A524" s="37">
        <v>450</v>
      </c>
      <c r="C524" s="14" t="s">
        <v>1009</v>
      </c>
      <c r="E524" s="38"/>
      <c r="F524" s="14">
        <v>963636421</v>
      </c>
      <c r="J524" t="s">
        <v>1010</v>
      </c>
      <c r="K524" s="1">
        <v>45054</v>
      </c>
      <c r="L524" t="s">
        <v>1343</v>
      </c>
      <c r="M524" s="14" t="s">
        <v>8</v>
      </c>
      <c r="N524" s="20">
        <v>450</v>
      </c>
      <c r="P524" t="s">
        <v>10</v>
      </c>
      <c r="Q524" t="s">
        <v>11</v>
      </c>
      <c r="R524" s="61"/>
      <c r="T524" s="113">
        <f>200+7.5+10</f>
        <v>217.5</v>
      </c>
      <c r="U524" s="113">
        <f>N524-T524</f>
        <v>232.5</v>
      </c>
      <c r="V524" s="114">
        <f>U524/T524*100</f>
        <v>106.89655172413792</v>
      </c>
      <c r="W524" s="61"/>
    </row>
    <row r="525" spans="1:38">
      <c r="A525" s="39">
        <v>451</v>
      </c>
      <c r="B525" s="39"/>
      <c r="C525" s="40" t="s">
        <v>1011</v>
      </c>
      <c r="D525" s="41"/>
      <c r="E525" s="42">
        <v>47390883</v>
      </c>
      <c r="F525" s="40">
        <v>926673224</v>
      </c>
      <c r="G525" s="41"/>
      <c r="H525" s="41" t="s">
        <v>199</v>
      </c>
      <c r="I525" s="41" t="s">
        <v>29</v>
      </c>
      <c r="J525" s="41"/>
      <c r="K525" s="47">
        <v>45055</v>
      </c>
      <c r="L525" s="41" t="s">
        <v>1328</v>
      </c>
      <c r="M525" s="40" t="s">
        <v>56</v>
      </c>
      <c r="N525" s="48">
        <v>470</v>
      </c>
      <c r="O525" s="41"/>
      <c r="P525" s="41" t="s">
        <v>31</v>
      </c>
      <c r="Q525" s="41" t="s">
        <v>22</v>
      </c>
      <c r="R525" s="68"/>
      <c r="S525" s="41"/>
      <c r="T525" s="116">
        <f>110+110+110+12</f>
        <v>342</v>
      </c>
      <c r="U525" s="116">
        <f>N525-T525</f>
        <v>128</v>
      </c>
      <c r="V525" s="117">
        <f>U525/T525*100</f>
        <v>37.42690058479532</v>
      </c>
      <c r="W525" s="68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</row>
    <row r="526" spans="1:38">
      <c r="A526" s="37">
        <v>453</v>
      </c>
      <c r="B526" s="37" t="s">
        <v>12</v>
      </c>
      <c r="C526" s="14" t="s">
        <v>1012</v>
      </c>
      <c r="D526">
        <v>20608099311</v>
      </c>
      <c r="E526" s="38"/>
      <c r="F526" s="14">
        <v>970785500</v>
      </c>
      <c r="G526" t="s">
        <v>1013</v>
      </c>
      <c r="J526" t="s">
        <v>364</v>
      </c>
      <c r="K526" s="1">
        <v>45056</v>
      </c>
      <c r="L526" t="s">
        <v>1342</v>
      </c>
      <c r="M526" s="14" t="s">
        <v>56</v>
      </c>
      <c r="N526" s="20">
        <f>480+18</f>
        <v>498</v>
      </c>
      <c r="P526" t="s">
        <v>10</v>
      </c>
      <c r="Q526" t="s">
        <v>11</v>
      </c>
      <c r="R526" s="61"/>
      <c r="T526" s="113">
        <f>230+22+18</f>
        <v>270</v>
      </c>
      <c r="U526" s="113">
        <f>N526-T526</f>
        <v>228</v>
      </c>
      <c r="V526" s="114">
        <f>U526/T526*100</f>
        <v>84.444444444444443</v>
      </c>
      <c r="W526" s="61"/>
    </row>
    <row r="527" spans="1:38">
      <c r="A527" s="37">
        <v>452</v>
      </c>
      <c r="B527" s="37" t="s">
        <v>12</v>
      </c>
      <c r="C527" s="14" t="s">
        <v>1014</v>
      </c>
      <c r="D527">
        <v>20543298655</v>
      </c>
      <c r="E527" s="38"/>
      <c r="F527" s="14">
        <v>955365688</v>
      </c>
      <c r="G527" t="s">
        <v>1015</v>
      </c>
      <c r="J527" t="s">
        <v>400</v>
      </c>
      <c r="K527" s="1">
        <v>45056</v>
      </c>
      <c r="L527" t="s">
        <v>1341</v>
      </c>
      <c r="M527" s="14" t="s">
        <v>1340</v>
      </c>
      <c r="N527" s="20">
        <f>400+80</f>
        <v>480</v>
      </c>
      <c r="P527" t="s">
        <v>10</v>
      </c>
      <c r="Q527" t="s">
        <v>11</v>
      </c>
      <c r="R527" s="61"/>
      <c r="T527" s="113">
        <f>230+18</f>
        <v>248</v>
      </c>
      <c r="U527" s="113">
        <f>N527-T527</f>
        <v>232</v>
      </c>
      <c r="V527" s="114">
        <f>U527/T527*100</f>
        <v>93.548387096774192</v>
      </c>
      <c r="W527" s="61"/>
    </row>
    <row r="528" spans="1:38">
      <c r="A528" s="37">
        <v>454</v>
      </c>
      <c r="B528" s="37" t="s">
        <v>12</v>
      </c>
      <c r="C528" s="14" t="s">
        <v>1016</v>
      </c>
      <c r="D528">
        <v>20607665037</v>
      </c>
      <c r="E528" s="38"/>
      <c r="F528" s="14">
        <v>984738360</v>
      </c>
      <c r="G528" t="s">
        <v>1017</v>
      </c>
      <c r="J528" t="s">
        <v>7</v>
      </c>
      <c r="K528" s="1">
        <v>45056</v>
      </c>
      <c r="L528" t="s">
        <v>1339</v>
      </c>
      <c r="M528" s="14" t="s">
        <v>1221</v>
      </c>
      <c r="N528" s="20">
        <v>170</v>
      </c>
      <c r="P528" t="s">
        <v>10</v>
      </c>
      <c r="Q528" t="s">
        <v>22</v>
      </c>
      <c r="R528" s="61"/>
      <c r="T528" s="113">
        <v>115</v>
      </c>
      <c r="U528" s="113">
        <f>N528-T528</f>
        <v>55</v>
      </c>
      <c r="V528" s="114">
        <f>U528/T528*100</f>
        <v>47.826086956521742</v>
      </c>
      <c r="W528" s="61"/>
    </row>
    <row r="529" spans="1:34">
      <c r="A529" s="37">
        <v>455</v>
      </c>
      <c r="B529" s="37" t="s">
        <v>12</v>
      </c>
      <c r="C529" s="14" t="s">
        <v>1018</v>
      </c>
      <c r="D529">
        <v>10726500156</v>
      </c>
      <c r="E529" s="38">
        <v>72650015</v>
      </c>
      <c r="F529" s="14">
        <v>930110369</v>
      </c>
      <c r="G529" t="s">
        <v>1338</v>
      </c>
      <c r="H529" t="s">
        <v>405</v>
      </c>
      <c r="I529" t="s">
        <v>147</v>
      </c>
      <c r="K529" s="1">
        <v>45056</v>
      </c>
      <c r="L529" t="s">
        <v>1231</v>
      </c>
      <c r="M529" s="14" t="s">
        <v>56</v>
      </c>
      <c r="N529" s="20">
        <f>200+24.3</f>
        <v>224.3</v>
      </c>
      <c r="P529" t="s">
        <v>10</v>
      </c>
      <c r="Q529" t="s">
        <v>11</v>
      </c>
      <c r="R529" s="61"/>
      <c r="T529" s="113">
        <f>110+12+24.3</f>
        <v>146.30000000000001</v>
      </c>
      <c r="U529" s="113">
        <f>N529-T529</f>
        <v>78</v>
      </c>
      <c r="V529" s="114">
        <f>U529/T529*100</f>
        <v>53.315105946684895</v>
      </c>
      <c r="W529" s="61"/>
    </row>
    <row r="530" spans="1:34">
      <c r="A530" s="37">
        <v>456</v>
      </c>
      <c r="C530" s="14" t="s">
        <v>1019</v>
      </c>
      <c r="E530" s="38">
        <v>46795023</v>
      </c>
      <c r="F530" s="14">
        <v>973451942</v>
      </c>
      <c r="H530" t="s">
        <v>65</v>
      </c>
      <c r="I530" t="s">
        <v>29</v>
      </c>
      <c r="K530" s="1">
        <v>45057</v>
      </c>
      <c r="L530" t="s">
        <v>1231</v>
      </c>
      <c r="M530" s="14" t="s">
        <v>1221</v>
      </c>
      <c r="N530" s="20">
        <v>200</v>
      </c>
      <c r="P530" t="s">
        <v>10</v>
      </c>
      <c r="Q530" t="s">
        <v>22</v>
      </c>
      <c r="R530" s="61"/>
      <c r="T530" s="113">
        <f>110+12</f>
        <v>122</v>
      </c>
      <c r="U530" s="113">
        <f>N530-T530</f>
        <v>78</v>
      </c>
      <c r="V530" s="114">
        <f>U530/T530*100</f>
        <v>63.934426229508205</v>
      </c>
      <c r="W530" s="61"/>
    </row>
    <row r="531" spans="1:34">
      <c r="A531" s="37">
        <v>457</v>
      </c>
      <c r="B531" s="37" t="s">
        <v>12</v>
      </c>
      <c r="C531" s="14" t="s">
        <v>1020</v>
      </c>
      <c r="D531">
        <v>10432857323</v>
      </c>
      <c r="E531" s="38">
        <v>43285732</v>
      </c>
      <c r="F531" s="14">
        <v>968469894</v>
      </c>
      <c r="G531" t="s">
        <v>1021</v>
      </c>
      <c r="J531" t="s">
        <v>7</v>
      </c>
      <c r="K531" s="1">
        <v>45057</v>
      </c>
      <c r="L531" t="s">
        <v>1337</v>
      </c>
      <c r="M531" s="14" t="s">
        <v>21</v>
      </c>
      <c r="N531" s="20">
        <v>1100</v>
      </c>
      <c r="P531" t="s">
        <v>10</v>
      </c>
      <c r="Q531" t="s">
        <v>11</v>
      </c>
      <c r="R531" s="61"/>
      <c r="T531" s="113">
        <f>230+96+150+220+30+15</f>
        <v>741</v>
      </c>
      <c r="U531" s="113">
        <f>N531-T531</f>
        <v>359</v>
      </c>
      <c r="V531" s="114">
        <f>U531/T531*100</f>
        <v>48.448043184885293</v>
      </c>
      <c r="W531" s="61"/>
    </row>
    <row r="532" spans="1:34">
      <c r="A532" s="45">
        <v>126</v>
      </c>
      <c r="B532" s="37" t="s">
        <v>23</v>
      </c>
      <c r="C532" s="14" t="s">
        <v>365</v>
      </c>
      <c r="D532" s="14"/>
      <c r="E532" s="46"/>
      <c r="F532" s="14">
        <v>987117816</v>
      </c>
      <c r="G532" s="14"/>
      <c r="H532" s="14"/>
      <c r="I532" s="14"/>
      <c r="J532" s="14" t="s">
        <v>58</v>
      </c>
      <c r="K532" s="1">
        <v>45057</v>
      </c>
      <c r="L532" t="s">
        <v>1336</v>
      </c>
      <c r="M532" s="14" t="s">
        <v>1221</v>
      </c>
      <c r="N532" s="20">
        <v>30</v>
      </c>
      <c r="P532" t="s">
        <v>10</v>
      </c>
      <c r="Q532" t="s">
        <v>22</v>
      </c>
      <c r="R532" s="61"/>
      <c r="T532" s="113">
        <v>12</v>
      </c>
      <c r="U532" s="113">
        <f>N532-T532</f>
        <v>18</v>
      </c>
      <c r="V532" s="114">
        <f>U532/T532*100</f>
        <v>150</v>
      </c>
      <c r="W532" s="61"/>
    </row>
    <row r="533" spans="1:34" s="35" customFormat="1">
      <c r="A533" s="79">
        <v>458</v>
      </c>
      <c r="B533" s="78" t="s">
        <v>12</v>
      </c>
      <c r="C533" s="76" t="s">
        <v>1152</v>
      </c>
      <c r="D533" s="35">
        <v>10097190254</v>
      </c>
      <c r="E533" s="36">
        <v>9719025</v>
      </c>
      <c r="F533" s="76">
        <v>935576406</v>
      </c>
      <c r="G533" s="35" t="s">
        <v>1335</v>
      </c>
      <c r="J533" s="35" t="s">
        <v>383</v>
      </c>
      <c r="K533" s="77">
        <v>45057</v>
      </c>
      <c r="L533" s="35" t="s">
        <v>1231</v>
      </c>
      <c r="M533" s="76" t="s">
        <v>21</v>
      </c>
      <c r="N533" s="75">
        <v>200</v>
      </c>
      <c r="P533" s="35" t="s">
        <v>10</v>
      </c>
      <c r="Q533" s="35" t="s">
        <v>22</v>
      </c>
      <c r="R533" s="74"/>
      <c r="T533" s="118">
        <f>110+12</f>
        <v>122</v>
      </c>
      <c r="U533" s="118">
        <f>N533-T533</f>
        <v>78</v>
      </c>
      <c r="V533" s="119">
        <f>U533/T533*100</f>
        <v>63.934426229508205</v>
      </c>
      <c r="W533" s="74"/>
    </row>
    <row r="534" spans="1:34">
      <c r="A534" s="37">
        <v>459</v>
      </c>
      <c r="C534" s="14" t="s">
        <v>1153</v>
      </c>
      <c r="E534" s="38"/>
      <c r="F534" s="14">
        <v>940871421</v>
      </c>
      <c r="J534" t="s">
        <v>1184</v>
      </c>
      <c r="K534" s="1">
        <v>45058</v>
      </c>
      <c r="L534" t="s">
        <v>1334</v>
      </c>
      <c r="M534" s="14" t="s">
        <v>8</v>
      </c>
      <c r="N534" s="20">
        <v>800</v>
      </c>
      <c r="P534" t="s">
        <v>10</v>
      </c>
      <c r="Q534" t="s">
        <v>11</v>
      </c>
      <c r="R534" s="61"/>
      <c r="T534" s="113">
        <f>250+250+5+5</f>
        <v>510</v>
      </c>
      <c r="U534" s="113">
        <f>N534-T534</f>
        <v>290</v>
      </c>
      <c r="V534" s="114">
        <f>U534/T534*100</f>
        <v>56.862745098039213</v>
      </c>
      <c r="W534" s="61"/>
    </row>
    <row r="535" spans="1:34">
      <c r="A535" s="37">
        <v>460</v>
      </c>
      <c r="B535" s="37" t="s">
        <v>12</v>
      </c>
      <c r="C535" s="14" t="s">
        <v>1154</v>
      </c>
      <c r="D535">
        <v>20600855604</v>
      </c>
      <c r="E535" s="38">
        <v>48533591</v>
      </c>
      <c r="F535" s="14">
        <v>982284454</v>
      </c>
      <c r="G535" t="s">
        <v>1185</v>
      </c>
      <c r="H535" t="s">
        <v>199</v>
      </c>
      <c r="I535" t="s">
        <v>29</v>
      </c>
      <c r="K535" s="1">
        <v>45059</v>
      </c>
      <c r="L535" t="s">
        <v>1231</v>
      </c>
      <c r="M535" s="14" t="s">
        <v>8</v>
      </c>
      <c r="N535" s="20">
        <v>199</v>
      </c>
      <c r="P535" t="s">
        <v>10</v>
      </c>
      <c r="Q535" t="s">
        <v>11</v>
      </c>
      <c r="R535" s="61"/>
      <c r="T535" s="113">
        <f>110+12</f>
        <v>122</v>
      </c>
      <c r="U535" s="113">
        <f>N535-T535</f>
        <v>77</v>
      </c>
      <c r="V535" s="114">
        <f>U535/T535*100</f>
        <v>63.114754098360656</v>
      </c>
      <c r="W535" s="61"/>
    </row>
    <row r="536" spans="1:34">
      <c r="A536" s="39">
        <v>417</v>
      </c>
      <c r="B536" s="39" t="s">
        <v>12</v>
      </c>
      <c r="C536" s="40" t="s">
        <v>945</v>
      </c>
      <c r="D536" s="41">
        <v>10106823095</v>
      </c>
      <c r="E536" s="42"/>
      <c r="F536" s="40">
        <v>985346268</v>
      </c>
      <c r="G536" s="41" t="s">
        <v>1186</v>
      </c>
      <c r="H536" s="41"/>
      <c r="I536" s="41"/>
      <c r="J536" s="41" t="s">
        <v>7</v>
      </c>
      <c r="K536" s="47">
        <v>45059</v>
      </c>
      <c r="L536" s="41" t="s">
        <v>1333</v>
      </c>
      <c r="M536" s="41" t="s">
        <v>1332</v>
      </c>
      <c r="N536" s="48">
        <v>360</v>
      </c>
      <c r="O536" s="41"/>
      <c r="P536" s="41" t="s">
        <v>31</v>
      </c>
      <c r="Q536" s="41" t="s">
        <v>11</v>
      </c>
      <c r="R536" s="68"/>
      <c r="S536" s="41"/>
      <c r="T536" s="116">
        <v>240</v>
      </c>
      <c r="U536" s="116">
        <f>N536-T536</f>
        <v>120</v>
      </c>
      <c r="V536" s="117">
        <f>U536/T536*100</f>
        <v>50</v>
      </c>
      <c r="W536" s="68"/>
      <c r="X536" s="41"/>
      <c r="Y536" s="41"/>
    </row>
    <row r="537" spans="1:34" ht="15" customHeight="1">
      <c r="A537" s="39">
        <v>32</v>
      </c>
      <c r="B537" s="39"/>
      <c r="C537" s="41" t="s">
        <v>1155</v>
      </c>
      <c r="D537" s="41"/>
      <c r="E537" s="41"/>
      <c r="F537" s="41">
        <v>934134598</v>
      </c>
      <c r="G537" s="41"/>
      <c r="H537" s="41"/>
      <c r="I537" s="41"/>
      <c r="J537" s="41" t="s">
        <v>1223</v>
      </c>
      <c r="K537" s="47">
        <v>45061</v>
      </c>
      <c r="L537" s="41" t="s">
        <v>1331</v>
      </c>
      <c r="M537" s="41" t="s">
        <v>8</v>
      </c>
      <c r="N537" s="48">
        <v>510</v>
      </c>
      <c r="O537" s="41"/>
      <c r="P537" s="41" t="s">
        <v>31</v>
      </c>
      <c r="Q537" s="41" t="s">
        <v>11</v>
      </c>
      <c r="R537" s="41" t="s">
        <v>224</v>
      </c>
      <c r="S537" s="41"/>
      <c r="T537" s="116">
        <f>230+96</f>
        <v>326</v>
      </c>
      <c r="U537" s="116">
        <f>N537-T537</f>
        <v>184</v>
      </c>
      <c r="V537" s="117">
        <f>U537/T537*100</f>
        <v>56.441717791411037</v>
      </c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</row>
    <row r="538" spans="1:34">
      <c r="A538" s="37">
        <v>461</v>
      </c>
      <c r="B538" s="37" t="s">
        <v>12</v>
      </c>
      <c r="C538" s="14" t="s">
        <v>1156</v>
      </c>
      <c r="E538" s="38"/>
      <c r="F538" s="14">
        <v>975221750</v>
      </c>
      <c r="G538" t="s">
        <v>1187</v>
      </c>
      <c r="J538" t="s">
        <v>183</v>
      </c>
      <c r="K538" s="1">
        <v>45061</v>
      </c>
      <c r="L538" t="s">
        <v>1330</v>
      </c>
      <c r="M538" s="14" t="s">
        <v>8</v>
      </c>
      <c r="N538" s="20">
        <f>480+30</f>
        <v>510</v>
      </c>
      <c r="P538" t="s">
        <v>10</v>
      </c>
      <c r="Q538" t="s">
        <v>11</v>
      </c>
      <c r="R538" s="61"/>
      <c r="T538" s="113">
        <f>230+22</f>
        <v>252</v>
      </c>
      <c r="U538" s="113">
        <f>N538-T538</f>
        <v>258</v>
      </c>
      <c r="V538" s="114">
        <f>U538/T538*100</f>
        <v>102.38095238095238</v>
      </c>
      <c r="W538" s="61"/>
    </row>
    <row r="539" spans="1:34">
      <c r="A539" s="37">
        <v>462</v>
      </c>
      <c r="B539" s="37" t="s">
        <v>12</v>
      </c>
      <c r="C539" s="14" t="s">
        <v>1157</v>
      </c>
      <c r="E539" s="38">
        <v>41417644</v>
      </c>
      <c r="F539" s="14">
        <v>969383070</v>
      </c>
      <c r="G539" t="s">
        <v>1188</v>
      </c>
      <c r="H539" t="s">
        <v>229</v>
      </c>
      <c r="I539" t="s">
        <v>29</v>
      </c>
      <c r="K539" s="1">
        <v>45061</v>
      </c>
      <c r="L539" t="s">
        <v>1329</v>
      </c>
      <c r="M539" s="14" t="s">
        <v>8</v>
      </c>
      <c r="N539" s="20">
        <v>400</v>
      </c>
      <c r="P539" t="s">
        <v>10</v>
      </c>
      <c r="Q539" t="s">
        <v>11</v>
      </c>
      <c r="R539" s="61"/>
      <c r="T539" s="113">
        <f>270+15</f>
        <v>285</v>
      </c>
      <c r="U539" s="113">
        <f>N539-T539</f>
        <v>115</v>
      </c>
      <c r="V539" s="114">
        <f>U539/T539*100</f>
        <v>40.350877192982452</v>
      </c>
      <c r="W539" s="61"/>
    </row>
    <row r="540" spans="1:34">
      <c r="A540" s="37">
        <v>452</v>
      </c>
      <c r="B540" s="37" t="s">
        <v>12</v>
      </c>
      <c r="C540" s="14" t="s">
        <v>1014</v>
      </c>
      <c r="D540">
        <v>20543298655</v>
      </c>
      <c r="E540" s="38"/>
      <c r="F540" s="14">
        <v>955365688</v>
      </c>
      <c r="G540" t="s">
        <v>1189</v>
      </c>
      <c r="J540" t="s">
        <v>400</v>
      </c>
      <c r="K540" s="1">
        <v>45061</v>
      </c>
      <c r="L540" t="s">
        <v>1273</v>
      </c>
      <c r="M540" s="14" t="s">
        <v>21</v>
      </c>
      <c r="N540" s="20">
        <v>100</v>
      </c>
      <c r="P540" t="s">
        <v>10</v>
      </c>
      <c r="Q540" t="s">
        <v>11</v>
      </c>
      <c r="R540" s="61"/>
      <c r="T540" s="113">
        <f>18+18</f>
        <v>36</v>
      </c>
      <c r="U540" s="113">
        <f>N540-T540</f>
        <v>64</v>
      </c>
      <c r="V540" s="114">
        <f>U540/T540*100</f>
        <v>177.77777777777777</v>
      </c>
      <c r="W540" s="61"/>
    </row>
    <row r="541" spans="1:34">
      <c r="A541" s="39">
        <v>451</v>
      </c>
      <c r="B541" s="39"/>
      <c r="C541" s="40" t="s">
        <v>1011</v>
      </c>
      <c r="D541" s="41"/>
      <c r="E541" s="42">
        <v>47390883</v>
      </c>
      <c r="F541" s="40">
        <v>926673224</v>
      </c>
      <c r="G541" s="41"/>
      <c r="H541" s="41" t="s">
        <v>199</v>
      </c>
      <c r="I541" s="41" t="s">
        <v>29</v>
      </c>
      <c r="J541" s="41"/>
      <c r="K541" s="47">
        <v>45062</v>
      </c>
      <c r="L541" s="41" t="s">
        <v>1328</v>
      </c>
      <c r="M541" s="40" t="s">
        <v>1221</v>
      </c>
      <c r="N541" s="48">
        <v>475</v>
      </c>
      <c r="O541" s="41"/>
      <c r="P541" s="41" t="s">
        <v>31</v>
      </c>
      <c r="Q541" s="41" t="s">
        <v>22</v>
      </c>
      <c r="R541" s="68"/>
      <c r="S541" s="41"/>
      <c r="T541" s="116">
        <f>110+110+110+12</f>
        <v>342</v>
      </c>
      <c r="U541" s="116">
        <f>N541-T541</f>
        <v>133</v>
      </c>
      <c r="V541" s="117">
        <f>U541/T541*100</f>
        <v>38.888888888888893</v>
      </c>
      <c r="W541" s="68"/>
      <c r="X541" s="41"/>
      <c r="Y541" s="41"/>
      <c r="Z541" s="41"/>
      <c r="AA541" s="41"/>
    </row>
    <row r="542" spans="1:34">
      <c r="A542" s="37">
        <v>463</v>
      </c>
      <c r="C542" s="14" t="s">
        <v>1158</v>
      </c>
      <c r="E542" s="38">
        <v>849473</v>
      </c>
      <c r="F542" s="14">
        <v>935465904</v>
      </c>
      <c r="H542" t="s">
        <v>1190</v>
      </c>
      <c r="I542" t="s">
        <v>147</v>
      </c>
      <c r="K542" s="1">
        <v>45062</v>
      </c>
      <c r="L542" t="s">
        <v>1327</v>
      </c>
      <c r="M542" s="14" t="s">
        <v>8</v>
      </c>
      <c r="N542" s="20">
        <v>970</v>
      </c>
      <c r="P542" t="s">
        <v>10</v>
      </c>
      <c r="Q542" t="s">
        <v>11</v>
      </c>
      <c r="R542" s="61"/>
      <c r="T542" s="113">
        <f>240+240+96+48</f>
        <v>624</v>
      </c>
      <c r="U542" s="113">
        <f>N542-T542</f>
        <v>346</v>
      </c>
      <c r="V542" s="114">
        <f>U542/T542*100</f>
        <v>55.448717948717949</v>
      </c>
      <c r="W542" s="61"/>
    </row>
    <row r="543" spans="1:34">
      <c r="A543" s="37">
        <v>464</v>
      </c>
      <c r="C543" s="14" t="s">
        <v>1159</v>
      </c>
      <c r="E543" s="38">
        <v>72127609</v>
      </c>
      <c r="F543" s="14">
        <v>997479255</v>
      </c>
      <c r="H543" t="s">
        <v>77</v>
      </c>
      <c r="I543" t="s">
        <v>29</v>
      </c>
      <c r="K543" s="1">
        <v>45063</v>
      </c>
      <c r="L543" t="s">
        <v>1326</v>
      </c>
      <c r="M543" s="14" t="s">
        <v>56</v>
      </c>
      <c r="N543" s="20">
        <v>344.9</v>
      </c>
      <c r="P543" t="s">
        <v>10</v>
      </c>
      <c r="Q543" t="s">
        <v>11</v>
      </c>
      <c r="R543" s="61"/>
      <c r="T543" s="113">
        <f>190+15+15</f>
        <v>220</v>
      </c>
      <c r="U543" s="113">
        <f>N543-T543</f>
        <v>124.89999999999998</v>
      </c>
      <c r="V543" s="114">
        <f>U543/T543*100</f>
        <v>56.772727272727266</v>
      </c>
      <c r="W543" s="61"/>
    </row>
    <row r="544" spans="1:34">
      <c r="A544" s="37">
        <v>465</v>
      </c>
      <c r="B544" s="37" t="s">
        <v>12</v>
      </c>
      <c r="C544" s="14" t="s">
        <v>1160</v>
      </c>
      <c r="D544" s="38">
        <v>10205851386</v>
      </c>
      <c r="E544" s="38">
        <v>20585138</v>
      </c>
      <c r="F544" s="14">
        <v>964998343</v>
      </c>
      <c r="G544" t="s">
        <v>1191</v>
      </c>
      <c r="H544" t="s">
        <v>1325</v>
      </c>
      <c r="I544" t="s">
        <v>1192</v>
      </c>
      <c r="K544" s="1">
        <v>45064</v>
      </c>
      <c r="L544" t="s">
        <v>1324</v>
      </c>
      <c r="M544" s="14" t="s">
        <v>8</v>
      </c>
      <c r="N544" s="20">
        <v>319.99</v>
      </c>
      <c r="P544" t="s">
        <v>10</v>
      </c>
      <c r="Q544" t="s">
        <v>11</v>
      </c>
      <c r="R544" s="61"/>
      <c r="T544" s="113">
        <f>190+15</f>
        <v>205</v>
      </c>
      <c r="U544" s="113">
        <f>N544-T544</f>
        <v>114.99000000000001</v>
      </c>
      <c r="V544" s="114">
        <f>U544/T544*100</f>
        <v>56.092682926829276</v>
      </c>
      <c r="W544" s="61"/>
    </row>
    <row r="545" spans="1:23">
      <c r="A545" s="37">
        <v>466</v>
      </c>
      <c r="B545" s="37" t="s">
        <v>12</v>
      </c>
      <c r="C545" s="14" t="s">
        <v>1161</v>
      </c>
      <c r="D545">
        <v>10103234137</v>
      </c>
      <c r="E545" s="38">
        <v>10323413</v>
      </c>
      <c r="F545" s="14">
        <v>986034097</v>
      </c>
      <c r="G545" t="s">
        <v>1193</v>
      </c>
      <c r="J545" t="s">
        <v>252</v>
      </c>
      <c r="K545" s="1">
        <v>45065</v>
      </c>
      <c r="L545" t="s">
        <v>1323</v>
      </c>
      <c r="M545" s="14" t="s">
        <v>21</v>
      </c>
      <c r="N545" s="20">
        <v>400</v>
      </c>
      <c r="P545" t="s">
        <v>10</v>
      </c>
      <c r="Q545" t="s">
        <v>22</v>
      </c>
      <c r="R545" s="61"/>
      <c r="T545" s="113">
        <f>110+12+110+12</f>
        <v>244</v>
      </c>
      <c r="U545" s="113">
        <f>N545-T545</f>
        <v>156</v>
      </c>
      <c r="V545" s="114">
        <f>U545/T545*100</f>
        <v>63.934426229508205</v>
      </c>
      <c r="W545" s="61"/>
    </row>
    <row r="546" spans="1:23">
      <c r="A546" s="37">
        <v>467</v>
      </c>
      <c r="C546" s="14" t="s">
        <v>1162</v>
      </c>
      <c r="E546" s="38"/>
      <c r="F546" s="14">
        <v>925231524</v>
      </c>
      <c r="J546" t="s">
        <v>1194</v>
      </c>
      <c r="K546" s="1">
        <v>45065</v>
      </c>
      <c r="L546" t="s">
        <v>1231</v>
      </c>
      <c r="M546" s="14" t="s">
        <v>21</v>
      </c>
      <c r="N546" s="20">
        <v>200</v>
      </c>
      <c r="P546" t="s">
        <v>10</v>
      </c>
      <c r="Q546" t="s">
        <v>11</v>
      </c>
      <c r="R546" s="61"/>
      <c r="T546" s="113">
        <f>110+12</f>
        <v>122</v>
      </c>
      <c r="U546" s="113">
        <f>N546-T546</f>
        <v>78</v>
      </c>
      <c r="V546" s="114">
        <f>U546/T546*100</f>
        <v>63.934426229508205</v>
      </c>
      <c r="W546" s="61"/>
    </row>
    <row r="547" spans="1:23">
      <c r="A547" s="37">
        <v>468</v>
      </c>
      <c r="C547" s="14" t="s">
        <v>1163</v>
      </c>
      <c r="D547">
        <v>20610989072</v>
      </c>
      <c r="E547" s="38"/>
      <c r="F547" s="14">
        <v>947474037</v>
      </c>
      <c r="G547" t="s">
        <v>1195</v>
      </c>
      <c r="J547" t="s">
        <v>400</v>
      </c>
      <c r="K547" s="1">
        <v>45066</v>
      </c>
      <c r="L547" t="s">
        <v>1322</v>
      </c>
      <c r="M547" s="14" t="s">
        <v>8</v>
      </c>
      <c r="N547" s="20">
        <v>220</v>
      </c>
      <c r="P547" t="s">
        <v>10</v>
      </c>
      <c r="Q547" t="s">
        <v>11</v>
      </c>
      <c r="R547" s="61"/>
      <c r="T547" s="113">
        <f>110+12</f>
        <v>122</v>
      </c>
      <c r="U547" s="113">
        <f>N547-T547</f>
        <v>98</v>
      </c>
      <c r="V547" s="114">
        <f>U547/T547*100</f>
        <v>80.327868852459019</v>
      </c>
      <c r="W547" s="61"/>
    </row>
    <row r="548" spans="1:23">
      <c r="A548" s="37">
        <v>469</v>
      </c>
      <c r="C548" s="14" t="s">
        <v>1164</v>
      </c>
      <c r="E548" s="38">
        <v>43118652</v>
      </c>
      <c r="F548" s="14">
        <v>959127794</v>
      </c>
      <c r="H548" t="s">
        <v>1196</v>
      </c>
      <c r="I548" t="s">
        <v>29</v>
      </c>
      <c r="K548" s="1">
        <v>45066</v>
      </c>
      <c r="L548" t="s">
        <v>1231</v>
      </c>
      <c r="M548" s="14" t="s">
        <v>56</v>
      </c>
      <c r="N548" s="20">
        <v>200</v>
      </c>
      <c r="P548" t="s">
        <v>10</v>
      </c>
      <c r="Q548" t="s">
        <v>11</v>
      </c>
      <c r="R548" s="61"/>
      <c r="T548" s="113">
        <f>110+12</f>
        <v>122</v>
      </c>
      <c r="U548" s="113">
        <f>N548-T548</f>
        <v>78</v>
      </c>
      <c r="V548" s="114">
        <f>U548/T548*100</f>
        <v>63.934426229508205</v>
      </c>
      <c r="W548" s="61"/>
    </row>
    <row r="549" spans="1:23">
      <c r="A549" s="37">
        <v>470</v>
      </c>
      <c r="C549" s="14" t="s">
        <v>1165</v>
      </c>
      <c r="E549" s="38">
        <v>2834007</v>
      </c>
      <c r="F549" s="14">
        <v>912980086</v>
      </c>
      <c r="H549" t="s">
        <v>643</v>
      </c>
      <c r="I549" t="s">
        <v>29</v>
      </c>
      <c r="K549" s="1">
        <v>45066</v>
      </c>
      <c r="L549" t="s">
        <v>1231</v>
      </c>
      <c r="M549" s="14" t="s">
        <v>1221</v>
      </c>
      <c r="N549" s="20">
        <v>200</v>
      </c>
      <c r="P549" t="s">
        <v>10</v>
      </c>
      <c r="Q549" t="s">
        <v>22</v>
      </c>
      <c r="R549" s="61"/>
      <c r="T549" s="113">
        <f>110+12</f>
        <v>122</v>
      </c>
      <c r="U549" s="113">
        <f>N549-T549</f>
        <v>78</v>
      </c>
      <c r="V549" s="114">
        <f>U549/T549*100</f>
        <v>63.934426229508205</v>
      </c>
      <c r="W549" s="61"/>
    </row>
    <row r="550" spans="1:23">
      <c r="A550" s="37">
        <v>452</v>
      </c>
      <c r="B550" s="37" t="s">
        <v>12</v>
      </c>
      <c r="C550" s="14" t="s">
        <v>1014</v>
      </c>
      <c r="D550">
        <v>20543298655</v>
      </c>
      <c r="E550" s="38"/>
      <c r="F550" s="14">
        <v>955365688</v>
      </c>
      <c r="G550" t="s">
        <v>1197</v>
      </c>
      <c r="J550" t="s">
        <v>400</v>
      </c>
      <c r="K550" s="1">
        <v>45068</v>
      </c>
      <c r="L550" t="s">
        <v>1273</v>
      </c>
      <c r="M550" s="14" t="s">
        <v>21</v>
      </c>
      <c r="N550" s="20">
        <v>100</v>
      </c>
      <c r="P550" t="s">
        <v>10</v>
      </c>
      <c r="Q550" t="s">
        <v>22</v>
      </c>
      <c r="R550" s="61"/>
      <c r="T550" s="113">
        <f>18+18</f>
        <v>36</v>
      </c>
      <c r="U550" s="113">
        <f>N550-T550</f>
        <v>64</v>
      </c>
      <c r="V550" s="114">
        <f>U550/T550*100</f>
        <v>177.77777777777777</v>
      </c>
      <c r="W550" s="61"/>
    </row>
    <row r="551" spans="1:23">
      <c r="A551" s="37">
        <v>471</v>
      </c>
      <c r="C551" s="14" t="s">
        <v>1166</v>
      </c>
      <c r="E551" s="38">
        <v>70415199</v>
      </c>
      <c r="F551" s="14">
        <v>983359309</v>
      </c>
      <c r="H551" t="s">
        <v>1196</v>
      </c>
      <c r="I551" t="s">
        <v>29</v>
      </c>
      <c r="K551" s="1">
        <v>45068</v>
      </c>
      <c r="L551" t="s">
        <v>1231</v>
      </c>
      <c r="M551" s="14" t="s">
        <v>8</v>
      </c>
      <c r="N551" s="20">
        <v>199</v>
      </c>
      <c r="P551" t="s">
        <v>10</v>
      </c>
      <c r="Q551" t="s">
        <v>11</v>
      </c>
      <c r="R551" s="61"/>
      <c r="T551" s="113">
        <f>110+12</f>
        <v>122</v>
      </c>
      <c r="U551" s="113">
        <f>N551-T551</f>
        <v>77</v>
      </c>
      <c r="V551" s="114">
        <f>U551/T551*100</f>
        <v>63.114754098360656</v>
      </c>
      <c r="W551" s="61"/>
    </row>
    <row r="552" spans="1:23">
      <c r="A552" s="37">
        <v>472</v>
      </c>
      <c r="C552" s="14" t="s">
        <v>1167</v>
      </c>
      <c r="E552" s="38"/>
      <c r="F552" s="14">
        <v>943583560</v>
      </c>
      <c r="J552" t="s">
        <v>1321</v>
      </c>
      <c r="K552" s="1">
        <v>45068</v>
      </c>
      <c r="L552" t="s">
        <v>1318</v>
      </c>
      <c r="M552" s="14" t="s">
        <v>1221</v>
      </c>
      <c r="N552" s="20">
        <v>350</v>
      </c>
      <c r="P552" t="s">
        <v>10</v>
      </c>
      <c r="Q552" t="s">
        <v>22</v>
      </c>
      <c r="R552" s="61"/>
      <c r="T552" s="113">
        <f>170+15</f>
        <v>185</v>
      </c>
      <c r="U552" s="113">
        <f>N552-T552</f>
        <v>165</v>
      </c>
      <c r="V552" s="114">
        <f>U552/T552*100</f>
        <v>89.189189189189193</v>
      </c>
      <c r="W552" s="61"/>
    </row>
    <row r="553" spans="1:23">
      <c r="A553" s="37">
        <v>473</v>
      </c>
      <c r="C553" s="14" t="s">
        <v>1168</v>
      </c>
      <c r="E553">
        <v>4323830</v>
      </c>
      <c r="F553" s="14">
        <v>924794107</v>
      </c>
      <c r="J553" t="s">
        <v>1320</v>
      </c>
      <c r="K553" s="1">
        <v>45068</v>
      </c>
      <c r="L553" t="s">
        <v>1319</v>
      </c>
      <c r="M553" s="14" t="s">
        <v>21</v>
      </c>
      <c r="N553" s="20">
        <v>530</v>
      </c>
      <c r="P553" t="s">
        <v>10</v>
      </c>
      <c r="Q553" t="s">
        <v>11</v>
      </c>
      <c r="R553" s="61"/>
      <c r="T553" s="113">
        <f>230+15+15+15</f>
        <v>275</v>
      </c>
      <c r="U553" s="113">
        <f>N553-T553</f>
        <v>255</v>
      </c>
      <c r="V553" s="114">
        <f>U553/T553*100</f>
        <v>92.72727272727272</v>
      </c>
      <c r="W553" s="61"/>
    </row>
    <row r="554" spans="1:23">
      <c r="A554" s="37">
        <v>474</v>
      </c>
      <c r="C554" s="14" t="s">
        <v>1169</v>
      </c>
      <c r="D554">
        <v>20569313687</v>
      </c>
      <c r="E554" s="38"/>
      <c r="F554" s="14">
        <v>942089454</v>
      </c>
      <c r="J554" t="s">
        <v>7</v>
      </c>
      <c r="K554" s="1">
        <v>45069</v>
      </c>
      <c r="L554" t="s">
        <v>1318</v>
      </c>
      <c r="M554" s="14" t="s">
        <v>1221</v>
      </c>
      <c r="N554" s="20">
        <v>370</v>
      </c>
      <c r="P554" t="s">
        <v>10</v>
      </c>
      <c r="Q554" t="s">
        <v>22</v>
      </c>
      <c r="R554" s="61"/>
      <c r="T554" s="113">
        <f>170+15</f>
        <v>185</v>
      </c>
      <c r="U554" s="113">
        <f>N554-T554</f>
        <v>185</v>
      </c>
      <c r="V554" s="114">
        <f>U554/T554*100</f>
        <v>100</v>
      </c>
      <c r="W554" s="61"/>
    </row>
    <row r="555" spans="1:23">
      <c r="A555" s="37">
        <v>475</v>
      </c>
      <c r="C555" s="14" t="s">
        <v>1170</v>
      </c>
      <c r="E555" s="38">
        <v>43758087</v>
      </c>
      <c r="F555" s="14">
        <v>977799713</v>
      </c>
      <c r="H555" t="s">
        <v>1198</v>
      </c>
      <c r="I555" t="s">
        <v>29</v>
      </c>
      <c r="K555" s="1">
        <v>45069</v>
      </c>
      <c r="L555" t="s">
        <v>1238</v>
      </c>
      <c r="M555" s="14" t="s">
        <v>56</v>
      </c>
      <c r="N555" s="20">
        <v>190</v>
      </c>
      <c r="P555" t="s">
        <v>10</v>
      </c>
      <c r="Q555" t="s">
        <v>22</v>
      </c>
      <c r="R555" s="61"/>
      <c r="T555" s="113">
        <v>110</v>
      </c>
      <c r="U555" s="113">
        <f>N555-T555</f>
        <v>80</v>
      </c>
      <c r="V555" s="114">
        <f>U555/T555*100</f>
        <v>72.727272727272734</v>
      </c>
      <c r="W555" s="61"/>
    </row>
    <row r="556" spans="1:23">
      <c r="A556" s="37">
        <v>476</v>
      </c>
      <c r="C556" s="14" t="s">
        <v>1171</v>
      </c>
      <c r="E556" s="38">
        <v>46954495</v>
      </c>
      <c r="F556" s="14">
        <v>929773287</v>
      </c>
      <c r="H556" t="s">
        <v>44</v>
      </c>
      <c r="I556" t="s">
        <v>1199</v>
      </c>
      <c r="K556" s="1">
        <v>45070</v>
      </c>
      <c r="L556" t="s">
        <v>1231</v>
      </c>
      <c r="M556" s="14" t="s">
        <v>56</v>
      </c>
      <c r="N556" s="20">
        <v>200</v>
      </c>
      <c r="P556" t="s">
        <v>10</v>
      </c>
      <c r="Q556" t="s">
        <v>22</v>
      </c>
      <c r="R556" s="61"/>
      <c r="T556" s="113">
        <f>110+12</f>
        <v>122</v>
      </c>
      <c r="U556" s="113">
        <f>N556-T556</f>
        <v>78</v>
      </c>
      <c r="V556" s="114">
        <f>U556/T556*100</f>
        <v>63.934426229508205</v>
      </c>
      <c r="W556" s="61"/>
    </row>
    <row r="557" spans="1:23">
      <c r="A557" s="37">
        <v>477</v>
      </c>
      <c r="C557" s="14" t="s">
        <v>1172</v>
      </c>
      <c r="E557" s="38">
        <v>73472602</v>
      </c>
      <c r="F557" s="14">
        <v>935171696</v>
      </c>
      <c r="H557" t="s">
        <v>77</v>
      </c>
      <c r="I557" t="s">
        <v>613</v>
      </c>
      <c r="K557" s="1">
        <v>45070</v>
      </c>
      <c r="L557" t="s">
        <v>1231</v>
      </c>
      <c r="M557" s="14" t="s">
        <v>1221</v>
      </c>
      <c r="N557" s="20">
        <v>200</v>
      </c>
      <c r="P557" t="s">
        <v>10</v>
      </c>
      <c r="Q557" t="s">
        <v>22</v>
      </c>
      <c r="R557" s="61"/>
      <c r="T557" s="113">
        <f>110+12</f>
        <v>122</v>
      </c>
      <c r="U557" s="113">
        <f>N557-T557</f>
        <v>78</v>
      </c>
      <c r="V557" s="114">
        <f>U557/T557*100</f>
        <v>63.934426229508205</v>
      </c>
      <c r="W557" s="61"/>
    </row>
    <row r="558" spans="1:23">
      <c r="A558" s="37">
        <v>478</v>
      </c>
      <c r="C558" s="14" t="s">
        <v>1173</v>
      </c>
      <c r="E558" s="38">
        <v>46753339</v>
      </c>
      <c r="F558" s="14">
        <v>902745205</v>
      </c>
      <c r="H558" t="s">
        <v>1200</v>
      </c>
      <c r="I558" t="s">
        <v>613</v>
      </c>
      <c r="K558" s="1">
        <v>45070</v>
      </c>
      <c r="L558" t="s">
        <v>1317</v>
      </c>
      <c r="M558" s="14" t="s">
        <v>8</v>
      </c>
      <c r="N558" s="20">
        <v>685</v>
      </c>
      <c r="P558" t="s">
        <v>10</v>
      </c>
      <c r="Q558" t="s">
        <v>11</v>
      </c>
      <c r="R558" s="61"/>
      <c r="T558" s="113">
        <f>230+15+15+150</f>
        <v>410</v>
      </c>
      <c r="U558" s="113">
        <f>N558-T558</f>
        <v>275</v>
      </c>
      <c r="V558" s="114">
        <f>U558/T558*100</f>
        <v>67.073170731707322</v>
      </c>
      <c r="W558" s="61"/>
    </row>
    <row r="559" spans="1:23">
      <c r="A559" s="43">
        <v>133</v>
      </c>
      <c r="B559" s="39" t="s">
        <v>23</v>
      </c>
      <c r="C559" s="40" t="s">
        <v>384</v>
      </c>
      <c r="D559" s="40"/>
      <c r="E559" s="44"/>
      <c r="F559" s="40">
        <v>993104850</v>
      </c>
      <c r="G559" s="40"/>
      <c r="H559" s="40"/>
      <c r="I559" s="40"/>
      <c r="J559" s="40" t="s">
        <v>385</v>
      </c>
      <c r="K559" s="47">
        <v>45070</v>
      </c>
      <c r="L559" s="41" t="s">
        <v>1316</v>
      </c>
      <c r="M559" s="41" t="s">
        <v>21</v>
      </c>
      <c r="N559" s="49">
        <v>320</v>
      </c>
      <c r="O559" s="40"/>
      <c r="P559" s="41" t="s">
        <v>10</v>
      </c>
      <c r="Q559" s="41" t="s">
        <v>22</v>
      </c>
      <c r="R559" s="40"/>
      <c r="S559" s="69"/>
      <c r="T559" s="112">
        <f>190+15</f>
        <v>205</v>
      </c>
      <c r="U559" s="113">
        <f>N559-T559</f>
        <v>115</v>
      </c>
      <c r="V559" s="114">
        <f>U559/T559*100</f>
        <v>56.09756097560976</v>
      </c>
      <c r="W559" s="73"/>
    </row>
    <row r="560" spans="1:23">
      <c r="A560" s="45">
        <v>202</v>
      </c>
      <c r="B560" s="45" t="s">
        <v>12</v>
      </c>
      <c r="C560" s="14" t="s">
        <v>522</v>
      </c>
      <c r="D560" s="46">
        <v>10439601201</v>
      </c>
      <c r="E560" s="46">
        <v>43960120</v>
      </c>
      <c r="F560" s="14">
        <v>991844209</v>
      </c>
      <c r="G560" t="s">
        <v>1201</v>
      </c>
      <c r="H560" s="14"/>
      <c r="J560" s="14" t="s">
        <v>524</v>
      </c>
      <c r="K560" s="1">
        <v>45071</v>
      </c>
      <c r="L560" t="s">
        <v>1315</v>
      </c>
      <c r="M560" s="14" t="s">
        <v>21</v>
      </c>
      <c r="N560" s="20">
        <v>140</v>
      </c>
      <c r="P560" t="s">
        <v>10</v>
      </c>
      <c r="Q560" t="s">
        <v>22</v>
      </c>
      <c r="R560" s="61"/>
      <c r="T560" s="113">
        <v>96</v>
      </c>
      <c r="U560" s="113">
        <f>N560-T560</f>
        <v>44</v>
      </c>
      <c r="V560" s="114">
        <f>U560/T560*100</f>
        <v>45.833333333333329</v>
      </c>
      <c r="W560" s="61"/>
    </row>
    <row r="561" spans="1:23">
      <c r="A561" s="37">
        <v>479</v>
      </c>
      <c r="C561" s="14" t="s">
        <v>1174</v>
      </c>
      <c r="D561">
        <v>10464136326</v>
      </c>
      <c r="E561" s="38"/>
      <c r="F561" s="14">
        <v>999166560</v>
      </c>
      <c r="G561" t="s">
        <v>1202</v>
      </c>
      <c r="J561" t="s">
        <v>1203</v>
      </c>
      <c r="K561" s="1">
        <v>45072</v>
      </c>
      <c r="L561" t="s">
        <v>1304</v>
      </c>
      <c r="M561" s="14" t="s">
        <v>8</v>
      </c>
      <c r="N561" s="20">
        <v>510</v>
      </c>
      <c r="P561" t="s">
        <v>10</v>
      </c>
      <c r="Q561" t="s">
        <v>11</v>
      </c>
      <c r="R561" s="61"/>
      <c r="T561" s="113">
        <f>240+96</f>
        <v>336</v>
      </c>
      <c r="U561" s="113">
        <f>N561-T561</f>
        <v>174</v>
      </c>
      <c r="V561" s="114">
        <f>U561/T561*100</f>
        <v>51.785714285714292</v>
      </c>
      <c r="W561" s="61"/>
    </row>
    <row r="562" spans="1:23">
      <c r="A562" s="37">
        <v>480</v>
      </c>
      <c r="C562" s="14" t="s">
        <v>1175</v>
      </c>
      <c r="E562" s="38"/>
      <c r="F562" s="14">
        <v>952989637</v>
      </c>
      <c r="J562" t="s">
        <v>1204</v>
      </c>
      <c r="K562" s="1">
        <v>45073</v>
      </c>
      <c r="L562" t="s">
        <v>1314</v>
      </c>
      <c r="M562" s="14" t="s">
        <v>21</v>
      </c>
      <c r="N562" s="20">
        <v>700</v>
      </c>
      <c r="P562" t="s">
        <v>10</v>
      </c>
      <c r="Q562" t="s">
        <v>22</v>
      </c>
      <c r="R562" s="61"/>
      <c r="T562" s="113">
        <f>230+96+48+10+10</f>
        <v>394</v>
      </c>
      <c r="U562" s="113">
        <f>N562-T562</f>
        <v>306</v>
      </c>
      <c r="V562" s="114">
        <f>U562/T562*100</f>
        <v>77.664974619289339</v>
      </c>
      <c r="W562" s="61"/>
    </row>
    <row r="563" spans="1:23">
      <c r="A563" s="37">
        <v>481</v>
      </c>
      <c r="C563" s="14" t="s">
        <v>1176</v>
      </c>
      <c r="E563" s="38"/>
      <c r="F563" s="14">
        <v>991064585</v>
      </c>
      <c r="J563" t="s">
        <v>1205</v>
      </c>
      <c r="K563" s="1">
        <v>45073</v>
      </c>
      <c r="L563" t="s">
        <v>1313</v>
      </c>
      <c r="M563" s="14" t="s">
        <v>1312</v>
      </c>
      <c r="N563" s="20">
        <v>350</v>
      </c>
      <c r="P563" t="s">
        <v>10</v>
      </c>
      <c r="Q563" t="s">
        <v>22</v>
      </c>
      <c r="R563" s="61"/>
      <c r="T563" s="113">
        <f>190+30</f>
        <v>220</v>
      </c>
      <c r="U563" s="113">
        <f>N563-T563</f>
        <v>130</v>
      </c>
      <c r="V563" s="114">
        <f>U563/T563*100</f>
        <v>59.090909090909093</v>
      </c>
      <c r="W563" s="61"/>
    </row>
    <row r="564" spans="1:23">
      <c r="A564" s="37">
        <v>482</v>
      </c>
      <c r="B564" s="45" t="s">
        <v>12</v>
      </c>
      <c r="C564" s="14" t="s">
        <v>1177</v>
      </c>
      <c r="D564" s="38">
        <v>10743047546</v>
      </c>
      <c r="E564" s="38">
        <v>74304754</v>
      </c>
      <c r="F564" s="14">
        <v>922529822</v>
      </c>
      <c r="H564" t="s">
        <v>71</v>
      </c>
      <c r="I564" t="s">
        <v>1206</v>
      </c>
      <c r="K564" s="1">
        <v>45073</v>
      </c>
      <c r="L564" t="s">
        <v>1311</v>
      </c>
      <c r="M564" s="14" t="s">
        <v>8</v>
      </c>
      <c r="N564" s="20">
        <v>505</v>
      </c>
      <c r="P564" t="s">
        <v>10</v>
      </c>
      <c r="Q564" t="s">
        <v>11</v>
      </c>
      <c r="R564" s="61"/>
      <c r="T564" s="113">
        <f>230+10</f>
        <v>240</v>
      </c>
      <c r="U564" s="113">
        <f>N564-T564</f>
        <v>265</v>
      </c>
      <c r="V564" s="114">
        <f>U564/T564*100</f>
        <v>110.41666666666667</v>
      </c>
      <c r="W564" s="61"/>
    </row>
    <row r="565" spans="1:23">
      <c r="A565" s="37">
        <v>294</v>
      </c>
      <c r="B565" s="37" t="s">
        <v>12</v>
      </c>
      <c r="C565" s="14" t="s">
        <v>718</v>
      </c>
      <c r="D565">
        <v>20604814694</v>
      </c>
      <c r="F565" s="14">
        <v>987151244</v>
      </c>
      <c r="G565" s="13" t="s">
        <v>1207</v>
      </c>
      <c r="J565" t="s">
        <v>183</v>
      </c>
      <c r="K565" s="1">
        <v>45074</v>
      </c>
      <c r="L565" t="s">
        <v>1310</v>
      </c>
      <c r="M565" s="14" t="s">
        <v>1221</v>
      </c>
      <c r="N565" s="20">
        <v>135</v>
      </c>
      <c r="P565" t="s">
        <v>10</v>
      </c>
      <c r="Q565" t="s">
        <v>22</v>
      </c>
      <c r="R565" s="61"/>
      <c r="T565" s="113">
        <v>96</v>
      </c>
      <c r="U565" s="113">
        <f>N565-T565</f>
        <v>39</v>
      </c>
      <c r="V565" s="114">
        <f>U565/T565*100</f>
        <v>40.625</v>
      </c>
      <c r="W565" s="61"/>
    </row>
    <row r="566" spans="1:23">
      <c r="A566" s="37">
        <v>483</v>
      </c>
      <c r="C566" s="14" t="s">
        <v>1178</v>
      </c>
      <c r="E566" s="38">
        <v>71485421</v>
      </c>
      <c r="F566" s="14">
        <v>930380271</v>
      </c>
      <c r="H566" t="s">
        <v>823</v>
      </c>
      <c r="I566" t="s">
        <v>29</v>
      </c>
      <c r="K566" s="1">
        <v>45075</v>
      </c>
      <c r="L566" t="s">
        <v>1231</v>
      </c>
      <c r="M566" s="14" t="s">
        <v>8</v>
      </c>
      <c r="N566" s="20">
        <v>200</v>
      </c>
      <c r="P566" t="s">
        <v>10</v>
      </c>
      <c r="Q566" t="s">
        <v>11</v>
      </c>
      <c r="R566" s="61"/>
      <c r="T566" s="113">
        <f>110+12</f>
        <v>122</v>
      </c>
      <c r="U566" s="113">
        <f>N566-T566</f>
        <v>78</v>
      </c>
      <c r="V566" s="114">
        <f>U566/T566*100</f>
        <v>63.934426229508205</v>
      </c>
      <c r="W566" s="61"/>
    </row>
    <row r="567" spans="1:23">
      <c r="A567" s="37">
        <v>484</v>
      </c>
      <c r="C567" s="14" t="s">
        <v>1179</v>
      </c>
      <c r="E567" s="38">
        <v>47779486</v>
      </c>
      <c r="F567" s="14">
        <v>921242049</v>
      </c>
      <c r="H567" t="s">
        <v>89</v>
      </c>
      <c r="I567" t="s">
        <v>140</v>
      </c>
      <c r="K567" s="1">
        <v>45075</v>
      </c>
      <c r="L567" t="s">
        <v>1231</v>
      </c>
      <c r="M567" s="14" t="s">
        <v>1221</v>
      </c>
      <c r="N567" s="20">
        <v>200</v>
      </c>
      <c r="P567" t="s">
        <v>10</v>
      </c>
      <c r="Q567" t="s">
        <v>22</v>
      </c>
      <c r="R567" s="61"/>
      <c r="T567" s="113">
        <f>110+12</f>
        <v>122</v>
      </c>
      <c r="U567" s="113">
        <f>N567-T567</f>
        <v>78</v>
      </c>
      <c r="V567" s="114">
        <f>U567/T567*100</f>
        <v>63.934426229508205</v>
      </c>
      <c r="W567" s="61"/>
    </row>
    <row r="568" spans="1:23">
      <c r="A568" s="37">
        <v>485</v>
      </c>
      <c r="C568" s="14" t="s">
        <v>1180</v>
      </c>
      <c r="E568" s="38">
        <v>73972649</v>
      </c>
      <c r="F568" s="14">
        <v>937372209</v>
      </c>
      <c r="H568" t="s">
        <v>79</v>
      </c>
      <c r="I568" t="s">
        <v>29</v>
      </c>
      <c r="K568" s="1">
        <v>45075</v>
      </c>
      <c r="L568" t="s">
        <v>1309</v>
      </c>
      <c r="M568" s="14" t="s">
        <v>8</v>
      </c>
      <c r="N568" s="20">
        <v>630</v>
      </c>
      <c r="P568" t="s">
        <v>10</v>
      </c>
      <c r="Q568" t="s">
        <v>11</v>
      </c>
      <c r="R568" s="61"/>
      <c r="T568" s="113">
        <f>230+15*7</f>
        <v>335</v>
      </c>
      <c r="U568" s="113">
        <f>N568-T568</f>
        <v>295</v>
      </c>
      <c r="V568" s="114">
        <f>U568/T568*100</f>
        <v>88.059701492537314</v>
      </c>
      <c r="W568" s="61"/>
    </row>
    <row r="569" spans="1:23">
      <c r="A569" s="39">
        <v>451</v>
      </c>
      <c r="B569" s="39"/>
      <c r="C569" s="40" t="s">
        <v>1011</v>
      </c>
      <c r="D569" s="41"/>
      <c r="E569" s="42">
        <v>47390883</v>
      </c>
      <c r="F569" s="40">
        <v>926673224</v>
      </c>
      <c r="G569" s="41"/>
      <c r="H569" s="41" t="s">
        <v>748</v>
      </c>
      <c r="I569" s="41" t="s">
        <v>1308</v>
      </c>
      <c r="J569" s="41"/>
      <c r="K569" s="47">
        <v>45075</v>
      </c>
      <c r="L569" s="41" t="s">
        <v>1303</v>
      </c>
      <c r="M569" s="40" t="s">
        <v>1221</v>
      </c>
      <c r="N569" s="48">
        <v>320</v>
      </c>
      <c r="O569" s="41"/>
      <c r="P569" s="41" t="s">
        <v>31</v>
      </c>
      <c r="Q569" s="41" t="s">
        <v>22</v>
      </c>
      <c r="R569" s="68"/>
      <c r="T569" s="113">
        <f>190+15</f>
        <v>205</v>
      </c>
      <c r="U569" s="113">
        <f>N569-T569</f>
        <v>115</v>
      </c>
      <c r="V569" s="114">
        <f>U569/T569*100</f>
        <v>56.09756097560976</v>
      </c>
      <c r="W569" s="61"/>
    </row>
    <row r="570" spans="1:23">
      <c r="A570" s="37">
        <v>486</v>
      </c>
      <c r="C570" s="14" t="s">
        <v>1181</v>
      </c>
      <c r="E570" s="38"/>
      <c r="F570" s="14">
        <v>965346596</v>
      </c>
      <c r="J570" t="s">
        <v>364</v>
      </c>
      <c r="K570" s="1">
        <v>45076</v>
      </c>
      <c r="L570" t="s">
        <v>1307</v>
      </c>
      <c r="M570" s="14" t="s">
        <v>8</v>
      </c>
      <c r="N570" s="20">
        <v>830</v>
      </c>
      <c r="P570" t="s">
        <v>10</v>
      </c>
      <c r="Q570" t="s">
        <v>11</v>
      </c>
      <c r="R570" s="61"/>
      <c r="T570" s="113">
        <f>230+7*10+3*15+150+7.5</f>
        <v>502.5</v>
      </c>
      <c r="U570" s="113">
        <f>N570-T570</f>
        <v>327.5</v>
      </c>
      <c r="V570" s="114">
        <f>U570/T570*100</f>
        <v>65.174129353233837</v>
      </c>
      <c r="W570" s="61"/>
    </row>
    <row r="571" spans="1:23">
      <c r="A571" s="39">
        <v>111</v>
      </c>
      <c r="B571" s="39" t="s">
        <v>12</v>
      </c>
      <c r="C571" s="41" t="s">
        <v>340</v>
      </c>
      <c r="D571" s="41"/>
      <c r="E571" s="41">
        <v>20606086459</v>
      </c>
      <c r="F571" s="40">
        <v>913004278</v>
      </c>
      <c r="G571" s="72" t="s">
        <v>1211</v>
      </c>
      <c r="H571" s="41"/>
      <c r="I571" s="41"/>
      <c r="J571" s="41" t="s">
        <v>1212</v>
      </c>
      <c r="K571" s="47">
        <v>45077</v>
      </c>
      <c r="L571" s="41" t="s">
        <v>1306</v>
      </c>
      <c r="M571" s="40" t="s">
        <v>1221</v>
      </c>
      <c r="N571" s="48">
        <f>165*11</f>
        <v>1815</v>
      </c>
      <c r="O571" s="41"/>
      <c r="P571" s="41" t="s">
        <v>10</v>
      </c>
      <c r="Q571" s="41" t="s">
        <v>22</v>
      </c>
      <c r="R571" s="68"/>
      <c r="T571" s="113">
        <f>110*11</f>
        <v>1210</v>
      </c>
      <c r="U571" s="113">
        <f>N571-T571</f>
        <v>605</v>
      </c>
      <c r="V571" s="114">
        <f>U571/T571*100</f>
        <v>50</v>
      </c>
      <c r="W571" s="61"/>
    </row>
    <row r="572" spans="1:23">
      <c r="A572" s="39">
        <v>451</v>
      </c>
      <c r="B572" s="39"/>
      <c r="C572" s="40" t="s">
        <v>1011</v>
      </c>
      <c r="D572" s="41"/>
      <c r="E572" s="42">
        <v>47390883</v>
      </c>
      <c r="F572" s="40">
        <v>926673224</v>
      </c>
      <c r="G572" s="41"/>
      <c r="H572" s="41" t="s">
        <v>1196</v>
      </c>
      <c r="I572" s="41" t="s">
        <v>147</v>
      </c>
      <c r="J572" s="41"/>
      <c r="K572" s="47">
        <v>45077</v>
      </c>
      <c r="L572" s="41" t="s">
        <v>1305</v>
      </c>
      <c r="M572" s="40" t="s">
        <v>1221</v>
      </c>
      <c r="N572" s="48">
        <v>390</v>
      </c>
      <c r="O572" s="41"/>
      <c r="P572" s="41" t="s">
        <v>10</v>
      </c>
      <c r="Q572" s="41" t="s">
        <v>22</v>
      </c>
      <c r="R572" s="68"/>
      <c r="T572" s="113">
        <f>250+7.5</f>
        <v>257.5</v>
      </c>
      <c r="U572" s="113">
        <f>N572-T572</f>
        <v>132.5</v>
      </c>
      <c r="V572" s="114">
        <f>U572/T572*100</f>
        <v>51.456310679611647</v>
      </c>
      <c r="W572" s="61"/>
    </row>
    <row r="573" spans="1:23">
      <c r="A573" s="37">
        <v>487</v>
      </c>
      <c r="C573" s="14" t="s">
        <v>1182</v>
      </c>
      <c r="E573" s="38">
        <v>47774387</v>
      </c>
      <c r="F573" s="14">
        <v>967370828</v>
      </c>
      <c r="H573" t="s">
        <v>774</v>
      </c>
      <c r="I573" t="s">
        <v>118</v>
      </c>
      <c r="K573" s="1">
        <v>45077</v>
      </c>
      <c r="L573" t="s">
        <v>1231</v>
      </c>
      <c r="M573" s="14" t="s">
        <v>56</v>
      </c>
      <c r="N573" s="20">
        <v>199.99</v>
      </c>
      <c r="P573" t="s">
        <v>10</v>
      </c>
      <c r="Q573" t="s">
        <v>11</v>
      </c>
      <c r="R573" s="61"/>
      <c r="T573" s="113">
        <f>110+12</f>
        <v>122</v>
      </c>
      <c r="U573" s="113">
        <f>N573-T573</f>
        <v>77.990000000000009</v>
      </c>
      <c r="V573" s="114">
        <f>U573/T573*100</f>
        <v>63.926229508196727</v>
      </c>
      <c r="W573" s="61"/>
    </row>
    <row r="574" spans="1:23">
      <c r="A574" s="37">
        <v>488</v>
      </c>
      <c r="C574" s="14" t="s">
        <v>1183</v>
      </c>
      <c r="E574" s="38">
        <v>70428295</v>
      </c>
      <c r="F574" s="14">
        <v>913055496</v>
      </c>
      <c r="H574" t="s">
        <v>89</v>
      </c>
      <c r="I574" t="s">
        <v>29</v>
      </c>
      <c r="K574" s="1">
        <v>45077</v>
      </c>
      <c r="L574" t="s">
        <v>1304</v>
      </c>
      <c r="M574" s="14" t="s">
        <v>8</v>
      </c>
      <c r="N574" s="20">
        <v>510</v>
      </c>
      <c r="P574" t="s">
        <v>10</v>
      </c>
      <c r="Q574" t="s">
        <v>11</v>
      </c>
      <c r="R574" s="61"/>
      <c r="T574" s="113">
        <f>240+96</f>
        <v>336</v>
      </c>
      <c r="U574" s="113">
        <f>N574-T574</f>
        <v>174</v>
      </c>
      <c r="V574" s="114">
        <f>U574/T574*100</f>
        <v>51.785714285714292</v>
      </c>
      <c r="W574" s="61"/>
    </row>
    <row r="575" spans="1:23">
      <c r="A575" s="37">
        <v>452</v>
      </c>
      <c r="B575" s="37" t="s">
        <v>12</v>
      </c>
      <c r="C575" s="14" t="s">
        <v>1014</v>
      </c>
      <c r="D575">
        <v>20543298655</v>
      </c>
      <c r="E575" s="38"/>
      <c r="F575" s="14">
        <v>955365688</v>
      </c>
      <c r="G575" s="13" t="s">
        <v>1213</v>
      </c>
      <c r="J575" t="s">
        <v>400</v>
      </c>
      <c r="K575" s="1">
        <v>45077</v>
      </c>
      <c r="L575" t="s">
        <v>1273</v>
      </c>
      <c r="M575" s="14" t="s">
        <v>21</v>
      </c>
      <c r="N575" s="20">
        <v>100</v>
      </c>
      <c r="P575" t="s">
        <v>10</v>
      </c>
      <c r="Q575" t="s">
        <v>22</v>
      </c>
      <c r="R575" s="61"/>
      <c r="T575" s="113">
        <f>18+18</f>
        <v>36</v>
      </c>
      <c r="U575" s="113">
        <f>N575-T575</f>
        <v>64</v>
      </c>
      <c r="V575" s="114">
        <f>U575/T575*100</f>
        <v>177.77777777777777</v>
      </c>
      <c r="W575" s="61"/>
    </row>
    <row r="576" spans="1:23" s="26" customFormat="1">
      <c r="A576" s="50">
        <v>451</v>
      </c>
      <c r="B576" s="50"/>
      <c r="C576" s="51" t="s">
        <v>1011</v>
      </c>
      <c r="E576" s="52">
        <v>47390883</v>
      </c>
      <c r="F576" s="51">
        <v>926673224</v>
      </c>
      <c r="J576" s="26" t="s">
        <v>63</v>
      </c>
      <c r="K576" s="27">
        <v>45079</v>
      </c>
      <c r="L576" s="26" t="s">
        <v>1303</v>
      </c>
      <c r="M576" s="51" t="s">
        <v>1221</v>
      </c>
      <c r="N576" s="53">
        <v>320</v>
      </c>
      <c r="P576" s="26" t="s">
        <v>10</v>
      </c>
      <c r="Q576" s="26" t="s">
        <v>22</v>
      </c>
      <c r="R576" s="71"/>
      <c r="T576" s="120">
        <f>170+15</f>
        <v>185</v>
      </c>
      <c r="U576" s="120">
        <f>N576-T576</f>
        <v>135</v>
      </c>
      <c r="V576" s="121">
        <f>U576/T576*100</f>
        <v>72.972972972972968</v>
      </c>
      <c r="W576" s="71"/>
    </row>
    <row r="577" spans="1:23">
      <c r="A577" s="37">
        <v>482</v>
      </c>
      <c r="B577" s="45" t="s">
        <v>12</v>
      </c>
      <c r="C577" s="14" t="s">
        <v>1177</v>
      </c>
      <c r="D577" s="38">
        <v>10743047546</v>
      </c>
      <c r="E577" s="38">
        <v>74304754</v>
      </c>
      <c r="F577" s="14">
        <v>922529822</v>
      </c>
      <c r="H577" t="s">
        <v>71</v>
      </c>
      <c r="I577" t="s">
        <v>147</v>
      </c>
      <c r="K577" s="1">
        <v>45080</v>
      </c>
      <c r="L577" t="s">
        <v>1302</v>
      </c>
      <c r="M577" s="14" t="s">
        <v>8</v>
      </c>
      <c r="N577" s="20">
        <v>35</v>
      </c>
      <c r="P577" t="s">
        <v>10</v>
      </c>
      <c r="Q577" t="s">
        <v>11</v>
      </c>
      <c r="R577" s="61"/>
      <c r="T577" s="113">
        <v>15</v>
      </c>
      <c r="U577" s="113">
        <f>N577-T577</f>
        <v>20</v>
      </c>
      <c r="V577" s="114">
        <f>U577/T577*100</f>
        <v>133.33333333333331</v>
      </c>
    </row>
    <row r="578" spans="1:23">
      <c r="A578" s="37">
        <v>427</v>
      </c>
      <c r="B578" s="37" t="s">
        <v>12</v>
      </c>
      <c r="C578" s="70" t="s">
        <v>961</v>
      </c>
      <c r="D578">
        <v>20544391055</v>
      </c>
      <c r="E578" s="38"/>
      <c r="F578" s="14">
        <v>973997714</v>
      </c>
      <c r="G578" t="s">
        <v>1301</v>
      </c>
      <c r="J578" t="s">
        <v>963</v>
      </c>
      <c r="K578" s="1">
        <v>45082</v>
      </c>
      <c r="L578" t="s">
        <v>1300</v>
      </c>
      <c r="M578" s="14" t="s">
        <v>8</v>
      </c>
      <c r="N578" s="20">
        <f>319.99+319.99</f>
        <v>639.98</v>
      </c>
      <c r="P578" t="s">
        <v>10</v>
      </c>
      <c r="Q578" t="s">
        <v>11</v>
      </c>
      <c r="R578" s="61"/>
      <c r="T578" s="113">
        <f>190+15+190+15</f>
        <v>410</v>
      </c>
      <c r="U578" s="113">
        <f>N578-T578</f>
        <v>229.98000000000002</v>
      </c>
      <c r="V578" s="114">
        <f>U578/T578*100</f>
        <v>56.092682926829276</v>
      </c>
      <c r="W578" s="61"/>
    </row>
    <row r="579" spans="1:23">
      <c r="A579" s="37">
        <v>489</v>
      </c>
      <c r="C579" s="14" t="s">
        <v>1299</v>
      </c>
      <c r="D579">
        <v>20606024194</v>
      </c>
      <c r="E579" s="38"/>
      <c r="F579" s="14">
        <v>954198526</v>
      </c>
      <c r="G579" t="s">
        <v>1298</v>
      </c>
      <c r="J579" t="s">
        <v>1297</v>
      </c>
      <c r="K579" s="1">
        <v>45082</v>
      </c>
      <c r="L579" t="s">
        <v>1296</v>
      </c>
      <c r="M579" s="14" t="s">
        <v>21</v>
      </c>
      <c r="N579" s="20">
        <v>965</v>
      </c>
      <c r="P579" t="s">
        <v>10</v>
      </c>
      <c r="Q579" t="s">
        <v>22</v>
      </c>
      <c r="R579" s="61"/>
      <c r="T579" s="113">
        <f>230+150+96+15*7</f>
        <v>581</v>
      </c>
      <c r="U579" s="113">
        <f>N579-T579</f>
        <v>384</v>
      </c>
      <c r="V579" s="114">
        <f>U579/T579*100</f>
        <v>66.09294320137694</v>
      </c>
      <c r="W579" s="61"/>
    </row>
    <row r="580" spans="1:23">
      <c r="A580" s="37">
        <v>490</v>
      </c>
      <c r="C580" s="14" t="s">
        <v>1295</v>
      </c>
      <c r="E580" s="38">
        <v>41101549</v>
      </c>
      <c r="F580" s="14">
        <v>946529715</v>
      </c>
      <c r="H580" t="s">
        <v>355</v>
      </c>
      <c r="I580" t="s">
        <v>29</v>
      </c>
      <c r="K580" s="1">
        <v>45083</v>
      </c>
      <c r="L580" t="s">
        <v>1231</v>
      </c>
      <c r="M580" s="14" t="s">
        <v>8</v>
      </c>
      <c r="N580" s="20">
        <v>200</v>
      </c>
      <c r="P580" t="s">
        <v>10</v>
      </c>
      <c r="Q580" t="s">
        <v>11</v>
      </c>
      <c r="R580" s="61"/>
      <c r="T580" s="113">
        <f>110+12</f>
        <v>122</v>
      </c>
      <c r="U580" s="113">
        <f>N580-T580</f>
        <v>78</v>
      </c>
      <c r="V580" s="114">
        <f>U580/T580*100</f>
        <v>63.934426229508205</v>
      </c>
      <c r="W580" s="61"/>
    </row>
    <row r="581" spans="1:23">
      <c r="A581" s="39">
        <v>1</v>
      </c>
      <c r="B581" s="39" t="s">
        <v>12</v>
      </c>
      <c r="C581" s="41" t="s">
        <v>13</v>
      </c>
      <c r="D581" s="41"/>
      <c r="E581" s="41">
        <v>20608133161</v>
      </c>
      <c r="F581" s="40">
        <v>926767316</v>
      </c>
      <c r="G581" s="41" t="s">
        <v>1294</v>
      </c>
      <c r="H581" s="41"/>
      <c r="I581" s="41"/>
      <c r="J581" s="41" t="s">
        <v>16</v>
      </c>
      <c r="K581" s="47">
        <v>45084</v>
      </c>
      <c r="L581" s="41" t="s">
        <v>1293</v>
      </c>
      <c r="M581" s="41" t="s">
        <v>8</v>
      </c>
      <c r="N581" s="48">
        <f>350*5</f>
        <v>1750</v>
      </c>
      <c r="O581" s="41" t="s">
        <v>1292</v>
      </c>
      <c r="P581" s="41" t="s">
        <v>31</v>
      </c>
      <c r="Q581" s="41" t="s">
        <v>11</v>
      </c>
      <c r="R581" s="41"/>
      <c r="S581" s="41"/>
      <c r="T581" s="113">
        <f>230*5</f>
        <v>1150</v>
      </c>
      <c r="U581" s="113">
        <f>N581-T581</f>
        <v>600</v>
      </c>
      <c r="V581" s="114">
        <f>U581/T581*100</f>
        <v>52.173913043478258</v>
      </c>
      <c r="W581" s="61"/>
    </row>
    <row r="582" spans="1:23">
      <c r="A582" s="37">
        <v>491</v>
      </c>
      <c r="C582" s="14" t="s">
        <v>1291</v>
      </c>
      <c r="E582" s="38"/>
      <c r="F582" s="14">
        <v>947882005</v>
      </c>
      <c r="J582" t="s">
        <v>1290</v>
      </c>
      <c r="K582" s="1">
        <v>45084</v>
      </c>
      <c r="L582" t="s">
        <v>1231</v>
      </c>
      <c r="M582" s="14" t="s">
        <v>21</v>
      </c>
      <c r="N582" s="20">
        <v>200</v>
      </c>
      <c r="P582" t="s">
        <v>10</v>
      </c>
      <c r="Q582" t="s">
        <v>11</v>
      </c>
      <c r="R582" s="61"/>
      <c r="T582" s="113">
        <f>110+12</f>
        <v>122</v>
      </c>
      <c r="U582" s="113">
        <f>N582-T582</f>
        <v>78</v>
      </c>
      <c r="V582" s="114">
        <f>U582/T582*100</f>
        <v>63.934426229508205</v>
      </c>
      <c r="W582" s="61"/>
    </row>
    <row r="583" spans="1:23">
      <c r="A583" s="37">
        <v>492</v>
      </c>
      <c r="B583" s="37" t="s">
        <v>12</v>
      </c>
      <c r="C583" s="14" t="s">
        <v>1289</v>
      </c>
      <c r="D583">
        <v>10042140495</v>
      </c>
      <c r="E583" s="38"/>
      <c r="F583" s="14">
        <v>937430563</v>
      </c>
      <c r="G583" t="s">
        <v>1288</v>
      </c>
      <c r="J583" t="s">
        <v>7</v>
      </c>
      <c r="K583" s="1">
        <v>45085</v>
      </c>
      <c r="L583" t="s">
        <v>1278</v>
      </c>
      <c r="M583" s="14" t="s">
        <v>21</v>
      </c>
      <c r="N583" s="20">
        <v>580</v>
      </c>
      <c r="P583" t="s">
        <v>10</v>
      </c>
      <c r="Q583" t="s">
        <v>11</v>
      </c>
      <c r="R583" s="61"/>
      <c r="T583" s="113">
        <f>230+10*5</f>
        <v>280</v>
      </c>
      <c r="U583" s="113">
        <f>N583-T583</f>
        <v>300</v>
      </c>
      <c r="V583" s="114">
        <f>U583/T583*100</f>
        <v>107.14285714285714</v>
      </c>
      <c r="W583" s="61"/>
    </row>
    <row r="584" spans="1:23">
      <c r="A584" s="37">
        <v>422</v>
      </c>
      <c r="C584" s="14" t="s">
        <v>954</v>
      </c>
      <c r="D584">
        <v>10734583958</v>
      </c>
      <c r="E584" s="38">
        <v>73458395</v>
      </c>
      <c r="F584" s="14">
        <v>999545886</v>
      </c>
      <c r="H584" t="s">
        <v>1287</v>
      </c>
      <c r="I584" t="s">
        <v>956</v>
      </c>
      <c r="K584" s="1">
        <v>45085</v>
      </c>
      <c r="L584" t="s">
        <v>1286</v>
      </c>
      <c r="M584" s="14" t="s">
        <v>1221</v>
      </c>
      <c r="N584" s="20">
        <v>235</v>
      </c>
      <c r="P584" t="s">
        <v>10</v>
      </c>
      <c r="Q584" t="s">
        <v>22</v>
      </c>
      <c r="R584" s="61"/>
      <c r="T584" s="113">
        <f>10*7+15*2</f>
        <v>100</v>
      </c>
      <c r="U584" s="113">
        <f>N584-T584</f>
        <v>135</v>
      </c>
      <c r="V584" s="114">
        <f>U584/T584*100</f>
        <v>135</v>
      </c>
      <c r="W584" s="61"/>
    </row>
    <row r="585" spans="1:23">
      <c r="A585" s="37">
        <v>493</v>
      </c>
      <c r="C585" s="14" t="s">
        <v>1285</v>
      </c>
      <c r="D585">
        <v>20606025298</v>
      </c>
      <c r="E585" s="38"/>
      <c r="F585" s="14">
        <v>960539077</v>
      </c>
      <c r="G585" t="s">
        <v>1284</v>
      </c>
      <c r="J585" t="s">
        <v>748</v>
      </c>
      <c r="K585" s="1">
        <v>45085</v>
      </c>
      <c r="L585" t="s">
        <v>1275</v>
      </c>
      <c r="M585" s="14" t="s">
        <v>1221</v>
      </c>
      <c r="N585" s="20">
        <v>350</v>
      </c>
      <c r="P585" t="s">
        <v>10</v>
      </c>
      <c r="Q585" t="s">
        <v>22</v>
      </c>
      <c r="R585" s="61"/>
      <c r="T585" s="113">
        <f>170+15</f>
        <v>185</v>
      </c>
      <c r="U585" s="113">
        <f>N585-T585</f>
        <v>165</v>
      </c>
      <c r="V585" s="114">
        <f>U585/T585*100</f>
        <v>89.189189189189193</v>
      </c>
      <c r="W585" s="61"/>
    </row>
    <row r="586" spans="1:23">
      <c r="A586" s="37">
        <v>494</v>
      </c>
      <c r="C586" s="14" t="s">
        <v>1283</v>
      </c>
      <c r="E586" s="38"/>
      <c r="F586" s="14">
        <v>960268233</v>
      </c>
      <c r="J586" t="s">
        <v>364</v>
      </c>
      <c r="K586" s="1">
        <v>45085</v>
      </c>
      <c r="L586" t="s">
        <v>1282</v>
      </c>
      <c r="M586" s="14" t="s">
        <v>21</v>
      </c>
      <c r="N586" s="20">
        <v>400</v>
      </c>
      <c r="P586" t="s">
        <v>10</v>
      </c>
      <c r="Q586" t="s">
        <v>22</v>
      </c>
      <c r="R586" s="61"/>
      <c r="T586" s="113">
        <f>240+5</f>
        <v>245</v>
      </c>
      <c r="U586" s="113">
        <f>N586-T586</f>
        <v>155</v>
      </c>
      <c r="V586" s="114">
        <f>U586/T586*100</f>
        <v>63.265306122448983</v>
      </c>
      <c r="W586" s="61"/>
    </row>
    <row r="587" spans="1:23">
      <c r="A587" s="37">
        <v>495</v>
      </c>
      <c r="C587" s="14" t="s">
        <v>1281</v>
      </c>
      <c r="E587" s="38">
        <v>44229352</v>
      </c>
      <c r="F587" s="14">
        <v>946748615</v>
      </c>
      <c r="H587" t="s">
        <v>1280</v>
      </c>
      <c r="I587" t="s">
        <v>1279</v>
      </c>
      <c r="K587" s="1">
        <v>45086</v>
      </c>
      <c r="L587" t="s">
        <v>1278</v>
      </c>
      <c r="M587" s="14" t="s">
        <v>1221</v>
      </c>
      <c r="N587" s="20">
        <v>585</v>
      </c>
      <c r="P587" t="s">
        <v>10</v>
      </c>
      <c r="Q587" t="s">
        <v>22</v>
      </c>
      <c r="R587" s="61"/>
      <c r="T587" s="113">
        <f>230+12*5</f>
        <v>290</v>
      </c>
      <c r="U587" s="113">
        <f>N587-T587</f>
        <v>295</v>
      </c>
      <c r="V587" s="114">
        <f>U587/T587*100</f>
        <v>101.72413793103448</v>
      </c>
      <c r="W587" s="61"/>
    </row>
    <row r="588" spans="1:23">
      <c r="A588" s="37">
        <v>496</v>
      </c>
      <c r="C588" s="14" t="s">
        <v>1277</v>
      </c>
      <c r="E588" s="38">
        <v>43803174</v>
      </c>
      <c r="F588" s="14">
        <v>987610736</v>
      </c>
      <c r="H588" t="s">
        <v>77</v>
      </c>
      <c r="I588" t="s">
        <v>1276</v>
      </c>
      <c r="K588" s="1">
        <v>45087</v>
      </c>
      <c r="L588" t="s">
        <v>1275</v>
      </c>
      <c r="M588" s="14" t="s">
        <v>8</v>
      </c>
      <c r="N588" s="20">
        <v>350</v>
      </c>
      <c r="P588" t="s">
        <v>10</v>
      </c>
      <c r="Q588" t="s">
        <v>11</v>
      </c>
      <c r="R588" s="61"/>
      <c r="T588" s="113">
        <f>170+15</f>
        <v>185</v>
      </c>
      <c r="U588" s="113">
        <f>N588-T588</f>
        <v>165</v>
      </c>
      <c r="V588" s="114">
        <f>U588/T588*100</f>
        <v>89.189189189189193</v>
      </c>
      <c r="W588" s="61"/>
    </row>
    <row r="589" spans="1:23">
      <c r="A589" s="37">
        <v>452</v>
      </c>
      <c r="B589" s="37" t="s">
        <v>12</v>
      </c>
      <c r="C589" s="14" t="s">
        <v>1014</v>
      </c>
      <c r="D589">
        <v>20543298655</v>
      </c>
      <c r="E589" s="38"/>
      <c r="F589" s="14">
        <v>955365688</v>
      </c>
      <c r="G589" t="s">
        <v>1274</v>
      </c>
      <c r="J589" t="s">
        <v>400</v>
      </c>
      <c r="K589" s="1">
        <v>45089</v>
      </c>
      <c r="L589" t="s">
        <v>1273</v>
      </c>
      <c r="M589" s="14" t="s">
        <v>8</v>
      </c>
      <c r="N589" s="20">
        <v>100</v>
      </c>
      <c r="P589" t="s">
        <v>10</v>
      </c>
      <c r="Q589" t="s">
        <v>11</v>
      </c>
      <c r="R589" s="61"/>
      <c r="T589" s="113">
        <v>36</v>
      </c>
      <c r="U589" s="113">
        <f>N589-T589</f>
        <v>64</v>
      </c>
      <c r="V589" s="114">
        <f>U589/T589*100</f>
        <v>177.77777777777777</v>
      </c>
      <c r="W589" s="61"/>
    </row>
    <row r="590" spans="1:23">
      <c r="A590" s="37">
        <v>497</v>
      </c>
      <c r="B590" s="37" t="s">
        <v>12</v>
      </c>
      <c r="C590" s="14" t="s">
        <v>1272</v>
      </c>
      <c r="D590">
        <v>20557009150</v>
      </c>
      <c r="E590" s="38"/>
      <c r="F590" s="14">
        <v>928046895</v>
      </c>
      <c r="G590" t="s">
        <v>1271</v>
      </c>
      <c r="J590" t="s">
        <v>1270</v>
      </c>
      <c r="K590" s="1">
        <v>45091</v>
      </c>
      <c r="L590" t="s">
        <v>1269</v>
      </c>
      <c r="M590" s="14" t="s">
        <v>21</v>
      </c>
      <c r="N590" s="20">
        <v>480</v>
      </c>
      <c r="P590" t="s">
        <v>10</v>
      </c>
      <c r="Q590" t="s">
        <v>11</v>
      </c>
      <c r="R590" s="61"/>
      <c r="T590" s="113">
        <f>230+12</f>
        <v>242</v>
      </c>
      <c r="U590" s="113">
        <f>N590-T590</f>
        <v>238</v>
      </c>
      <c r="V590" s="114">
        <f>U590/T590*100</f>
        <v>98.347107438016536</v>
      </c>
      <c r="W590" s="61"/>
    </row>
    <row r="591" spans="1:23">
      <c r="A591" s="37">
        <v>498</v>
      </c>
      <c r="C591" s="14" t="s">
        <v>1268</v>
      </c>
      <c r="E591" s="38">
        <v>72724792</v>
      </c>
      <c r="F591" s="14">
        <v>947177434</v>
      </c>
      <c r="H591" t="s">
        <v>51</v>
      </c>
      <c r="I591" t="s">
        <v>29</v>
      </c>
      <c r="K591" s="1">
        <v>45091</v>
      </c>
      <c r="L591" t="s">
        <v>1231</v>
      </c>
      <c r="M591" s="14" t="s">
        <v>56</v>
      </c>
      <c r="N591" s="20">
        <v>200</v>
      </c>
      <c r="P591" t="s">
        <v>10</v>
      </c>
      <c r="Q591" t="s">
        <v>11</v>
      </c>
      <c r="R591" s="61"/>
      <c r="T591" s="113">
        <f>110+12</f>
        <v>122</v>
      </c>
      <c r="U591" s="113">
        <f>N591-T591</f>
        <v>78</v>
      </c>
      <c r="V591" s="114">
        <f>U591/T591*100</f>
        <v>63.934426229508205</v>
      </c>
      <c r="W591" s="61"/>
    </row>
    <row r="592" spans="1:23">
      <c r="A592" s="37">
        <v>416</v>
      </c>
      <c r="B592" s="37" t="s">
        <v>12</v>
      </c>
      <c r="C592" s="14" t="s">
        <v>939</v>
      </c>
      <c r="D592">
        <v>20545645034</v>
      </c>
      <c r="E592" s="38"/>
      <c r="F592" s="14">
        <v>945053727</v>
      </c>
      <c r="G592" t="s">
        <v>1267</v>
      </c>
      <c r="J592" t="s">
        <v>941</v>
      </c>
      <c r="K592" s="1">
        <v>45091</v>
      </c>
      <c r="L592" t="s">
        <v>1266</v>
      </c>
      <c r="M592" s="14" t="s">
        <v>21</v>
      </c>
      <c r="N592" s="20">
        <v>180</v>
      </c>
      <c r="P592" t="s">
        <v>10</v>
      </c>
      <c r="Q592" t="s">
        <v>22</v>
      </c>
      <c r="R592" s="61"/>
      <c r="T592" s="113">
        <v>115</v>
      </c>
      <c r="U592" s="113">
        <f>N592-T592</f>
        <v>65</v>
      </c>
      <c r="V592" s="114">
        <f>U592/T592*100</f>
        <v>56.521739130434781</v>
      </c>
      <c r="W592" s="61"/>
    </row>
    <row r="593" spans="1:23">
      <c r="A593" s="37">
        <v>499</v>
      </c>
      <c r="C593" s="14" t="s">
        <v>1265</v>
      </c>
      <c r="E593" s="38"/>
      <c r="F593" s="14">
        <v>945306014</v>
      </c>
      <c r="J593" t="s">
        <v>1264</v>
      </c>
      <c r="K593" s="1">
        <v>45092</v>
      </c>
      <c r="L593" t="s">
        <v>1263</v>
      </c>
      <c r="M593" s="14" t="s">
        <v>1221</v>
      </c>
      <c r="N593" s="20">
        <v>400</v>
      </c>
      <c r="P593" t="s">
        <v>10</v>
      </c>
      <c r="Q593" t="s">
        <v>22</v>
      </c>
      <c r="R593" s="61"/>
      <c r="T593" s="113">
        <v>250</v>
      </c>
      <c r="U593" s="113">
        <f>N593-T593</f>
        <v>150</v>
      </c>
      <c r="V593" s="114">
        <f>U593/T593*100</f>
        <v>60</v>
      </c>
      <c r="W593" s="61"/>
    </row>
    <row r="594" spans="1:23">
      <c r="A594" s="37">
        <v>500</v>
      </c>
      <c r="B594" s="37" t="s">
        <v>12</v>
      </c>
      <c r="C594" s="14" t="s">
        <v>1262</v>
      </c>
      <c r="D594">
        <v>10439655726</v>
      </c>
      <c r="E594" s="38">
        <v>43965572</v>
      </c>
      <c r="F594" s="14">
        <v>953263978</v>
      </c>
      <c r="G594" t="s">
        <v>1261</v>
      </c>
      <c r="J594" t="s">
        <v>1260</v>
      </c>
      <c r="K594" s="1">
        <v>45092</v>
      </c>
      <c r="L594" t="s">
        <v>1259</v>
      </c>
      <c r="M594" s="14" t="s">
        <v>21</v>
      </c>
      <c r="N594" s="20">
        <v>310</v>
      </c>
      <c r="P594" t="s">
        <v>10</v>
      </c>
      <c r="Q594" t="s">
        <v>11</v>
      </c>
      <c r="R594" s="61"/>
      <c r="T594" s="113">
        <f>190+15</f>
        <v>205</v>
      </c>
      <c r="U594" s="113">
        <f>N594-T594</f>
        <v>105</v>
      </c>
      <c r="V594" s="114">
        <f>U594/T594*100</f>
        <v>51.219512195121951</v>
      </c>
      <c r="W594" s="61"/>
    </row>
    <row r="595" spans="1:23">
      <c r="A595" s="43">
        <v>124</v>
      </c>
      <c r="B595" s="39" t="s">
        <v>12</v>
      </c>
      <c r="C595" s="40" t="s">
        <v>360</v>
      </c>
      <c r="D595" s="44">
        <v>20601379377</v>
      </c>
      <c r="E595" s="44">
        <v>46047067</v>
      </c>
      <c r="F595" s="40">
        <v>933784155</v>
      </c>
      <c r="G595" s="40" t="s">
        <v>1258</v>
      </c>
      <c r="H595" s="40" t="s">
        <v>1257</v>
      </c>
      <c r="I595" s="40" t="s">
        <v>29</v>
      </c>
      <c r="J595" s="40"/>
      <c r="K595" s="47">
        <v>45093</v>
      </c>
      <c r="L595" s="41" t="s">
        <v>1256</v>
      </c>
      <c r="M595" s="40" t="s">
        <v>56</v>
      </c>
      <c r="N595" s="49">
        <f>250*3</f>
        <v>750</v>
      </c>
      <c r="O595" s="40"/>
      <c r="P595" s="41" t="s">
        <v>31</v>
      </c>
      <c r="Q595" s="41" t="s">
        <v>11</v>
      </c>
      <c r="R595" s="61"/>
      <c r="T595" s="113">
        <f>190*3</f>
        <v>570</v>
      </c>
      <c r="U595" s="113">
        <f>N595-T595</f>
        <v>180</v>
      </c>
      <c r="V595" s="114">
        <f>U595/T595*100</f>
        <v>31.578947368421051</v>
      </c>
      <c r="W595" s="61"/>
    </row>
    <row r="596" spans="1:23">
      <c r="A596" s="37">
        <v>501</v>
      </c>
      <c r="B596" s="37" t="s">
        <v>12</v>
      </c>
      <c r="C596" s="14" t="s">
        <v>1255</v>
      </c>
      <c r="D596">
        <v>10462041611</v>
      </c>
      <c r="E596" s="38">
        <v>46204161</v>
      </c>
      <c r="F596" s="14">
        <v>933981548</v>
      </c>
      <c r="G596" t="s">
        <v>1254</v>
      </c>
      <c r="H596" t="s">
        <v>229</v>
      </c>
      <c r="I596" t="s">
        <v>978</v>
      </c>
      <c r="K596" s="1">
        <v>45094</v>
      </c>
      <c r="L596" t="s">
        <v>1253</v>
      </c>
      <c r="M596" s="14" t="s">
        <v>8</v>
      </c>
      <c r="N596" s="20">
        <v>350</v>
      </c>
      <c r="P596" t="s">
        <v>10</v>
      </c>
      <c r="Q596" t="s">
        <v>11</v>
      </c>
      <c r="R596" s="61"/>
      <c r="T596" s="113">
        <f>170+15</f>
        <v>185</v>
      </c>
      <c r="U596" s="113">
        <f>N596-T596</f>
        <v>165</v>
      </c>
      <c r="V596" s="114">
        <f>U596/T596*100</f>
        <v>89.189189189189193</v>
      </c>
      <c r="W596" s="61"/>
    </row>
    <row r="597" spans="1:23">
      <c r="A597" s="37">
        <v>502</v>
      </c>
      <c r="C597" s="14" t="s">
        <v>1252</v>
      </c>
      <c r="E597" s="38">
        <v>32933410</v>
      </c>
      <c r="F597" s="14">
        <v>912116950</v>
      </c>
      <c r="H597" t="s">
        <v>82</v>
      </c>
      <c r="I597" t="s">
        <v>29</v>
      </c>
      <c r="K597" s="1">
        <v>45094</v>
      </c>
      <c r="L597" t="s">
        <v>1231</v>
      </c>
      <c r="M597" s="14" t="s">
        <v>8</v>
      </c>
      <c r="N597" s="20">
        <v>200</v>
      </c>
      <c r="P597" t="s">
        <v>10</v>
      </c>
      <c r="Q597" t="s">
        <v>11</v>
      </c>
      <c r="R597" s="61"/>
      <c r="T597" s="113">
        <f>110+12</f>
        <v>122</v>
      </c>
      <c r="U597" s="113">
        <f>N597-T597</f>
        <v>78</v>
      </c>
      <c r="V597" s="114">
        <f>U597/T597*100</f>
        <v>63.934426229508205</v>
      </c>
      <c r="W597" s="61"/>
    </row>
    <row r="598" spans="1:23">
      <c r="A598" s="37">
        <v>503</v>
      </c>
      <c r="C598" s="14" t="s">
        <v>1251</v>
      </c>
      <c r="D598">
        <v>20129605490</v>
      </c>
      <c r="E598" s="38">
        <v>80652463</v>
      </c>
      <c r="F598" s="14">
        <v>964258852</v>
      </c>
      <c r="G598" t="s">
        <v>1250</v>
      </c>
      <c r="H598" t="s">
        <v>1249</v>
      </c>
      <c r="I598" t="s">
        <v>29</v>
      </c>
      <c r="K598" s="1">
        <v>45096</v>
      </c>
      <c r="L598" t="s">
        <v>1231</v>
      </c>
      <c r="M598" s="14" t="s">
        <v>1221</v>
      </c>
      <c r="N598" s="20">
        <v>200</v>
      </c>
      <c r="P598" t="s">
        <v>10</v>
      </c>
      <c r="Q598" t="s">
        <v>22</v>
      </c>
      <c r="R598" s="61"/>
      <c r="T598" s="113">
        <f>110+12</f>
        <v>122</v>
      </c>
      <c r="U598" s="113">
        <f>N598-T598</f>
        <v>78</v>
      </c>
      <c r="V598" s="114">
        <f>U598/T598*100</f>
        <v>63.934426229508205</v>
      </c>
      <c r="W598" s="61"/>
    </row>
    <row r="599" spans="1:23">
      <c r="A599" s="37">
        <v>504</v>
      </c>
      <c r="C599" s="14" t="s">
        <v>1248</v>
      </c>
      <c r="E599" s="38">
        <v>40651706</v>
      </c>
      <c r="F599" s="14">
        <v>933024233</v>
      </c>
      <c r="H599" t="s">
        <v>71</v>
      </c>
      <c r="I599" t="s">
        <v>29</v>
      </c>
      <c r="K599" s="1">
        <v>45096</v>
      </c>
      <c r="L599" t="s">
        <v>1231</v>
      </c>
      <c r="M599" s="14" t="s">
        <v>1221</v>
      </c>
      <c r="N599" s="20">
        <v>200</v>
      </c>
      <c r="P599" t="s">
        <v>10</v>
      </c>
      <c r="Q599" t="s">
        <v>22</v>
      </c>
      <c r="R599" s="61"/>
      <c r="T599" s="113">
        <f>110+12</f>
        <v>122</v>
      </c>
      <c r="U599" s="113">
        <f>N599-T599</f>
        <v>78</v>
      </c>
      <c r="V599" s="114">
        <f>U599/T599*100</f>
        <v>63.934426229508205</v>
      </c>
      <c r="W599" s="61"/>
    </row>
    <row r="600" spans="1:23">
      <c r="A600" s="37">
        <v>505</v>
      </c>
      <c r="C600" s="14" t="s">
        <v>1247</v>
      </c>
      <c r="D600">
        <v>20609188074</v>
      </c>
      <c r="E600" s="38"/>
      <c r="F600" s="14">
        <v>993447842</v>
      </c>
      <c r="G600" t="s">
        <v>1246</v>
      </c>
      <c r="J600" t="s">
        <v>7</v>
      </c>
      <c r="K600" s="1">
        <v>45096</v>
      </c>
      <c r="L600" t="s">
        <v>1245</v>
      </c>
      <c r="M600" s="14" t="s">
        <v>21</v>
      </c>
      <c r="N600" s="20">
        <v>690</v>
      </c>
      <c r="P600" t="s">
        <v>10</v>
      </c>
      <c r="Q600" t="s">
        <v>11</v>
      </c>
      <c r="R600" s="61"/>
      <c r="T600" s="113">
        <f>200+150+12+12</f>
        <v>374</v>
      </c>
      <c r="U600" s="113">
        <f>N600-T600</f>
        <v>316</v>
      </c>
      <c r="V600" s="114">
        <f>U600/T600*100</f>
        <v>84.491978609625676</v>
      </c>
      <c r="W600" s="61"/>
    </row>
    <row r="601" spans="1:23">
      <c r="A601" s="37">
        <v>506</v>
      </c>
      <c r="C601" s="14" t="s">
        <v>1244</v>
      </c>
      <c r="E601" s="38">
        <v>72414803</v>
      </c>
      <c r="F601" s="14">
        <v>956257698</v>
      </c>
      <c r="H601" t="s">
        <v>199</v>
      </c>
      <c r="I601" t="s">
        <v>29</v>
      </c>
      <c r="K601" s="1">
        <v>45097</v>
      </c>
      <c r="L601" t="s">
        <v>1243</v>
      </c>
      <c r="M601" s="14" t="s">
        <v>8</v>
      </c>
      <c r="N601" s="20">
        <v>480</v>
      </c>
      <c r="P601" t="s">
        <v>10</v>
      </c>
      <c r="Q601" t="s">
        <v>11</v>
      </c>
      <c r="R601" s="61"/>
      <c r="T601" s="113">
        <v>230</v>
      </c>
      <c r="U601" s="113">
        <f>N601-T601</f>
        <v>250</v>
      </c>
      <c r="V601" s="114">
        <f>U601/T601*100</f>
        <v>108.69565217391303</v>
      </c>
      <c r="W601" s="61"/>
    </row>
    <row r="602" spans="1:23">
      <c r="A602" s="37">
        <v>507</v>
      </c>
      <c r="C602" s="14" t="s">
        <v>1242</v>
      </c>
      <c r="E602" s="38">
        <v>72786324</v>
      </c>
      <c r="F602" s="14">
        <v>910813471</v>
      </c>
      <c r="H602" t="s">
        <v>1196</v>
      </c>
      <c r="I602" t="s">
        <v>1241</v>
      </c>
      <c r="K602" s="1">
        <v>45098</v>
      </c>
      <c r="L602" t="s">
        <v>1240</v>
      </c>
      <c r="M602" s="14" t="s">
        <v>1221</v>
      </c>
      <c r="N602" s="20">
        <v>385</v>
      </c>
      <c r="P602" t="s">
        <v>10</v>
      </c>
      <c r="Q602" t="s">
        <v>22</v>
      </c>
      <c r="R602" s="61"/>
      <c r="T602" s="113">
        <f>15+270</f>
        <v>285</v>
      </c>
      <c r="U602" s="113">
        <f>N602-T602</f>
        <v>100</v>
      </c>
      <c r="V602" s="114">
        <f>U602/T602*100</f>
        <v>35.087719298245609</v>
      </c>
      <c r="W602" s="61"/>
    </row>
    <row r="603" spans="1:23">
      <c r="A603" s="37">
        <v>508</v>
      </c>
      <c r="C603" s="14" t="s">
        <v>1239</v>
      </c>
      <c r="E603" s="38"/>
      <c r="F603" s="14">
        <v>987667106</v>
      </c>
      <c r="J603" t="s">
        <v>504</v>
      </c>
      <c r="K603" s="1">
        <v>45098</v>
      </c>
      <c r="L603" t="s">
        <v>1238</v>
      </c>
      <c r="M603" s="14" t="s">
        <v>56</v>
      </c>
      <c r="N603" s="20">
        <v>190</v>
      </c>
      <c r="P603" t="s">
        <v>10</v>
      </c>
      <c r="Q603" t="s">
        <v>22</v>
      </c>
      <c r="R603" s="61"/>
      <c r="T603" s="113">
        <v>110</v>
      </c>
      <c r="U603" s="113">
        <f>N603-T603</f>
        <v>80</v>
      </c>
      <c r="V603" s="114">
        <f>U603/T603*100</f>
        <v>72.727272727272734</v>
      </c>
      <c r="W603" s="61"/>
    </row>
    <row r="604" spans="1:23">
      <c r="A604" s="37">
        <v>509</v>
      </c>
      <c r="C604" s="14" t="s">
        <v>1237</v>
      </c>
      <c r="E604" s="38"/>
      <c r="F604" s="14">
        <v>997152120</v>
      </c>
      <c r="J604" t="s">
        <v>383</v>
      </c>
      <c r="K604" s="1">
        <v>45099</v>
      </c>
      <c r="L604" t="s">
        <v>1236</v>
      </c>
      <c r="M604" s="14" t="s">
        <v>21</v>
      </c>
      <c r="N604" s="20">
        <v>180</v>
      </c>
      <c r="P604" t="s">
        <v>10</v>
      </c>
      <c r="Q604" t="s">
        <v>22</v>
      </c>
      <c r="R604" s="61"/>
      <c r="T604" s="113">
        <v>110</v>
      </c>
      <c r="U604" s="113">
        <f>N604-T604</f>
        <v>70</v>
      </c>
      <c r="V604" s="114">
        <f>U604/T604*100</f>
        <v>63.636363636363633</v>
      </c>
      <c r="W604" s="61"/>
    </row>
    <row r="605" spans="1:23">
      <c r="A605" s="37">
        <v>510</v>
      </c>
      <c r="C605" s="14" t="s">
        <v>1235</v>
      </c>
      <c r="E605" s="38"/>
      <c r="F605" s="14">
        <v>998239589</v>
      </c>
      <c r="J605" t="s">
        <v>1234</v>
      </c>
      <c r="K605" s="1">
        <v>45100</v>
      </c>
      <c r="L605" t="s">
        <v>1229</v>
      </c>
      <c r="M605" s="14" t="s">
        <v>1233</v>
      </c>
      <c r="N605" s="20">
        <v>350</v>
      </c>
      <c r="P605" t="s">
        <v>10</v>
      </c>
      <c r="Q605" t="s">
        <v>11</v>
      </c>
      <c r="R605" s="61"/>
      <c r="T605" s="113">
        <f>170+15</f>
        <v>185</v>
      </c>
      <c r="U605" s="113">
        <f>N605-T605</f>
        <v>165</v>
      </c>
      <c r="V605" s="114">
        <f>U605/T605*100</f>
        <v>89.189189189189193</v>
      </c>
      <c r="W605" s="61"/>
    </row>
    <row r="606" spans="1:23">
      <c r="A606" s="37">
        <v>511</v>
      </c>
      <c r="C606" s="14" t="s">
        <v>1232</v>
      </c>
      <c r="E606" s="38"/>
      <c r="F606" s="14">
        <v>964824896</v>
      </c>
      <c r="J606" t="s">
        <v>63</v>
      </c>
      <c r="K606" s="1">
        <v>45100</v>
      </c>
      <c r="L606" t="s">
        <v>1231</v>
      </c>
      <c r="M606" s="14" t="s">
        <v>21</v>
      </c>
      <c r="N606" s="20">
        <v>200</v>
      </c>
      <c r="P606" t="s">
        <v>10</v>
      </c>
      <c r="Q606" t="s">
        <v>22</v>
      </c>
      <c r="R606" s="61"/>
      <c r="T606" s="113">
        <f>110+12</f>
        <v>122</v>
      </c>
      <c r="U606" s="113">
        <f>N606-T606</f>
        <v>78</v>
      </c>
      <c r="V606" s="114">
        <f>U606/T606*100</f>
        <v>63.934426229508205</v>
      </c>
      <c r="W606" s="61"/>
    </row>
    <row r="607" spans="1:23">
      <c r="A607" s="37">
        <v>512</v>
      </c>
      <c r="C607" s="14" t="s">
        <v>1230</v>
      </c>
      <c r="E607" s="38"/>
      <c r="F607" s="14">
        <v>902161339</v>
      </c>
      <c r="J607" t="s">
        <v>624</v>
      </c>
      <c r="K607" s="1">
        <v>45100</v>
      </c>
      <c r="L607" t="s">
        <v>1229</v>
      </c>
      <c r="M607" s="14" t="s">
        <v>1221</v>
      </c>
      <c r="N607" s="20">
        <v>370</v>
      </c>
      <c r="P607" t="s">
        <v>10</v>
      </c>
      <c r="Q607" t="s">
        <v>22</v>
      </c>
      <c r="R607" s="61"/>
      <c r="T607" s="113">
        <f>170+15</f>
        <v>185</v>
      </c>
      <c r="U607" s="113">
        <f>N607-T607</f>
        <v>185</v>
      </c>
      <c r="V607" s="114">
        <f>U607/T607*100</f>
        <v>100</v>
      </c>
      <c r="W607" s="61"/>
    </row>
    <row r="608" spans="1:23">
      <c r="A608" s="37">
        <v>513</v>
      </c>
      <c r="C608" s="14" t="s">
        <v>1228</v>
      </c>
      <c r="E608" s="38">
        <v>45210118</v>
      </c>
      <c r="F608" s="14">
        <v>948473890</v>
      </c>
      <c r="H608" t="s">
        <v>355</v>
      </c>
      <c r="I608" t="s">
        <v>29</v>
      </c>
      <c r="K608" s="1">
        <v>45101</v>
      </c>
      <c r="L608" t="s">
        <v>1227</v>
      </c>
      <c r="M608" s="14" t="s">
        <v>56</v>
      </c>
      <c r="N608" s="20">
        <v>219</v>
      </c>
      <c r="P608" t="s">
        <v>10</v>
      </c>
      <c r="Q608" t="s">
        <v>11</v>
      </c>
      <c r="R608" s="61"/>
      <c r="T608" s="113">
        <f>100+12</f>
        <v>112</v>
      </c>
      <c r="U608" s="113">
        <f>N608-T608</f>
        <v>107</v>
      </c>
      <c r="V608" s="114">
        <f>U608/T608*100</f>
        <v>95.535714285714292</v>
      </c>
      <c r="W608" s="61"/>
    </row>
    <row r="609" spans="1:23">
      <c r="A609" s="37">
        <v>277</v>
      </c>
      <c r="C609" s="14" t="s">
        <v>660</v>
      </c>
      <c r="F609" s="14">
        <v>938184084</v>
      </c>
      <c r="J609" t="s">
        <v>661</v>
      </c>
      <c r="K609" s="1">
        <v>45103</v>
      </c>
      <c r="L609" t="s">
        <v>1226</v>
      </c>
      <c r="M609" s="14" t="s">
        <v>21</v>
      </c>
      <c r="N609" s="67">
        <v>70</v>
      </c>
      <c r="P609" t="s">
        <v>10</v>
      </c>
      <c r="Q609" t="s">
        <v>22</v>
      </c>
      <c r="S609" s="69"/>
      <c r="T609" s="113">
        <f>15+15</f>
        <v>30</v>
      </c>
      <c r="U609" s="113">
        <f>N609-T609</f>
        <v>40</v>
      </c>
      <c r="V609" s="114">
        <f>U609/T609*100</f>
        <v>133.33333333333331</v>
      </c>
      <c r="W609" s="61"/>
    </row>
    <row r="610" spans="1:23">
      <c r="A610" s="39">
        <v>514</v>
      </c>
      <c r="B610" s="39"/>
      <c r="C610" s="40" t="s">
        <v>1011</v>
      </c>
      <c r="D610" s="41"/>
      <c r="E610" s="42">
        <v>47390883</v>
      </c>
      <c r="F610" s="40">
        <v>926673224</v>
      </c>
      <c r="G610" s="41"/>
      <c r="H610" s="41" t="s">
        <v>1225</v>
      </c>
      <c r="I610" s="41" t="s">
        <v>29</v>
      </c>
      <c r="J610" s="41"/>
      <c r="K610" s="47">
        <v>45103</v>
      </c>
      <c r="L610" s="41" t="s">
        <v>1224</v>
      </c>
      <c r="M610" s="40" t="s">
        <v>1221</v>
      </c>
      <c r="N610" s="48">
        <v>270</v>
      </c>
      <c r="O610" s="41"/>
      <c r="P610" s="41" t="s">
        <v>10</v>
      </c>
      <c r="Q610" s="41" t="s">
        <v>22</v>
      </c>
      <c r="R610" s="68"/>
      <c r="S610" s="41"/>
      <c r="T610" s="116">
        <f>100+12+12+12</f>
        <v>136</v>
      </c>
      <c r="U610" s="116">
        <f>N610-T610</f>
        <v>134</v>
      </c>
      <c r="V610" s="117">
        <f>U610/T610*100</f>
        <v>98.529411764705884</v>
      </c>
      <c r="W610" s="61"/>
    </row>
    <row r="611" spans="1:23">
      <c r="A611" s="39">
        <v>451</v>
      </c>
      <c r="B611" s="39"/>
      <c r="C611" s="40" t="s">
        <v>1011</v>
      </c>
      <c r="D611" s="41"/>
      <c r="E611" s="42">
        <v>47390883</v>
      </c>
      <c r="F611" s="40">
        <v>926673224</v>
      </c>
      <c r="G611" s="41"/>
      <c r="H611" s="41"/>
      <c r="I611" s="41"/>
      <c r="J611" s="41" t="s">
        <v>1223</v>
      </c>
      <c r="K611" s="47">
        <v>45104</v>
      </c>
      <c r="L611" s="41" t="s">
        <v>1222</v>
      </c>
      <c r="M611" s="40" t="s">
        <v>1221</v>
      </c>
      <c r="N611" s="48">
        <v>390</v>
      </c>
      <c r="O611" s="41"/>
      <c r="P611" s="41" t="s">
        <v>31</v>
      </c>
      <c r="Q611" s="41" t="s">
        <v>22</v>
      </c>
      <c r="R611" s="68"/>
      <c r="S611" s="41"/>
      <c r="T611" s="116">
        <v>250</v>
      </c>
      <c r="U611" s="116">
        <f>N611-T611</f>
        <v>140</v>
      </c>
      <c r="V611" s="117">
        <f>U611/T611*100</f>
        <v>56.000000000000007</v>
      </c>
      <c r="W611" s="61"/>
    </row>
    <row r="612" spans="1:23">
      <c r="A612" s="37">
        <v>514</v>
      </c>
      <c r="C612" s="14" t="s">
        <v>1220</v>
      </c>
      <c r="E612" s="38"/>
      <c r="F612" s="14">
        <v>920038315</v>
      </c>
      <c r="J612" t="s">
        <v>712</v>
      </c>
      <c r="K612" s="1">
        <v>45104</v>
      </c>
      <c r="L612" t="s">
        <v>1219</v>
      </c>
      <c r="M612" s="14" t="s">
        <v>21</v>
      </c>
      <c r="N612" s="20">
        <v>190</v>
      </c>
      <c r="P612" t="s">
        <v>10</v>
      </c>
      <c r="Q612" t="s">
        <v>11</v>
      </c>
      <c r="R612" s="61"/>
      <c r="T612" s="113">
        <v>110</v>
      </c>
      <c r="U612" s="113">
        <f>N612-T612</f>
        <v>80</v>
      </c>
      <c r="V612" s="114">
        <f>U612/T612*100</f>
        <v>72.727272727272734</v>
      </c>
      <c r="W612" s="61"/>
    </row>
    <row r="613" spans="1:23">
      <c r="C613" s="14"/>
      <c r="E613" s="38"/>
      <c r="F613" s="14"/>
      <c r="K613" s="1"/>
      <c r="M613" s="14"/>
      <c r="N613" s="20"/>
      <c r="R613" s="61"/>
      <c r="T613" s="113"/>
      <c r="U613" s="67">
        <f>N613-T613</f>
        <v>0</v>
      </c>
      <c r="V613" s="61" t="e">
        <f>U613/T613*100</f>
        <v>#DIV/0!</v>
      </c>
      <c r="W613" s="61"/>
    </row>
    <row r="614" spans="1:23">
      <c r="C614" s="14"/>
      <c r="E614" s="38"/>
      <c r="F614" s="14"/>
      <c r="K614" s="1"/>
      <c r="M614" s="14"/>
      <c r="N614" s="20"/>
      <c r="R614" s="61"/>
      <c r="T614" s="113"/>
      <c r="U614" s="67">
        <f>N614-T614</f>
        <v>0</v>
      </c>
      <c r="V614" s="61" t="e">
        <f>U614/T614*100</f>
        <v>#DIV/0!</v>
      </c>
      <c r="W614" s="61"/>
    </row>
    <row r="615" spans="1:23">
      <c r="C615" s="14"/>
      <c r="E615" s="38"/>
      <c r="F615" s="14"/>
      <c r="K615" s="1"/>
      <c r="M615" s="14"/>
      <c r="N615" s="20"/>
      <c r="R615" s="61"/>
      <c r="T615" s="113"/>
      <c r="U615" s="67">
        <f>N615-T615</f>
        <v>0</v>
      </c>
      <c r="V615" s="61" t="e">
        <f>U615/T615*100</f>
        <v>#DIV/0!</v>
      </c>
      <c r="W615" s="61"/>
    </row>
    <row r="616" spans="1:23">
      <c r="C616" s="14"/>
      <c r="E616" s="38"/>
      <c r="F616" s="14"/>
      <c r="K616" s="1"/>
      <c r="M616" s="14"/>
      <c r="N616" s="20"/>
      <c r="R616" s="61"/>
      <c r="T616" s="113"/>
      <c r="U616" s="67">
        <f>N616-T616</f>
        <v>0</v>
      </c>
      <c r="V616" s="61" t="e">
        <f>U616/T616*100</f>
        <v>#DIV/0!</v>
      </c>
      <c r="W616" s="61"/>
    </row>
    <row r="617" spans="1:23">
      <c r="C617" s="14"/>
      <c r="E617" s="38"/>
      <c r="F617" s="14"/>
      <c r="K617" s="1"/>
      <c r="M617" s="14"/>
      <c r="N617" s="20"/>
      <c r="R617" s="61"/>
      <c r="T617" s="113"/>
      <c r="U617" s="67">
        <f>N617-T617</f>
        <v>0</v>
      </c>
      <c r="V617" s="61" t="e">
        <f>U617/T617*100</f>
        <v>#DIV/0!</v>
      </c>
      <c r="W617" s="61"/>
    </row>
    <row r="618" spans="1:23">
      <c r="C618" s="14"/>
      <c r="E618" s="38"/>
      <c r="F618" s="14"/>
      <c r="K618" s="1"/>
      <c r="M618" s="14"/>
      <c r="N618" s="20"/>
      <c r="R618" s="61"/>
      <c r="T618" s="113"/>
      <c r="U618" s="67">
        <f>N618-T618</f>
        <v>0</v>
      </c>
      <c r="V618" s="61" t="e">
        <f>U618/T618*100</f>
        <v>#DIV/0!</v>
      </c>
      <c r="W618" s="61"/>
    </row>
    <row r="619" spans="1:23">
      <c r="C619" s="14"/>
      <c r="E619" s="38"/>
      <c r="F619" s="14"/>
      <c r="K619" s="1"/>
      <c r="N619" s="20"/>
      <c r="R619" s="61"/>
      <c r="T619" s="113"/>
      <c r="U619" s="67">
        <f>N619-T619</f>
        <v>0</v>
      </c>
      <c r="V619" s="61" t="e">
        <f>U619/T619*100</f>
        <v>#DIV/0!</v>
      </c>
      <c r="W619" s="61"/>
    </row>
    <row r="620" spans="1:23">
      <c r="E620" s="38"/>
      <c r="K620" s="1"/>
      <c r="N620" s="20"/>
      <c r="R620" s="61"/>
      <c r="T620" s="116">
        <f>SUM(T2:T619)</f>
        <v>162193.65999999997</v>
      </c>
      <c r="U620" s="48" t="e">
        <f>SUM(U2:U619)</f>
        <v>#VALUE!</v>
      </c>
      <c r="V620" s="68" t="e">
        <f>U620/T620*100</f>
        <v>#VALUE!</v>
      </c>
      <c r="W620" s="61"/>
    </row>
    <row r="621" spans="1:23">
      <c r="E621" s="38"/>
      <c r="K621" s="1"/>
      <c r="N621" s="20"/>
      <c r="R621" s="61"/>
      <c r="T621" s="113"/>
      <c r="U621" s="67" t="e">
        <f>U620/12</f>
        <v>#VALUE!</v>
      </c>
      <c r="W621" s="61"/>
    </row>
    <row r="622" spans="1:23">
      <c r="E622" s="38"/>
      <c r="K622" s="1"/>
      <c r="N622" s="20"/>
      <c r="R622" s="61"/>
      <c r="T622" s="113"/>
      <c r="U622" s="67"/>
      <c r="W622" s="61"/>
    </row>
    <row r="623" spans="1:23">
      <c r="K623" s="1"/>
      <c r="N623" s="20">
        <f>SUM(N2:N622)</f>
        <v>259789.50999999992</v>
      </c>
      <c r="Q623" s="61"/>
      <c r="U623" s="61"/>
    </row>
    <row r="624" spans="1:23">
      <c r="G624" s="66"/>
      <c r="H624" s="65"/>
      <c r="I624" s="64"/>
      <c r="R624" s="61"/>
      <c r="U624" s="63" t="e">
        <f>+U620*100/N623</f>
        <v>#VALUE!</v>
      </c>
    </row>
    <row r="625" spans="7:18">
      <c r="G625" s="60"/>
      <c r="H625" s="59"/>
      <c r="I625" s="58"/>
      <c r="N625" s="61"/>
      <c r="R625" s="61"/>
    </row>
    <row r="626" spans="7:18">
      <c r="G626" s="60"/>
      <c r="H626" s="59"/>
      <c r="I626" s="58"/>
      <c r="R626" s="61"/>
    </row>
    <row r="627" spans="7:18">
      <c r="G627" s="60"/>
      <c r="H627" s="59"/>
      <c r="I627" s="58"/>
      <c r="M627" s="62"/>
    </row>
    <row r="628" spans="7:18">
      <c r="G628" s="60"/>
      <c r="H628" s="59"/>
      <c r="I628" s="58"/>
    </row>
    <row r="629" spans="7:18">
      <c r="G629" s="60"/>
      <c r="H629" s="59"/>
      <c r="I629" s="58"/>
      <c r="N629" s="61">
        <f>N623/12</f>
        <v>21649.125833333328</v>
      </c>
    </row>
    <row r="630" spans="7:18">
      <c r="G630" s="60"/>
      <c r="H630" s="59"/>
      <c r="I630" s="58"/>
    </row>
    <row r="631" spans="7:18">
      <c r="G631" s="60"/>
      <c r="H631" s="59"/>
      <c r="I631" s="58"/>
    </row>
    <row r="632" spans="7:18">
      <c r="G632" s="60"/>
      <c r="H632" s="59"/>
      <c r="I632" s="58"/>
    </row>
    <row r="633" spans="7:18">
      <c r="G633" s="60"/>
      <c r="H633" s="59"/>
      <c r="I633" s="58"/>
    </row>
    <row r="634" spans="7:18">
      <c r="G634" s="60"/>
      <c r="H634" s="59"/>
      <c r="I634" s="58"/>
    </row>
    <row r="635" spans="7:18">
      <c r="G635" s="60"/>
      <c r="H635" s="59"/>
      <c r="I635" s="58"/>
    </row>
    <row r="636" spans="7:18">
      <c r="G636" s="60"/>
      <c r="H636" s="59"/>
      <c r="I636" s="58"/>
    </row>
    <row r="637" spans="7:18">
      <c r="G637" s="60"/>
      <c r="H637" s="59"/>
      <c r="I637" s="58"/>
    </row>
    <row r="638" spans="7:18">
      <c r="G638" s="60"/>
      <c r="H638" s="59"/>
      <c r="I638" s="58"/>
    </row>
    <row r="639" spans="7:18">
      <c r="G639" s="60"/>
      <c r="H639" s="59"/>
      <c r="I639" s="58"/>
    </row>
    <row r="640" spans="7:18">
      <c r="G640" s="60"/>
      <c r="H640" s="59"/>
      <c r="I640" s="58"/>
    </row>
    <row r="641" spans="7:9">
      <c r="G641" s="57"/>
      <c r="H641" s="56"/>
      <c r="I641" s="55"/>
    </row>
    <row r="723" spans="15:15">
      <c r="O723" t="s">
        <v>1218</v>
      </c>
    </row>
  </sheetData>
  <autoFilter ref="A1:X621" xr:uid="{00000000-0001-0000-0400-000000000000}"/>
  <pageMargins left="0.7" right="0.7" top="0.75" bottom="0.75" header="0.3" footer="0.3"/>
  <pageSetup paperSize="256" orientation="portrait" horizontalDpi="203" verticalDpi="203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 RMV </vt:lpstr>
      <vt:lpstr>clientes</vt:lpstr>
      <vt:lpstr>clientes!Área_de_impresión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</dc:creator>
  <cp:lastModifiedBy>51936</cp:lastModifiedBy>
  <dcterms:created xsi:type="dcterms:W3CDTF">2023-05-18T18:02:26Z</dcterms:created>
  <dcterms:modified xsi:type="dcterms:W3CDTF">2023-07-01T01:05:27Z</dcterms:modified>
</cp:coreProperties>
</file>