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75" yWindow="45" windowWidth="3195" windowHeight="11655" tabRatio="695" firstSheet="2" activeTab="7"/>
  </bookViews>
  <sheets>
    <sheet name="General Settings" sheetId="29" r:id="rId1"/>
    <sheet name="SynthDepo" sheetId="32" r:id="rId2"/>
    <sheet name="RateHelpersFra" sheetId="34" r:id="rId3"/>
    <sheet name="Contribution" sheetId="33" r:id="rId4"/>
    <sheet name="SynthFra" sheetId="35" r:id="rId5"/>
    <sheet name="FRACharts" sheetId="36" r:id="rId6"/>
    <sheet name="3M Depo Charts" sheetId="38" r:id="rId7"/>
    <sheet name="6M Depo Charts" sheetId="39" r:id="rId8"/>
    <sheet name="basis 3M" sheetId="42" r:id="rId9"/>
    <sheet name="basis 6M " sheetId="40" r:id="rId10"/>
  </sheets>
  <externalReferences>
    <externalReference r:id="rId11"/>
  </externalReferences>
  <definedNames>
    <definedName name="Accuracy">'General Settings'!$D$30</definedName>
    <definedName name="AllTriggers">'General Settings'!$J$18:$J$22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DayCounter3M" localSheetId="7">'6M Depo Charts'!$C$9</definedName>
    <definedName name="DayCounter3M">'3M Depo Charts'!$C$9</definedName>
    <definedName name="DayCounterOIS" localSheetId="7">'6M Depo Charts'!$C$10</definedName>
    <definedName name="DayCounterOIS">'3M Depo Charts'!$C$10</definedName>
    <definedName name="DayCounterON" localSheetId="7">'6M Depo Charts'!$C$11</definedName>
    <definedName name="DayCounterON">'3M Depo Charts'!$C$11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inDistance">RateHelpersFra!$J$2:$J$6</definedName>
    <definedName name="Months12M" localSheetId="3">Contribution!$A$25</definedName>
    <definedName name="Months1M" localSheetId="3">Contribution!$A$3</definedName>
    <definedName name="Months3M" localSheetId="3">Contribution!$A$8</definedName>
    <definedName name="Months6M" localSheetId="3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3">Contribution!$N$3:$N$84</definedName>
    <definedName name="QuoteLive" localSheetId="3">Contribution!$J$3:$J$84</definedName>
    <definedName name="QuoteStatic" localSheetId="3">Contribution!$L$3:$L$84</definedName>
    <definedName name="QuoteSuffix">'General Settings'!$J$10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3">Contribution!$A$26</definedName>
    <definedName name="Tenor1M" localSheetId="3">Contribution!$A$4</definedName>
    <definedName name="Tenor3M" localSheetId="3">Contribution!$A$9</definedName>
    <definedName name="Tenor6M" localSheetId="3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D28" i="32" l="1"/>
  <c r="B2" i="42" l="1"/>
  <c r="C4" i="40" l="1"/>
  <c r="D4" i="40" s="1"/>
  <c r="C3" i="40"/>
  <c r="D3" i="40" s="1"/>
  <c r="A5" i="40"/>
  <c r="A6" i="40" s="1"/>
  <c r="A7" i="40" s="1"/>
  <c r="A8" i="40" l="1"/>
  <c r="C7" i="40"/>
  <c r="D7" i="40" s="1"/>
  <c r="C6" i="40"/>
  <c r="D6" i="40"/>
  <c r="C5" i="40"/>
  <c r="D5" i="40" s="1"/>
  <c r="U4" i="39"/>
  <c r="S4" i="39"/>
  <c r="A9" i="40" l="1"/>
  <c r="C8" i="40"/>
  <c r="D8" i="40" s="1"/>
  <c r="T4" i="38"/>
  <c r="R4" i="38"/>
  <c r="A10" i="40" l="1"/>
  <c r="C9" i="40"/>
  <c r="D9" i="40" s="1"/>
  <c r="B12" i="36"/>
  <c r="A11" i="40" l="1"/>
  <c r="C10" i="40"/>
  <c r="D10" i="40" s="1"/>
  <c r="B13" i="36"/>
  <c r="A12" i="40" l="1"/>
  <c r="C11" i="40"/>
  <c r="D11" i="40" s="1"/>
  <c r="B14" i="36"/>
  <c r="A13" i="40" l="1"/>
  <c r="C12" i="40"/>
  <c r="D12" i="40" s="1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A14" i="40" l="1"/>
  <c r="C13" i="40"/>
  <c r="D13" i="40" s="1"/>
  <c r="I9" i="32"/>
  <c r="I8" i="32"/>
  <c r="I18" i="32"/>
  <c r="I17" i="32"/>
  <c r="J22" i="29"/>
  <c r="J19" i="29"/>
  <c r="A15" i="40" l="1"/>
  <c r="C14" i="40"/>
  <c r="D14" i="40" s="1"/>
  <c r="I75" i="33"/>
  <c r="I76" i="33"/>
  <c r="I77" i="33"/>
  <c r="I78" i="33"/>
  <c r="I79" i="33"/>
  <c r="I80" i="33"/>
  <c r="I81" i="33"/>
  <c r="I82" i="33"/>
  <c r="I83" i="33"/>
  <c r="I84" i="33"/>
  <c r="I74" i="33"/>
  <c r="A16" i="40" l="1"/>
  <c r="C15" i="40"/>
  <c r="D15" i="40" s="1"/>
  <c r="C2" i="33"/>
  <c r="A9" i="33"/>
  <c r="A17" i="40" l="1"/>
  <c r="C16" i="40"/>
  <c r="D16" i="40" s="1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D5" i="32"/>
  <c r="D27" i="32"/>
  <c r="D24" i="32"/>
  <c r="D23" i="32"/>
  <c r="D22" i="32"/>
  <c r="D21" i="32"/>
  <c r="D20" i="32"/>
  <c r="D19" i="32"/>
  <c r="D13" i="32"/>
  <c r="D14" i="32"/>
  <c r="D12" i="32"/>
  <c r="A18" i="40" l="1"/>
  <c r="C17" i="40"/>
  <c r="D17" i="40" s="1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47" i="33"/>
  <c r="D63" i="33"/>
  <c r="D73" i="33"/>
  <c r="D54" i="33"/>
  <c r="D83" i="33"/>
  <c r="D41" i="33"/>
  <c r="D44" i="33"/>
  <c r="D67" i="33"/>
  <c r="D46" i="33"/>
  <c r="D72" i="33"/>
  <c r="D70" i="33"/>
  <c r="D55" i="33"/>
  <c r="D57" i="33"/>
  <c r="D80" i="33"/>
  <c r="D81" i="33"/>
  <c r="D59" i="33"/>
  <c r="D62" i="33"/>
  <c r="D82" i="33"/>
  <c r="D48" i="33"/>
  <c r="D74" i="33"/>
  <c r="D58" i="33"/>
  <c r="D52" i="33"/>
  <c r="D56" i="33"/>
  <c r="D60" i="33"/>
  <c r="D69" i="33"/>
  <c r="D50" i="33"/>
  <c r="D42" i="33"/>
  <c r="D64" i="33"/>
  <c r="D66" i="33"/>
  <c r="D53" i="33"/>
  <c r="D49" i="33"/>
  <c r="D68" i="33"/>
  <c r="D84" i="33"/>
  <c r="D43" i="33"/>
  <c r="D45" i="33"/>
  <c r="D75" i="33"/>
  <c r="D61" i="33"/>
  <c r="D78" i="33"/>
  <c r="D65" i="33"/>
  <c r="D79" i="33"/>
  <c r="D51" i="33"/>
  <c r="D76" i="33"/>
  <c r="D77" i="33"/>
  <c r="D71" i="33"/>
  <c r="A19" i="40" l="1"/>
  <c r="C18" i="40"/>
  <c r="D18" i="40" s="1"/>
  <c r="C9" i="33"/>
  <c r="C12" i="33"/>
  <c r="C13" i="33"/>
  <c r="C8" i="33"/>
  <c r="C14" i="33"/>
  <c r="C11" i="33"/>
  <c r="C10" i="33"/>
  <c r="A16" i="32"/>
  <c r="A26" i="32"/>
  <c r="A7" i="32"/>
  <c r="A3" i="32"/>
  <c r="A4" i="33"/>
  <c r="A16" i="33"/>
  <c r="A26" i="33"/>
  <c r="E65" i="33"/>
  <c r="E84" i="33"/>
  <c r="E75" i="33"/>
  <c r="E68" i="33"/>
  <c r="E67" i="33"/>
  <c r="E72" i="33"/>
  <c r="E43" i="33"/>
  <c r="E57" i="33"/>
  <c r="E73" i="33"/>
  <c r="E76" i="33"/>
  <c r="E83" i="33"/>
  <c r="E77" i="33"/>
  <c r="E81" i="33"/>
  <c r="E47" i="33"/>
  <c r="E55" i="33"/>
  <c r="E71" i="33"/>
  <c r="E53" i="33"/>
  <c r="E52" i="33"/>
  <c r="E82" i="33"/>
  <c r="E78" i="33"/>
  <c r="E56" i="33"/>
  <c r="E49" i="33"/>
  <c r="E64" i="33"/>
  <c r="E42" i="33"/>
  <c r="E48" i="33"/>
  <c r="E62" i="33"/>
  <c r="E69" i="33"/>
  <c r="E61" i="33"/>
  <c r="E54" i="33"/>
  <c r="E63" i="33"/>
  <c r="E60" i="33"/>
  <c r="E46" i="33"/>
  <c r="E79" i="33"/>
  <c r="E70" i="33"/>
  <c r="E59" i="33"/>
  <c r="E66" i="33"/>
  <c r="E45" i="33"/>
  <c r="E41" i="33"/>
  <c r="E50" i="33"/>
  <c r="E74" i="33"/>
  <c r="E44" i="33"/>
  <c r="E80" i="33"/>
  <c r="E58" i="33"/>
  <c r="E51" i="33"/>
  <c r="A20" i="40" l="1"/>
  <c r="C19" i="40"/>
  <c r="D19" i="40" s="1"/>
  <c r="D25" i="32"/>
  <c r="C5" i="33"/>
  <c r="C3" i="33"/>
  <c r="C6" i="33"/>
  <c r="C4" i="33"/>
  <c r="C7" i="33"/>
  <c r="D15" i="32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D2" i="32"/>
  <c r="C20" i="33"/>
  <c r="C22" i="33"/>
  <c r="C21" i="33"/>
  <c r="C23" i="33"/>
  <c r="C18" i="33"/>
  <c r="C24" i="33"/>
  <c r="C16" i="33"/>
  <c r="C15" i="33"/>
  <c r="C19" i="33"/>
  <c r="C17" i="33"/>
  <c r="D6" i="32"/>
  <c r="D6" i="29"/>
  <c r="D24" i="33"/>
  <c r="D34" i="33"/>
  <c r="D31" i="33"/>
  <c r="O4" i="35"/>
  <c r="D17" i="33"/>
  <c r="D40" i="33"/>
  <c r="F10" i="34"/>
  <c r="D21" i="33"/>
  <c r="D6" i="33"/>
  <c r="D11" i="33"/>
  <c r="D35" i="33"/>
  <c r="O5" i="35"/>
  <c r="D37" i="33"/>
  <c r="D10" i="33"/>
  <c r="D38" i="33"/>
  <c r="D14" i="33"/>
  <c r="D13" i="33"/>
  <c r="D25" i="33"/>
  <c r="D9" i="33"/>
  <c r="O3" i="35"/>
  <c r="B1" i="29"/>
  <c r="D18" i="29"/>
  <c r="F48" i="32"/>
  <c r="K55" i="38"/>
  <c r="E20" i="32"/>
  <c r="D22" i="33"/>
  <c r="F49" i="32"/>
  <c r="K45" i="38"/>
  <c r="F40" i="32"/>
  <c r="D39" i="33"/>
  <c r="D33" i="33"/>
  <c r="F42" i="32"/>
  <c r="D18" i="33"/>
  <c r="D20" i="33"/>
  <c r="D27" i="33"/>
  <c r="F46" i="32"/>
  <c r="K50" i="38"/>
  <c r="K60" i="38"/>
  <c r="D32" i="33"/>
  <c r="D19" i="33"/>
  <c r="D12" i="33"/>
  <c r="K44" i="38"/>
  <c r="K61" i="38"/>
  <c r="F4" i="34"/>
  <c r="D29" i="33"/>
  <c r="D15" i="33"/>
  <c r="E21" i="32"/>
  <c r="D16" i="33"/>
  <c r="K47" i="38"/>
  <c r="F6" i="34"/>
  <c r="D4" i="33"/>
  <c r="D8" i="33"/>
  <c r="D36" i="33"/>
  <c r="F39" i="32"/>
  <c r="F47" i="32"/>
  <c r="E13" i="32"/>
  <c r="D3" i="33"/>
  <c r="F45" i="32"/>
  <c r="O6" i="35"/>
  <c r="D23" i="33"/>
  <c r="D30" i="33"/>
  <c r="K56" i="38"/>
  <c r="K46" i="38"/>
  <c r="D19" i="29"/>
  <c r="D5" i="33"/>
  <c r="D26" i="33"/>
  <c r="K57" i="38"/>
  <c r="D28" i="33"/>
  <c r="F34" i="32"/>
  <c r="D7" i="33"/>
  <c r="O2" i="35"/>
  <c r="E22" i="32"/>
  <c r="E24" i="32"/>
  <c r="K49" i="38"/>
  <c r="E14" i="32"/>
  <c r="E19" i="32"/>
  <c r="E12" i="32"/>
  <c r="K58" i="38"/>
  <c r="F36" i="32"/>
  <c r="F38" i="32"/>
  <c r="F44" i="32"/>
  <c r="K59" i="38"/>
  <c r="F37" i="32"/>
  <c r="F41" i="32"/>
  <c r="F43" i="32"/>
  <c r="E27" i="32"/>
  <c r="K48" i="38"/>
  <c r="E23" i="32"/>
  <c r="F35" i="32"/>
  <c r="D18" i="39"/>
  <c r="D17" i="39"/>
  <c r="D20" i="39"/>
  <c r="D25" i="39"/>
  <c r="D24" i="39"/>
  <c r="D23" i="39"/>
  <c r="D16" i="39"/>
  <c r="D22" i="39"/>
  <c r="D19" i="39"/>
  <c r="D21" i="39"/>
  <c r="D34" i="39" l="1"/>
  <c r="D32" i="39"/>
  <c r="D35" i="39"/>
  <c r="D29" i="39"/>
  <c r="D36" i="39"/>
  <c r="D37" i="39"/>
  <c r="D38" i="39"/>
  <c r="D33" i="39"/>
  <c r="D30" i="39"/>
  <c r="D31" i="39"/>
  <c r="L2" i="40"/>
  <c r="J2" i="42"/>
  <c r="C2" i="42"/>
  <c r="D2" i="40"/>
  <c r="E2" i="40"/>
  <c r="C20" i="40"/>
  <c r="D20" i="40" s="1"/>
  <c r="C35" i="39"/>
  <c r="C22" i="39"/>
  <c r="C36" i="39"/>
  <c r="C23" i="39"/>
  <c r="C37" i="39"/>
  <c r="C24" i="39"/>
  <c r="C38" i="39"/>
  <c r="C34" i="39"/>
  <c r="C32" i="39"/>
  <c r="C30" i="39"/>
  <c r="C21" i="39"/>
  <c r="C17" i="39"/>
  <c r="C20" i="39"/>
  <c r="C16" i="39"/>
  <c r="C25" i="39"/>
  <c r="C33" i="39"/>
  <c r="C29" i="39"/>
  <c r="C19" i="39"/>
  <c r="AC3" i="39"/>
  <c r="C18" i="39"/>
  <c r="C31" i="39"/>
  <c r="J61" i="38"/>
  <c r="J49" i="38"/>
  <c r="J60" i="38"/>
  <c r="J48" i="38"/>
  <c r="J59" i="38"/>
  <c r="J47" i="38"/>
  <c r="J58" i="38"/>
  <c r="J46" i="38"/>
  <c r="J57" i="38"/>
  <c r="J45" i="38"/>
  <c r="J56" i="38"/>
  <c r="J44" i="38"/>
  <c r="J55" i="38"/>
  <c r="J50" i="38"/>
  <c r="B17" i="38"/>
  <c r="AB30" i="32"/>
  <c r="E2" i="34"/>
  <c r="D2" i="35"/>
  <c r="K34" i="32"/>
  <c r="E25" i="32"/>
  <c r="N25" i="32" s="1"/>
  <c r="E15" i="32"/>
  <c r="N15" i="32" s="1"/>
  <c r="E6" i="32"/>
  <c r="E5" i="32"/>
  <c r="E2" i="32"/>
  <c r="K43" i="32"/>
  <c r="K40" i="32"/>
  <c r="K38" i="32"/>
  <c r="K42" i="32"/>
  <c r="K41" i="32"/>
  <c r="K39" i="32"/>
  <c r="K37" i="32"/>
  <c r="K36" i="32"/>
  <c r="K35" i="32"/>
  <c r="K49" i="32"/>
  <c r="K48" i="32"/>
  <c r="K47" i="32"/>
  <c r="K46" i="32"/>
  <c r="K45" i="32"/>
  <c r="K44" i="32"/>
  <c r="N21" i="32"/>
  <c r="N22" i="32"/>
  <c r="N17" i="32"/>
  <c r="N24" i="32"/>
  <c r="N19" i="32"/>
  <c r="O17" i="32"/>
  <c r="N12" i="32"/>
  <c r="O8" i="32"/>
  <c r="P8" i="32" s="1"/>
  <c r="N23" i="32"/>
  <c r="N14" i="32"/>
  <c r="N20" i="32"/>
  <c r="O18" i="32"/>
  <c r="N9" i="32"/>
  <c r="N18" i="32"/>
  <c r="O9" i="32"/>
  <c r="N27" i="32"/>
  <c r="N13" i="32"/>
  <c r="E41" i="32"/>
  <c r="E40" i="32"/>
  <c r="E38" i="32"/>
  <c r="E35" i="32"/>
  <c r="E49" i="32"/>
  <c r="E39" i="32"/>
  <c r="E37" i="32"/>
  <c r="E36" i="32"/>
  <c r="E44" i="32"/>
  <c r="E42" i="32"/>
  <c r="E34" i="32"/>
  <c r="E47" i="32"/>
  <c r="E48" i="32"/>
  <c r="E46" i="32"/>
  <c r="E45" i="32"/>
  <c r="E43" i="32"/>
  <c r="A4" i="32"/>
  <c r="D3" i="32" s="1"/>
  <c r="A8" i="32"/>
  <c r="A17" i="32"/>
  <c r="D16" i="32"/>
  <c r="A27" i="32"/>
  <c r="D26" i="32"/>
  <c r="E2" i="42"/>
  <c r="E16" i="40"/>
  <c r="E9" i="40"/>
  <c r="E6" i="40"/>
  <c r="E8" i="40"/>
  <c r="E19" i="40"/>
  <c r="E11" i="40"/>
  <c r="E14" i="40"/>
  <c r="AC4" i="39"/>
  <c r="E7" i="40"/>
  <c r="F5" i="34"/>
  <c r="F2" i="40"/>
  <c r="E20" i="40"/>
  <c r="E18" i="40"/>
  <c r="E5" i="40"/>
  <c r="E10" i="40"/>
  <c r="E4" i="40"/>
  <c r="E12" i="40"/>
  <c r="E13" i="40"/>
  <c r="E3" i="40"/>
  <c r="E15" i="40"/>
  <c r="E17" i="40"/>
  <c r="N2" i="32" l="1"/>
  <c r="P9" i="32"/>
  <c r="N6" i="32"/>
  <c r="A6" i="35"/>
  <c r="A5" i="35"/>
  <c r="A7" i="35"/>
  <c r="D7" i="32"/>
  <c r="T8" i="32"/>
  <c r="U8" i="32"/>
  <c r="P17" i="32"/>
  <c r="U17" i="32"/>
  <c r="T17" i="32"/>
  <c r="T9" i="32"/>
  <c r="U9" i="32"/>
  <c r="P18" i="32"/>
  <c r="U18" i="32"/>
  <c r="T18" i="32"/>
  <c r="F17" i="40"/>
  <c r="F18" i="40"/>
  <c r="F8" i="40"/>
  <c r="F15" i="40"/>
  <c r="F20" i="40"/>
  <c r="F6" i="40"/>
  <c r="F3" i="40"/>
  <c r="H2" i="40"/>
  <c r="F9" i="40"/>
  <c r="F13" i="40"/>
  <c r="F7" i="40"/>
  <c r="F16" i="40"/>
  <c r="F12" i="40"/>
  <c r="AC5" i="39"/>
  <c r="F4" i="40"/>
  <c r="F14" i="40"/>
  <c r="F10" i="40"/>
  <c r="F11" i="40"/>
  <c r="F5" i="40"/>
  <c r="F19" i="40"/>
  <c r="D2" i="33" l="1"/>
  <c r="AC6" i="39"/>
  <c r="F14" i="32"/>
  <c r="A10" i="32"/>
  <c r="B49" i="32"/>
  <c r="O49" i="38"/>
  <c r="I3" i="35"/>
  <c r="I37" i="35"/>
  <c r="I4" i="35"/>
  <c r="B48" i="32"/>
  <c r="E7" i="33"/>
  <c r="H19" i="39"/>
  <c r="I44" i="35"/>
  <c r="I51" i="35"/>
  <c r="I11" i="35"/>
  <c r="C5" i="35"/>
  <c r="F12" i="32"/>
  <c r="H21" i="39"/>
  <c r="I5" i="35"/>
  <c r="L3" i="40"/>
  <c r="E30" i="33"/>
  <c r="L50" i="38"/>
  <c r="H23" i="39"/>
  <c r="B45" i="32"/>
  <c r="E32" i="33"/>
  <c r="H18" i="39"/>
  <c r="H15" i="40"/>
  <c r="H9" i="40"/>
  <c r="B42" i="32"/>
  <c r="L47" i="38"/>
  <c r="H6" i="40"/>
  <c r="C48" i="32"/>
  <c r="E15" i="33"/>
  <c r="E36" i="33"/>
  <c r="Q50" i="38"/>
  <c r="D5" i="35"/>
  <c r="E16" i="39"/>
  <c r="H17" i="39"/>
  <c r="I16" i="39"/>
  <c r="I19" i="35"/>
  <c r="E17" i="33"/>
  <c r="B14" i="32"/>
  <c r="I53" i="35"/>
  <c r="E18" i="33"/>
  <c r="Q45" i="38"/>
  <c r="H10" i="40"/>
  <c r="I12" i="35"/>
  <c r="I32" i="35"/>
  <c r="Q48" i="38"/>
  <c r="H25" i="39"/>
  <c r="I31" i="35"/>
  <c r="F2" i="32"/>
  <c r="F24" i="32"/>
  <c r="I18" i="35"/>
  <c r="I54" i="35"/>
  <c r="O45" i="38"/>
  <c r="E16" i="33"/>
  <c r="F21" i="32"/>
  <c r="J19" i="39"/>
  <c r="M2" i="40"/>
  <c r="E6" i="33"/>
  <c r="E23" i="39"/>
  <c r="B24" i="32"/>
  <c r="Q46" i="38"/>
  <c r="D6" i="35"/>
  <c r="E37" i="33"/>
  <c r="I16" i="35"/>
  <c r="I23" i="39"/>
  <c r="E22" i="33"/>
  <c r="I29" i="35"/>
  <c r="I19" i="39"/>
  <c r="I8" i="35"/>
  <c r="E17" i="39"/>
  <c r="I36" i="35"/>
  <c r="O44" i="38"/>
  <c r="J25" i="39"/>
  <c r="L45" i="38"/>
  <c r="H3" i="40"/>
  <c r="I47" i="35"/>
  <c r="I14" i="35"/>
  <c r="E24" i="39"/>
  <c r="F24" i="39" s="1"/>
  <c r="E25" i="33"/>
  <c r="E18" i="39"/>
  <c r="P46" i="38"/>
  <c r="E10" i="32"/>
  <c r="E21" i="33"/>
  <c r="I45" i="35"/>
  <c r="P48" i="38"/>
  <c r="I2" i="35"/>
  <c r="F3" i="34"/>
  <c r="E4" i="33"/>
  <c r="J23" i="39"/>
  <c r="P44" i="38"/>
  <c r="I6" i="35"/>
  <c r="I26" i="35"/>
  <c r="C6" i="35"/>
  <c r="J3" i="42"/>
  <c r="M3" i="42" s="1"/>
  <c r="I22" i="35"/>
  <c r="I27" i="35"/>
  <c r="E20" i="39"/>
  <c r="D7" i="35"/>
  <c r="H4" i="40"/>
  <c r="H11" i="40"/>
  <c r="J24" i="39"/>
  <c r="C7" i="35"/>
  <c r="I25" i="39"/>
  <c r="C45" i="32"/>
  <c r="I43" i="35"/>
  <c r="M47" i="38"/>
  <c r="L44" i="38"/>
  <c r="I33" i="35"/>
  <c r="F27" i="32"/>
  <c r="B35" i="32"/>
  <c r="I17" i="39"/>
  <c r="L49" i="38"/>
  <c r="E33" i="33"/>
  <c r="B34" i="32"/>
  <c r="E39" i="33"/>
  <c r="E31" i="33"/>
  <c r="I55" i="35"/>
  <c r="D2" i="42"/>
  <c r="AD4" i="39"/>
  <c r="J17" i="39"/>
  <c r="J20" i="39"/>
  <c r="H19" i="40"/>
  <c r="F2" i="34"/>
  <c r="AD3" i="39"/>
  <c r="AD5" i="39"/>
  <c r="E20" i="33"/>
  <c r="P47" i="38"/>
  <c r="I28" i="35"/>
  <c r="D21" i="29"/>
  <c r="B40" i="32"/>
  <c r="I24" i="35"/>
  <c r="H17" i="40"/>
  <c r="O48" i="38"/>
  <c r="H20" i="39"/>
  <c r="I35" i="35"/>
  <c r="I48" i="35"/>
  <c r="H20" i="40"/>
  <c r="E29" i="33"/>
  <c r="I22" i="39"/>
  <c r="I24" i="39"/>
  <c r="E34" i="33"/>
  <c r="J18" i="39"/>
  <c r="I21" i="39"/>
  <c r="Q49" i="38"/>
  <c r="E2" i="33"/>
  <c r="M44" i="38"/>
  <c r="I17" i="35"/>
  <c r="I20" i="39"/>
  <c r="B43" i="32"/>
  <c r="C43" i="32" s="1"/>
  <c r="P45" i="38"/>
  <c r="E26" i="33"/>
  <c r="E38" i="33"/>
  <c r="I49" i="35"/>
  <c r="Q47" i="38"/>
  <c r="E3" i="33"/>
  <c r="E5" i="33"/>
  <c r="K2" i="42"/>
  <c r="F2" i="42"/>
  <c r="G2" i="42" s="1"/>
  <c r="J16" i="39"/>
  <c r="I56" i="35"/>
  <c r="H13" i="40"/>
  <c r="B47" i="32"/>
  <c r="E40" i="33"/>
  <c r="H18" i="40"/>
  <c r="H7" i="40"/>
  <c r="I41" i="35"/>
  <c r="L48" i="38"/>
  <c r="M48" i="38" s="1"/>
  <c r="B38" i="32"/>
  <c r="C38" i="32" s="1"/>
  <c r="F5" i="32"/>
  <c r="F16" i="39"/>
  <c r="I42" i="35"/>
  <c r="F15" i="32"/>
  <c r="H8" i="40"/>
  <c r="O50" i="38"/>
  <c r="O46" i="38"/>
  <c r="J4" i="42"/>
  <c r="E19" i="33"/>
  <c r="I25" i="35"/>
  <c r="B18" i="38"/>
  <c r="B19" i="38" s="1"/>
  <c r="H24" i="39"/>
  <c r="I15" i="35"/>
  <c r="E19" i="39"/>
  <c r="C42" i="32"/>
  <c r="AB31" i="32"/>
  <c r="I39" i="35"/>
  <c r="E28" i="33"/>
  <c r="I38" i="35"/>
  <c r="E24" i="33"/>
  <c r="I20" i="35"/>
  <c r="F25" i="32"/>
  <c r="B41" i="32"/>
  <c r="C41" i="32" s="1"/>
  <c r="D20" i="29"/>
  <c r="D38" i="29"/>
  <c r="H16" i="40"/>
  <c r="C34" i="32"/>
  <c r="K3" i="42"/>
  <c r="L4" i="40"/>
  <c r="I40" i="35"/>
  <c r="P50" i="38"/>
  <c r="E25" i="39"/>
  <c r="F25" i="39" s="1"/>
  <c r="F22" i="32"/>
  <c r="B36" i="32"/>
  <c r="C36" i="32" s="1"/>
  <c r="B46" i="32"/>
  <c r="I46" i="35"/>
  <c r="F6" i="32"/>
  <c r="H5" i="40"/>
  <c r="I23" i="35"/>
  <c r="P49" i="38"/>
  <c r="E27" i="33"/>
  <c r="F18" i="39"/>
  <c r="M3" i="40"/>
  <c r="N3" i="40" s="1"/>
  <c r="C19" i="38"/>
  <c r="I34" i="35"/>
  <c r="B39" i="32"/>
  <c r="F20" i="32"/>
  <c r="I50" i="35"/>
  <c r="I10" i="35"/>
  <c r="A11" i="32"/>
  <c r="H14" i="40"/>
  <c r="H12" i="40"/>
  <c r="J22" i="39"/>
  <c r="F23" i="32"/>
  <c r="B12" i="32"/>
  <c r="C12" i="32" s="1"/>
  <c r="B44" i="32"/>
  <c r="B22" i="32"/>
  <c r="E23" i="33"/>
  <c r="B37" i="32"/>
  <c r="AB32" i="32"/>
  <c r="Q44" i="38"/>
  <c r="M2" i="42"/>
  <c r="O47" i="38"/>
  <c r="F19" i="32"/>
  <c r="C46" i="32"/>
  <c r="L46" i="38"/>
  <c r="M46" i="38" s="1"/>
  <c r="F13" i="32"/>
  <c r="B27" i="32"/>
  <c r="H16" i="39"/>
  <c r="C49" i="32"/>
  <c r="I52" i="35"/>
  <c r="I13" i="35"/>
  <c r="C17" i="38"/>
  <c r="E35" i="33"/>
  <c r="C40" i="32"/>
  <c r="H22" i="39"/>
  <c r="C27" i="32"/>
  <c r="I30" i="35"/>
  <c r="F10" i="32"/>
  <c r="I21" i="35"/>
  <c r="I18" i="39"/>
  <c r="I9" i="35"/>
  <c r="E22" i="39"/>
  <c r="J21" i="39"/>
  <c r="E21" i="39"/>
  <c r="AB33" i="32"/>
  <c r="F23" i="39"/>
  <c r="C37" i="32"/>
  <c r="C14" i="32"/>
  <c r="F22" i="39"/>
  <c r="AD6" i="39"/>
  <c r="C47" i="32"/>
  <c r="L3" i="42"/>
  <c r="M50" i="38"/>
  <c r="C18" i="38"/>
  <c r="C35" i="32"/>
  <c r="C24" i="32"/>
  <c r="F20" i="39"/>
  <c r="B20" i="38"/>
  <c r="F19" i="39"/>
  <c r="C22" i="32"/>
  <c r="AB34" i="32"/>
  <c r="AB35" i="32"/>
  <c r="AB36" i="32"/>
  <c r="AB37" i="32"/>
  <c r="AB38" i="32"/>
  <c r="B2" i="32"/>
  <c r="C2" i="32" s="1"/>
  <c r="B21" i="32"/>
  <c r="B15" i="32"/>
  <c r="C15" i="32" s="1"/>
  <c r="J5" i="42"/>
  <c r="M4" i="42"/>
  <c r="K4" i="42"/>
  <c r="L4" i="42" s="1"/>
  <c r="B25" i="32"/>
  <c r="L5" i="40"/>
  <c r="M4" i="40"/>
  <c r="N4" i="40" s="1"/>
  <c r="B6" i="32"/>
  <c r="C6" i="32" s="1"/>
  <c r="B20" i="32"/>
  <c r="C20" i="32" s="1"/>
  <c r="E11" i="32"/>
  <c r="B23" i="32"/>
  <c r="B19" i="32"/>
  <c r="B13" i="32"/>
  <c r="B10" i="32"/>
  <c r="C10" i="32" s="1"/>
  <c r="C20" i="38"/>
  <c r="B21" i="38"/>
  <c r="K5" i="42"/>
  <c r="J6" i="42"/>
  <c r="M5" i="42"/>
  <c r="L6" i="40"/>
  <c r="M5" i="40"/>
  <c r="N5" i="40" s="1"/>
  <c r="F11" i="32"/>
  <c r="B22" i="38"/>
  <c r="C21" i="38"/>
  <c r="J7" i="42"/>
  <c r="K6" i="42"/>
  <c r="L6" i="42" s="1"/>
  <c r="M6" i="42"/>
  <c r="M6" i="40"/>
  <c r="N6" i="40"/>
  <c r="L7" i="40"/>
  <c r="B11" i="32"/>
  <c r="C11" i="32" s="1"/>
  <c r="B23" i="38"/>
  <c r="C22" i="38"/>
  <c r="K7" i="42"/>
  <c r="L7" i="42" s="1"/>
  <c r="J8" i="42"/>
  <c r="M7" i="42"/>
  <c r="M7" i="40"/>
  <c r="N7" i="40" s="1"/>
  <c r="L8" i="40"/>
  <c r="C23" i="38"/>
  <c r="B24" i="38"/>
  <c r="M8" i="42"/>
  <c r="J9" i="42"/>
  <c r="K8" i="42"/>
  <c r="L8" i="42" s="1"/>
  <c r="M8" i="40"/>
  <c r="N8" i="40" s="1"/>
  <c r="L9" i="40"/>
  <c r="B25" i="38"/>
  <c r="C24" i="38"/>
  <c r="J10" i="42"/>
  <c r="K9" i="42"/>
  <c r="L9" i="42" s="1"/>
  <c r="M9" i="42"/>
  <c r="L10" i="40"/>
  <c r="M9" i="40"/>
  <c r="N9" i="40" s="1"/>
  <c r="B26" i="38"/>
  <c r="C25" i="38"/>
  <c r="K10" i="42"/>
  <c r="L10" i="42" s="1"/>
  <c r="J11" i="42"/>
  <c r="M10" i="42"/>
  <c r="M10" i="40"/>
  <c r="N10" i="40"/>
  <c r="L11" i="40"/>
  <c r="B27" i="38"/>
  <c r="C26" i="38"/>
  <c r="M11" i="42"/>
  <c r="K11" i="42"/>
  <c r="L11" i="42" s="1"/>
  <c r="J12" i="42"/>
  <c r="L12" i="40"/>
  <c r="M11" i="40"/>
  <c r="N11" i="40" s="1"/>
  <c r="B28" i="38"/>
  <c r="C27" i="38"/>
  <c r="J13" i="42"/>
  <c r="K12" i="42"/>
  <c r="L12" i="42" s="1"/>
  <c r="M12" i="42"/>
  <c r="L13" i="40"/>
  <c r="M12" i="40"/>
  <c r="N12" i="40" s="1"/>
  <c r="B29" i="38"/>
  <c r="C28" i="38"/>
  <c r="J14" i="42"/>
  <c r="M13" i="42"/>
  <c r="K13" i="42"/>
  <c r="L13" i="42" s="1"/>
  <c r="L14" i="40"/>
  <c r="M13" i="40"/>
  <c r="N13" i="40" s="1"/>
  <c r="C29" i="38"/>
  <c r="B30" i="38"/>
  <c r="K14" i="42"/>
  <c r="L14" i="42" s="1"/>
  <c r="M14" i="42"/>
  <c r="J15" i="42"/>
  <c r="M14" i="40"/>
  <c r="N14" i="40"/>
  <c r="L15" i="40"/>
  <c r="B31" i="38"/>
  <c r="C30" i="38"/>
  <c r="K15" i="42"/>
  <c r="L15" i="42" s="1"/>
  <c r="J16" i="42"/>
  <c r="M15" i="42"/>
  <c r="M15" i="40"/>
  <c r="N15" i="40" s="1"/>
  <c r="L16" i="40"/>
  <c r="B32" i="38"/>
  <c r="C31" i="38"/>
  <c r="M16" i="42"/>
  <c r="J17" i="42"/>
  <c r="K16" i="42"/>
  <c r="L16" i="42" s="1"/>
  <c r="L17" i="40"/>
  <c r="M16" i="40"/>
  <c r="N16" i="40" s="1"/>
  <c r="C32" i="38"/>
  <c r="B33" i="38"/>
  <c r="K17" i="42"/>
  <c r="L17" i="42" s="1"/>
  <c r="J18" i="42"/>
  <c r="M17" i="42"/>
  <c r="M17" i="40"/>
  <c r="N17" i="40" s="1"/>
  <c r="L18" i="40"/>
  <c r="C33" i="38"/>
  <c r="B34" i="38"/>
  <c r="M18" i="42"/>
  <c r="K18" i="42"/>
  <c r="L18" i="42" s="1"/>
  <c r="J19" i="42"/>
  <c r="L19" i="40"/>
  <c r="M18" i="40"/>
  <c r="N18" i="40" s="1"/>
  <c r="B35" i="38"/>
  <c r="C34" i="38"/>
  <c r="K19" i="42"/>
  <c r="L19" i="42" s="1"/>
  <c r="M19" i="42"/>
  <c r="J20" i="42"/>
  <c r="L20" i="40"/>
  <c r="M19" i="40"/>
  <c r="N19" i="40" s="1"/>
  <c r="C35" i="38"/>
  <c r="B36" i="38"/>
  <c r="K20" i="42"/>
  <c r="L20" i="42" s="1"/>
  <c r="M20" i="42"/>
  <c r="J21" i="42"/>
  <c r="L21" i="40"/>
  <c r="M20" i="40"/>
  <c r="N20" i="40" s="1"/>
  <c r="C36" i="38"/>
  <c r="B37" i="38"/>
  <c r="J22" i="42"/>
  <c r="M21" i="42"/>
  <c r="K21" i="42"/>
  <c r="L21" i="42" s="1"/>
  <c r="L22" i="40"/>
  <c r="M21" i="40"/>
  <c r="N21" i="40" s="1"/>
  <c r="C37" i="38"/>
  <c r="B38" i="38"/>
  <c r="M22" i="42"/>
  <c r="J23" i="42"/>
  <c r="K22" i="42"/>
  <c r="L22" i="42" s="1"/>
  <c r="L23" i="40"/>
  <c r="M22" i="40"/>
  <c r="N22" i="40" s="1"/>
  <c r="B39" i="38"/>
  <c r="C38" i="38"/>
  <c r="K23" i="42"/>
  <c r="L23" i="42" s="1"/>
  <c r="M23" i="42"/>
  <c r="J24" i="42"/>
  <c r="M23" i="40"/>
  <c r="N23" i="40" s="1"/>
  <c r="L24" i="40"/>
  <c r="B40" i="38"/>
  <c r="C39" i="38"/>
  <c r="M24" i="42"/>
  <c r="K24" i="42"/>
  <c r="J25" i="42"/>
  <c r="L25" i="40"/>
  <c r="M24" i="40"/>
  <c r="N24" i="40" s="1"/>
  <c r="B41" i="38"/>
  <c r="C40" i="38"/>
  <c r="M25" i="42"/>
  <c r="K25" i="42"/>
  <c r="L25" i="42" s="1"/>
  <c r="J26" i="42"/>
  <c r="L26" i="40"/>
  <c r="M25" i="40"/>
  <c r="N25" i="40" s="1"/>
  <c r="C41" i="38"/>
  <c r="B42" i="38"/>
  <c r="K26" i="42"/>
  <c r="L26" i="42" s="1"/>
  <c r="J27" i="42"/>
  <c r="M26" i="42"/>
  <c r="L27" i="40"/>
  <c r="M26" i="40"/>
  <c r="N26" i="40" s="1"/>
  <c r="B43" i="38"/>
  <c r="C42" i="38"/>
  <c r="J28" i="42"/>
  <c r="K27" i="42"/>
  <c r="L27" i="42" s="1"/>
  <c r="M27" i="42"/>
  <c r="L28" i="40"/>
  <c r="M27" i="40"/>
  <c r="N27" i="40" s="1"/>
  <c r="C43" i="38"/>
  <c r="B44" i="38"/>
  <c r="K28" i="42"/>
  <c r="L28" i="42" s="1"/>
  <c r="J29" i="42"/>
  <c r="M28" i="42"/>
  <c r="M28" i="40"/>
  <c r="N28" i="40" s="1"/>
  <c r="L29" i="40"/>
  <c r="C44" i="38"/>
  <c r="B45" i="38"/>
  <c r="J30" i="42"/>
  <c r="K29" i="42"/>
  <c r="L29" i="42" s="1"/>
  <c r="M29" i="42"/>
  <c r="M29" i="40"/>
  <c r="N29" i="40" s="1"/>
  <c r="L30" i="40"/>
  <c r="B46" i="38"/>
  <c r="C45" i="38"/>
  <c r="J31" i="42"/>
  <c r="K30" i="42"/>
  <c r="L30" i="42" s="1"/>
  <c r="M30" i="42"/>
  <c r="M30" i="40"/>
  <c r="N30" i="40"/>
  <c r="L31" i="40"/>
  <c r="C46" i="38"/>
  <c r="B47" i="38"/>
  <c r="K31" i="42"/>
  <c r="L31" i="42" s="1"/>
  <c r="M31" i="42"/>
  <c r="J32" i="42"/>
  <c r="L32" i="40"/>
  <c r="M31" i="40"/>
  <c r="N31" i="40" s="1"/>
  <c r="B48" i="38"/>
  <c r="C47" i="38"/>
  <c r="K32" i="42"/>
  <c r="J33" i="42"/>
  <c r="M32" i="42"/>
  <c r="M32" i="40"/>
  <c r="N32" i="40"/>
  <c r="L33" i="40"/>
  <c r="B49" i="38"/>
  <c r="C48" i="38"/>
  <c r="K33" i="42"/>
  <c r="L33" i="42" s="1"/>
  <c r="J34" i="42"/>
  <c r="M33" i="42"/>
  <c r="L34" i="40"/>
  <c r="M33" i="40"/>
  <c r="N33" i="40" s="1"/>
  <c r="C49" i="38"/>
  <c r="B50" i="38"/>
  <c r="K34" i="42"/>
  <c r="L34" i="42" s="1"/>
  <c r="J35" i="42"/>
  <c r="M34" i="42"/>
  <c r="M34" i="40"/>
  <c r="N34" i="40"/>
  <c r="L35" i="40"/>
  <c r="C50" i="38"/>
  <c r="B51" i="38"/>
  <c r="J36" i="42"/>
  <c r="K35" i="42"/>
  <c r="L35" i="42" s="1"/>
  <c r="M35" i="42"/>
  <c r="L36" i="40"/>
  <c r="M35" i="40"/>
  <c r="N35" i="40" s="1"/>
  <c r="B52" i="38"/>
  <c r="C51" i="38"/>
  <c r="J37" i="42"/>
  <c r="K36" i="42"/>
  <c r="L36" i="42" s="1"/>
  <c r="M36" i="42"/>
  <c r="L37" i="40"/>
  <c r="M36" i="40"/>
  <c r="N36" i="40" s="1"/>
  <c r="C52" i="38"/>
  <c r="B53" i="38"/>
  <c r="M37" i="42"/>
  <c r="K37" i="42"/>
  <c r="L37" i="42" s="1"/>
  <c r="J38" i="42"/>
  <c r="L38" i="40"/>
  <c r="M37" i="40"/>
  <c r="N37" i="40" s="1"/>
  <c r="C53" i="38"/>
  <c r="B54" i="38"/>
  <c r="K38" i="42"/>
  <c r="L38" i="42" s="1"/>
  <c r="J39" i="42"/>
  <c r="M38" i="42"/>
  <c r="L39" i="40"/>
  <c r="M38" i="40"/>
  <c r="N38" i="40" s="1"/>
  <c r="C54" i="38"/>
  <c r="B55" i="38"/>
  <c r="J40" i="42"/>
  <c r="K39" i="42"/>
  <c r="L39" i="42" s="1"/>
  <c r="M39" i="42"/>
  <c r="L40" i="40"/>
  <c r="M39" i="40"/>
  <c r="N39" i="40" s="1"/>
  <c r="C55" i="38"/>
  <c r="B56" i="38"/>
  <c r="J41" i="42"/>
  <c r="M40" i="42"/>
  <c r="K40" i="42"/>
  <c r="M40" i="40"/>
  <c r="N40" i="40" s="1"/>
  <c r="L41" i="40"/>
  <c r="B57" i="38"/>
  <c r="C56" i="38"/>
  <c r="M41" i="42"/>
  <c r="J42" i="42"/>
  <c r="K41" i="42"/>
  <c r="L41" i="42" s="1"/>
  <c r="L42" i="40"/>
  <c r="M41" i="40"/>
  <c r="N41" i="40" s="1"/>
  <c r="B58" i="38"/>
  <c r="C57" i="38"/>
  <c r="K42" i="42"/>
  <c r="L42" i="42" s="1"/>
  <c r="M42" i="42"/>
  <c r="J43" i="42"/>
  <c r="M42" i="40"/>
  <c r="N42" i="40"/>
  <c r="L43" i="40"/>
  <c r="C58" i="38"/>
  <c r="B59" i="38"/>
  <c r="J44" i="42"/>
  <c r="K43" i="42"/>
  <c r="L43" i="42" s="1"/>
  <c r="M43" i="42"/>
  <c r="L44" i="40"/>
  <c r="M43" i="40"/>
  <c r="N43" i="40" s="1"/>
  <c r="C59" i="38"/>
  <c r="B60" i="38"/>
  <c r="J45" i="42"/>
  <c r="K44" i="42"/>
  <c r="L44" i="42" s="1"/>
  <c r="M44" i="42"/>
  <c r="L45" i="40"/>
  <c r="M44" i="40"/>
  <c r="N44" i="40" s="1"/>
  <c r="B61" i="38"/>
  <c r="C60" i="38"/>
  <c r="K45" i="42"/>
  <c r="L45" i="42" s="1"/>
  <c r="J46" i="42"/>
  <c r="M45" i="42"/>
  <c r="M45" i="40"/>
  <c r="N45" i="40" s="1"/>
  <c r="L46" i="40"/>
  <c r="B62" i="38"/>
  <c r="C61" i="38"/>
  <c r="M46" i="42"/>
  <c r="K46" i="42"/>
  <c r="L46" i="42" s="1"/>
  <c r="J47" i="42"/>
  <c r="L47" i="40"/>
  <c r="M46" i="40"/>
  <c r="N46" i="40" s="1"/>
  <c r="C62" i="38"/>
  <c r="B63" i="38"/>
  <c r="J48" i="42"/>
  <c r="K47" i="42"/>
  <c r="L47" i="42" s="1"/>
  <c r="M47" i="42"/>
  <c r="M47" i="40"/>
  <c r="N47" i="40" s="1"/>
  <c r="L48" i="40"/>
  <c r="B64" i="38"/>
  <c r="C63" i="38"/>
  <c r="J49" i="42"/>
  <c r="K48" i="42"/>
  <c r="M48" i="42"/>
  <c r="L49" i="40"/>
  <c r="M48" i="40"/>
  <c r="N48" i="40" s="1"/>
  <c r="B65" i="38"/>
  <c r="C64" i="38"/>
  <c r="K49" i="42"/>
  <c r="L49" i="42" s="1"/>
  <c r="J50" i="42"/>
  <c r="M49" i="42"/>
  <c r="M49" i="40"/>
  <c r="N49" i="40" s="1"/>
  <c r="L50" i="40"/>
  <c r="C65" i="38"/>
  <c r="B66" i="38"/>
  <c r="M50" i="42"/>
  <c r="K50" i="42"/>
  <c r="L50" i="42" s="1"/>
  <c r="J51" i="42"/>
  <c r="L51" i="40"/>
  <c r="M50" i="40"/>
  <c r="N50" i="40" s="1"/>
  <c r="B67" i="38"/>
  <c r="C66" i="38"/>
  <c r="K51" i="42"/>
  <c r="L51" i="42" s="1"/>
  <c r="M51" i="42"/>
  <c r="J52" i="42"/>
  <c r="M51" i="40"/>
  <c r="N51" i="40" s="1"/>
  <c r="L52" i="40"/>
  <c r="B68" i="38"/>
  <c r="C67" i="38"/>
  <c r="K52" i="42"/>
  <c r="L52" i="42" s="1"/>
  <c r="M52" i="42"/>
  <c r="J53" i="42"/>
  <c r="M52" i="40"/>
  <c r="N52" i="40"/>
  <c r="L53" i="40"/>
  <c r="C68" i="38"/>
  <c r="B69" i="38"/>
  <c r="K53" i="42"/>
  <c r="L53" i="42" s="1"/>
  <c r="M53" i="42"/>
  <c r="J54" i="42"/>
  <c r="M53" i="40"/>
  <c r="N53" i="40"/>
  <c r="L54" i="40"/>
  <c r="B70" i="38"/>
  <c r="C69" i="38"/>
  <c r="M54" i="42"/>
  <c r="K54" i="42"/>
  <c r="L54" i="42" s="1"/>
  <c r="J55" i="42"/>
  <c r="L55" i="40"/>
  <c r="M54" i="40"/>
  <c r="N54" i="40" s="1"/>
  <c r="B71" i="38"/>
  <c r="C70" i="38"/>
  <c r="K55" i="42"/>
  <c r="L55" i="42" s="1"/>
  <c r="M55" i="42"/>
  <c r="J56" i="42"/>
  <c r="L56" i="40"/>
  <c r="M55" i="40"/>
  <c r="N55" i="40" s="1"/>
  <c r="C71" i="38"/>
  <c r="B72" i="38"/>
  <c r="M56" i="42"/>
  <c r="K56" i="42"/>
  <c r="J57" i="42"/>
  <c r="M56" i="40"/>
  <c r="N56" i="40" s="1"/>
  <c r="L57" i="40"/>
  <c r="B73" i="38"/>
  <c r="C72" i="38"/>
  <c r="M57" i="42"/>
  <c r="J58" i="42"/>
  <c r="K57" i="42"/>
  <c r="L57" i="42" s="1"/>
  <c r="L58" i="40"/>
  <c r="M57" i="40"/>
  <c r="N57" i="40" s="1"/>
  <c r="C73" i="38"/>
  <c r="B74" i="38"/>
  <c r="J59" i="42"/>
  <c r="K58" i="42"/>
  <c r="L58" i="42" s="1"/>
  <c r="M58" i="42"/>
  <c r="L59" i="40"/>
  <c r="M58" i="40"/>
  <c r="N58" i="40" s="1"/>
  <c r="B75" i="38"/>
  <c r="C74" i="38"/>
  <c r="M59" i="42"/>
  <c r="K59" i="42"/>
  <c r="L59" i="42" s="1"/>
  <c r="J60" i="42"/>
  <c r="M59" i="40"/>
  <c r="N59" i="40"/>
  <c r="L60" i="40"/>
  <c r="B76" i="38"/>
  <c r="C75" i="38"/>
  <c r="J61" i="42"/>
  <c r="K60" i="42"/>
  <c r="L60" i="42" s="1"/>
  <c r="M60" i="42"/>
  <c r="M60" i="40"/>
  <c r="N60" i="40" s="1"/>
  <c r="L61" i="40"/>
  <c r="C76" i="38"/>
  <c r="B77" i="38"/>
  <c r="M61" i="42"/>
  <c r="K61" i="42"/>
  <c r="L61" i="42" s="1"/>
  <c r="J62" i="42"/>
  <c r="L62" i="40"/>
  <c r="M61" i="40"/>
  <c r="N61" i="40" s="1"/>
  <c r="C77" i="38"/>
  <c r="B78" i="38"/>
  <c r="M62" i="42"/>
  <c r="J63" i="42"/>
  <c r="K62" i="42"/>
  <c r="L62" i="42" s="1"/>
  <c r="M62" i="40"/>
  <c r="N62" i="40"/>
  <c r="L63" i="40"/>
  <c r="B79" i="38"/>
  <c r="C78" i="38"/>
  <c r="K63" i="42"/>
  <c r="L63" i="42" s="1"/>
  <c r="M63" i="42"/>
  <c r="J64" i="42"/>
  <c r="M63" i="40"/>
  <c r="N63" i="40"/>
  <c r="L64" i="40"/>
  <c r="B80" i="38"/>
  <c r="C79" i="38"/>
  <c r="K64" i="42"/>
  <c r="J65" i="42"/>
  <c r="M64" i="42"/>
  <c r="L65" i="40"/>
  <c r="M64" i="40"/>
  <c r="N64" i="40" s="1"/>
  <c r="B81" i="38"/>
  <c r="C80" i="38"/>
  <c r="M65" i="42"/>
  <c r="K65" i="42"/>
  <c r="L65" i="42" s="1"/>
  <c r="J66" i="42"/>
  <c r="L66" i="40"/>
  <c r="M65" i="40"/>
  <c r="N65" i="40"/>
  <c r="B82" i="38"/>
  <c r="C81" i="38"/>
  <c r="K66" i="42"/>
  <c r="L66" i="42" s="1"/>
  <c r="J67" i="42"/>
  <c r="M66" i="42"/>
  <c r="M66" i="40"/>
  <c r="N66" i="40"/>
  <c r="L67" i="40"/>
  <c r="C82" i="38"/>
  <c r="B83" i="38"/>
  <c r="C83" i="38" s="1"/>
  <c r="K67" i="42"/>
  <c r="L67" i="42" s="1"/>
  <c r="M67" i="42"/>
  <c r="J68" i="42"/>
  <c r="M67" i="40"/>
  <c r="N67" i="40" s="1"/>
  <c r="L68" i="40"/>
  <c r="M68" i="42"/>
  <c r="K68" i="42"/>
  <c r="L68" i="42" s="1"/>
  <c r="J69" i="42"/>
  <c r="L69" i="40"/>
  <c r="M68" i="40"/>
  <c r="N68" i="40"/>
  <c r="K69" i="42"/>
  <c r="L69" i="42" s="1"/>
  <c r="J70" i="42"/>
  <c r="M69" i="42"/>
  <c r="L70" i="40"/>
  <c r="M69" i="40"/>
  <c r="N69" i="40" s="1"/>
  <c r="J71" i="42"/>
  <c r="K70" i="42"/>
  <c r="L70" i="42" s="1"/>
  <c r="M70" i="42"/>
  <c r="M70" i="40"/>
  <c r="N70" i="40" s="1"/>
  <c r="L71" i="40"/>
  <c r="K71" i="42"/>
  <c r="L71" i="42" s="1"/>
  <c r="M71" i="42"/>
  <c r="J72" i="42"/>
  <c r="M71" i="40"/>
  <c r="L72" i="40"/>
  <c r="N71" i="40"/>
  <c r="K72" i="42"/>
  <c r="L72" i="42" s="1"/>
  <c r="J73" i="42"/>
  <c r="M72" i="42"/>
  <c r="L73" i="40"/>
  <c r="M72" i="40"/>
  <c r="N72" i="40" s="1"/>
  <c r="J74" i="42"/>
  <c r="K73" i="42"/>
  <c r="L73" i="42" s="1"/>
  <c r="M73" i="42"/>
  <c r="M73" i="40"/>
  <c r="N73" i="40" s="1"/>
  <c r="L74" i="40"/>
  <c r="M74" i="42"/>
  <c r="K74" i="42"/>
  <c r="L74" i="42" s="1"/>
  <c r="J75" i="42"/>
  <c r="L75" i="40"/>
  <c r="M74" i="40"/>
  <c r="N74" i="40" s="1"/>
  <c r="J76" i="42"/>
  <c r="K75" i="42"/>
  <c r="L75" i="42" s="1"/>
  <c r="M75" i="42"/>
  <c r="M75" i="40"/>
  <c r="N75" i="40"/>
  <c r="L76" i="40"/>
  <c r="J77" i="42"/>
  <c r="K76" i="42"/>
  <c r="L76" i="42" s="1"/>
  <c r="M76" i="42"/>
  <c r="L77" i="40"/>
  <c r="M76" i="40"/>
  <c r="N76" i="40" s="1"/>
  <c r="K77" i="42"/>
  <c r="L77" i="42" s="1"/>
  <c r="J78" i="42"/>
  <c r="M77" i="42"/>
  <c r="L78" i="40"/>
  <c r="M77" i="40"/>
  <c r="N77" i="40" s="1"/>
  <c r="K78" i="42"/>
  <c r="L78" i="42" s="1"/>
  <c r="M78" i="42"/>
  <c r="J79" i="42"/>
  <c r="M78" i="40"/>
  <c r="N78" i="40" s="1"/>
  <c r="L79" i="40"/>
  <c r="J80" i="42"/>
  <c r="M79" i="42"/>
  <c r="K79" i="42"/>
  <c r="L79" i="42" s="1"/>
  <c r="M79" i="40"/>
  <c r="N79" i="40" s="1"/>
  <c r="L80" i="40"/>
  <c r="K80" i="42"/>
  <c r="J81" i="42"/>
  <c r="M80" i="42"/>
  <c r="M80" i="40"/>
  <c r="N80" i="40" s="1"/>
  <c r="L81" i="40"/>
  <c r="M81" i="42"/>
  <c r="J82" i="42"/>
  <c r="K81" i="42"/>
  <c r="L81" i="42" s="1"/>
  <c r="M81" i="40"/>
  <c r="L82" i="40"/>
  <c r="N81" i="40"/>
  <c r="M82" i="42"/>
  <c r="K82" i="42"/>
  <c r="L82" i="42" s="1"/>
  <c r="J83" i="42"/>
  <c r="L83" i="40"/>
  <c r="M82" i="40"/>
  <c r="N82" i="40" s="1"/>
  <c r="M83" i="42"/>
  <c r="J84" i="42"/>
  <c r="K83" i="42"/>
  <c r="L83" i="42" s="1"/>
  <c r="L84" i="40"/>
  <c r="M83" i="40"/>
  <c r="N83" i="40" s="1"/>
  <c r="J85" i="42"/>
  <c r="M84" i="42"/>
  <c r="K84" i="42"/>
  <c r="L84" i="42" s="1"/>
  <c r="L85" i="40"/>
  <c r="M84" i="40"/>
  <c r="N84" i="40" s="1"/>
  <c r="K85" i="42"/>
  <c r="L85" i="42" s="1"/>
  <c r="J86" i="42"/>
  <c r="M85" i="42"/>
  <c r="L86" i="40"/>
  <c r="M85" i="40"/>
  <c r="N85" i="40" s="1"/>
  <c r="J87" i="42"/>
  <c r="K86" i="42"/>
  <c r="L86" i="42" s="1"/>
  <c r="M86" i="42"/>
  <c r="L87" i="40"/>
  <c r="M86" i="40"/>
  <c r="N86" i="40" s="1"/>
  <c r="J88" i="42"/>
  <c r="K87" i="42"/>
  <c r="L87" i="42" s="1"/>
  <c r="M87" i="42"/>
  <c r="L88" i="40"/>
  <c r="M87" i="40"/>
  <c r="N87" i="40"/>
  <c r="K88" i="42"/>
  <c r="M88" i="42"/>
  <c r="J89" i="42"/>
  <c r="L89" i="40"/>
  <c r="M88" i="40"/>
  <c r="N88" i="40" s="1"/>
  <c r="J90" i="42"/>
  <c r="K89" i="42"/>
  <c r="M89" i="42"/>
  <c r="M89" i="40"/>
  <c r="L90" i="40"/>
  <c r="N89" i="40"/>
  <c r="K90" i="42"/>
  <c r="L90" i="42" s="1"/>
  <c r="M90" i="42"/>
  <c r="J91" i="42"/>
  <c r="L91" i="40"/>
  <c r="M90" i="40"/>
  <c r="N90" i="40" s="1"/>
  <c r="K91" i="42"/>
  <c r="L91" i="42" s="1"/>
  <c r="M91" i="42"/>
  <c r="J92" i="42"/>
  <c r="L92" i="40"/>
  <c r="M91" i="40"/>
  <c r="N91" i="40" s="1"/>
  <c r="J93" i="42"/>
  <c r="K92" i="42"/>
  <c r="L92" i="42" s="1"/>
  <c r="M92" i="42"/>
  <c r="M92" i="40"/>
  <c r="N92" i="40" s="1"/>
  <c r="L93" i="40"/>
  <c r="M93" i="42"/>
  <c r="K93" i="42"/>
  <c r="L93" i="42" s="1"/>
  <c r="J94" i="42"/>
  <c r="L94" i="40"/>
  <c r="M93" i="40"/>
  <c r="N93" i="40" s="1"/>
  <c r="J95" i="42"/>
  <c r="M94" i="42"/>
  <c r="K94" i="42"/>
  <c r="L94" i="42" s="1"/>
  <c r="M94" i="40"/>
  <c r="N94" i="40"/>
  <c r="L95" i="40"/>
  <c r="M95" i="42"/>
  <c r="K95" i="42"/>
  <c r="L95" i="42" s="1"/>
  <c r="J96" i="42"/>
  <c r="M95" i="40"/>
  <c r="L96" i="40"/>
  <c r="N95" i="40"/>
  <c r="J97" i="42"/>
  <c r="M96" i="42"/>
  <c r="K96" i="42"/>
  <c r="L96" i="42" s="1"/>
  <c r="M96" i="40"/>
  <c r="N96" i="40" s="1"/>
  <c r="L97" i="40"/>
  <c r="M97" i="42"/>
  <c r="J98" i="42"/>
  <c r="K97" i="42"/>
  <c r="L98" i="40"/>
  <c r="M97" i="40"/>
  <c r="N97" i="40"/>
  <c r="M98" i="42"/>
  <c r="J99" i="42"/>
  <c r="K98" i="42"/>
  <c r="L98" i="42" s="1"/>
  <c r="M98" i="40"/>
  <c r="N98" i="40" s="1"/>
  <c r="L99" i="40"/>
  <c r="M99" i="42"/>
  <c r="J100" i="42"/>
  <c r="K99" i="42"/>
  <c r="L99" i="42" s="1"/>
  <c r="M99" i="40"/>
  <c r="N99" i="40" s="1"/>
  <c r="L100" i="40"/>
  <c r="K100" i="42"/>
  <c r="L100" i="42" s="1"/>
  <c r="M100" i="42"/>
  <c r="J101" i="42"/>
  <c r="M100" i="40"/>
  <c r="L101" i="40"/>
  <c r="N100" i="40"/>
  <c r="J102" i="42"/>
  <c r="M101" i="42"/>
  <c r="K101" i="42"/>
  <c r="L101" i="42" s="1"/>
  <c r="L102" i="40"/>
  <c r="M101" i="40"/>
  <c r="N101" i="40" s="1"/>
  <c r="J103" i="42"/>
  <c r="K102" i="42"/>
  <c r="L102" i="42" s="1"/>
  <c r="M102" i="42"/>
  <c r="L103" i="40"/>
  <c r="M102" i="40"/>
  <c r="N102" i="40" s="1"/>
  <c r="J104" i="42"/>
  <c r="K103" i="42"/>
  <c r="L103" i="42" s="1"/>
  <c r="M103" i="42"/>
  <c r="L104" i="40"/>
  <c r="M103" i="40"/>
  <c r="N103" i="40"/>
  <c r="K104" i="42"/>
  <c r="L104" i="42" s="1"/>
  <c r="J105" i="42"/>
  <c r="M104" i="42"/>
  <c r="L105" i="40"/>
  <c r="M104" i="40"/>
  <c r="N104" i="40" s="1"/>
  <c r="K105" i="42"/>
  <c r="M105" i="42"/>
  <c r="J106" i="42"/>
  <c r="L106" i="40"/>
  <c r="M105" i="40"/>
  <c r="N105" i="40" s="1"/>
  <c r="J107" i="42"/>
  <c r="M106" i="42"/>
  <c r="K106" i="42"/>
  <c r="L106" i="42" s="1"/>
  <c r="M106" i="40"/>
  <c r="N106" i="40" s="1"/>
  <c r="L107" i="40"/>
  <c r="J108" i="42"/>
  <c r="K107" i="42"/>
  <c r="L107" i="42" s="1"/>
  <c r="M107" i="42"/>
  <c r="L108" i="40"/>
  <c r="M107" i="40"/>
  <c r="N107" i="40" s="1"/>
  <c r="J109" i="42"/>
  <c r="K108" i="42"/>
  <c r="L108" i="42" s="1"/>
  <c r="M108" i="42"/>
  <c r="M108" i="40"/>
  <c r="N108" i="40" s="1"/>
  <c r="L109" i="40"/>
  <c r="M109" i="42"/>
  <c r="K109" i="42"/>
  <c r="L109" i="42" s="1"/>
  <c r="J110" i="42"/>
  <c r="L110" i="40"/>
  <c r="M109" i="40"/>
  <c r="N109" i="40"/>
  <c r="K110" i="42"/>
  <c r="L110" i="42" s="1"/>
  <c r="M110" i="42"/>
  <c r="J111" i="42"/>
  <c r="L111" i="40"/>
  <c r="M110" i="40"/>
  <c r="N110" i="40" s="1"/>
  <c r="J112" i="42"/>
  <c r="K111" i="42"/>
  <c r="L111" i="42" s="1"/>
  <c r="M111" i="42"/>
  <c r="M111" i="40"/>
  <c r="N111" i="40" s="1"/>
  <c r="L112" i="40"/>
  <c r="K112" i="42"/>
  <c r="M112" i="42"/>
  <c r="J113" i="42"/>
  <c r="M112" i="40"/>
  <c r="N112" i="40" s="1"/>
  <c r="L113" i="40"/>
  <c r="K113" i="42"/>
  <c r="M113" i="42"/>
  <c r="J114" i="42"/>
  <c r="L114" i="40"/>
  <c r="M113" i="40"/>
  <c r="N113" i="40"/>
  <c r="J115" i="42"/>
  <c r="M114" i="42"/>
  <c r="K114" i="42"/>
  <c r="L114" i="42" s="1"/>
  <c r="L115" i="40"/>
  <c r="M114" i="40"/>
  <c r="N114" i="40" s="1"/>
  <c r="K115" i="42"/>
  <c r="L115" i="42" s="1"/>
  <c r="J116" i="42"/>
  <c r="M115" i="42"/>
  <c r="M115" i="40"/>
  <c r="N115" i="40" s="1"/>
  <c r="L116" i="40"/>
  <c r="J117" i="42"/>
  <c r="K116" i="42"/>
  <c r="L116" i="42" s="1"/>
  <c r="M116" i="42"/>
  <c r="L117" i="40"/>
  <c r="M116" i="40"/>
  <c r="N116" i="40" s="1"/>
  <c r="K117" i="42"/>
  <c r="J118" i="42"/>
  <c r="M117" i="42"/>
  <c r="M117" i="40"/>
  <c r="N117" i="40"/>
  <c r="L118" i="40"/>
  <c r="M118" i="42"/>
  <c r="J119" i="42"/>
  <c r="K118" i="42"/>
  <c r="L118" i="42" s="1"/>
  <c r="M118" i="40"/>
  <c r="N118" i="40" s="1"/>
  <c r="L119" i="40"/>
  <c r="M119" i="42"/>
  <c r="K119" i="42"/>
  <c r="L119" i="42" s="1"/>
  <c r="J120" i="42"/>
  <c r="L120" i="40"/>
  <c r="M119" i="40"/>
  <c r="N119" i="40" s="1"/>
  <c r="K120" i="42"/>
  <c r="M120" i="42"/>
  <c r="J121" i="42"/>
  <c r="L121" i="40"/>
  <c r="M120" i="40"/>
  <c r="N120" i="40" s="1"/>
  <c r="J122" i="42"/>
  <c r="K121" i="42"/>
  <c r="L121" i="42" s="1"/>
  <c r="M121" i="42"/>
  <c r="M121" i="40"/>
  <c r="N121" i="40" s="1"/>
  <c r="L122" i="40"/>
  <c r="K122" i="42"/>
  <c r="L122" i="42" s="1"/>
  <c r="J123" i="42"/>
  <c r="M122" i="42"/>
  <c r="L123" i="40"/>
  <c r="M122" i="40"/>
  <c r="N122" i="40" s="1"/>
  <c r="M123" i="42"/>
  <c r="K123" i="42"/>
  <c r="L123" i="42" s="1"/>
  <c r="J124" i="42"/>
  <c r="L124" i="40"/>
  <c r="M123" i="40"/>
  <c r="N123" i="40" s="1"/>
  <c r="K124" i="42"/>
  <c r="L124" i="42" s="1"/>
  <c r="J125" i="42"/>
  <c r="M124" i="42"/>
  <c r="M124" i="40"/>
  <c r="N124" i="40" s="1"/>
  <c r="L125" i="40"/>
  <c r="M125" i="42"/>
  <c r="K125" i="42"/>
  <c r="J126" i="42"/>
  <c r="L126" i="40"/>
  <c r="M125" i="40"/>
  <c r="N125" i="40" s="1"/>
  <c r="K126" i="42"/>
  <c r="L126" i="42" s="1"/>
  <c r="J127" i="42"/>
  <c r="M126" i="42"/>
  <c r="L127" i="40"/>
  <c r="M126" i="40"/>
  <c r="N126" i="40" s="1"/>
  <c r="K127" i="42"/>
  <c r="L127" i="42" s="1"/>
  <c r="M127" i="42"/>
  <c r="J128" i="42"/>
  <c r="M127" i="40"/>
  <c r="L128" i="40"/>
  <c r="N127" i="40"/>
  <c r="K128" i="42"/>
  <c r="M128" i="42"/>
  <c r="J129" i="42"/>
  <c r="L129" i="40"/>
  <c r="M128" i="40"/>
  <c r="N128" i="40" s="1"/>
  <c r="M129" i="42"/>
  <c r="K129" i="42"/>
  <c r="J130" i="42"/>
  <c r="M129" i="40"/>
  <c r="L130" i="40"/>
  <c r="N129" i="40"/>
  <c r="K130" i="42"/>
  <c r="L130" i="42" s="1"/>
  <c r="J131" i="42"/>
  <c r="M130" i="42"/>
  <c r="L131" i="40"/>
  <c r="M130" i="40"/>
  <c r="N130" i="40" s="1"/>
  <c r="M131" i="42"/>
  <c r="J132" i="42"/>
  <c r="K131" i="42"/>
  <c r="L131" i="42" s="1"/>
  <c r="L132" i="40"/>
  <c r="M131" i="40"/>
  <c r="N131" i="40"/>
  <c r="K132" i="42"/>
  <c r="L132" i="42" s="1"/>
  <c r="J133" i="42"/>
  <c r="M132" i="42"/>
  <c r="M132" i="40"/>
  <c r="N132" i="40" s="1"/>
  <c r="L133" i="40"/>
  <c r="K133" i="42"/>
  <c r="J134" i="42"/>
  <c r="M133" i="42"/>
  <c r="M133" i="40"/>
  <c r="N133" i="40" s="1"/>
  <c r="L134" i="40"/>
  <c r="J135" i="42"/>
  <c r="K134" i="42"/>
  <c r="L134" i="42" s="1"/>
  <c r="M134" i="42"/>
  <c r="M134" i="40"/>
  <c r="N134" i="40" s="1"/>
  <c r="L135" i="40"/>
  <c r="J136" i="42"/>
  <c r="K135" i="42"/>
  <c r="L135" i="42" s="1"/>
  <c r="M135" i="42"/>
  <c r="L136" i="40"/>
  <c r="M135" i="40"/>
  <c r="N135" i="40"/>
  <c r="K136" i="42"/>
  <c r="J137" i="42"/>
  <c r="M136" i="42"/>
  <c r="M136" i="40"/>
  <c r="L137" i="40"/>
  <c r="N136" i="40"/>
  <c r="J138" i="42"/>
  <c r="K137" i="42"/>
  <c r="M137" i="42"/>
  <c r="M137" i="40"/>
  <c r="N137" i="40" s="1"/>
  <c r="L138" i="40"/>
  <c r="M138" i="42"/>
  <c r="K138" i="42"/>
  <c r="L138" i="42" s="1"/>
  <c r="J139" i="42"/>
  <c r="M138" i="40"/>
  <c r="N138" i="40" s="1"/>
  <c r="L139" i="40"/>
  <c r="M139" i="42"/>
  <c r="J140" i="42"/>
  <c r="K139" i="42"/>
  <c r="L139" i="42" s="1"/>
  <c r="L140" i="40"/>
  <c r="M139" i="40"/>
  <c r="N139" i="40"/>
  <c r="M140" i="42"/>
  <c r="K140" i="42"/>
  <c r="L140" i="42" s="1"/>
  <c r="J141" i="42"/>
  <c r="L141" i="40"/>
  <c r="M140" i="40"/>
  <c r="N140" i="40" s="1"/>
  <c r="J142" i="42"/>
  <c r="M141" i="42"/>
  <c r="K141" i="42"/>
  <c r="M141" i="40"/>
  <c r="N141" i="40" s="1"/>
  <c r="L142" i="40"/>
  <c r="J143" i="42"/>
  <c r="M142" i="42"/>
  <c r="K142" i="42"/>
  <c r="L142" i="42" s="1"/>
  <c r="M142" i="40"/>
  <c r="N142" i="40" s="1"/>
  <c r="L143" i="40"/>
  <c r="K143" i="42"/>
  <c r="L143" i="42" s="1"/>
  <c r="M143" i="42"/>
  <c r="J144" i="42"/>
  <c r="L144" i="40"/>
  <c r="M143" i="40"/>
  <c r="N143" i="40" s="1"/>
  <c r="K144" i="42"/>
  <c r="L144" i="42"/>
  <c r="M144" i="42"/>
  <c r="J145" i="42"/>
  <c r="M144" i="40"/>
  <c r="N144" i="40" s="1"/>
  <c r="L145" i="40"/>
  <c r="M145" i="42"/>
  <c r="J146" i="42"/>
  <c r="K145" i="42"/>
  <c r="M145" i="40"/>
  <c r="N145" i="40"/>
  <c r="L146" i="40"/>
  <c r="M146" i="42"/>
  <c r="K146" i="42"/>
  <c r="L146" i="42" s="1"/>
  <c r="J147" i="42"/>
  <c r="L147" i="40"/>
  <c r="M146" i="40"/>
  <c r="N146" i="40" s="1"/>
  <c r="J148" i="42"/>
  <c r="K147" i="42"/>
  <c r="L147" i="42" s="1"/>
  <c r="M147" i="42"/>
  <c r="L148" i="40"/>
  <c r="M147" i="40"/>
  <c r="N147" i="40" s="1"/>
  <c r="K148" i="42"/>
  <c r="L148" i="42" s="1"/>
  <c r="M148" i="42"/>
  <c r="J149" i="42"/>
  <c r="M148" i="40"/>
  <c r="L149" i="40"/>
  <c r="N148" i="40"/>
  <c r="K149" i="42"/>
  <c r="M149" i="42"/>
  <c r="J150" i="42"/>
  <c r="M149" i="40"/>
  <c r="N149" i="40" s="1"/>
  <c r="L150" i="40"/>
  <c r="J151" i="42"/>
  <c r="K150" i="42"/>
  <c r="L150" i="42" s="1"/>
  <c r="M150" i="42"/>
  <c r="M150" i="40"/>
  <c r="N150" i="40" s="1"/>
  <c r="L151" i="40"/>
  <c r="M151" i="42"/>
  <c r="J152" i="42"/>
  <c r="K151" i="42"/>
  <c r="L151" i="42" s="1"/>
  <c r="M151" i="40"/>
  <c r="N151" i="40"/>
  <c r="L152" i="40"/>
  <c r="J153" i="42"/>
  <c r="K152" i="42"/>
  <c r="M152" i="42"/>
  <c r="M152" i="40"/>
  <c r="N152" i="40"/>
  <c r="L153" i="40"/>
  <c r="K153" i="42"/>
  <c r="L153" i="42" s="1"/>
  <c r="J154" i="42"/>
  <c r="M153" i="42"/>
  <c r="L154" i="40"/>
  <c r="M153" i="40"/>
  <c r="N153" i="40" s="1"/>
  <c r="M154" i="42"/>
  <c r="K154" i="42"/>
  <c r="L154" i="42" s="1"/>
  <c r="J155" i="42"/>
  <c r="M154" i="40"/>
  <c r="N154" i="40" s="1"/>
  <c r="L155" i="40"/>
  <c r="K155" i="42"/>
  <c r="L155" i="42" s="1"/>
  <c r="J156" i="42"/>
  <c r="M155" i="42"/>
  <c r="M155" i="40"/>
  <c r="N155" i="40"/>
  <c r="L156" i="40"/>
  <c r="J157" i="42"/>
  <c r="M156" i="42"/>
  <c r="K156" i="42"/>
  <c r="L156" i="42" s="1"/>
  <c r="L157" i="40"/>
  <c r="M156" i="40"/>
  <c r="N156" i="40" s="1"/>
  <c r="J158" i="42"/>
  <c r="M157" i="42"/>
  <c r="K157" i="42"/>
  <c r="M157" i="40"/>
  <c r="N157" i="40"/>
  <c r="L158" i="40"/>
  <c r="J159" i="42"/>
  <c r="K158" i="42"/>
  <c r="L158" i="42" s="1"/>
  <c r="M158" i="42"/>
  <c r="M158" i="40"/>
  <c r="N158" i="40" s="1"/>
  <c r="L159" i="40"/>
  <c r="K159" i="42"/>
  <c r="L159" i="42" s="1"/>
  <c r="M159" i="42"/>
  <c r="J160" i="42"/>
  <c r="M159" i="40"/>
  <c r="N159" i="40"/>
  <c r="L160" i="40"/>
  <c r="M160" i="42"/>
  <c r="J161" i="42"/>
  <c r="K160" i="42"/>
  <c r="L160" i="42" s="1"/>
  <c r="M160" i="40"/>
  <c r="N160" i="40"/>
  <c r="L161" i="40"/>
  <c r="M161" i="42"/>
  <c r="J162" i="42"/>
  <c r="K161" i="42"/>
  <c r="L162" i="40"/>
  <c r="M161" i="40"/>
  <c r="N161" i="40" s="1"/>
  <c r="J163" i="42"/>
  <c r="M162" i="42"/>
  <c r="K162" i="42"/>
  <c r="L162" i="42" s="1"/>
  <c r="L163" i="40"/>
  <c r="M162" i="40"/>
  <c r="N162" i="40" s="1"/>
  <c r="M163" i="42"/>
  <c r="J164" i="42"/>
  <c r="K163" i="42"/>
  <c r="L163" i="42" s="1"/>
  <c r="M163" i="40"/>
  <c r="N163" i="40" s="1"/>
  <c r="L164" i="40"/>
  <c r="J165" i="42"/>
  <c r="M164" i="42"/>
  <c r="K164" i="42"/>
  <c r="L164" i="42" s="1"/>
  <c r="M164" i="40"/>
  <c r="L165" i="40"/>
  <c r="N164" i="40"/>
  <c r="M165" i="42"/>
  <c r="J166" i="42"/>
  <c r="K165" i="42"/>
  <c r="L165" i="42" s="1"/>
  <c r="M165" i="40"/>
  <c r="L166" i="40"/>
  <c r="N165" i="40"/>
  <c r="J167" i="42"/>
  <c r="K166" i="42"/>
  <c r="L166" i="42" s="1"/>
  <c r="M166" i="42"/>
  <c r="M166" i="40"/>
  <c r="N166" i="40" s="1"/>
  <c r="L167" i="40"/>
  <c r="M167" i="42"/>
  <c r="J168" i="42"/>
  <c r="K167" i="42"/>
  <c r="L167" i="42" s="1"/>
  <c r="L168" i="40"/>
  <c r="M167" i="40"/>
  <c r="N167" i="40" s="1"/>
  <c r="M168" i="42"/>
  <c r="K168" i="42"/>
  <c r="J169" i="42"/>
  <c r="M168" i="40"/>
  <c r="N168" i="40" s="1"/>
  <c r="L169" i="40"/>
  <c r="M169" i="42"/>
  <c r="K169" i="42"/>
  <c r="L169" i="42" s="1"/>
  <c r="J170" i="42"/>
  <c r="M169" i="40"/>
  <c r="N169" i="40" s="1"/>
  <c r="L170" i="40"/>
  <c r="J171" i="42"/>
  <c r="M170" i="42"/>
  <c r="K170" i="42"/>
  <c r="L170" i="42" s="1"/>
  <c r="L171" i="40"/>
  <c r="M170" i="40"/>
  <c r="N170" i="40" s="1"/>
  <c r="K171" i="42"/>
  <c r="L171" i="42" s="1"/>
  <c r="J172" i="42"/>
  <c r="M171" i="42"/>
  <c r="M171" i="40"/>
  <c r="N171" i="40" s="1"/>
  <c r="L172" i="40"/>
  <c r="K172" i="42"/>
  <c r="L172" i="42" s="1"/>
  <c r="M172" i="42"/>
  <c r="J173" i="42"/>
  <c r="M172" i="40"/>
  <c r="N172" i="40" s="1"/>
  <c r="L173" i="40"/>
  <c r="K173" i="42"/>
  <c r="L173" i="42" s="1"/>
  <c r="J174" i="42"/>
  <c r="M173" i="42"/>
  <c r="L174" i="40"/>
  <c r="M173" i="40"/>
  <c r="N173" i="40" s="1"/>
  <c r="M174" i="42"/>
  <c r="K174" i="42"/>
  <c r="L174" i="42" s="1"/>
  <c r="J175" i="42"/>
  <c r="M174" i="40"/>
  <c r="N174" i="40" s="1"/>
  <c r="L175" i="40"/>
  <c r="M175" i="42"/>
  <c r="K175" i="42"/>
  <c r="L175" i="42" s="1"/>
  <c r="J176" i="42"/>
  <c r="L176" i="40"/>
  <c r="M175" i="40"/>
  <c r="N175" i="40" s="1"/>
  <c r="J177" i="42"/>
  <c r="K176" i="42"/>
  <c r="L176" i="42" s="1"/>
  <c r="M176" i="42"/>
  <c r="M176" i="40"/>
  <c r="N176" i="40" s="1"/>
  <c r="L177" i="40"/>
  <c r="K177" i="42"/>
  <c r="J178" i="42"/>
  <c r="M177" i="42"/>
  <c r="M177" i="40"/>
  <c r="N177" i="40" s="1"/>
  <c r="L178" i="40"/>
  <c r="J179" i="42"/>
  <c r="M178" i="42"/>
  <c r="K178" i="42"/>
  <c r="M178" i="40"/>
  <c r="N178" i="40"/>
  <c r="L179" i="40"/>
  <c r="M179" i="42"/>
  <c r="J180" i="42"/>
  <c r="K179" i="42"/>
  <c r="L179" i="42" s="1"/>
  <c r="L180" i="40"/>
  <c r="M179" i="40"/>
  <c r="N179" i="40" s="1"/>
  <c r="K180" i="42"/>
  <c r="M180" i="42"/>
  <c r="J181" i="42"/>
  <c r="L181" i="40"/>
  <c r="M180" i="40"/>
  <c r="N180" i="40" s="1"/>
  <c r="K181" i="42"/>
  <c r="J182" i="42"/>
  <c r="M181" i="42"/>
  <c r="M181" i="40"/>
  <c r="N181" i="40"/>
  <c r="L182" i="40"/>
  <c r="M182" i="42"/>
  <c r="K182" i="42"/>
  <c r="L182" i="42" s="1"/>
  <c r="J183" i="42"/>
  <c r="M182" i="40"/>
  <c r="L183" i="40"/>
  <c r="N182" i="40"/>
  <c r="M183" i="42"/>
  <c r="J184" i="42"/>
  <c r="K183" i="42"/>
  <c r="L183" i="42" s="1"/>
  <c r="L184" i="40"/>
  <c r="M183" i="40"/>
  <c r="N183" i="40" s="1"/>
  <c r="M184" i="42"/>
  <c r="K184" i="42"/>
  <c r="J185" i="42"/>
  <c r="L185" i="40"/>
  <c r="M184" i="40"/>
  <c r="N184" i="40" s="1"/>
  <c r="K185" i="42"/>
  <c r="L185" i="42" s="1"/>
  <c r="M185" i="42"/>
  <c r="J186" i="42"/>
  <c r="M185" i="40"/>
  <c r="N185" i="40" s="1"/>
  <c r="L186" i="40"/>
  <c r="J187" i="42"/>
  <c r="K186" i="42"/>
  <c r="L186" i="42" s="1"/>
  <c r="M186" i="42"/>
  <c r="L187" i="40"/>
  <c r="M186" i="40"/>
  <c r="N186" i="40" s="1"/>
  <c r="K187" i="42"/>
  <c r="L187" i="42" s="1"/>
  <c r="J188" i="42"/>
  <c r="M187" i="42"/>
  <c r="M187" i="40"/>
  <c r="N187" i="40"/>
  <c r="L188" i="40"/>
  <c r="J189" i="42"/>
  <c r="K188" i="42"/>
  <c r="L188" i="42" s="1"/>
  <c r="M188" i="42"/>
  <c r="L189" i="40"/>
  <c r="M188" i="40"/>
  <c r="N188" i="40" s="1"/>
  <c r="J190" i="42"/>
  <c r="K189" i="42"/>
  <c r="M189" i="42"/>
  <c r="M189" i="40"/>
  <c r="N189" i="40" s="1"/>
  <c r="L190" i="40"/>
  <c r="M190" i="42"/>
  <c r="K190" i="42"/>
  <c r="L190" i="42" s="1"/>
  <c r="J191" i="42"/>
  <c r="M190" i="40"/>
  <c r="L191" i="40"/>
  <c r="N190" i="40"/>
  <c r="K191" i="42"/>
  <c r="L191" i="42" s="1"/>
  <c r="M191" i="42"/>
  <c r="J192" i="42"/>
  <c r="L192" i="40"/>
  <c r="M191" i="40"/>
  <c r="N191" i="40" s="1"/>
  <c r="M192" i="42"/>
  <c r="J193" i="42"/>
  <c r="K192" i="42"/>
  <c r="L192" i="42" s="1"/>
  <c r="M192" i="40"/>
  <c r="N192" i="40" s="1"/>
  <c r="L193" i="40"/>
  <c r="K193" i="42"/>
  <c r="L193" i="42" s="1"/>
  <c r="M193" i="42"/>
  <c r="J194" i="42"/>
  <c r="L194" i="40"/>
  <c r="M193" i="40"/>
  <c r="N193" i="40"/>
  <c r="M194" i="42"/>
  <c r="J195" i="42"/>
  <c r="K194" i="42"/>
  <c r="L194" i="42" s="1"/>
  <c r="L195" i="40"/>
  <c r="M194" i="40"/>
  <c r="N194" i="40" s="1"/>
  <c r="J196" i="42"/>
  <c r="M195" i="42"/>
  <c r="K195" i="42"/>
  <c r="L195" i="42" s="1"/>
  <c r="M195" i="40"/>
  <c r="N195" i="40" s="1"/>
  <c r="L196" i="40"/>
  <c r="M196" i="42"/>
  <c r="J197" i="42"/>
  <c r="K196" i="42"/>
  <c r="L196" i="42" s="1"/>
  <c r="L197" i="40"/>
  <c r="M196" i="40"/>
  <c r="N196" i="40"/>
  <c r="J198" i="42"/>
  <c r="M197" i="42"/>
  <c r="K197" i="42"/>
  <c r="M197" i="40"/>
  <c r="N197" i="40"/>
  <c r="L198" i="40"/>
  <c r="J199" i="42"/>
  <c r="K198" i="42"/>
  <c r="L198" i="42" s="1"/>
  <c r="M198" i="42"/>
  <c r="L199" i="40"/>
  <c r="M198" i="40"/>
  <c r="N198" i="40" s="1"/>
  <c r="K199" i="42"/>
  <c r="L199" i="42" s="1"/>
  <c r="M199" i="42"/>
  <c r="J200" i="42"/>
  <c r="L200" i="40"/>
  <c r="M199" i="40"/>
  <c r="N199" i="40" s="1"/>
  <c r="J201" i="42"/>
  <c r="M200" i="42"/>
  <c r="K200" i="42"/>
  <c r="L200" i="42" s="1"/>
  <c r="M200" i="40"/>
  <c r="L201" i="40"/>
  <c r="N200" i="40"/>
  <c r="K201" i="42"/>
  <c r="J202" i="42"/>
  <c r="M201" i="42"/>
  <c r="M201" i="40"/>
  <c r="N201" i="40" s="1"/>
  <c r="L202" i="40"/>
  <c r="K202" i="42"/>
  <c r="L202" i="42" s="1"/>
  <c r="M202" i="42"/>
  <c r="J203" i="42"/>
  <c r="L203" i="40"/>
  <c r="M202" i="40"/>
  <c r="N202" i="40"/>
  <c r="K203" i="42"/>
  <c r="L203" i="42" s="1"/>
  <c r="M203" i="42"/>
  <c r="J204" i="42"/>
  <c r="M203" i="40"/>
  <c r="N203" i="40" s="1"/>
  <c r="L204" i="40"/>
  <c r="K204" i="42"/>
  <c r="L204" i="42" s="1"/>
  <c r="M204" i="42"/>
  <c r="J205" i="42"/>
  <c r="L205" i="40"/>
  <c r="M204" i="40"/>
  <c r="N204" i="40"/>
  <c r="J206" i="42"/>
  <c r="M205" i="42"/>
  <c r="K205" i="42"/>
  <c r="L206" i="40"/>
  <c r="M205" i="40"/>
  <c r="N205" i="40"/>
  <c r="M206" i="42"/>
  <c r="J207" i="42"/>
  <c r="K206" i="42"/>
  <c r="L206" i="42" s="1"/>
  <c r="M206" i="40"/>
  <c r="N206" i="40" s="1"/>
  <c r="L207" i="40"/>
  <c r="J208" i="42"/>
  <c r="K207" i="42"/>
  <c r="L207" i="42" s="1"/>
  <c r="M207" i="42"/>
  <c r="M207" i="40"/>
  <c r="N207" i="40" s="1"/>
  <c r="L208" i="40"/>
  <c r="K208" i="42"/>
  <c r="L208" i="42" s="1"/>
  <c r="M208" i="42"/>
  <c r="J209" i="42"/>
  <c r="L209" i="40"/>
  <c r="M208" i="40"/>
  <c r="N208" i="40"/>
  <c r="M209" i="42"/>
  <c r="J210" i="42"/>
  <c r="K209" i="42"/>
  <c r="L209" i="42" s="1"/>
  <c r="L210" i="40"/>
  <c r="M209" i="40"/>
  <c r="N209" i="40" s="1"/>
  <c r="K210" i="42"/>
  <c r="L210" i="42" s="1"/>
  <c r="M210" i="42"/>
  <c r="J211" i="42"/>
  <c r="L211" i="40"/>
  <c r="M210" i="40"/>
  <c r="N210" i="40" s="1"/>
  <c r="K211" i="42"/>
  <c r="L211" i="42" s="1"/>
  <c r="J212" i="42"/>
  <c r="M211" i="42"/>
  <c r="M211" i="40"/>
  <c r="N211" i="40"/>
  <c r="L212" i="40"/>
  <c r="M212" i="42"/>
  <c r="J213" i="42"/>
  <c r="K212" i="42"/>
  <c r="L212" i="42" s="1"/>
  <c r="M212" i="40"/>
  <c r="L213" i="40"/>
  <c r="N212" i="40"/>
  <c r="K213" i="42"/>
  <c r="J214" i="42"/>
  <c r="M213" i="42"/>
  <c r="L214" i="40"/>
  <c r="M213" i="40"/>
  <c r="N213" i="40" s="1"/>
  <c r="K214" i="42"/>
  <c r="L214" i="42" s="1"/>
  <c r="M214" i="42"/>
  <c r="J215" i="42"/>
  <c r="M214" i="40"/>
  <c r="N214" i="40" s="1"/>
  <c r="L215" i="40"/>
  <c r="K215" i="42"/>
  <c r="L215" i="42" s="1"/>
  <c r="M215" i="42"/>
  <c r="J216" i="42"/>
  <c r="L216" i="40"/>
  <c r="M215" i="40"/>
  <c r="N215" i="40" s="1"/>
  <c r="M216" i="42"/>
  <c r="K216" i="42"/>
  <c r="J217" i="42"/>
  <c r="M216" i="40"/>
  <c r="L217" i="40"/>
  <c r="N216" i="40"/>
  <c r="J218" i="42"/>
  <c r="K217" i="42"/>
  <c r="M217" i="42"/>
  <c r="L218" i="40"/>
  <c r="M217" i="40"/>
  <c r="N217" i="40" s="1"/>
  <c r="K218" i="42"/>
  <c r="L218" i="42" s="1"/>
  <c r="J219" i="42"/>
  <c r="M218" i="42"/>
  <c r="L219" i="40"/>
  <c r="M218" i="40"/>
  <c r="N218" i="40" s="1"/>
  <c r="J220" i="42"/>
  <c r="K219" i="42"/>
  <c r="L219" i="42" s="1"/>
  <c r="M219" i="42"/>
  <c r="M219" i="40"/>
  <c r="N219" i="40" s="1"/>
  <c r="L220" i="40"/>
  <c r="M220" i="42"/>
  <c r="J221" i="42"/>
  <c r="K220" i="42"/>
  <c r="L220" i="42" s="1"/>
  <c r="M220" i="40"/>
  <c r="L221" i="40"/>
  <c r="N220" i="40"/>
  <c r="M221" i="42"/>
  <c r="J222" i="42"/>
  <c r="K221" i="42"/>
  <c r="M221" i="40"/>
  <c r="N221" i="40"/>
  <c r="L222" i="40"/>
  <c r="K222" i="42"/>
  <c r="L222" i="42" s="1"/>
  <c r="M222" i="42"/>
  <c r="J223" i="42"/>
  <c r="L223" i="40"/>
  <c r="M222" i="40"/>
  <c r="N222" i="40" s="1"/>
  <c r="K223" i="42"/>
  <c r="L223" i="42" s="1"/>
  <c r="J224" i="42"/>
  <c r="M223" i="42"/>
  <c r="M223" i="40"/>
  <c r="N223" i="40" s="1"/>
  <c r="L224" i="40"/>
  <c r="K224" i="42"/>
  <c r="J225" i="42"/>
  <c r="M224" i="42"/>
  <c r="L225" i="40"/>
  <c r="M224" i="40"/>
  <c r="N224" i="40"/>
  <c r="K225" i="42"/>
  <c r="L225" i="42" s="1"/>
  <c r="J226" i="42"/>
  <c r="M225" i="42"/>
  <c r="M225" i="40"/>
  <c r="N225" i="40"/>
  <c r="L226" i="40"/>
  <c r="J227" i="42"/>
  <c r="K226" i="42"/>
  <c r="L226" i="42" s="1"/>
  <c r="M226" i="42"/>
  <c r="M226" i="40"/>
  <c r="N226" i="40" s="1"/>
  <c r="L227" i="40"/>
  <c r="K227" i="42"/>
  <c r="L227" i="42" s="1"/>
  <c r="J228" i="42"/>
  <c r="M227" i="42"/>
  <c r="M227" i="40"/>
  <c r="N227" i="40" s="1"/>
  <c r="L228" i="40"/>
  <c r="J229" i="42"/>
  <c r="M228" i="42"/>
  <c r="K228" i="42"/>
  <c r="L228" i="42" s="1"/>
  <c r="M228" i="40"/>
  <c r="L229" i="40"/>
  <c r="N228" i="40"/>
  <c r="M229" i="42"/>
  <c r="J230" i="42"/>
  <c r="K229" i="42"/>
  <c r="M229" i="40"/>
  <c r="N229" i="40" s="1"/>
  <c r="L230" i="40"/>
  <c r="M230" i="42"/>
  <c r="J231" i="42"/>
  <c r="K230" i="42"/>
  <c r="L230" i="42" s="1"/>
  <c r="L231" i="40"/>
  <c r="M230" i="40"/>
  <c r="N230" i="40" s="1"/>
  <c r="K231" i="42"/>
  <c r="L231" i="42" s="1"/>
  <c r="J232" i="42"/>
  <c r="M231" i="42"/>
  <c r="M231" i="40"/>
  <c r="N231" i="40"/>
  <c r="L232" i="40"/>
  <c r="J233" i="42"/>
  <c r="K232" i="42"/>
  <c r="M232" i="42"/>
  <c r="L233" i="40"/>
  <c r="M232" i="40"/>
  <c r="N232" i="40"/>
  <c r="K233" i="42"/>
  <c r="L233" i="42" s="1"/>
  <c r="M233" i="42"/>
  <c r="J234" i="42"/>
  <c r="M233" i="40"/>
  <c r="N233" i="40" s="1"/>
  <c r="L234" i="40"/>
  <c r="K234" i="42"/>
  <c r="L234" i="42" s="1"/>
  <c r="M234" i="42"/>
  <c r="J235" i="42"/>
  <c r="L235" i="40"/>
  <c r="M234" i="40"/>
  <c r="N234" i="40"/>
  <c r="K235" i="42"/>
  <c r="L235" i="42" s="1"/>
  <c r="J236" i="42"/>
  <c r="M235" i="42"/>
  <c r="L236" i="40"/>
  <c r="M235" i="40"/>
  <c r="N235" i="40" s="1"/>
  <c r="J237" i="42"/>
  <c r="M236" i="42"/>
  <c r="K236" i="42"/>
  <c r="L236" i="42" s="1"/>
  <c r="M236" i="40"/>
  <c r="L237" i="40"/>
  <c r="N236" i="40"/>
  <c r="M237" i="42"/>
  <c r="J238" i="42"/>
  <c r="K237" i="42"/>
  <c r="L237" i="42" s="1"/>
  <c r="L238" i="40"/>
  <c r="M237" i="40"/>
  <c r="N237" i="40"/>
  <c r="K238" i="42"/>
  <c r="L238" i="42" s="1"/>
  <c r="J239" i="42"/>
  <c r="M238" i="42"/>
  <c r="M238" i="40"/>
  <c r="N238" i="40" s="1"/>
  <c r="L239" i="40"/>
  <c r="K239" i="42"/>
  <c r="J240" i="42"/>
  <c r="M239" i="42"/>
  <c r="L240" i="40"/>
  <c r="M239" i="40"/>
  <c r="N239" i="40" s="1"/>
  <c r="M240" i="42"/>
  <c r="K240" i="42"/>
  <c r="L240" i="42" s="1"/>
  <c r="J241" i="42"/>
  <c r="L241" i="40"/>
  <c r="M240" i="40"/>
  <c r="N240" i="40" s="1"/>
  <c r="J242" i="42"/>
  <c r="K241" i="42"/>
  <c r="M241" i="42"/>
  <c r="M241" i="40"/>
  <c r="L242" i="40"/>
  <c r="N241" i="40"/>
  <c r="K242" i="42"/>
  <c r="L242" i="42" s="1"/>
  <c r="M242" i="42"/>
  <c r="J243" i="42"/>
  <c r="M242" i="40"/>
  <c r="N242" i="40" s="1"/>
  <c r="L243" i="40"/>
  <c r="K243" i="42"/>
  <c r="L243" i="42" s="1"/>
  <c r="M243" i="42"/>
  <c r="J244" i="42"/>
  <c r="L244" i="40"/>
  <c r="M243" i="40"/>
  <c r="N243" i="40" s="1"/>
  <c r="J245" i="42"/>
  <c r="K244" i="42"/>
  <c r="L244" i="42" s="1"/>
  <c r="M244" i="42"/>
  <c r="L245" i="40"/>
  <c r="M244" i="40"/>
  <c r="N244" i="40" s="1"/>
  <c r="M245" i="42"/>
  <c r="K245" i="42"/>
  <c r="L245" i="42" s="1"/>
  <c r="J246" i="42"/>
  <c r="M245" i="40"/>
  <c r="N245" i="40" s="1"/>
  <c r="L246" i="40"/>
  <c r="J247" i="42"/>
  <c r="M246" i="42"/>
  <c r="K246" i="42"/>
  <c r="L246" i="42" s="1"/>
  <c r="L247" i="40"/>
  <c r="M246" i="40"/>
  <c r="N246" i="40"/>
  <c r="M247" i="42"/>
  <c r="K247" i="42"/>
  <c r="L247" i="42" s="1"/>
  <c r="J248" i="42"/>
  <c r="M247" i="40"/>
  <c r="N247" i="40" s="1"/>
  <c r="L248" i="40"/>
  <c r="M248" i="42"/>
  <c r="J249" i="42"/>
  <c r="K248" i="42"/>
  <c r="L249" i="40"/>
  <c r="M248" i="40"/>
  <c r="N248" i="40" s="1"/>
  <c r="K249" i="42"/>
  <c r="M249" i="42"/>
  <c r="J250" i="42"/>
  <c r="L250" i="40"/>
  <c r="M249" i="40"/>
  <c r="N249" i="40" s="1"/>
  <c r="K250" i="42"/>
  <c r="L250" i="42" s="1"/>
  <c r="M250" i="42"/>
  <c r="J251" i="42"/>
  <c r="L251" i="40"/>
  <c r="M250" i="40"/>
  <c r="N250" i="40"/>
  <c r="M251" i="42"/>
  <c r="J252" i="42"/>
  <c r="K251" i="42"/>
  <c r="L251" i="42" s="1"/>
  <c r="L252" i="40"/>
  <c r="M251" i="40"/>
  <c r="N251" i="40" s="1"/>
  <c r="K252" i="42"/>
  <c r="M252" i="42"/>
  <c r="J253" i="42"/>
  <c r="L253" i="40"/>
  <c r="M252" i="40"/>
  <c r="N252" i="40" s="1"/>
  <c r="J254" i="42"/>
  <c r="K253" i="42"/>
  <c r="M253" i="42"/>
  <c r="L254" i="40"/>
  <c r="M253" i="40"/>
  <c r="N253" i="40" s="1"/>
  <c r="J255" i="42"/>
  <c r="M254" i="42"/>
  <c r="K254" i="42"/>
  <c r="L254" i="42" s="1"/>
  <c r="M254" i="40"/>
  <c r="N254" i="40" s="1"/>
  <c r="L255" i="40"/>
  <c r="K255" i="42"/>
  <c r="L255" i="42" s="1"/>
  <c r="M255" i="42"/>
  <c r="J256" i="42"/>
  <c r="L256" i="40"/>
  <c r="M255" i="40"/>
  <c r="N255" i="40" s="1"/>
  <c r="K256" i="42"/>
  <c r="M256" i="42"/>
  <c r="J257" i="42"/>
  <c r="M256" i="40"/>
  <c r="N256" i="40"/>
  <c r="L257" i="40"/>
  <c r="M257" i="42"/>
  <c r="J258" i="42"/>
  <c r="K257" i="42"/>
  <c r="L257" i="42" s="1"/>
  <c r="L258" i="40"/>
  <c r="M257" i="40"/>
  <c r="N257" i="40"/>
  <c r="J259" i="42"/>
  <c r="K258" i="42"/>
  <c r="L258" i="42" s="1"/>
  <c r="M258" i="42"/>
  <c r="L259" i="40"/>
  <c r="M258" i="40"/>
  <c r="N258" i="40" s="1"/>
  <c r="K259" i="42"/>
  <c r="L259" i="42" s="1"/>
  <c r="J260" i="42"/>
  <c r="M259" i="42"/>
  <c r="M259" i="40"/>
  <c r="N259" i="40"/>
  <c r="L260" i="40"/>
  <c r="K260" i="42"/>
  <c r="L260" i="42" s="1"/>
  <c r="M260" i="42"/>
  <c r="J261" i="42"/>
  <c r="M260" i="40"/>
  <c r="N260" i="40"/>
  <c r="L261" i="40"/>
  <c r="K261" i="42"/>
  <c r="L261" i="42" s="1"/>
  <c r="J262" i="42"/>
  <c r="M261" i="42"/>
  <c r="L262" i="40"/>
  <c r="M261" i="40"/>
  <c r="N261" i="40" s="1"/>
  <c r="K262" i="42"/>
  <c r="L262" i="42" s="1"/>
  <c r="M262" i="42"/>
  <c r="J263" i="42"/>
  <c r="M262" i="40"/>
  <c r="N262" i="40" s="1"/>
  <c r="L263" i="40"/>
  <c r="J264" i="42"/>
  <c r="M263" i="42"/>
  <c r="K263" i="42"/>
  <c r="L263" i="42" s="1"/>
  <c r="M263" i="40"/>
  <c r="N263" i="40" s="1"/>
  <c r="L264" i="40"/>
  <c r="J265" i="42"/>
  <c r="M264" i="42"/>
  <c r="K264" i="42"/>
  <c r="M264" i="40"/>
  <c r="N264" i="40" s="1"/>
  <c r="L265" i="40"/>
  <c r="M265" i="42"/>
  <c r="J266" i="42"/>
  <c r="K265" i="42"/>
  <c r="L265" i="42" s="1"/>
  <c r="L266" i="40"/>
  <c r="M265" i="40"/>
  <c r="N265" i="40" s="1"/>
  <c r="J267" i="42"/>
  <c r="M266" i="42"/>
  <c r="K266" i="42"/>
  <c r="L266" i="42" s="1"/>
  <c r="M266" i="40"/>
  <c r="N266" i="40" s="1"/>
  <c r="L267" i="40"/>
  <c r="K267" i="42"/>
  <c r="L267" i="42" s="1"/>
  <c r="M267" i="42"/>
  <c r="J268" i="42"/>
  <c r="M267" i="40"/>
  <c r="N267" i="40" s="1"/>
  <c r="L268" i="40"/>
  <c r="J269" i="42"/>
  <c r="K268" i="42"/>
  <c r="M268" i="42"/>
  <c r="L269" i="40"/>
  <c r="M268" i="40"/>
  <c r="N268" i="40" s="1"/>
  <c r="J270" i="42"/>
  <c r="K269" i="42"/>
  <c r="L269" i="42" s="1"/>
  <c r="M269" i="42"/>
  <c r="L270" i="40"/>
  <c r="M269" i="40"/>
  <c r="N269" i="40" s="1"/>
  <c r="K270" i="42"/>
  <c r="M270" i="42"/>
  <c r="J271" i="42"/>
  <c r="L271" i="40"/>
  <c r="M270" i="40"/>
  <c r="N270" i="40" s="1"/>
  <c r="M271" i="42"/>
  <c r="J272" i="42"/>
  <c r="K271" i="42"/>
  <c r="L272" i="40"/>
  <c r="M271" i="40"/>
  <c r="N271" i="40" s="1"/>
  <c r="J273" i="42"/>
  <c r="M272" i="42"/>
  <c r="K272" i="42"/>
  <c r="M272" i="40"/>
  <c r="N272" i="40" s="1"/>
  <c r="L273" i="40"/>
  <c r="K273" i="42"/>
  <c r="J274" i="42"/>
  <c r="M273" i="42"/>
  <c r="M273" i="40"/>
  <c r="N273" i="40"/>
  <c r="L274" i="40"/>
  <c r="M274" i="42"/>
  <c r="J275" i="42"/>
  <c r="K274" i="42"/>
  <c r="L274" i="42" s="1"/>
  <c r="M274" i="40"/>
  <c r="N274" i="40" s="1"/>
  <c r="L275" i="40"/>
  <c r="J276" i="42"/>
  <c r="K275" i="42"/>
  <c r="L275" i="42" s="1"/>
  <c r="M275" i="42"/>
  <c r="M275" i="40"/>
  <c r="N275" i="40"/>
  <c r="L276" i="40"/>
  <c r="J277" i="42"/>
  <c r="M276" i="42"/>
  <c r="K276" i="42"/>
  <c r="L276" i="42" s="1"/>
  <c r="M276" i="40"/>
  <c r="N276" i="40" s="1"/>
  <c r="L277" i="40"/>
  <c r="K277" i="42"/>
  <c r="L277" i="42" s="1"/>
  <c r="M277" i="42"/>
  <c r="J278" i="42"/>
  <c r="M277" i="40"/>
  <c r="N277" i="40" s="1"/>
  <c r="L278" i="40"/>
  <c r="K278" i="42"/>
  <c r="L278" i="42" s="1"/>
  <c r="M278" i="42"/>
  <c r="J279" i="42"/>
  <c r="L279" i="40"/>
  <c r="M278" i="40"/>
  <c r="N278" i="40" s="1"/>
  <c r="M279" i="42"/>
  <c r="K279" i="42"/>
  <c r="L279" i="42" s="1"/>
  <c r="J280" i="42"/>
  <c r="M279" i="40"/>
  <c r="N279" i="40" s="1"/>
  <c r="L280" i="40"/>
  <c r="J281" i="42"/>
  <c r="M280" i="42"/>
  <c r="K280" i="42"/>
  <c r="L281" i="40"/>
  <c r="M280" i="40"/>
  <c r="N280" i="40" s="1"/>
  <c r="J282" i="42"/>
  <c r="M281" i="42"/>
  <c r="K281" i="42"/>
  <c r="L282" i="40"/>
  <c r="M281" i="40"/>
  <c r="N281" i="40" s="1"/>
  <c r="J283" i="42"/>
  <c r="K282" i="42"/>
  <c r="L282" i="42" s="1"/>
  <c r="M282" i="42"/>
  <c r="L283" i="40"/>
  <c r="M282" i="40"/>
  <c r="N282" i="40" s="1"/>
  <c r="J284" i="42"/>
  <c r="K283" i="42"/>
  <c r="L283" i="42" s="1"/>
  <c r="M283" i="42"/>
  <c r="L284" i="40"/>
  <c r="M283" i="40"/>
  <c r="N283" i="40" s="1"/>
  <c r="K284" i="42"/>
  <c r="M284" i="42"/>
  <c r="J285" i="42"/>
  <c r="L285" i="40"/>
  <c r="M284" i="40"/>
  <c r="N284" i="40" s="1"/>
  <c r="M285" i="42"/>
  <c r="K285" i="42"/>
  <c r="L285" i="42" s="1"/>
  <c r="J286" i="42"/>
  <c r="M285" i="40"/>
  <c r="L286" i="40"/>
  <c r="N285" i="40"/>
  <c r="M286" i="42"/>
  <c r="J287" i="42"/>
  <c r="K286" i="42"/>
  <c r="L286" i="42" s="1"/>
  <c r="L287" i="40"/>
  <c r="M286" i="40"/>
  <c r="N286" i="40" s="1"/>
  <c r="J288" i="42"/>
  <c r="K287" i="42"/>
  <c r="L287" i="42" s="1"/>
  <c r="M287" i="42"/>
  <c r="M287" i="40"/>
  <c r="N287" i="40" s="1"/>
  <c r="L288" i="40"/>
  <c r="J289" i="42"/>
  <c r="K288" i="42"/>
  <c r="M288" i="42"/>
  <c r="L289" i="40"/>
  <c r="M288" i="40"/>
  <c r="N288" i="40"/>
  <c r="J290" i="42"/>
  <c r="M289" i="42"/>
  <c r="K289" i="42"/>
  <c r="L290" i="40"/>
  <c r="M289" i="40"/>
  <c r="N289" i="40" s="1"/>
  <c r="J291" i="42"/>
  <c r="K290" i="42"/>
  <c r="L290" i="42" s="1"/>
  <c r="M290" i="42"/>
  <c r="L291" i="40"/>
  <c r="M290" i="40"/>
  <c r="N290" i="40" s="1"/>
  <c r="K291" i="42"/>
  <c r="L291" i="42" s="1"/>
  <c r="M291" i="42"/>
  <c r="J292" i="42"/>
  <c r="L292" i="40"/>
  <c r="M291" i="40"/>
  <c r="N291" i="40" s="1"/>
  <c r="K292" i="42"/>
  <c r="L292" i="42" s="1"/>
  <c r="M292" i="42"/>
  <c r="J293" i="42"/>
  <c r="M292" i="40"/>
  <c r="L293" i="40"/>
  <c r="N292" i="40"/>
  <c r="K293" i="42"/>
  <c r="L293" i="42" s="1"/>
  <c r="J294" i="42"/>
  <c r="M293" i="42"/>
  <c r="M293" i="40"/>
  <c r="N293" i="40"/>
  <c r="L294" i="40"/>
  <c r="K294" i="42"/>
  <c r="L294" i="42" s="1"/>
  <c r="J295" i="42"/>
  <c r="M294" i="42"/>
  <c r="L295" i="40"/>
  <c r="M294" i="40"/>
  <c r="N294" i="40" s="1"/>
  <c r="M295" i="42"/>
  <c r="J296" i="42"/>
  <c r="K295" i="42"/>
  <c r="L295" i="42" s="1"/>
  <c r="L296" i="40"/>
  <c r="M295" i="40"/>
  <c r="N295" i="40" s="1"/>
  <c r="J297" i="42"/>
  <c r="M296" i="42"/>
  <c r="K296" i="42"/>
  <c r="M296" i="40"/>
  <c r="L297" i="40"/>
  <c r="N296" i="40"/>
  <c r="M297" i="42"/>
  <c r="J298" i="42"/>
  <c r="K297" i="42"/>
  <c r="L297" i="42" s="1"/>
  <c r="M297" i="40"/>
  <c r="N297" i="40" s="1"/>
  <c r="L298" i="40"/>
  <c r="M298" i="42"/>
  <c r="J299" i="42"/>
  <c r="K298" i="42"/>
  <c r="L298" i="42" s="1"/>
  <c r="M298" i="40"/>
  <c r="N298" i="40"/>
  <c r="L299" i="40"/>
  <c r="M299" i="42"/>
  <c r="J300" i="42"/>
  <c r="K299" i="42"/>
  <c r="L299" i="42" s="1"/>
  <c r="L300" i="40"/>
  <c r="M299" i="40"/>
  <c r="N299" i="40" s="1"/>
  <c r="J301" i="42"/>
  <c r="K300" i="42"/>
  <c r="L300" i="42" s="1"/>
  <c r="M300" i="42"/>
  <c r="L301" i="40"/>
  <c r="M300" i="40"/>
  <c r="N300" i="40"/>
  <c r="J302" i="42"/>
  <c r="K301" i="42"/>
  <c r="L301" i="42" s="1"/>
  <c r="M301" i="42"/>
  <c r="M301" i="40"/>
  <c r="N301" i="40" s="1"/>
  <c r="L302" i="40"/>
  <c r="K302" i="42"/>
  <c r="L302" i="42" s="1"/>
  <c r="M302" i="42"/>
  <c r="J303" i="42"/>
  <c r="L303" i="40"/>
  <c r="M302" i="40"/>
  <c r="N302" i="40" s="1"/>
  <c r="K303" i="42"/>
  <c r="L303" i="42" s="1"/>
  <c r="M303" i="42"/>
  <c r="J304" i="42"/>
  <c r="M303" i="40"/>
  <c r="N303" i="40" s="1"/>
  <c r="L304" i="40"/>
  <c r="K304" i="42"/>
  <c r="L304" i="42" s="1"/>
  <c r="J305" i="42"/>
  <c r="M304" i="42"/>
  <c r="M304" i="40"/>
  <c r="L305" i="40"/>
  <c r="N304" i="40"/>
  <c r="K305" i="42"/>
  <c r="M305" i="42"/>
  <c r="J306" i="42"/>
  <c r="M305" i="40"/>
  <c r="N305" i="40" s="1"/>
  <c r="L306" i="40"/>
  <c r="M306" i="42"/>
  <c r="J307" i="42"/>
  <c r="K306" i="42"/>
  <c r="L306" i="42" s="1"/>
  <c r="M306" i="40"/>
  <c r="N306" i="40" s="1"/>
  <c r="L307" i="40"/>
  <c r="M307" i="42"/>
  <c r="K307" i="42"/>
  <c r="L307" i="42" s="1"/>
  <c r="J308" i="42"/>
  <c r="L308" i="40"/>
  <c r="M307" i="40"/>
  <c r="N307" i="40" s="1"/>
  <c r="J309" i="42"/>
  <c r="M308" i="42"/>
  <c r="K308" i="42"/>
  <c r="L308" i="42" s="1"/>
  <c r="M308" i="40"/>
  <c r="L309" i="40"/>
  <c r="N308" i="40"/>
  <c r="J310" i="42"/>
  <c r="M309" i="42"/>
  <c r="K309" i="42"/>
  <c r="L309" i="42" s="1"/>
  <c r="L310" i="40"/>
  <c r="M309" i="40"/>
  <c r="N309" i="40" s="1"/>
  <c r="J311" i="42"/>
  <c r="K310" i="42"/>
  <c r="L310" i="42" s="1"/>
  <c r="M310" i="42"/>
  <c r="M310" i="40"/>
  <c r="N310" i="40"/>
  <c r="L311" i="40"/>
  <c r="M311" i="42"/>
  <c r="K311" i="42"/>
  <c r="L311" i="42" s="1"/>
  <c r="J312" i="42"/>
  <c r="L312" i="40"/>
  <c r="M311" i="40"/>
  <c r="N311" i="40" s="1"/>
  <c r="J313" i="42"/>
  <c r="M312" i="42"/>
  <c r="K312" i="42"/>
  <c r="L313" i="40"/>
  <c r="M312" i="40"/>
  <c r="N312" i="40"/>
  <c r="J314" i="42"/>
  <c r="K313" i="42"/>
  <c r="L313" i="42" s="1"/>
  <c r="M313" i="42"/>
  <c r="M313" i="40"/>
  <c r="N313" i="40"/>
  <c r="L314" i="40"/>
  <c r="M314" i="42"/>
  <c r="J315" i="42"/>
  <c r="K314" i="42"/>
  <c r="L314" i="42" s="1"/>
  <c r="L315" i="40"/>
  <c r="M314" i="40"/>
  <c r="N314" i="40" s="1"/>
  <c r="K315" i="42"/>
  <c r="L315" i="42" s="1"/>
  <c r="M315" i="42"/>
  <c r="J316" i="42"/>
  <c r="M315" i="40"/>
  <c r="N315" i="40" s="1"/>
  <c r="L316" i="40"/>
  <c r="J317" i="42"/>
  <c r="M316" i="42"/>
  <c r="K316" i="42"/>
  <c r="M316" i="40"/>
  <c r="L317" i="40"/>
  <c r="N316" i="40"/>
  <c r="M317" i="42"/>
  <c r="K317" i="42"/>
  <c r="J318" i="42"/>
  <c r="L318" i="40"/>
  <c r="M317" i="40"/>
  <c r="N317" i="40"/>
  <c r="K318" i="42"/>
  <c r="J319" i="42"/>
  <c r="M318" i="42"/>
  <c r="M318" i="40"/>
  <c r="N318" i="40" s="1"/>
  <c r="L319" i="40"/>
  <c r="M319" i="42"/>
  <c r="K319" i="42"/>
  <c r="J320" i="42"/>
  <c r="M319" i="40"/>
  <c r="N319" i="40" s="1"/>
  <c r="L320" i="40"/>
  <c r="K320" i="42"/>
  <c r="M320" i="42"/>
  <c r="J321" i="42"/>
  <c r="L321" i="40"/>
  <c r="M320" i="40"/>
  <c r="N320" i="40"/>
  <c r="K321" i="42"/>
  <c r="M321" i="42"/>
  <c r="J322" i="42"/>
  <c r="M321" i="40"/>
  <c r="N321" i="40" s="1"/>
  <c r="L322" i="40"/>
  <c r="J323" i="42"/>
  <c r="K322" i="42"/>
  <c r="L322" i="42" s="1"/>
  <c r="M322" i="42"/>
  <c r="L323" i="40"/>
  <c r="M322" i="40"/>
  <c r="N322" i="40" s="1"/>
  <c r="J324" i="42"/>
  <c r="K323" i="42"/>
  <c r="L323" i="42" s="1"/>
  <c r="M323" i="42"/>
  <c r="M323" i="40"/>
  <c r="N323" i="40" s="1"/>
  <c r="L324" i="40"/>
  <c r="K324" i="42"/>
  <c r="M324" i="42"/>
  <c r="J325" i="42"/>
  <c r="L325" i="40"/>
  <c r="M324" i="40"/>
  <c r="N324" i="40"/>
  <c r="K325" i="42"/>
  <c r="L325" i="42" s="1"/>
  <c r="M325" i="42"/>
  <c r="J326" i="42"/>
  <c r="M325" i="40"/>
  <c r="N325" i="40" s="1"/>
  <c r="L326" i="40"/>
  <c r="J327" i="42"/>
  <c r="K326" i="42"/>
  <c r="M326" i="42"/>
  <c r="L327" i="40"/>
  <c r="M326" i="40"/>
  <c r="N326" i="40"/>
  <c r="K327" i="42"/>
  <c r="L327" i="42" s="1"/>
  <c r="M327" i="42"/>
  <c r="J328" i="42"/>
  <c r="L328" i="40"/>
  <c r="M327" i="40"/>
  <c r="N327" i="40" s="1"/>
  <c r="J329" i="42"/>
  <c r="K328" i="42"/>
  <c r="L328" i="42" s="1"/>
  <c r="M328" i="42"/>
  <c r="L329" i="40"/>
  <c r="M328" i="40"/>
  <c r="N328" i="40" s="1"/>
  <c r="M329" i="42"/>
  <c r="J330" i="42"/>
  <c r="K329" i="42"/>
  <c r="M329" i="40"/>
  <c r="N329" i="40"/>
  <c r="L330" i="40"/>
  <c r="M330" i="42"/>
  <c r="J331" i="42"/>
  <c r="K330" i="42"/>
  <c r="L330" i="42" s="1"/>
  <c r="L331" i="40"/>
  <c r="M330" i="40"/>
  <c r="N330" i="40" s="1"/>
  <c r="M331" i="42"/>
  <c r="J332" i="42"/>
  <c r="K331" i="42"/>
  <c r="L331" i="42" s="1"/>
  <c r="L332" i="40"/>
  <c r="M331" i="40"/>
  <c r="N331" i="40" s="1"/>
  <c r="K332" i="42"/>
  <c r="L332" i="42" s="1"/>
  <c r="M332" i="42"/>
  <c r="J333" i="42"/>
  <c r="L333" i="40"/>
  <c r="M332" i="40"/>
  <c r="N332" i="40" s="1"/>
  <c r="K333" i="42"/>
  <c r="L333" i="42" s="1"/>
  <c r="J334" i="42"/>
  <c r="M333" i="42"/>
  <c r="L334" i="40"/>
  <c r="M333" i="40"/>
  <c r="N333" i="40" s="1"/>
  <c r="J335" i="42"/>
  <c r="M334" i="42"/>
  <c r="K334" i="42"/>
  <c r="L334" i="42" s="1"/>
  <c r="M334" i="40"/>
  <c r="N334" i="40"/>
  <c r="L335" i="40"/>
  <c r="M335" i="42"/>
  <c r="J336" i="42"/>
  <c r="K335" i="42"/>
  <c r="M335" i="40"/>
  <c r="N335" i="40" s="1"/>
  <c r="L336" i="40"/>
  <c r="J337" i="42"/>
  <c r="K336" i="42"/>
  <c r="M336" i="42"/>
  <c r="L337" i="40"/>
  <c r="M336" i="40"/>
  <c r="N336" i="40" s="1"/>
  <c r="M337" i="42"/>
  <c r="J338" i="42"/>
  <c r="K337" i="42"/>
  <c r="M337" i="40"/>
  <c r="N337" i="40" s="1"/>
  <c r="L338" i="40"/>
  <c r="M338" i="42"/>
  <c r="J339" i="42"/>
  <c r="K338" i="42"/>
  <c r="L338" i="42" s="1"/>
  <c r="L339" i="40"/>
  <c r="M338" i="40"/>
  <c r="N338" i="40" s="1"/>
  <c r="M339" i="42"/>
  <c r="K339" i="42"/>
  <c r="L339" i="42" s="1"/>
  <c r="J340" i="42"/>
  <c r="M339" i="40"/>
  <c r="N339" i="40" s="1"/>
  <c r="L340" i="40"/>
  <c r="J341" i="42"/>
  <c r="M340" i="42"/>
  <c r="K340" i="42"/>
  <c r="L340" i="42" s="1"/>
  <c r="L341" i="40"/>
  <c r="M340" i="40"/>
  <c r="N340" i="40" s="1"/>
  <c r="K341" i="42"/>
  <c r="L341" i="42" s="1"/>
  <c r="J342" i="42"/>
  <c r="M341" i="42"/>
  <c r="L342" i="40"/>
  <c r="M341" i="40"/>
  <c r="N341" i="40"/>
  <c r="M342" i="42"/>
  <c r="K342" i="42"/>
  <c r="L342" i="42" s="1"/>
  <c r="J343" i="42"/>
  <c r="L343" i="40"/>
  <c r="M342" i="40"/>
  <c r="N342" i="40" s="1"/>
  <c r="M343" i="42"/>
  <c r="J344" i="42"/>
  <c r="K343" i="42"/>
  <c r="L344" i="40"/>
  <c r="M343" i="40"/>
  <c r="N343" i="40" s="1"/>
  <c r="M344" i="42"/>
  <c r="K344" i="42"/>
  <c r="L344" i="42" s="1"/>
  <c r="J345" i="42"/>
  <c r="L345" i="40"/>
  <c r="M344" i="40"/>
  <c r="N344" i="40" s="1"/>
  <c r="M345" i="42"/>
  <c r="K345" i="42"/>
  <c r="L345" i="42" s="1"/>
  <c r="J346" i="42"/>
  <c r="L346" i="40"/>
  <c r="M345" i="40"/>
  <c r="N345" i="40" s="1"/>
  <c r="J347" i="42"/>
  <c r="K346" i="42"/>
  <c r="L346" i="42" s="1"/>
  <c r="M346" i="42"/>
  <c r="M346" i="40"/>
  <c r="N346" i="40" s="1"/>
  <c r="L347" i="40"/>
  <c r="K347" i="42"/>
  <c r="L347" i="42" s="1"/>
  <c r="M347" i="42"/>
  <c r="J348" i="42"/>
  <c r="M347" i="40"/>
  <c r="N347" i="40"/>
  <c r="L348" i="40"/>
  <c r="K348" i="42"/>
  <c r="J349" i="42"/>
  <c r="M348" i="42"/>
  <c r="M348" i="40"/>
  <c r="N348" i="40"/>
  <c r="L349" i="40"/>
  <c r="K349" i="42"/>
  <c r="L349" i="42" s="1"/>
  <c r="M349" i="42"/>
  <c r="J350" i="42"/>
  <c r="M349" i="40"/>
  <c r="N349" i="40"/>
  <c r="L350" i="40"/>
  <c r="K350" i="42"/>
  <c r="L350" i="42" s="1"/>
  <c r="J351" i="42"/>
  <c r="M350" i="42"/>
  <c r="L351" i="40"/>
  <c r="M350" i="40"/>
  <c r="N350" i="40" s="1"/>
  <c r="J352" i="42"/>
  <c r="K351" i="42"/>
  <c r="L351" i="42" s="1"/>
  <c r="M351" i="42"/>
  <c r="L352" i="40"/>
  <c r="M351" i="40"/>
  <c r="N351" i="40" s="1"/>
  <c r="J353" i="42"/>
  <c r="M352" i="42"/>
  <c r="K352" i="42"/>
  <c r="L352" i="42" s="1"/>
  <c r="M352" i="40"/>
  <c r="N352" i="40"/>
  <c r="L353" i="40"/>
  <c r="K353" i="42"/>
  <c r="L353" i="42" s="1"/>
  <c r="J354" i="42"/>
  <c r="M353" i="42"/>
  <c r="L354" i="40"/>
  <c r="M353" i="40"/>
  <c r="N353" i="40" s="1"/>
  <c r="J355" i="42"/>
  <c r="M354" i="42"/>
  <c r="K354" i="42"/>
  <c r="L354" i="42" s="1"/>
  <c r="M354" i="40"/>
  <c r="N354" i="40" s="1"/>
  <c r="L355" i="40"/>
  <c r="J356" i="42"/>
  <c r="K355" i="42"/>
  <c r="L355" i="42" s="1"/>
  <c r="M355" i="42"/>
  <c r="L356" i="40"/>
  <c r="M355" i="40"/>
  <c r="N355" i="40" s="1"/>
  <c r="J357" i="42"/>
  <c r="K356" i="42"/>
  <c r="L356" i="42" s="1"/>
  <c r="M356" i="42"/>
  <c r="L357" i="40"/>
  <c r="M356" i="40"/>
  <c r="N356" i="40" s="1"/>
  <c r="J358" i="42"/>
  <c r="K357" i="42"/>
  <c r="L357" i="42" s="1"/>
  <c r="M357" i="42"/>
  <c r="M357" i="40"/>
  <c r="N357" i="40"/>
  <c r="L358" i="40"/>
  <c r="J359" i="42"/>
  <c r="M358" i="42"/>
  <c r="K358" i="42"/>
  <c r="L358" i="42" s="1"/>
  <c r="M358" i="40"/>
  <c r="N358" i="40"/>
  <c r="L359" i="40"/>
  <c r="K359" i="42"/>
  <c r="L359" i="42" s="1"/>
  <c r="J360" i="42"/>
  <c r="M359" i="42"/>
  <c r="M359" i="40"/>
  <c r="N359" i="40" s="1"/>
  <c r="L360" i="40"/>
  <c r="K360" i="42"/>
  <c r="M360" i="42"/>
  <c r="J361" i="42"/>
  <c r="M360" i="40"/>
  <c r="N360" i="40"/>
  <c r="L361" i="40"/>
  <c r="M361" i="42"/>
  <c r="K361" i="42"/>
  <c r="L361" i="42" s="1"/>
  <c r="J362" i="42"/>
  <c r="L362" i="40"/>
  <c r="M361" i="40"/>
  <c r="N361" i="40" s="1"/>
  <c r="J363" i="42"/>
  <c r="M362" i="42"/>
  <c r="K362" i="42"/>
  <c r="L362" i="42" s="1"/>
  <c r="M362" i="40"/>
  <c r="N362" i="40" s="1"/>
  <c r="L363" i="40"/>
  <c r="K363" i="42"/>
  <c r="L363" i="42" s="1"/>
  <c r="M363" i="42"/>
  <c r="J364" i="42"/>
  <c r="L364" i="40"/>
  <c r="M363" i="40"/>
  <c r="N363" i="40" s="1"/>
  <c r="K364" i="42"/>
  <c r="M364" i="42"/>
  <c r="J365" i="42"/>
  <c r="L365" i="40"/>
  <c r="M364" i="40"/>
  <c r="N364" i="40" s="1"/>
  <c r="J366" i="42"/>
  <c r="M365" i="42"/>
  <c r="K365" i="42"/>
  <c r="L365" i="42" s="1"/>
  <c r="L366" i="40"/>
  <c r="M365" i="40"/>
  <c r="N365" i="40" s="1"/>
  <c r="M366" i="42"/>
  <c r="J367" i="42"/>
  <c r="K366" i="42"/>
  <c r="L367" i="40"/>
  <c r="M366" i="40"/>
  <c r="N366" i="40" s="1"/>
  <c r="J368" i="42"/>
  <c r="K367" i="42"/>
  <c r="L367" i="42" s="1"/>
  <c r="M367" i="42"/>
  <c r="L368" i="40"/>
  <c r="M367" i="40"/>
  <c r="N367" i="40" s="1"/>
  <c r="J369" i="42"/>
  <c r="K368" i="42"/>
  <c r="M368" i="42"/>
  <c r="L369" i="40"/>
  <c r="M368" i="40"/>
  <c r="N368" i="40" s="1"/>
  <c r="J370" i="42"/>
  <c r="K369" i="42"/>
  <c r="L369" i="42" s="1"/>
  <c r="M369" i="42"/>
  <c r="L370" i="40"/>
  <c r="M369" i="40"/>
  <c r="N369" i="40" s="1"/>
  <c r="J371" i="42"/>
  <c r="K370" i="42"/>
  <c r="L370" i="42" s="1"/>
  <c r="M370" i="42"/>
  <c r="L371" i="40"/>
  <c r="M370" i="40"/>
  <c r="N370" i="40" s="1"/>
  <c r="J372" i="42"/>
  <c r="K371" i="42"/>
  <c r="L371" i="42" s="1"/>
  <c r="M371" i="42"/>
  <c r="L372" i="40"/>
  <c r="M371" i="40"/>
  <c r="N371" i="40" s="1"/>
  <c r="M372" i="42"/>
  <c r="K372" i="42"/>
  <c r="L372" i="42" s="1"/>
  <c r="J373" i="42"/>
  <c r="L373" i="40"/>
  <c r="M372" i="40"/>
  <c r="N372" i="40" s="1"/>
  <c r="J374" i="42"/>
  <c r="K373" i="42"/>
  <c r="M373" i="42"/>
  <c r="L374" i="40"/>
  <c r="M373" i="40"/>
  <c r="N373" i="40" s="1"/>
  <c r="M374" i="42"/>
  <c r="J375" i="42"/>
  <c r="K374" i="42"/>
  <c r="L374" i="42" s="1"/>
  <c r="M374" i="40"/>
  <c r="N374" i="40"/>
  <c r="L375" i="40"/>
  <c r="M375" i="42"/>
  <c r="J376" i="42"/>
  <c r="K375" i="42"/>
  <c r="L375" i="42" s="1"/>
  <c r="L376" i="40"/>
  <c r="M375" i="40"/>
  <c r="N375" i="40" s="1"/>
  <c r="J377" i="42"/>
  <c r="M376" i="42"/>
  <c r="K376" i="42"/>
  <c r="L376" i="42" s="1"/>
  <c r="M376" i="40"/>
  <c r="N376" i="40"/>
  <c r="L377" i="40"/>
  <c r="M377" i="42"/>
  <c r="K377" i="42"/>
  <c r="L377" i="42" s="1"/>
  <c r="J378" i="42"/>
  <c r="L378" i="40"/>
  <c r="M377" i="40"/>
  <c r="N377" i="40" s="1"/>
  <c r="J379" i="42"/>
  <c r="K378" i="42"/>
  <c r="L378" i="42" s="1"/>
  <c r="M378" i="42"/>
  <c r="M378" i="40"/>
  <c r="N378" i="40" s="1"/>
  <c r="L379" i="40"/>
  <c r="M379" i="42"/>
  <c r="J380" i="42"/>
  <c r="K379" i="42"/>
  <c r="L379" i="42" s="1"/>
  <c r="M379" i="40"/>
  <c r="N379" i="40"/>
  <c r="L380" i="40"/>
  <c r="J381" i="42"/>
  <c r="M380" i="42"/>
  <c r="K380" i="42"/>
  <c r="L380" i="42" s="1"/>
  <c r="L381" i="40"/>
  <c r="M380" i="40"/>
  <c r="N380" i="40" s="1"/>
  <c r="K381" i="42"/>
  <c r="M381" i="42"/>
  <c r="J382" i="42"/>
  <c r="M381" i="40"/>
  <c r="N381" i="40"/>
  <c r="L382" i="40"/>
  <c r="J383" i="42"/>
  <c r="K382" i="42"/>
  <c r="L382" i="42" s="1"/>
  <c r="M382" i="42"/>
  <c r="M382" i="40"/>
  <c r="L383" i="40"/>
  <c r="N382" i="40"/>
  <c r="K383" i="42"/>
  <c r="L383" i="42" s="1"/>
  <c r="M383" i="42"/>
  <c r="J384" i="42"/>
  <c r="M383" i="40"/>
  <c r="N383" i="40" s="1"/>
  <c r="L384" i="40"/>
  <c r="K384" i="42"/>
  <c r="M384" i="42"/>
  <c r="J385" i="42"/>
  <c r="L385" i="40"/>
  <c r="M384" i="40"/>
  <c r="N384" i="40" s="1"/>
  <c r="K385" i="42"/>
  <c r="J386" i="42"/>
  <c r="M385" i="42"/>
  <c r="L386" i="40"/>
  <c r="M385" i="40"/>
  <c r="N385" i="40" s="1"/>
  <c r="M386" i="42"/>
  <c r="J387" i="42"/>
  <c r="K386" i="42"/>
  <c r="L386" i="42" s="1"/>
  <c r="L387" i="40"/>
  <c r="M386" i="40"/>
  <c r="N386" i="40" s="1"/>
  <c r="K387" i="42"/>
  <c r="L387" i="42" s="1"/>
  <c r="J388" i="42"/>
  <c r="M387" i="42"/>
  <c r="M387" i="40"/>
  <c r="N387" i="40" s="1"/>
  <c r="L388" i="40"/>
  <c r="J389" i="42"/>
  <c r="M388" i="42"/>
  <c r="K388" i="42"/>
  <c r="L388" i="42" s="1"/>
  <c r="M388" i="40"/>
  <c r="N388" i="40"/>
  <c r="L389" i="40"/>
  <c r="K389" i="42"/>
  <c r="L389" i="42" s="1"/>
  <c r="J390" i="42"/>
  <c r="M389" i="42"/>
  <c r="L390" i="40"/>
  <c r="M389" i="40"/>
  <c r="N389" i="40" s="1"/>
  <c r="M390" i="42"/>
  <c r="J391" i="42"/>
  <c r="K390" i="42"/>
  <c r="L390" i="42" s="1"/>
  <c r="M390" i="40"/>
  <c r="N390" i="40"/>
  <c r="L391" i="40"/>
  <c r="K391" i="42"/>
  <c r="L391" i="42" s="1"/>
  <c r="M391" i="42"/>
  <c r="J392" i="42"/>
  <c r="L392" i="40"/>
  <c r="M391" i="40"/>
  <c r="N391" i="40" s="1"/>
  <c r="J393" i="42"/>
  <c r="M392" i="42"/>
  <c r="K392" i="42"/>
  <c r="L392" i="42" s="1"/>
  <c r="M392" i="40"/>
  <c r="N392" i="40"/>
  <c r="L393" i="40"/>
  <c r="M393" i="42"/>
  <c r="J394" i="42"/>
  <c r="K393" i="42"/>
  <c r="L393" i="42" s="1"/>
  <c r="M393" i="40"/>
  <c r="L394" i="40"/>
  <c r="N393" i="40"/>
  <c r="J395" i="42"/>
  <c r="K394" i="42"/>
  <c r="L394" i="42" s="1"/>
  <c r="M394" i="42"/>
  <c r="M394" i="40"/>
  <c r="N394" i="40" s="1"/>
  <c r="L395" i="40"/>
  <c r="K395" i="42"/>
  <c r="L395" i="42" s="1"/>
  <c r="M395" i="42"/>
  <c r="J396" i="42"/>
  <c r="L396" i="40"/>
  <c r="M395" i="40"/>
  <c r="N395" i="40" s="1"/>
  <c r="K396" i="42"/>
  <c r="L396" i="42" s="1"/>
  <c r="M396" i="42"/>
  <c r="J397" i="42"/>
  <c r="M396" i="40"/>
  <c r="N396" i="40"/>
  <c r="L397" i="40"/>
  <c r="M397" i="42"/>
  <c r="K397" i="42"/>
  <c r="L397" i="42" s="1"/>
  <c r="J398" i="42"/>
  <c r="M397" i="40"/>
  <c r="N397" i="40"/>
  <c r="L398" i="40"/>
  <c r="M398" i="42"/>
  <c r="K398" i="42"/>
  <c r="L398" i="42" s="1"/>
  <c r="J399" i="42"/>
  <c r="L399" i="40"/>
  <c r="M398" i="40"/>
  <c r="N398" i="40" s="1"/>
  <c r="K399" i="42"/>
  <c r="L399" i="42" s="1"/>
  <c r="M399" i="42"/>
  <c r="J400" i="42"/>
  <c r="M399" i="40"/>
  <c r="N399" i="40" s="1"/>
  <c r="L400" i="40"/>
  <c r="K400" i="42"/>
  <c r="M400" i="42"/>
  <c r="J401" i="42"/>
  <c r="M400" i="40"/>
  <c r="N400" i="40"/>
  <c r="L401" i="40"/>
  <c r="K401" i="42"/>
  <c r="L401" i="42" s="1"/>
  <c r="J402" i="42"/>
  <c r="M401" i="42"/>
  <c r="M401" i="40"/>
  <c r="N401" i="40" s="1"/>
  <c r="L402" i="40"/>
  <c r="M402" i="42"/>
  <c r="J403" i="42"/>
  <c r="K402" i="42"/>
  <c r="L402" i="42" s="1"/>
  <c r="M402" i="40"/>
  <c r="N402" i="40"/>
  <c r="L403" i="40"/>
  <c r="M403" i="42"/>
  <c r="K403" i="42"/>
  <c r="L403" i="42" s="1"/>
  <c r="J404" i="42"/>
  <c r="L404" i="40"/>
  <c r="M403" i="40"/>
  <c r="N403" i="40" s="1"/>
  <c r="J405" i="42"/>
  <c r="M404" i="42"/>
  <c r="K404" i="42"/>
  <c r="L404" i="42" s="1"/>
  <c r="L405" i="40"/>
  <c r="M404" i="40"/>
  <c r="N404" i="40" s="1"/>
  <c r="M405" i="42"/>
  <c r="K405" i="42"/>
  <c r="L405" i="42" s="1"/>
  <c r="J406" i="42"/>
  <c r="M405" i="40"/>
  <c r="N405" i="40"/>
  <c r="L406" i="40"/>
  <c r="J407" i="42"/>
  <c r="M406" i="42"/>
  <c r="K406" i="42"/>
  <c r="L407" i="40"/>
  <c r="M406" i="40"/>
  <c r="N406" i="40" s="1"/>
  <c r="K407" i="42"/>
  <c r="M407" i="42"/>
  <c r="J408" i="42"/>
  <c r="M407" i="40"/>
  <c r="N407" i="40"/>
  <c r="L408" i="40"/>
  <c r="J409" i="42"/>
  <c r="M408" i="42"/>
  <c r="K408" i="42"/>
  <c r="L408" i="42" s="1"/>
  <c r="M408" i="40"/>
  <c r="N408" i="40" s="1"/>
  <c r="L409" i="40"/>
  <c r="J410" i="42"/>
  <c r="K409" i="42"/>
  <c r="L409" i="42" s="1"/>
  <c r="M409" i="42"/>
  <c r="M409" i="40"/>
  <c r="L410" i="40"/>
  <c r="N409" i="40"/>
  <c r="K410" i="42"/>
  <c r="L410" i="42" s="1"/>
  <c r="M410" i="42"/>
  <c r="J411" i="42"/>
  <c r="L411" i="40"/>
  <c r="M410" i="40"/>
  <c r="N410" i="40" s="1"/>
  <c r="J412" i="42"/>
  <c r="K411" i="42"/>
  <c r="L411" i="42" s="1"/>
  <c r="M411" i="42"/>
  <c r="M411" i="40"/>
  <c r="L412" i="40"/>
  <c r="N411" i="40"/>
  <c r="J413" i="42"/>
  <c r="M412" i="42"/>
  <c r="K412" i="42"/>
  <c r="L412" i="42" s="1"/>
  <c r="M412" i="40"/>
  <c r="N412" i="40" s="1"/>
  <c r="L413" i="40"/>
  <c r="J414" i="42"/>
  <c r="M413" i="42"/>
  <c r="K413" i="42"/>
  <c r="L413" i="42" s="1"/>
  <c r="L414" i="40"/>
  <c r="M413" i="40"/>
  <c r="N413" i="40"/>
  <c r="K414" i="42"/>
  <c r="M414" i="42"/>
  <c r="J415" i="42"/>
  <c r="M414" i="40"/>
  <c r="N414" i="40"/>
  <c r="L415" i="40"/>
  <c r="J416" i="42"/>
  <c r="M415" i="42"/>
  <c r="K415" i="42"/>
  <c r="L415" i="42" s="1"/>
  <c r="L416" i="40"/>
  <c r="M415" i="40"/>
  <c r="N415" i="40" s="1"/>
  <c r="J417" i="42"/>
  <c r="M416" i="42"/>
  <c r="K416" i="42"/>
  <c r="L416" i="42" s="1"/>
  <c r="L417" i="40"/>
  <c r="M416" i="40"/>
  <c r="N416" i="40" s="1"/>
  <c r="M417" i="42"/>
  <c r="J418" i="42"/>
  <c r="K417" i="42"/>
  <c r="M417" i="40"/>
  <c r="L418" i="40"/>
  <c r="N417" i="40"/>
  <c r="K418" i="42"/>
  <c r="L418" i="42" s="1"/>
  <c r="M418" i="42"/>
  <c r="J419" i="42"/>
  <c r="M418" i="40"/>
  <c r="L419" i="40"/>
  <c r="N418" i="40"/>
  <c r="K419" i="42"/>
  <c r="L419" i="42" s="1"/>
  <c r="M419" i="42"/>
  <c r="J420" i="42"/>
  <c r="M419" i="40"/>
  <c r="N419" i="40"/>
  <c r="L420" i="40"/>
  <c r="J421" i="42"/>
  <c r="M420" i="42"/>
  <c r="K420" i="42"/>
  <c r="M420" i="40"/>
  <c r="N420" i="40" s="1"/>
  <c r="L421" i="40"/>
  <c r="M421" i="42"/>
  <c r="K421" i="42"/>
  <c r="L421" i="42" s="1"/>
  <c r="J422" i="42"/>
  <c r="M421" i="40"/>
  <c r="L422" i="40"/>
  <c r="N421" i="40"/>
  <c r="J423" i="42"/>
  <c r="K422" i="42"/>
  <c r="L422" i="42" s="1"/>
  <c r="M422" i="42"/>
  <c r="L423" i="40"/>
  <c r="M422" i="40"/>
  <c r="N422" i="40" s="1"/>
  <c r="K423" i="42"/>
  <c r="J424" i="42"/>
  <c r="M423" i="42"/>
  <c r="L424" i="40"/>
  <c r="M423" i="40"/>
  <c r="N423" i="40"/>
  <c r="J425" i="42"/>
  <c r="K424" i="42"/>
  <c r="M424" i="42"/>
  <c r="L425" i="40"/>
  <c r="M424" i="40"/>
  <c r="N424" i="40" s="1"/>
  <c r="K425" i="42"/>
  <c r="L425" i="42" s="1"/>
  <c r="J426" i="42"/>
  <c r="M425" i="42"/>
  <c r="M425" i="40"/>
  <c r="L426" i="40"/>
  <c r="N425" i="40"/>
  <c r="M426" i="42"/>
  <c r="J427" i="42"/>
  <c r="K426" i="42"/>
  <c r="L426" i="42" s="1"/>
  <c r="L427" i="40"/>
  <c r="M426" i="40"/>
  <c r="N426" i="40" s="1"/>
  <c r="M427" i="42"/>
  <c r="K427" i="42"/>
  <c r="L427" i="42" s="1"/>
  <c r="J428" i="42"/>
  <c r="M427" i="40"/>
  <c r="L428" i="40"/>
  <c r="N427" i="40"/>
  <c r="J429" i="42"/>
  <c r="K428" i="42"/>
  <c r="M428" i="42"/>
  <c r="L429" i="40"/>
  <c r="M428" i="40"/>
  <c r="N428" i="40" s="1"/>
  <c r="J430" i="42"/>
  <c r="K429" i="42"/>
  <c r="L429" i="42" s="1"/>
  <c r="M429" i="42"/>
  <c r="L430" i="40"/>
  <c r="M429" i="40"/>
  <c r="N429" i="40"/>
  <c r="K430" i="42"/>
  <c r="L430" i="42" s="1"/>
  <c r="M430" i="42"/>
  <c r="J431" i="42"/>
  <c r="L431" i="40"/>
  <c r="M430" i="40"/>
  <c r="N430" i="40"/>
  <c r="J432" i="42"/>
  <c r="M431" i="42"/>
  <c r="K431" i="42"/>
  <c r="M431" i="40"/>
  <c r="N431" i="40" s="1"/>
  <c r="L432" i="40"/>
  <c r="J433" i="42"/>
  <c r="M432" i="42"/>
  <c r="K432" i="42"/>
  <c r="L433" i="40"/>
  <c r="M432" i="40"/>
  <c r="N432" i="40" s="1"/>
  <c r="M433" i="42"/>
  <c r="K433" i="42"/>
  <c r="L433" i="42" s="1"/>
  <c r="J434" i="42"/>
  <c r="L434" i="40"/>
  <c r="M433" i="40"/>
  <c r="N433" i="40"/>
  <c r="K434" i="42"/>
  <c r="L434" i="42" s="1"/>
  <c r="M434" i="42"/>
  <c r="J435" i="42"/>
  <c r="M434" i="40"/>
  <c r="L435" i="40"/>
  <c r="N434" i="40"/>
  <c r="K435" i="42"/>
  <c r="L435" i="42" s="1"/>
  <c r="M435" i="42"/>
  <c r="J436" i="42"/>
  <c r="M435" i="40"/>
  <c r="N435" i="40" s="1"/>
  <c r="L436" i="40"/>
  <c r="J437" i="42"/>
  <c r="K436" i="42"/>
  <c r="L436" i="42" s="1"/>
  <c r="M436" i="42"/>
  <c r="M436" i="40"/>
  <c r="N436" i="40" s="1"/>
  <c r="L437" i="40"/>
  <c r="K437" i="42"/>
  <c r="L437" i="42" s="1"/>
  <c r="J438" i="42"/>
  <c r="M437" i="42"/>
  <c r="M437" i="40"/>
  <c r="L438" i="40"/>
  <c r="N437" i="40"/>
  <c r="M438" i="42"/>
  <c r="J439" i="42"/>
  <c r="K438" i="42"/>
  <c r="L438" i="42" s="1"/>
  <c r="M438" i="40"/>
  <c r="N438" i="40" s="1"/>
  <c r="L439" i="40"/>
  <c r="J440" i="42"/>
  <c r="K439" i="42"/>
  <c r="M439" i="42"/>
  <c r="M439" i="40"/>
  <c r="N439" i="40"/>
  <c r="L440" i="40"/>
  <c r="J441" i="42"/>
  <c r="M440" i="42"/>
  <c r="K440" i="42"/>
  <c r="M440" i="40"/>
  <c r="N440" i="40" s="1"/>
  <c r="L441" i="40"/>
  <c r="K441" i="42"/>
  <c r="L441" i="42" s="1"/>
  <c r="J442" i="42"/>
  <c r="M441" i="42"/>
  <c r="M441" i="40"/>
  <c r="L442" i="40"/>
  <c r="N441" i="40"/>
  <c r="M442" i="42"/>
  <c r="J443" i="42"/>
  <c r="K442" i="42"/>
  <c r="L442" i="42" s="1"/>
  <c r="L443" i="40"/>
  <c r="M442" i="40"/>
  <c r="N442" i="40" s="1"/>
  <c r="M443" i="42"/>
  <c r="J444" i="42"/>
  <c r="K443" i="42"/>
  <c r="L443" i="42" s="1"/>
  <c r="L444" i="40"/>
  <c r="M443" i="40"/>
  <c r="N443" i="40"/>
  <c r="M444" i="42"/>
  <c r="K444" i="42"/>
  <c r="J445" i="42"/>
  <c r="L445" i="40"/>
  <c r="M444" i="40"/>
  <c r="N444" i="40" s="1"/>
  <c r="K445" i="42"/>
  <c r="J446" i="42"/>
  <c r="M445" i="42"/>
  <c r="L446" i="40"/>
  <c r="M445" i="40"/>
  <c r="N445" i="40"/>
  <c r="M446" i="42"/>
  <c r="K446" i="42"/>
  <c r="L446" i="42" s="1"/>
  <c r="J447" i="42"/>
  <c r="M446" i="40"/>
  <c r="N446" i="40" s="1"/>
  <c r="L447" i="40"/>
  <c r="M447" i="42"/>
  <c r="J448" i="42"/>
  <c r="K447" i="42"/>
  <c r="L448" i="40"/>
  <c r="M447" i="40"/>
  <c r="N447" i="40" s="1"/>
  <c r="K448" i="42"/>
  <c r="J449" i="42"/>
  <c r="M448" i="42"/>
  <c r="M448" i="40"/>
  <c r="N448" i="40" s="1"/>
  <c r="L449" i="40"/>
  <c r="J450" i="42"/>
  <c r="M449" i="42"/>
  <c r="K449" i="42"/>
  <c r="L449" i="42" s="1"/>
  <c r="L450" i="40"/>
  <c r="M449" i="40"/>
  <c r="N449" i="40"/>
  <c r="M450" i="42"/>
  <c r="K450" i="42"/>
  <c r="L450" i="42" s="1"/>
  <c r="J451" i="42"/>
  <c r="L451" i="40"/>
  <c r="M450" i="40"/>
  <c r="N450" i="40"/>
  <c r="M451" i="42"/>
  <c r="J452" i="42"/>
  <c r="K451" i="42"/>
  <c r="L451" i="42" s="1"/>
  <c r="L452" i="40"/>
  <c r="M451" i="40"/>
  <c r="N451" i="40" s="1"/>
  <c r="J453" i="42"/>
  <c r="K452" i="42"/>
  <c r="L452" i="42" s="1"/>
  <c r="M452" i="42"/>
  <c r="L453" i="40"/>
  <c r="M452" i="40"/>
  <c r="N452" i="40" s="1"/>
  <c r="M453" i="42"/>
  <c r="J454" i="42"/>
  <c r="K453" i="42"/>
  <c r="L453" i="42" s="1"/>
  <c r="L454" i="40"/>
  <c r="M453" i="40"/>
  <c r="N453" i="40"/>
  <c r="J455" i="42"/>
  <c r="K454" i="42"/>
  <c r="M454" i="42"/>
  <c r="M454" i="40"/>
  <c r="N454" i="40"/>
  <c r="L455" i="40"/>
  <c r="K455" i="42"/>
  <c r="L455" i="42" s="1"/>
  <c r="M455" i="42"/>
  <c r="J456" i="42"/>
  <c r="L456" i="40"/>
  <c r="M455" i="40"/>
  <c r="N455" i="40"/>
  <c r="K456" i="42"/>
  <c r="M456" i="42"/>
  <c r="J457" i="42"/>
  <c r="L457" i="40"/>
  <c r="M456" i="40"/>
  <c r="N456" i="40" s="1"/>
  <c r="M457" i="42"/>
  <c r="K457" i="42"/>
  <c r="J458" i="42"/>
  <c r="L458" i="40"/>
  <c r="M457" i="40"/>
  <c r="N457" i="40"/>
  <c r="K458" i="42"/>
  <c r="L458" i="42" s="1"/>
  <c r="M458" i="42"/>
  <c r="J459" i="42"/>
  <c r="L459" i="40"/>
  <c r="M458" i="40"/>
  <c r="N458" i="40" s="1"/>
  <c r="J460" i="42"/>
  <c r="K459" i="42"/>
  <c r="L459" i="42" s="1"/>
  <c r="M459" i="42"/>
  <c r="M459" i="40"/>
  <c r="L460" i="40"/>
  <c r="N459" i="40"/>
  <c r="K460" i="42"/>
  <c r="L460" i="42" s="1"/>
  <c r="J461" i="42"/>
  <c r="M460" i="42"/>
  <c r="M460" i="40"/>
  <c r="N460" i="40" s="1"/>
  <c r="L461" i="40"/>
  <c r="M461" i="42"/>
  <c r="K461" i="42"/>
  <c r="L461" i="42" s="1"/>
  <c r="J462" i="42"/>
  <c r="L462" i="40"/>
  <c r="M461" i="40"/>
  <c r="N461" i="40"/>
  <c r="J463" i="42"/>
  <c r="K462" i="42"/>
  <c r="M462" i="42"/>
  <c r="L463" i="40"/>
  <c r="M462" i="40"/>
  <c r="N462" i="40" s="1"/>
  <c r="K463" i="42"/>
  <c r="L463" i="42" s="1"/>
  <c r="M463" i="42"/>
  <c r="J464" i="42"/>
  <c r="M463" i="40"/>
  <c r="N463" i="40"/>
  <c r="L464" i="40"/>
  <c r="K464" i="42"/>
  <c r="L464" i="42" s="1"/>
  <c r="J465" i="42"/>
  <c r="M464" i="42"/>
  <c r="M464" i="40"/>
  <c r="N464" i="40" s="1"/>
  <c r="L465" i="40"/>
  <c r="K465" i="42"/>
  <c r="M465" i="42"/>
  <c r="J466" i="42"/>
  <c r="M465" i="40"/>
  <c r="L466" i="40"/>
  <c r="N465" i="40"/>
  <c r="J467" i="42"/>
  <c r="K466" i="42"/>
  <c r="L466" i="42" s="1"/>
  <c r="M466" i="42"/>
  <c r="M466" i="40"/>
  <c r="N466" i="40" s="1"/>
  <c r="L467" i="40"/>
  <c r="K467" i="42"/>
  <c r="L467" i="42" s="1"/>
  <c r="M467" i="42"/>
  <c r="J468" i="42"/>
  <c r="M467" i="40"/>
  <c r="N467" i="40"/>
  <c r="L468" i="40"/>
  <c r="J469" i="42"/>
  <c r="K468" i="42"/>
  <c r="M468" i="42"/>
  <c r="L469" i="40"/>
  <c r="M468" i="40"/>
  <c r="N468" i="40" s="1"/>
  <c r="J470" i="42"/>
  <c r="M469" i="42"/>
  <c r="K469" i="42"/>
  <c r="L469" i="42" s="1"/>
  <c r="M469" i="40"/>
  <c r="L470" i="40"/>
  <c r="N469" i="40"/>
  <c r="K470" i="42"/>
  <c r="L470" i="42" s="1"/>
  <c r="J471" i="42"/>
  <c r="M470" i="42"/>
  <c r="M470" i="40"/>
  <c r="N470" i="40"/>
  <c r="L471" i="40"/>
  <c r="M471" i="42"/>
  <c r="K471" i="42"/>
  <c r="J472" i="42"/>
  <c r="M471" i="40"/>
  <c r="L472" i="40"/>
  <c r="N471" i="40"/>
  <c r="K472" i="42"/>
  <c r="J473" i="42"/>
  <c r="M472" i="42"/>
  <c r="M472" i="40"/>
  <c r="N472" i="40" s="1"/>
  <c r="L473" i="40"/>
  <c r="M473" i="42"/>
  <c r="K473" i="42"/>
  <c r="L473" i="42" s="1"/>
  <c r="J474" i="42"/>
  <c r="M473" i="40"/>
  <c r="L474" i="40"/>
  <c r="N473" i="40"/>
  <c r="M474" i="42"/>
  <c r="K474" i="42"/>
  <c r="L474" i="42" s="1"/>
  <c r="J475" i="42"/>
  <c r="L475" i="40"/>
  <c r="M474" i="40"/>
  <c r="N474" i="40" s="1"/>
  <c r="K475" i="42"/>
  <c r="L475" i="42" s="1"/>
  <c r="J476" i="42"/>
  <c r="M475" i="42"/>
  <c r="L476" i="40"/>
  <c r="M475" i="40"/>
  <c r="N475" i="40" s="1"/>
  <c r="J477" i="42"/>
  <c r="K476" i="42"/>
  <c r="L476" i="42" s="1"/>
  <c r="M476" i="42"/>
  <c r="L477" i="40"/>
  <c r="M476" i="40"/>
  <c r="N476" i="40" s="1"/>
  <c r="M477" i="42"/>
  <c r="J478" i="42"/>
  <c r="K477" i="42"/>
  <c r="L477" i="42" s="1"/>
  <c r="M477" i="40"/>
  <c r="L478" i="40"/>
  <c r="N477" i="40"/>
  <c r="J479" i="42"/>
  <c r="M478" i="42"/>
  <c r="K478" i="42"/>
  <c r="L478" i="42" s="1"/>
  <c r="L479" i="40"/>
  <c r="M478" i="40"/>
  <c r="N478" i="40" s="1"/>
  <c r="J480" i="42"/>
  <c r="M479" i="42"/>
  <c r="K479" i="42"/>
  <c r="L480" i="40"/>
  <c r="M479" i="40"/>
  <c r="N479" i="40" s="1"/>
  <c r="J481" i="42"/>
  <c r="M480" i="42"/>
  <c r="K480" i="42"/>
  <c r="M480" i="40"/>
  <c r="N480" i="40"/>
  <c r="L481" i="40"/>
  <c r="M481" i="42"/>
  <c r="J482" i="42"/>
  <c r="K481" i="42"/>
  <c r="L481" i="42" s="1"/>
  <c r="L482" i="40"/>
  <c r="M481" i="40"/>
  <c r="N481" i="40" s="1"/>
  <c r="J483" i="42"/>
  <c r="K482" i="42"/>
  <c r="L482" i="42" s="1"/>
  <c r="M482" i="42"/>
  <c r="L483" i="40"/>
  <c r="M482" i="40"/>
  <c r="N482" i="40" s="1"/>
  <c r="K483" i="42"/>
  <c r="L483" i="42" s="1"/>
  <c r="M483" i="42"/>
  <c r="J484" i="42"/>
  <c r="L484" i="40"/>
  <c r="M483" i="40"/>
  <c r="N483" i="40" s="1"/>
  <c r="J485" i="42"/>
  <c r="M484" i="42"/>
  <c r="K484" i="42"/>
  <c r="L484" i="42" s="1"/>
  <c r="M484" i="40"/>
  <c r="N484" i="40" s="1"/>
  <c r="L485" i="40"/>
  <c r="J486" i="42"/>
  <c r="M485" i="42"/>
  <c r="K485" i="42"/>
  <c r="L485" i="42" s="1"/>
  <c r="M485" i="40"/>
  <c r="N485" i="40"/>
  <c r="L486" i="40"/>
  <c r="M486" i="42"/>
  <c r="J487" i="42"/>
  <c r="K486" i="42"/>
  <c r="M486" i="40"/>
  <c r="N486" i="40" s="1"/>
  <c r="L487" i="40"/>
  <c r="J488" i="42"/>
  <c r="K487" i="42"/>
  <c r="L487" i="42" s="1"/>
  <c r="M487" i="42"/>
  <c r="M487" i="40"/>
  <c r="N487" i="40"/>
  <c r="L488" i="40"/>
  <c r="M488" i="42"/>
  <c r="K488" i="42"/>
  <c r="J489" i="42"/>
  <c r="L489" i="40"/>
  <c r="M488" i="40"/>
  <c r="N488" i="40"/>
  <c r="M489" i="42"/>
  <c r="J490" i="42"/>
  <c r="K489" i="42"/>
  <c r="L490" i="40"/>
  <c r="M489" i="40"/>
  <c r="N489" i="40"/>
  <c r="J491" i="42"/>
  <c r="K490" i="42"/>
  <c r="L490" i="42" s="1"/>
  <c r="M490" i="42"/>
  <c r="M490" i="40"/>
  <c r="N490" i="40" s="1"/>
  <c r="L491" i="40"/>
  <c r="M491" i="42"/>
  <c r="J492" i="42"/>
  <c r="K491" i="42"/>
  <c r="L491" i="42" s="1"/>
  <c r="M491" i="40"/>
  <c r="N491" i="40"/>
  <c r="L492" i="40"/>
  <c r="M492" i="42"/>
  <c r="J493" i="42"/>
  <c r="K492" i="42"/>
  <c r="L492" i="42" s="1"/>
  <c r="L493" i="40"/>
  <c r="M492" i="40"/>
  <c r="N492" i="40"/>
  <c r="K493" i="42"/>
  <c r="L493" i="42" s="1"/>
  <c r="J494" i="42"/>
  <c r="M493" i="42"/>
  <c r="M493" i="40"/>
  <c r="N493" i="40" s="1"/>
  <c r="L494" i="40"/>
  <c r="M494" i="42"/>
  <c r="J495" i="42"/>
  <c r="K494" i="42"/>
  <c r="M494" i="40"/>
  <c r="N494" i="40" s="1"/>
  <c r="L495" i="40"/>
  <c r="M495" i="42"/>
  <c r="K495" i="42"/>
  <c r="J496" i="42"/>
  <c r="M495" i="40"/>
  <c r="N495" i="40"/>
  <c r="L496" i="40"/>
  <c r="K496" i="42"/>
  <c r="L496" i="42" s="1"/>
  <c r="M496" i="42"/>
  <c r="J497" i="42"/>
  <c r="M496" i="40"/>
  <c r="N496" i="40"/>
  <c r="L497" i="40"/>
  <c r="M497" i="42"/>
  <c r="K497" i="42"/>
  <c r="L497" i="42" s="1"/>
  <c r="J498" i="42"/>
  <c r="M497" i="40"/>
  <c r="N497" i="40" s="1"/>
  <c r="L498" i="40"/>
  <c r="J499" i="42"/>
  <c r="M498" i="42"/>
  <c r="K498" i="42"/>
  <c r="L498" i="42" s="1"/>
  <c r="M498" i="40"/>
  <c r="N498" i="40" s="1"/>
  <c r="L499" i="40"/>
  <c r="K499" i="42"/>
  <c r="L499" i="42" s="1"/>
  <c r="M499" i="42"/>
  <c r="J500" i="42"/>
  <c r="L500" i="40"/>
  <c r="M499" i="40"/>
  <c r="N499" i="40" s="1"/>
  <c r="M500" i="42"/>
  <c r="J501" i="42"/>
  <c r="K500" i="42"/>
  <c r="L500" i="42" s="1"/>
  <c r="M500" i="40"/>
  <c r="N500" i="40"/>
  <c r="L501" i="40"/>
  <c r="M501" i="42"/>
  <c r="K501" i="42"/>
  <c r="L501" i="42" s="1"/>
  <c r="J502" i="42"/>
  <c r="L502" i="40"/>
  <c r="M501" i="40"/>
  <c r="N501" i="40" s="1"/>
  <c r="M502" i="42"/>
  <c r="J503" i="42"/>
  <c r="K502" i="42"/>
  <c r="L502" i="42" s="1"/>
  <c r="L503" i="40"/>
  <c r="M502" i="40"/>
  <c r="N502" i="40" s="1"/>
  <c r="J504" i="42"/>
  <c r="M503" i="42"/>
  <c r="K503" i="42"/>
  <c r="L503" i="42" s="1"/>
  <c r="L504" i="40"/>
  <c r="M503" i="40"/>
  <c r="N503" i="40" s="1"/>
  <c r="M504" i="42"/>
  <c r="K504" i="42"/>
  <c r="J505" i="42"/>
  <c r="M504" i="40"/>
  <c r="N504" i="40" s="1"/>
  <c r="L505" i="40"/>
  <c r="M505" i="42"/>
  <c r="J506" i="42"/>
  <c r="K505" i="42"/>
  <c r="M505" i="40"/>
  <c r="N505" i="40" s="1"/>
  <c r="L506" i="40"/>
  <c r="K506" i="42"/>
  <c r="L506" i="42" s="1"/>
  <c r="J507" i="42"/>
  <c r="M506" i="42"/>
  <c r="L507" i="40"/>
  <c r="M506" i="40"/>
  <c r="N506" i="40" s="1"/>
  <c r="J508" i="42"/>
  <c r="M507" i="42"/>
  <c r="K507" i="42"/>
  <c r="L507" i="42" s="1"/>
  <c r="L508" i="40"/>
  <c r="M507" i="40"/>
  <c r="N507" i="40" s="1"/>
  <c r="M508" i="42"/>
  <c r="K508" i="42"/>
  <c r="L508" i="42" s="1"/>
  <c r="J509" i="42"/>
  <c r="L509" i="40"/>
  <c r="M508" i="40"/>
  <c r="N508" i="40"/>
  <c r="M509" i="42"/>
  <c r="J510" i="42"/>
  <c r="K509" i="42"/>
  <c r="L509" i="42" s="1"/>
  <c r="L510" i="40"/>
  <c r="M509" i="40"/>
  <c r="N509" i="40" s="1"/>
  <c r="M510" i="42"/>
  <c r="J511" i="42"/>
  <c r="K510" i="42"/>
  <c r="L510" i="42" s="1"/>
  <c r="L511" i="40"/>
  <c r="M510" i="40"/>
  <c r="N510" i="40" s="1"/>
  <c r="M511" i="42"/>
  <c r="K511" i="42"/>
  <c r="J512" i="42"/>
  <c r="M511" i="40"/>
  <c r="N511" i="40"/>
  <c r="L512" i="40"/>
  <c r="K512" i="42"/>
  <c r="J513" i="42"/>
  <c r="M512" i="42"/>
  <c r="L513" i="40"/>
  <c r="M512" i="40"/>
  <c r="N512" i="40"/>
  <c r="K513" i="42"/>
  <c r="L513" i="42" s="1"/>
  <c r="M513" i="42"/>
  <c r="J514" i="42"/>
  <c r="L514" i="40"/>
  <c r="M513" i="40"/>
  <c r="N513" i="40" s="1"/>
  <c r="K514" i="42"/>
  <c r="L514" i="42" s="1"/>
  <c r="J515" i="42"/>
  <c r="M514" i="42"/>
  <c r="L515" i="40"/>
  <c r="M514" i="40"/>
  <c r="N514" i="40" s="1"/>
  <c r="M515" i="42"/>
  <c r="K515" i="42"/>
  <c r="L515" i="42" s="1"/>
  <c r="J516" i="42"/>
  <c r="L516" i="40"/>
  <c r="M515" i="40"/>
  <c r="N515" i="40" s="1"/>
  <c r="M516" i="42"/>
  <c r="J517" i="42"/>
  <c r="K516" i="42"/>
  <c r="L516" i="42" s="1"/>
  <c r="L517" i="40"/>
  <c r="M516" i="40"/>
  <c r="N516" i="40" s="1"/>
  <c r="K517" i="42"/>
  <c r="J518" i="42"/>
  <c r="M517" i="42"/>
  <c r="M517" i="40"/>
  <c r="N517" i="40"/>
  <c r="L518" i="40"/>
  <c r="J519" i="42"/>
  <c r="K518" i="42"/>
  <c r="L518" i="42" s="1"/>
  <c r="M518" i="42"/>
  <c r="L519" i="40"/>
  <c r="M518" i="40"/>
  <c r="N518" i="40" s="1"/>
  <c r="M519" i="42"/>
  <c r="K519" i="42"/>
  <c r="L519" i="42" s="1"/>
  <c r="J520" i="42"/>
  <c r="M519" i="40"/>
  <c r="N519" i="40"/>
  <c r="L520" i="40"/>
  <c r="M520" i="42"/>
  <c r="J521" i="42"/>
  <c r="K520" i="42"/>
  <c r="L521" i="40"/>
  <c r="M520" i="40"/>
  <c r="N520" i="40" s="1"/>
  <c r="K521" i="42"/>
  <c r="L521" i="42" s="1"/>
  <c r="J522" i="42"/>
  <c r="M521" i="42"/>
  <c r="M521" i="40"/>
  <c r="L522" i="40"/>
  <c r="N521" i="40"/>
  <c r="J523" i="42"/>
  <c r="K522" i="42"/>
  <c r="L522" i="42" s="1"/>
  <c r="M522" i="42"/>
  <c r="L523" i="40"/>
  <c r="M522" i="40"/>
  <c r="N522" i="40" s="1"/>
  <c r="M523" i="42"/>
  <c r="K523" i="42"/>
  <c r="L523" i="42" s="1"/>
  <c r="J524" i="42"/>
  <c r="L524" i="40"/>
  <c r="M523" i="40"/>
  <c r="N523" i="40" s="1"/>
  <c r="M524" i="42"/>
  <c r="J525" i="42"/>
  <c r="K524" i="42"/>
  <c r="L524" i="42" s="1"/>
  <c r="M524" i="40"/>
  <c r="N524" i="40" s="1"/>
  <c r="L525" i="40"/>
  <c r="M525" i="42"/>
  <c r="J526" i="42"/>
  <c r="K525" i="42"/>
  <c r="L525" i="42" s="1"/>
  <c r="L526" i="40"/>
  <c r="M525" i="40"/>
  <c r="N525" i="40" s="1"/>
  <c r="J527" i="42"/>
  <c r="K526" i="42"/>
  <c r="L526" i="42" s="1"/>
  <c r="M526" i="42"/>
  <c r="L527" i="40"/>
  <c r="M526" i="40"/>
  <c r="N526" i="40" s="1"/>
  <c r="J528" i="42"/>
  <c r="M527" i="42"/>
  <c r="K527" i="42"/>
  <c r="L527" i="42" s="1"/>
  <c r="M527" i="40"/>
  <c r="N527" i="40"/>
  <c r="L528" i="40"/>
  <c r="M528" i="42"/>
  <c r="K528" i="42"/>
  <c r="J529" i="42"/>
  <c r="L529" i="40"/>
  <c r="M528" i="40"/>
  <c r="N528" i="40" s="1"/>
  <c r="K529" i="42"/>
  <c r="L529" i="42" s="1"/>
  <c r="J530" i="42"/>
  <c r="M529" i="42"/>
  <c r="L530" i="40"/>
  <c r="M529" i="40"/>
  <c r="N529" i="40"/>
  <c r="J531" i="42"/>
  <c r="M530" i="42"/>
  <c r="K530" i="42"/>
  <c r="L530" i="42" s="1"/>
  <c r="L531" i="40"/>
  <c r="M530" i="40"/>
  <c r="N530" i="40" s="1"/>
  <c r="J532" i="42"/>
  <c r="K531" i="42"/>
  <c r="L531" i="42" s="1"/>
  <c r="M531" i="42"/>
  <c r="L532" i="40"/>
  <c r="M531" i="40"/>
  <c r="N531" i="40" s="1"/>
  <c r="K532" i="42"/>
  <c r="L532" i="42" s="1"/>
  <c r="M532" i="42"/>
  <c r="J533" i="42"/>
  <c r="M532" i="40"/>
  <c r="N532" i="40"/>
  <c r="L533" i="40"/>
  <c r="K533" i="42"/>
  <c r="M533" i="42"/>
  <c r="J534" i="42"/>
  <c r="L534" i="40"/>
  <c r="M533" i="40"/>
  <c r="N533" i="40" s="1"/>
  <c r="M534" i="42"/>
  <c r="K534" i="42"/>
  <c r="L534" i="42" s="1"/>
  <c r="J535" i="42"/>
  <c r="L535" i="40"/>
  <c r="M534" i="40"/>
  <c r="N534" i="40" s="1"/>
  <c r="K535" i="42"/>
  <c r="L535" i="42" s="1"/>
  <c r="M535" i="42"/>
  <c r="J536" i="42"/>
  <c r="M535" i="40"/>
  <c r="N535" i="40"/>
  <c r="L536" i="40"/>
  <c r="M536" i="42"/>
  <c r="K536" i="42"/>
  <c r="L536" i="42" s="1"/>
  <c r="J537" i="42"/>
  <c r="L537" i="40"/>
  <c r="M536" i="40"/>
  <c r="N536" i="40" s="1"/>
  <c r="M537" i="42"/>
  <c r="J538" i="42"/>
  <c r="K537" i="42"/>
  <c r="L537" i="42" s="1"/>
  <c r="L538" i="40"/>
  <c r="M537" i="40"/>
  <c r="N537" i="40" s="1"/>
  <c r="M538" i="42"/>
  <c r="K538" i="42"/>
  <c r="L538" i="42" s="1"/>
  <c r="J539" i="42"/>
  <c r="L539" i="40"/>
  <c r="M538" i="40"/>
  <c r="N538" i="40" s="1"/>
  <c r="M539" i="42"/>
  <c r="J540" i="42"/>
  <c r="K539" i="42"/>
  <c r="L539" i="42" s="1"/>
  <c r="M539" i="40"/>
  <c r="N539" i="40"/>
  <c r="L540" i="40"/>
  <c r="K540" i="42"/>
  <c r="L540" i="42" s="1"/>
  <c r="J541" i="42"/>
  <c r="M540" i="42"/>
  <c r="L541" i="40"/>
  <c r="M540" i="40"/>
  <c r="N540" i="40"/>
  <c r="K541" i="42"/>
  <c r="L541" i="42" s="1"/>
  <c r="J542" i="42"/>
  <c r="M541" i="42"/>
  <c r="M541" i="40"/>
  <c r="L542" i="40"/>
  <c r="N541" i="40"/>
  <c r="K542" i="42"/>
  <c r="M542" i="42"/>
  <c r="J543" i="42"/>
  <c r="L543" i="40"/>
  <c r="M542" i="40"/>
  <c r="N542" i="40" s="1"/>
  <c r="K543" i="42"/>
  <c r="L543" i="42" s="1"/>
  <c r="J544" i="42"/>
  <c r="M543" i="42"/>
  <c r="L544" i="40"/>
  <c r="M543" i="40"/>
  <c r="N543" i="40" s="1"/>
  <c r="M544" i="42"/>
  <c r="K544" i="42"/>
  <c r="J545" i="42"/>
  <c r="L545" i="40"/>
  <c r="M544" i="40"/>
  <c r="N544" i="40" s="1"/>
  <c r="J546" i="42"/>
  <c r="K545" i="42"/>
  <c r="L545" i="42" s="1"/>
  <c r="M545" i="42"/>
  <c r="L546" i="40"/>
  <c r="M545" i="40"/>
  <c r="N545" i="40" s="1"/>
  <c r="K546" i="42"/>
  <c r="L546" i="42" s="1"/>
  <c r="M546" i="42"/>
  <c r="J547" i="42"/>
  <c r="L547" i="40"/>
  <c r="M546" i="40"/>
  <c r="N546" i="40" s="1"/>
  <c r="J548" i="42"/>
  <c r="M547" i="42"/>
  <c r="K547" i="42"/>
  <c r="L547" i="42" s="1"/>
  <c r="M547" i="40"/>
  <c r="N547" i="40"/>
  <c r="L548" i="40"/>
  <c r="M548" i="42"/>
  <c r="J549" i="42"/>
  <c r="K548" i="42"/>
  <c r="L549" i="40"/>
  <c r="M548" i="40"/>
  <c r="N548" i="40" s="1"/>
  <c r="J550" i="42"/>
  <c r="M549" i="42"/>
  <c r="K549" i="42"/>
  <c r="M549" i="40"/>
  <c r="N549" i="40"/>
  <c r="L550" i="40"/>
  <c r="K550" i="42"/>
  <c r="L550" i="42" s="1"/>
  <c r="J551" i="42"/>
  <c r="M550" i="42"/>
  <c r="L551" i="40"/>
  <c r="M550" i="40"/>
  <c r="N550" i="40" s="1"/>
  <c r="K551" i="42"/>
  <c r="L551" i="42" s="1"/>
  <c r="M551" i="42"/>
  <c r="J552" i="42"/>
  <c r="M551" i="40"/>
  <c r="N551" i="40"/>
  <c r="L552" i="40"/>
  <c r="K552" i="42"/>
  <c r="J553" i="42"/>
  <c r="M552" i="42"/>
  <c r="L553" i="40"/>
  <c r="M552" i="40"/>
  <c r="N552" i="40" s="1"/>
  <c r="J554" i="42"/>
  <c r="M553" i="42"/>
  <c r="K553" i="42"/>
  <c r="L554" i="40"/>
  <c r="M553" i="40"/>
  <c r="N553" i="40"/>
  <c r="K554" i="42"/>
  <c r="L554" i="42" s="1"/>
  <c r="J555" i="42"/>
  <c r="M554" i="42"/>
  <c r="L555" i="40"/>
  <c r="M554" i="40"/>
  <c r="N554" i="40" s="1"/>
  <c r="M555" i="42"/>
  <c r="J556" i="42"/>
  <c r="K555" i="42"/>
  <c r="L555" i="42" s="1"/>
  <c r="M555" i="40"/>
  <c r="N555" i="40"/>
  <c r="L556" i="40"/>
  <c r="M556" i="42"/>
  <c r="K556" i="42"/>
  <c r="J557" i="42"/>
  <c r="L557" i="40"/>
  <c r="M556" i="40"/>
  <c r="N556" i="40" s="1"/>
  <c r="K557" i="42"/>
  <c r="L557" i="42" s="1"/>
  <c r="J558" i="42"/>
  <c r="M557" i="42"/>
  <c r="L558" i="40"/>
  <c r="M557" i="40"/>
  <c r="N557" i="40"/>
  <c r="J559" i="42"/>
  <c r="K558" i="42"/>
  <c r="L558" i="42" s="1"/>
  <c r="M558" i="42"/>
  <c r="M558" i="40"/>
  <c r="N558" i="40" s="1"/>
  <c r="L559" i="40"/>
  <c r="J560" i="42"/>
  <c r="M559" i="42"/>
  <c r="K559" i="42"/>
  <c r="L559" i="42" s="1"/>
  <c r="L560" i="40"/>
  <c r="M559" i="40"/>
  <c r="N559" i="40" s="1"/>
  <c r="M560" i="42"/>
  <c r="J561" i="42"/>
  <c r="K560" i="42"/>
  <c r="L560" i="42" s="1"/>
  <c r="L561" i="40"/>
  <c r="M560" i="40"/>
  <c r="N560" i="40"/>
  <c r="K561" i="42"/>
  <c r="L561" i="42" s="1"/>
  <c r="J562" i="42"/>
  <c r="M561" i="42"/>
  <c r="L562" i="40"/>
  <c r="M561" i="40"/>
  <c r="N561" i="40" s="1"/>
  <c r="J563" i="42"/>
  <c r="K562" i="42"/>
  <c r="L562" i="42" s="1"/>
  <c r="M562" i="42"/>
  <c r="M562" i="40"/>
  <c r="N562" i="40" s="1"/>
  <c r="L563" i="40"/>
  <c r="M563" i="42"/>
  <c r="K563" i="42"/>
  <c r="L563" i="42" s="1"/>
  <c r="J564" i="42"/>
  <c r="M563" i="40"/>
  <c r="N563" i="40" s="1"/>
  <c r="L564" i="40"/>
  <c r="K564" i="42"/>
  <c r="M564" i="42"/>
  <c r="J565" i="42"/>
  <c r="M564" i="40"/>
  <c r="L565" i="40"/>
  <c r="N564" i="40"/>
  <c r="M565" i="42"/>
  <c r="K565" i="42"/>
  <c r="L565" i="42" s="1"/>
  <c r="J566" i="42"/>
  <c r="M565" i="40"/>
  <c r="N565" i="40" s="1"/>
  <c r="L566" i="40"/>
  <c r="M566" i="42"/>
  <c r="K566" i="42"/>
  <c r="L566" i="42" s="1"/>
  <c r="J567" i="42"/>
  <c r="L567" i="40"/>
  <c r="M566" i="40"/>
  <c r="N566" i="40" s="1"/>
  <c r="J568" i="42"/>
  <c r="K567" i="42"/>
  <c r="L567" i="42" s="1"/>
  <c r="M567" i="42"/>
  <c r="M567" i="40"/>
  <c r="N567" i="40" s="1"/>
  <c r="L568" i="40"/>
  <c r="J569" i="42"/>
  <c r="M568" i="42"/>
  <c r="K568" i="42"/>
  <c r="M568" i="40"/>
  <c r="L569" i="40"/>
  <c r="N568" i="40"/>
  <c r="J570" i="42"/>
  <c r="K569" i="42"/>
  <c r="L569" i="42" s="1"/>
  <c r="M569" i="42"/>
  <c r="M569" i="40"/>
  <c r="N569" i="40"/>
  <c r="L570" i="40"/>
  <c r="K570" i="42"/>
  <c r="L570" i="42" s="1"/>
  <c r="M570" i="42"/>
  <c r="J571" i="42"/>
  <c r="L571" i="40"/>
  <c r="M570" i="40"/>
  <c r="N570" i="40" s="1"/>
  <c r="M571" i="42"/>
  <c r="K571" i="42"/>
  <c r="L571" i="42" s="1"/>
  <c r="J572" i="42"/>
  <c r="M571" i="40"/>
  <c r="N571" i="40" s="1"/>
  <c r="L572" i="40"/>
  <c r="M572" i="42"/>
  <c r="K572" i="42"/>
  <c r="L572" i="42" s="1"/>
  <c r="J573" i="42"/>
  <c r="M572" i="40"/>
  <c r="L573" i="40"/>
  <c r="N572" i="40"/>
  <c r="K573" i="42"/>
  <c r="M573" i="42"/>
  <c r="J574" i="42"/>
  <c r="M573" i="40"/>
  <c r="L574" i="40"/>
  <c r="N573" i="40"/>
  <c r="J575" i="42"/>
  <c r="M574" i="42"/>
  <c r="K574" i="42"/>
  <c r="M574" i="40"/>
  <c r="N574" i="40" s="1"/>
  <c r="L575" i="40"/>
  <c r="J576" i="42"/>
  <c r="K575" i="42"/>
  <c r="M575" i="42"/>
  <c r="M575" i="40"/>
  <c r="N575" i="40" s="1"/>
  <c r="L576" i="40"/>
  <c r="K576" i="42"/>
  <c r="L576" i="42" s="1"/>
  <c r="M576" i="42"/>
  <c r="J577" i="42"/>
  <c r="L577" i="40"/>
  <c r="M576" i="40"/>
  <c r="N576" i="40"/>
  <c r="K577" i="42"/>
  <c r="L577" i="42" s="1"/>
  <c r="M577" i="42"/>
  <c r="J578" i="42"/>
  <c r="M577" i="40"/>
  <c r="N577" i="40" s="1"/>
  <c r="L578" i="40"/>
  <c r="J579" i="42"/>
  <c r="K578" i="42"/>
  <c r="L578" i="42" s="1"/>
  <c r="M578" i="42"/>
  <c r="M578" i="40"/>
  <c r="N578" i="40" s="1"/>
  <c r="L579" i="40"/>
  <c r="J580" i="42"/>
  <c r="K579" i="42"/>
  <c r="L579" i="42" s="1"/>
  <c r="M579" i="42"/>
  <c r="L580" i="40"/>
  <c r="M579" i="40"/>
  <c r="N579" i="40" s="1"/>
  <c r="M580" i="42"/>
  <c r="J581" i="42"/>
  <c r="K580" i="42"/>
  <c r="L580" i="42" s="1"/>
  <c r="L581" i="40"/>
  <c r="M580" i="40"/>
  <c r="N580" i="40" s="1"/>
  <c r="K581" i="42"/>
  <c r="L581" i="42" s="1"/>
  <c r="M581" i="42"/>
  <c r="M581" i="40"/>
  <c r="N581" i="40" s="1"/>
  <c r="L582" i="40"/>
  <c r="L583" i="40"/>
  <c r="M582" i="40"/>
  <c r="N582" i="40"/>
  <c r="L584" i="40"/>
  <c r="M583" i="40"/>
  <c r="N583" i="40"/>
  <c r="M584" i="40"/>
  <c r="N584" i="40" s="1"/>
  <c r="L585" i="40"/>
  <c r="M585" i="40"/>
  <c r="N585" i="40" s="1"/>
  <c r="O11" i="32" l="1"/>
  <c r="N11" i="32"/>
  <c r="D12" i="36"/>
  <c r="D24" i="36"/>
  <c r="O10" i="32"/>
  <c r="D33" i="36"/>
  <c r="D16" i="36"/>
  <c r="D55" i="36"/>
  <c r="O13" i="32"/>
  <c r="O19" i="32"/>
  <c r="O23" i="32"/>
  <c r="D11" i="32"/>
  <c r="D13" i="36"/>
  <c r="D53" i="36"/>
  <c r="O20" i="32"/>
  <c r="D37" i="36"/>
  <c r="D26" i="36"/>
  <c r="O6" i="32"/>
  <c r="D49" i="36"/>
  <c r="O22" i="32"/>
  <c r="D43" i="36"/>
  <c r="O25" i="32"/>
  <c r="D41" i="36"/>
  <c r="D42" i="36"/>
  <c r="D18" i="36"/>
  <c r="D28" i="36"/>
  <c r="O15" i="32"/>
  <c r="D45" i="36"/>
  <c r="F4" i="32"/>
  <c r="O4" i="32" s="1"/>
  <c r="D44" i="36"/>
  <c r="H2" i="42"/>
  <c r="D52" i="36"/>
  <c r="D20" i="36"/>
  <c r="D51" i="36"/>
  <c r="D38" i="36"/>
  <c r="D27" i="36"/>
  <c r="D31" i="36"/>
  <c r="A3" i="35"/>
  <c r="D58" i="36"/>
  <c r="O27" i="32"/>
  <c r="D36" i="36"/>
  <c r="D46" i="36"/>
  <c r="D30" i="36"/>
  <c r="D25" i="36"/>
  <c r="D29" i="36"/>
  <c r="D59" i="36"/>
  <c r="A4" i="35"/>
  <c r="D11" i="36"/>
  <c r="D48" i="36"/>
  <c r="N10" i="32"/>
  <c r="D17" i="36"/>
  <c r="D50" i="36"/>
  <c r="D39" i="36"/>
  <c r="D32" i="36"/>
  <c r="D19" i="36"/>
  <c r="O21" i="32"/>
  <c r="D57" i="36"/>
  <c r="D21" i="36"/>
  <c r="O24" i="32"/>
  <c r="O2" i="32"/>
  <c r="D34" i="36"/>
  <c r="D15" i="36"/>
  <c r="D56" i="36"/>
  <c r="D22" i="36"/>
  <c r="D47" i="36"/>
  <c r="O12" i="32"/>
  <c r="D14" i="36"/>
  <c r="D54" i="36"/>
  <c r="D35" i="36"/>
  <c r="D40" i="36"/>
  <c r="D23" i="36"/>
  <c r="D10" i="32"/>
  <c r="A3" i="42"/>
  <c r="O14" i="32"/>
  <c r="N565" i="42"/>
  <c r="L553" i="42"/>
  <c r="L549" i="42"/>
  <c r="N537" i="42"/>
  <c r="N525" i="42"/>
  <c r="N509" i="42"/>
  <c r="L505" i="42"/>
  <c r="N501" i="42"/>
  <c r="N497" i="42"/>
  <c r="L489" i="42"/>
  <c r="N485" i="42"/>
  <c r="N481" i="42"/>
  <c r="N477" i="42"/>
  <c r="N473" i="42"/>
  <c r="N469" i="42"/>
  <c r="N461" i="42"/>
  <c r="L457" i="42"/>
  <c r="N453" i="42"/>
  <c r="N449" i="42"/>
  <c r="N433" i="42"/>
  <c r="N421" i="42"/>
  <c r="L417" i="42"/>
  <c r="N413" i="42"/>
  <c r="N405" i="42"/>
  <c r="N397" i="42"/>
  <c r="N393" i="42"/>
  <c r="N377" i="42"/>
  <c r="N365" i="42"/>
  <c r="N361" i="42"/>
  <c r="N345" i="42"/>
  <c r="L337" i="42"/>
  <c r="L329" i="42"/>
  <c r="L317" i="42"/>
  <c r="N309" i="42"/>
  <c r="N297" i="42"/>
  <c r="L289" i="42"/>
  <c r="N285" i="42"/>
  <c r="L281" i="42"/>
  <c r="N265" i="42"/>
  <c r="N257" i="42"/>
  <c r="N245" i="42"/>
  <c r="N237" i="42"/>
  <c r="L229" i="42"/>
  <c r="L221" i="42"/>
  <c r="N209" i="42"/>
  <c r="L205" i="42"/>
  <c r="L197" i="42"/>
  <c r="N169" i="42"/>
  <c r="N165" i="42"/>
  <c r="L161" i="42"/>
  <c r="L157" i="42"/>
  <c r="L145" i="42"/>
  <c r="L141" i="42"/>
  <c r="L129" i="42"/>
  <c r="L125" i="42"/>
  <c r="N109" i="42"/>
  <c r="N101" i="42"/>
  <c r="L97" i="42"/>
  <c r="N93" i="42"/>
  <c r="N81" i="42"/>
  <c r="N65" i="42"/>
  <c r="N61" i="42"/>
  <c r="N57" i="42"/>
  <c r="N41" i="42"/>
  <c r="N37" i="42"/>
  <c r="N25" i="42"/>
  <c r="N21" i="42"/>
  <c r="N13" i="42"/>
  <c r="N4" i="42"/>
  <c r="E28" i="36"/>
  <c r="F28" i="36" s="1"/>
  <c r="E20" i="36"/>
  <c r="F20" i="36" s="1"/>
  <c r="C4" i="35"/>
  <c r="D4" i="35"/>
  <c r="F17" i="39"/>
  <c r="E54" i="36"/>
  <c r="F54" i="36" s="1"/>
  <c r="N460" i="42"/>
  <c r="L364" i="42"/>
  <c r="N332" i="42"/>
  <c r="L324" i="42"/>
  <c r="N304" i="42"/>
  <c r="N292" i="42"/>
  <c r="L268" i="42"/>
  <c r="L252" i="42"/>
  <c r="L224" i="42"/>
  <c r="N204" i="42"/>
  <c r="N188" i="42"/>
  <c r="N172" i="42"/>
  <c r="L152" i="42"/>
  <c r="N132" i="42"/>
  <c r="N124" i="42"/>
  <c r="N116" i="42"/>
  <c r="N108" i="42"/>
  <c r="N100" i="42"/>
  <c r="L88" i="42"/>
  <c r="N76" i="42"/>
  <c r="L64" i="42"/>
  <c r="N44" i="42"/>
  <c r="L32" i="42"/>
  <c r="N12" i="42"/>
  <c r="AB39" i="32"/>
  <c r="E43" i="36"/>
  <c r="F43" i="36" s="1"/>
  <c r="E30" i="36"/>
  <c r="F30" i="36" s="1"/>
  <c r="N2" i="40"/>
  <c r="N581" i="42"/>
  <c r="N577" i="42"/>
  <c r="L573" i="42"/>
  <c r="N569" i="42"/>
  <c r="N561" i="42"/>
  <c r="N557" i="42"/>
  <c r="N545" i="42"/>
  <c r="N541" i="42"/>
  <c r="L533" i="42"/>
  <c r="N529" i="42"/>
  <c r="N521" i="42"/>
  <c r="L517" i="42"/>
  <c r="N513" i="42"/>
  <c r="N493" i="42"/>
  <c r="L465" i="42"/>
  <c r="L445" i="42"/>
  <c r="N441" i="42"/>
  <c r="N437" i="42"/>
  <c r="N429" i="42"/>
  <c r="N425" i="42"/>
  <c r="N409" i="42"/>
  <c r="N401" i="42"/>
  <c r="N389" i="42"/>
  <c r="L385" i="42"/>
  <c r="L381" i="42"/>
  <c r="L373" i="42"/>
  <c r="N369" i="42"/>
  <c r="N357" i="42"/>
  <c r="N353" i="42"/>
  <c r="N349" i="42"/>
  <c r="N341" i="42"/>
  <c r="N333" i="42"/>
  <c r="N325" i="42"/>
  <c r="L321" i="42"/>
  <c r="N313" i="42"/>
  <c r="L305" i="42"/>
  <c r="N301" i="42"/>
  <c r="N293" i="42"/>
  <c r="N277" i="42"/>
  <c r="L273" i="42"/>
  <c r="N269" i="42"/>
  <c r="N261" i="42"/>
  <c r="L253" i="42"/>
  <c r="L249" i="42"/>
  <c r="L241" i="42"/>
  <c r="N233" i="42"/>
  <c r="N225" i="42"/>
  <c r="L217" i="42"/>
  <c r="L213" i="42"/>
  <c r="L201" i="42"/>
  <c r="N193" i="42"/>
  <c r="L189" i="42"/>
  <c r="N185" i="42"/>
  <c r="L181" i="42"/>
  <c r="L177" i="42"/>
  <c r="N173" i="42"/>
  <c r="N153" i="42"/>
  <c r="L149" i="42"/>
  <c r="L137" i="42"/>
  <c r="L133" i="42"/>
  <c r="N121" i="42"/>
  <c r="L117" i="42"/>
  <c r="L113" i="42"/>
  <c r="L105" i="42"/>
  <c r="L89" i="42"/>
  <c r="N85" i="42"/>
  <c r="N77" i="42"/>
  <c r="N73" i="42"/>
  <c r="N69" i="42"/>
  <c r="N53" i="42"/>
  <c r="N49" i="42"/>
  <c r="N45" i="42"/>
  <c r="N33" i="42"/>
  <c r="N29" i="42"/>
  <c r="N17" i="42"/>
  <c r="N9" i="42"/>
  <c r="E33" i="36"/>
  <c r="F33" i="36" s="1"/>
  <c r="E49" i="36"/>
  <c r="F49" i="36" s="1"/>
  <c r="E51" i="36"/>
  <c r="F51" i="36" s="1"/>
  <c r="E36" i="36"/>
  <c r="F36" i="36" s="1"/>
  <c r="E11" i="36"/>
  <c r="F11" i="36" s="1"/>
  <c r="E32" i="36"/>
  <c r="F32" i="36" s="1"/>
  <c r="E34" i="36"/>
  <c r="F34" i="36" s="1"/>
  <c r="E35" i="36"/>
  <c r="F35" i="36" s="1"/>
  <c r="L456" i="42"/>
  <c r="L360" i="42"/>
  <c r="N328" i="42"/>
  <c r="L320" i="42"/>
  <c r="L284" i="42"/>
  <c r="N260" i="42"/>
  <c r="N244" i="42"/>
  <c r="L232" i="42"/>
  <c r="N208" i="42"/>
  <c r="N176" i="42"/>
  <c r="N148" i="42"/>
  <c r="L136" i="42"/>
  <c r="L120" i="42"/>
  <c r="N104" i="42"/>
  <c r="L80" i="42"/>
  <c r="N60" i="42"/>
  <c r="N52" i="42"/>
  <c r="N36" i="42"/>
  <c r="N28" i="42"/>
  <c r="C13" i="32"/>
  <c r="E53" i="36"/>
  <c r="F53" i="36" s="1"/>
  <c r="E56" i="36"/>
  <c r="F56" i="36" s="1"/>
  <c r="N580" i="42"/>
  <c r="N572" i="42"/>
  <c r="L568" i="42"/>
  <c r="N560" i="42"/>
  <c r="L556" i="42"/>
  <c r="L548" i="42"/>
  <c r="L544" i="42"/>
  <c r="N536" i="42"/>
  <c r="L528" i="42"/>
  <c r="N524" i="42"/>
  <c r="L520" i="42"/>
  <c r="N516" i="42"/>
  <c r="N508" i="42"/>
  <c r="L504" i="42"/>
  <c r="N500" i="42"/>
  <c r="N492" i="42"/>
  <c r="L488" i="42"/>
  <c r="N484" i="42"/>
  <c r="L480" i="42"/>
  <c r="L444" i="42"/>
  <c r="L440" i="42"/>
  <c r="L432" i="42"/>
  <c r="L420" i="42"/>
  <c r="N416" i="42"/>
  <c r="N412" i="42"/>
  <c r="N408" i="42"/>
  <c r="N404" i="42"/>
  <c r="N392" i="42"/>
  <c r="N388" i="42"/>
  <c r="N380" i="42"/>
  <c r="N376" i="42"/>
  <c r="N372" i="42"/>
  <c r="N352" i="42"/>
  <c r="N344" i="42"/>
  <c r="N340" i="42"/>
  <c r="L316" i="42"/>
  <c r="L312" i="42"/>
  <c r="N308" i="42"/>
  <c r="L296" i="42"/>
  <c r="L280" i="42"/>
  <c r="N276" i="42"/>
  <c r="L272" i="42"/>
  <c r="L264" i="42"/>
  <c r="L248" i="42"/>
  <c r="N240" i="42"/>
  <c r="N236" i="42"/>
  <c r="N228" i="42"/>
  <c r="N220" i="42"/>
  <c r="L216" i="42"/>
  <c r="N212" i="42"/>
  <c r="N200" i="42"/>
  <c r="N196" i="42"/>
  <c r="N192" i="42"/>
  <c r="L184" i="42"/>
  <c r="L168" i="42"/>
  <c r="N164" i="42"/>
  <c r="N160" i="42"/>
  <c r="N156" i="42"/>
  <c r="N140" i="42"/>
  <c r="N96" i="42"/>
  <c r="N84" i="42"/>
  <c r="N68" i="42"/>
  <c r="L56" i="42"/>
  <c r="L40" i="42"/>
  <c r="L24" i="42"/>
  <c r="N16" i="42"/>
  <c r="N8" i="42"/>
  <c r="L5" i="42"/>
  <c r="C21" i="32"/>
  <c r="E16" i="36"/>
  <c r="F16" i="36" s="1"/>
  <c r="E13" i="36"/>
  <c r="F13" i="36" s="1"/>
  <c r="E45" i="36"/>
  <c r="F45" i="36" s="1"/>
  <c r="E38" i="36"/>
  <c r="F38" i="36" s="1"/>
  <c r="E46" i="36"/>
  <c r="F46" i="36" s="1"/>
  <c r="E48" i="36"/>
  <c r="F48" i="36" s="1"/>
  <c r="E19" i="36"/>
  <c r="F19" i="36" s="1"/>
  <c r="E15" i="36"/>
  <c r="F15" i="36" s="1"/>
  <c r="E40" i="36"/>
  <c r="F40" i="36" s="1"/>
  <c r="N452" i="42"/>
  <c r="N396" i="42"/>
  <c r="L368" i="42"/>
  <c r="N356" i="42"/>
  <c r="L348" i="42"/>
  <c r="L336" i="42"/>
  <c r="L288" i="42"/>
  <c r="L256" i="42"/>
  <c r="L180" i="42"/>
  <c r="N144" i="42"/>
  <c r="L128" i="42"/>
  <c r="L112" i="42"/>
  <c r="N92" i="42"/>
  <c r="N72" i="42"/>
  <c r="L48" i="42"/>
  <c r="N20" i="42"/>
  <c r="E55" i="36"/>
  <c r="F55" i="36" s="1"/>
  <c r="E27" i="36"/>
  <c r="F27" i="36" s="1"/>
  <c r="E23" i="36"/>
  <c r="F23" i="36" s="1"/>
  <c r="N576" i="42"/>
  <c r="L564" i="42"/>
  <c r="L552" i="42"/>
  <c r="N540" i="42"/>
  <c r="N532" i="42"/>
  <c r="L512" i="42"/>
  <c r="N496" i="42"/>
  <c r="N476" i="42"/>
  <c r="L472" i="42"/>
  <c r="L468" i="42"/>
  <c r="N464" i="42"/>
  <c r="L448" i="42"/>
  <c r="N436" i="42"/>
  <c r="L428" i="42"/>
  <c r="L424" i="42"/>
  <c r="L400" i="42"/>
  <c r="L384" i="42"/>
  <c r="N300" i="42"/>
  <c r="N571" i="42"/>
  <c r="N563" i="42"/>
  <c r="N559" i="42"/>
  <c r="N555" i="42"/>
  <c r="N547" i="42"/>
  <c r="N539" i="42"/>
  <c r="N527" i="42"/>
  <c r="N523" i="42"/>
  <c r="N519" i="42"/>
  <c r="N515" i="42"/>
  <c r="L511" i="42"/>
  <c r="N507" i="42"/>
  <c r="N503" i="42"/>
  <c r="L495" i="42"/>
  <c r="N491" i="42"/>
  <c r="L479" i="42"/>
  <c r="L471" i="42"/>
  <c r="N451" i="42"/>
  <c r="L447" i="42"/>
  <c r="N443" i="42"/>
  <c r="L431" i="42"/>
  <c r="N427" i="42"/>
  <c r="N579" i="42"/>
  <c r="N570" i="42"/>
  <c r="N506" i="42"/>
  <c r="L494" i="42"/>
  <c r="N483" i="42"/>
  <c r="N419" i="42"/>
  <c r="N411" i="42"/>
  <c r="N395" i="42"/>
  <c r="N387" i="42"/>
  <c r="N371" i="42"/>
  <c r="N363" i="42"/>
  <c r="N355" i="42"/>
  <c r="N347" i="42"/>
  <c r="N323" i="42"/>
  <c r="N315" i="42"/>
  <c r="N291" i="42"/>
  <c r="N283" i="42"/>
  <c r="N275" i="42"/>
  <c r="N267" i="42"/>
  <c r="N259" i="42"/>
  <c r="N243" i="42"/>
  <c r="N235" i="42"/>
  <c r="N227" i="42"/>
  <c r="N219" i="42"/>
  <c r="N211" i="42"/>
  <c r="N203" i="42"/>
  <c r="N187" i="42"/>
  <c r="N171" i="42"/>
  <c r="N155" i="42"/>
  <c r="N147" i="42"/>
  <c r="N139" i="42"/>
  <c r="N131" i="42"/>
  <c r="N123" i="42"/>
  <c r="N99" i="42"/>
  <c r="N83" i="42"/>
  <c r="N59" i="42"/>
  <c r="N11" i="42"/>
  <c r="E24" i="36"/>
  <c r="F24" i="36" s="1"/>
  <c r="C44" i="32"/>
  <c r="E26" i="36"/>
  <c r="F26" i="36" s="1"/>
  <c r="E18" i="36"/>
  <c r="F18" i="36" s="1"/>
  <c r="E52" i="36"/>
  <c r="F52" i="36" s="1"/>
  <c r="M49" i="38"/>
  <c r="E59" i="36"/>
  <c r="F59" i="36" s="1"/>
  <c r="E39" i="36"/>
  <c r="F39" i="36" s="1"/>
  <c r="N354" i="42"/>
  <c r="N330" i="42"/>
  <c r="N314" i="42"/>
  <c r="N298" i="42"/>
  <c r="N274" i="42"/>
  <c r="N194" i="42"/>
  <c r="L178" i="42"/>
  <c r="N162" i="42"/>
  <c r="N146" i="42"/>
  <c r="N115" i="42"/>
  <c r="N91" i="42"/>
  <c r="N75" i="42"/>
  <c r="N67" i="42"/>
  <c r="N51" i="42"/>
  <c r="N35" i="42"/>
  <c r="N27" i="42"/>
  <c r="C19" i="32"/>
  <c r="N578" i="42"/>
  <c r="N546" i="42"/>
  <c r="N534" i="42"/>
  <c r="N514" i="42"/>
  <c r="N502" i="42"/>
  <c r="N482" i="42"/>
  <c r="N459" i="42"/>
  <c r="N438" i="42"/>
  <c r="N418" i="42"/>
  <c r="N410" i="42"/>
  <c r="N394" i="42"/>
  <c r="N370" i="42"/>
  <c r="N346" i="42"/>
  <c r="N322" i="42"/>
  <c r="N290" i="42"/>
  <c r="N258" i="42"/>
  <c r="N250" i="42"/>
  <c r="N242" i="42"/>
  <c r="N218" i="42"/>
  <c r="N210" i="42"/>
  <c r="N114" i="42"/>
  <c r="N98" i="42"/>
  <c r="N74" i="42"/>
  <c r="N50" i="42"/>
  <c r="L575" i="42"/>
  <c r="N543" i="42"/>
  <c r="N415" i="42"/>
  <c r="L343" i="42"/>
  <c r="N311" i="42"/>
  <c r="N279" i="42"/>
  <c r="N263" i="42"/>
  <c r="N175" i="42"/>
  <c r="N151" i="42"/>
  <c r="N122" i="42"/>
  <c r="N34" i="42"/>
  <c r="N10" i="42"/>
  <c r="L574" i="42"/>
  <c r="N499" i="42"/>
  <c r="N467" i="42"/>
  <c r="N435" i="42"/>
  <c r="N391" i="42"/>
  <c r="N351" i="42"/>
  <c r="N327" i="42"/>
  <c r="N231" i="42"/>
  <c r="N215" i="42"/>
  <c r="N191" i="42"/>
  <c r="N143" i="42"/>
  <c r="N119" i="42"/>
  <c r="N95" i="42"/>
  <c r="E47" i="36"/>
  <c r="F47" i="36" s="1"/>
  <c r="N551" i="42"/>
  <c r="N498" i="42"/>
  <c r="L423" i="42"/>
  <c r="N390" i="42"/>
  <c r="N358" i="42"/>
  <c r="N286" i="42"/>
  <c r="N230" i="42"/>
  <c r="N206" i="42"/>
  <c r="N174" i="42"/>
  <c r="N135" i="42"/>
  <c r="N63" i="42"/>
  <c r="N39" i="42"/>
  <c r="N15" i="42"/>
  <c r="E25" i="36"/>
  <c r="F25" i="36" s="1"/>
  <c r="N466" i="42"/>
  <c r="L414" i="42"/>
  <c r="N310" i="42"/>
  <c r="N302" i="42"/>
  <c r="N278" i="42"/>
  <c r="N238" i="42"/>
  <c r="N198" i="42"/>
  <c r="N150" i="42"/>
  <c r="N54" i="42"/>
  <c r="F21" i="39"/>
  <c r="E41" i="36"/>
  <c r="F41" i="36" s="1"/>
  <c r="E50" i="36"/>
  <c r="F50" i="36" s="1"/>
  <c r="AC7" i="39"/>
  <c r="N567" i="42"/>
  <c r="N558" i="42"/>
  <c r="N535" i="42"/>
  <c r="N526" i="42"/>
  <c r="L462" i="42"/>
  <c r="N450" i="42"/>
  <c r="L439" i="42"/>
  <c r="N430" i="42"/>
  <c r="N402" i="42"/>
  <c r="N386" i="42"/>
  <c r="N362" i="42"/>
  <c r="N338" i="42"/>
  <c r="N306" i="42"/>
  <c r="N266" i="42"/>
  <c r="N170" i="42"/>
  <c r="N154" i="42"/>
  <c r="N107" i="42"/>
  <c r="N43" i="42"/>
  <c r="N19" i="42"/>
  <c r="N566" i="42"/>
  <c r="N234" i="42"/>
  <c r="N202" i="42"/>
  <c r="N106" i="42"/>
  <c r="N82" i="42"/>
  <c r="N18" i="42"/>
  <c r="N470" i="42"/>
  <c r="N426" i="42"/>
  <c r="N375" i="42"/>
  <c r="L335" i="42"/>
  <c r="L319" i="42"/>
  <c r="N295" i="42"/>
  <c r="L271" i="42"/>
  <c r="N183" i="42"/>
  <c r="N130" i="42"/>
  <c r="N90" i="42"/>
  <c r="N66" i="42"/>
  <c r="N42" i="42"/>
  <c r="N531" i="42"/>
  <c r="N490" i="42"/>
  <c r="N458" i="42"/>
  <c r="N399" i="42"/>
  <c r="N383" i="42"/>
  <c r="N359" i="42"/>
  <c r="N303" i="42"/>
  <c r="L239" i="42"/>
  <c r="N207" i="42"/>
  <c r="N159" i="42"/>
  <c r="E57" i="36"/>
  <c r="F57" i="36" s="1"/>
  <c r="L542" i="42"/>
  <c r="N455" i="42"/>
  <c r="L406" i="42"/>
  <c r="N374" i="42"/>
  <c r="N334" i="42"/>
  <c r="N246" i="42"/>
  <c r="N182" i="42"/>
  <c r="N127" i="42"/>
  <c r="N103" i="42"/>
  <c r="N71" i="42"/>
  <c r="N47" i="42"/>
  <c r="N23" i="42"/>
  <c r="N3" i="42"/>
  <c r="E17" i="36"/>
  <c r="F17" i="36" s="1"/>
  <c r="L486" i="42"/>
  <c r="N382" i="42"/>
  <c r="N350" i="42"/>
  <c r="L318" i="42"/>
  <c r="N294" i="42"/>
  <c r="N262" i="42"/>
  <c r="N222" i="42"/>
  <c r="N166" i="42"/>
  <c r="N118" i="42"/>
  <c r="N62" i="42"/>
  <c r="E14" i="36"/>
  <c r="F14" i="36" s="1"/>
  <c r="N378" i="42"/>
  <c r="N282" i="42"/>
  <c r="N226" i="42"/>
  <c r="N186" i="42"/>
  <c r="N138" i="42"/>
  <c r="C23" i="32"/>
  <c r="N167" i="42"/>
  <c r="N58" i="42"/>
  <c r="N26" i="42"/>
  <c r="E22" i="36"/>
  <c r="F22" i="36" s="1"/>
  <c r="N554" i="42"/>
  <c r="N522" i="42"/>
  <c r="N510" i="42"/>
  <c r="N478" i="42"/>
  <c r="N446" i="42"/>
  <c r="L407" i="42"/>
  <c r="N367" i="42"/>
  <c r="N287" i="42"/>
  <c r="N255" i="42"/>
  <c r="N223" i="42"/>
  <c r="N199" i="42"/>
  <c r="N79" i="42"/>
  <c r="C25" i="32"/>
  <c r="C3" i="42"/>
  <c r="N530" i="42"/>
  <c r="N487" i="42"/>
  <c r="N398" i="42"/>
  <c r="L366" i="42"/>
  <c r="N342" i="42"/>
  <c r="N254" i="42"/>
  <c r="N190" i="42"/>
  <c r="N142" i="42"/>
  <c r="N111" i="42"/>
  <c r="N87" i="42"/>
  <c r="N55" i="42"/>
  <c r="N31" i="42"/>
  <c r="N7" i="42"/>
  <c r="E21" i="36"/>
  <c r="F21" i="36" s="1"/>
  <c r="N562" i="42"/>
  <c r="N475" i="42"/>
  <c r="N434" i="42"/>
  <c r="L326" i="42"/>
  <c r="L270" i="42"/>
  <c r="N158" i="42"/>
  <c r="N94" i="42"/>
  <c r="N46" i="42"/>
  <c r="N22" i="42"/>
  <c r="C39" i="32"/>
  <c r="N247" i="42"/>
  <c r="E44" i="36"/>
  <c r="F44" i="36" s="1"/>
  <c r="E31" i="36"/>
  <c r="F31" i="36" s="1"/>
  <c r="N550" i="42"/>
  <c r="N538" i="42"/>
  <c r="N518" i="42"/>
  <c r="N474" i="42"/>
  <c r="N463" i="42"/>
  <c r="L454" i="42"/>
  <c r="N442" i="42"/>
  <c r="N422" i="42"/>
  <c r="N403" i="42"/>
  <c r="N379" i="42"/>
  <c r="N339" i="42"/>
  <c r="N331" i="42"/>
  <c r="N307" i="42"/>
  <c r="N299" i="42"/>
  <c r="N251" i="42"/>
  <c r="N195" i="42"/>
  <c r="N179" i="42"/>
  <c r="N163" i="42"/>
  <c r="N134" i="42"/>
  <c r="N126" i="42"/>
  <c r="N110" i="42"/>
  <c r="N102" i="42"/>
  <c r="N86" i="42"/>
  <c r="N78" i="42"/>
  <c r="N70" i="42"/>
  <c r="N38" i="42"/>
  <c r="N30" i="42"/>
  <c r="N14" i="42"/>
  <c r="N6" i="42"/>
  <c r="E12" i="36"/>
  <c r="F12" i="36" s="1"/>
  <c r="E37" i="36"/>
  <c r="F37" i="36" s="1"/>
  <c r="E42" i="36"/>
  <c r="F42" i="36" s="1"/>
  <c r="L2" i="42"/>
  <c r="N2" i="42" s="1"/>
  <c r="E58" i="36"/>
  <c r="F58" i="36" s="1"/>
  <c r="E29" i="36"/>
  <c r="F29" i="36" s="1"/>
  <c r="M45" i="38"/>
  <c r="N214" i="42"/>
  <c r="D40" i="29"/>
  <c r="D3" i="35"/>
  <c r="C44" i="29" s="1"/>
  <c r="C3" i="35"/>
  <c r="AD7" i="39"/>
  <c r="A4" i="42"/>
  <c r="D3" i="42"/>
  <c r="F3" i="42" s="1"/>
  <c r="C43" i="29"/>
  <c r="D41" i="29"/>
  <c r="D34" i="29"/>
  <c r="D36" i="29" s="1"/>
  <c r="C4" i="42"/>
  <c r="J48" i="35"/>
  <c r="H48" i="35" s="1"/>
  <c r="G44" i="35"/>
  <c r="C17" i="36"/>
  <c r="C32" i="36"/>
  <c r="C42" i="36"/>
  <c r="J50" i="35"/>
  <c r="H50" i="35" s="1"/>
  <c r="J28" i="35"/>
  <c r="H28" i="35" s="1"/>
  <c r="J5" i="35"/>
  <c r="H5" i="35" s="1"/>
  <c r="C41" i="36"/>
  <c r="C25" i="36"/>
  <c r="C53" i="36"/>
  <c r="C26" i="36"/>
  <c r="C46" i="36"/>
  <c r="G23" i="35"/>
  <c r="C47" i="36"/>
  <c r="J14" i="35"/>
  <c r="H14" i="35" s="1"/>
  <c r="G47" i="35"/>
  <c r="G48" i="35"/>
  <c r="J17" i="35"/>
  <c r="H17" i="35" s="1"/>
  <c r="G26" i="35"/>
  <c r="J49" i="35"/>
  <c r="H49" i="35" s="1"/>
  <c r="J44" i="35"/>
  <c r="H44" i="35" s="1"/>
  <c r="C30" i="36"/>
  <c r="G42" i="35"/>
  <c r="J3" i="35"/>
  <c r="H3" i="35" s="1"/>
  <c r="C59" i="36"/>
  <c r="J53" i="35"/>
  <c r="H53" i="35" s="1"/>
  <c r="G27" i="35"/>
  <c r="C27" i="36"/>
  <c r="G6" i="35"/>
  <c r="C57" i="36"/>
  <c r="C44" i="36"/>
  <c r="J11" i="35"/>
  <c r="H11" i="35" s="1"/>
  <c r="J24" i="35"/>
  <c r="H24" i="35" s="1"/>
  <c r="J26" i="35"/>
  <c r="H26" i="35" s="1"/>
  <c r="J52" i="35"/>
  <c r="H52" i="35" s="1"/>
  <c r="J32" i="35"/>
  <c r="H32" i="35" s="1"/>
  <c r="G10" i="35"/>
  <c r="J35" i="35"/>
  <c r="H35" i="35" s="1"/>
  <c r="G51" i="35"/>
  <c r="G43" i="35"/>
  <c r="C52" i="36"/>
  <c r="C34" i="36"/>
  <c r="J40" i="35"/>
  <c r="H40" i="35" s="1"/>
  <c r="C29" i="36"/>
  <c r="J16" i="35"/>
  <c r="H16" i="35" s="1"/>
  <c r="J54" i="35"/>
  <c r="H54" i="35" s="1"/>
  <c r="C36" i="36"/>
  <c r="J36" i="35"/>
  <c r="H36" i="35" s="1"/>
  <c r="G35" i="35"/>
  <c r="J47" i="35"/>
  <c r="H47" i="35" s="1"/>
  <c r="J55" i="35"/>
  <c r="H55" i="35" s="1"/>
  <c r="G45" i="35"/>
  <c r="J38" i="35"/>
  <c r="H38" i="35" s="1"/>
  <c r="C14" i="36"/>
  <c r="G28" i="35"/>
  <c r="C18" i="36"/>
  <c r="J39" i="35"/>
  <c r="H39" i="35" s="1"/>
  <c r="G3" i="35"/>
  <c r="C20" i="36"/>
  <c r="J22" i="35"/>
  <c r="H22" i="35" s="1"/>
  <c r="J8" i="35"/>
  <c r="H8" i="35" s="1"/>
  <c r="J18" i="35"/>
  <c r="H18" i="35" s="1"/>
  <c r="J43" i="35"/>
  <c r="H43" i="35" s="1"/>
  <c r="C45" i="36"/>
  <c r="G15" i="35"/>
  <c r="J41" i="35"/>
  <c r="H41" i="35" s="1"/>
  <c r="G52" i="35"/>
  <c r="J34" i="35"/>
  <c r="H34" i="35" s="1"/>
  <c r="C12" i="36"/>
  <c r="J20" i="35"/>
  <c r="H20" i="35" s="1"/>
  <c r="C50" i="36"/>
  <c r="G9" i="35"/>
  <c r="G55" i="35"/>
  <c r="G41" i="35"/>
  <c r="G46" i="35"/>
  <c r="J25" i="35"/>
  <c r="H25" i="35" s="1"/>
  <c r="C15" i="36"/>
  <c r="C49" i="36"/>
  <c r="J27" i="35"/>
  <c r="H27" i="35" s="1"/>
  <c r="J51" i="35"/>
  <c r="H51" i="35" s="1"/>
  <c r="G32" i="35"/>
  <c r="C48" i="36"/>
  <c r="G19" i="35"/>
  <c r="G16" i="35"/>
  <c r="J42" i="35"/>
  <c r="H42" i="35" s="1"/>
  <c r="C21" i="36"/>
  <c r="G22" i="35"/>
  <c r="G37" i="35"/>
  <c r="G30" i="35"/>
  <c r="C35" i="36"/>
  <c r="J37" i="35"/>
  <c r="H37" i="35" s="1"/>
  <c r="C19" i="36"/>
  <c r="G50" i="35"/>
  <c r="G38" i="35"/>
  <c r="G39" i="35"/>
  <c r="G56" i="35"/>
  <c r="C24" i="36"/>
  <c r="C56" i="36"/>
  <c r="J19" i="35"/>
  <c r="H19" i="35" s="1"/>
  <c r="J45" i="35"/>
  <c r="H45" i="35" s="1"/>
  <c r="C51" i="36"/>
  <c r="J4" i="35"/>
  <c r="H4" i="35" s="1"/>
  <c r="G20" i="35"/>
  <c r="C31" i="36"/>
  <c r="G54" i="35"/>
  <c r="J30" i="35"/>
  <c r="H30" i="35" s="1"/>
  <c r="G29" i="35"/>
  <c r="G34" i="35"/>
  <c r="G49" i="35"/>
  <c r="G5" i="35"/>
  <c r="J23" i="35"/>
  <c r="H23" i="35" s="1"/>
  <c r="G4" i="35"/>
  <c r="J9" i="35"/>
  <c r="H9" i="35" s="1"/>
  <c r="C38" i="36"/>
  <c r="C43" i="36"/>
  <c r="C33" i="36"/>
  <c r="C28" i="36"/>
  <c r="C37" i="36"/>
  <c r="C11" i="36"/>
  <c r="J56" i="35"/>
  <c r="H56" i="35" s="1"/>
  <c r="G21" i="35"/>
  <c r="J6" i="35"/>
  <c r="H6" i="35" s="1"/>
  <c r="G53" i="35"/>
  <c r="J29" i="35"/>
  <c r="H29" i="35" s="1"/>
  <c r="C58" i="36"/>
  <c r="G40" i="35"/>
  <c r="C54" i="36"/>
  <c r="C40" i="36"/>
  <c r="G33" i="35"/>
  <c r="C22" i="36"/>
  <c r="G8" i="35"/>
  <c r="J15" i="35"/>
  <c r="H15" i="35" s="1"/>
  <c r="C23" i="36"/>
  <c r="G11" i="35"/>
  <c r="G18" i="35"/>
  <c r="J46" i="35"/>
  <c r="H46" i="35" s="1"/>
  <c r="J12" i="35"/>
  <c r="H12" i="35" s="1"/>
  <c r="J21" i="35"/>
  <c r="H21" i="35" s="1"/>
  <c r="G25" i="35"/>
  <c r="J31" i="35"/>
  <c r="H31" i="35" s="1"/>
  <c r="G36" i="35"/>
  <c r="C39" i="36"/>
  <c r="C55" i="36"/>
  <c r="G17" i="35"/>
  <c r="G24" i="35"/>
  <c r="G31" i="35"/>
  <c r="J10" i="35"/>
  <c r="H10" i="35" s="1"/>
  <c r="C16" i="36"/>
  <c r="G12" i="35"/>
  <c r="C13" i="36"/>
  <c r="G2" i="35"/>
  <c r="G13" i="35"/>
  <c r="J33" i="35"/>
  <c r="H33" i="35" s="1"/>
  <c r="J2" i="35"/>
  <c r="H2" i="35" s="1"/>
  <c r="G14" i="35"/>
  <c r="J13" i="35"/>
  <c r="H13" i="35" s="1"/>
  <c r="D4" i="42"/>
  <c r="A5" i="42"/>
  <c r="C5" i="42"/>
  <c r="A6" i="42"/>
  <c r="D5" i="42"/>
  <c r="C6" i="42"/>
  <c r="D6" i="42"/>
  <c r="A7" i="42"/>
  <c r="C7" i="42"/>
  <c r="A8" i="42"/>
  <c r="D7" i="42"/>
  <c r="C8" i="42"/>
  <c r="A9" i="42"/>
  <c r="D8" i="42"/>
  <c r="C9" i="42"/>
  <c r="D9" i="42"/>
  <c r="A10" i="42"/>
  <c r="C10" i="42"/>
  <c r="A11" i="42"/>
  <c r="D10" i="42"/>
  <c r="C11" i="42"/>
  <c r="D11" i="42" s="1"/>
  <c r="B11" i="42" l="1"/>
  <c r="B10" i="42"/>
  <c r="B9" i="42"/>
  <c r="B8" i="42"/>
  <c r="B7" i="42"/>
  <c r="B6" i="42"/>
  <c r="B5" i="42"/>
  <c r="B4" i="42"/>
  <c r="O214" i="42"/>
  <c r="O2" i="42"/>
  <c r="O6" i="42"/>
  <c r="O14" i="42"/>
  <c r="O30" i="42"/>
  <c r="O38" i="42"/>
  <c r="O70" i="42"/>
  <c r="O78" i="42"/>
  <c r="O86" i="42"/>
  <c r="O102" i="42"/>
  <c r="O110" i="42"/>
  <c r="O126" i="42"/>
  <c r="O134" i="42"/>
  <c r="O163" i="42"/>
  <c r="O179" i="42"/>
  <c r="O195" i="42"/>
  <c r="O251" i="42"/>
  <c r="O299" i="42"/>
  <c r="O307" i="42"/>
  <c r="O331" i="42"/>
  <c r="O339" i="42"/>
  <c r="O379" i="42"/>
  <c r="O403" i="42"/>
  <c r="O422" i="42"/>
  <c r="O442" i="42"/>
  <c r="O463" i="42"/>
  <c r="O474" i="42"/>
  <c r="O518" i="42"/>
  <c r="O538" i="42"/>
  <c r="O550" i="42"/>
  <c r="O247" i="42"/>
  <c r="O22" i="42"/>
  <c r="O46" i="42"/>
  <c r="O94" i="42"/>
  <c r="O158" i="42"/>
  <c r="O434" i="42"/>
  <c r="O475" i="42"/>
  <c r="O562" i="42"/>
  <c r="O7" i="42"/>
  <c r="O31" i="42"/>
  <c r="O55" i="42"/>
  <c r="O87" i="42"/>
  <c r="O111" i="42"/>
  <c r="O142" i="42"/>
  <c r="O190" i="42"/>
  <c r="O254" i="42"/>
  <c r="O342" i="42"/>
  <c r="O398" i="42"/>
  <c r="O487" i="42"/>
  <c r="O530" i="42"/>
  <c r="O79" i="42"/>
  <c r="O199" i="42"/>
  <c r="O223" i="42"/>
  <c r="O255" i="42"/>
  <c r="O287" i="42"/>
  <c r="O367" i="42"/>
  <c r="O446" i="42"/>
  <c r="O478" i="42"/>
  <c r="O510" i="42"/>
  <c r="O522" i="42"/>
  <c r="O554" i="42"/>
  <c r="O26" i="42"/>
  <c r="O58" i="42"/>
  <c r="O167" i="42"/>
  <c r="O138" i="42"/>
  <c r="O186" i="42"/>
  <c r="O226" i="42"/>
  <c r="O282" i="42"/>
  <c r="O378" i="42"/>
  <c r="O62" i="42"/>
  <c r="O118" i="42"/>
  <c r="O166" i="42"/>
  <c r="O222" i="42"/>
  <c r="O262" i="42"/>
  <c r="O294" i="42"/>
  <c r="O350" i="42"/>
  <c r="O382" i="42"/>
  <c r="O3" i="42"/>
  <c r="O23" i="42"/>
  <c r="O47" i="42"/>
  <c r="O71" i="42"/>
  <c r="O103" i="42"/>
  <c r="O127" i="42"/>
  <c r="O182" i="42"/>
  <c r="O246" i="42"/>
  <c r="O334" i="42"/>
  <c r="O374" i="42"/>
  <c r="O455" i="42"/>
  <c r="O159" i="42"/>
  <c r="O207" i="42"/>
  <c r="O303" i="42"/>
  <c r="O359" i="42"/>
  <c r="O383" i="42"/>
  <c r="O399" i="42"/>
  <c r="O458" i="42"/>
  <c r="O490" i="42"/>
  <c r="O531" i="42"/>
  <c r="O42" i="42"/>
  <c r="O66" i="42"/>
  <c r="O90" i="42"/>
  <c r="O130" i="42"/>
  <c r="O183" i="42"/>
  <c r="O295" i="42"/>
  <c r="O375" i="42"/>
  <c r="O426" i="42"/>
  <c r="O470" i="42"/>
  <c r="O18" i="42"/>
  <c r="O82" i="42"/>
  <c r="O106" i="42"/>
  <c r="O202" i="42"/>
  <c r="O234" i="42"/>
  <c r="O566" i="42"/>
  <c r="O19" i="42"/>
  <c r="O43" i="42"/>
  <c r="O107" i="42"/>
  <c r="O154" i="42"/>
  <c r="O170" i="42"/>
  <c r="O266" i="42"/>
  <c r="O306" i="42"/>
  <c r="O338" i="42"/>
  <c r="O362" i="42"/>
  <c r="O386" i="42"/>
  <c r="O402" i="42"/>
  <c r="O430" i="42"/>
  <c r="O450" i="42"/>
  <c r="O526" i="42"/>
  <c r="O535" i="42"/>
  <c r="O558" i="42"/>
  <c r="O567" i="42"/>
  <c r="O54" i="42"/>
  <c r="O150" i="42"/>
  <c r="O198" i="42"/>
  <c r="O238" i="42"/>
  <c r="O278" i="42"/>
  <c r="O302" i="42"/>
  <c r="O310" i="42"/>
  <c r="O466" i="42"/>
  <c r="O15" i="42"/>
  <c r="O39" i="42"/>
  <c r="O63" i="42"/>
  <c r="O135" i="42"/>
  <c r="O174" i="42"/>
  <c r="O206" i="42"/>
  <c r="O230" i="42"/>
  <c r="O286" i="42"/>
  <c r="O358" i="42"/>
  <c r="O390" i="42"/>
  <c r="O498" i="42"/>
  <c r="O551" i="42"/>
  <c r="O95" i="42"/>
  <c r="O119" i="42"/>
  <c r="O143" i="42"/>
  <c r="O191" i="42"/>
  <c r="O215" i="42"/>
  <c r="O231" i="42"/>
  <c r="O327" i="42"/>
  <c r="O351" i="42"/>
  <c r="O391" i="42"/>
  <c r="O435" i="42"/>
  <c r="O467" i="42"/>
  <c r="O499" i="42"/>
  <c r="O10" i="42"/>
  <c r="O34" i="42"/>
  <c r="O122" i="42"/>
  <c r="O151" i="42"/>
  <c r="O175" i="42"/>
  <c r="O263" i="42"/>
  <c r="O279" i="42"/>
  <c r="O311" i="42"/>
  <c r="O415" i="42"/>
  <c r="O543" i="42"/>
  <c r="O50" i="42"/>
  <c r="O74" i="42"/>
  <c r="O98" i="42"/>
  <c r="O114" i="42"/>
  <c r="O210" i="42"/>
  <c r="O218" i="42"/>
  <c r="O242" i="42"/>
  <c r="O250" i="42"/>
  <c r="O258" i="42"/>
  <c r="O290" i="42"/>
  <c r="O322" i="42"/>
  <c r="O346" i="42"/>
  <c r="O370" i="42"/>
  <c r="O394" i="42"/>
  <c r="O410" i="42"/>
  <c r="O418" i="42"/>
  <c r="O438" i="42"/>
  <c r="O459" i="42"/>
  <c r="O482" i="42"/>
  <c r="O502" i="42"/>
  <c r="O514" i="42"/>
  <c r="O534" i="42"/>
  <c r="O546" i="42"/>
  <c r="O578" i="42"/>
  <c r="O27" i="42"/>
  <c r="O35" i="42"/>
  <c r="O51" i="42"/>
  <c r="O67" i="42"/>
  <c r="O75" i="42"/>
  <c r="O91" i="42"/>
  <c r="O115" i="42"/>
  <c r="O146" i="42"/>
  <c r="O162" i="42"/>
  <c r="O194" i="42"/>
  <c r="O274" i="42"/>
  <c r="O298" i="42"/>
  <c r="O314" i="42"/>
  <c r="O330" i="42"/>
  <c r="O354" i="42"/>
  <c r="O11" i="42"/>
  <c r="O59" i="42"/>
  <c r="O83" i="42"/>
  <c r="O99" i="42"/>
  <c r="O123" i="42"/>
  <c r="O131" i="42"/>
  <c r="O139" i="42"/>
  <c r="O147" i="42"/>
  <c r="O155" i="42"/>
  <c r="O171" i="42"/>
  <c r="O187" i="42"/>
  <c r="O203" i="42"/>
  <c r="O211" i="42"/>
  <c r="O219" i="42"/>
  <c r="O227" i="42"/>
  <c r="O235" i="42"/>
  <c r="O243" i="42"/>
  <c r="O259" i="42"/>
  <c r="O267" i="42"/>
  <c r="O275" i="42"/>
  <c r="O283" i="42"/>
  <c r="O291" i="42"/>
  <c r="O315" i="42"/>
  <c r="O323" i="42"/>
  <c r="O347" i="42"/>
  <c r="O355" i="42"/>
  <c r="O363" i="42"/>
  <c r="O371" i="42"/>
  <c r="O387" i="42"/>
  <c r="O395" i="42"/>
  <c r="O411" i="42"/>
  <c r="O419" i="42"/>
  <c r="O483" i="42"/>
  <c r="O506" i="42"/>
  <c r="O570" i="42"/>
  <c r="O579" i="42"/>
  <c r="O427" i="42"/>
  <c r="O443" i="42"/>
  <c r="O451" i="42"/>
  <c r="O491" i="42"/>
  <c r="O503" i="42"/>
  <c r="O507" i="42"/>
  <c r="O515" i="42"/>
  <c r="O519" i="42"/>
  <c r="O523" i="42"/>
  <c r="O527" i="42"/>
  <c r="O539" i="42"/>
  <c r="O547" i="42"/>
  <c r="O555" i="42"/>
  <c r="O559" i="42"/>
  <c r="O563" i="42"/>
  <c r="O571" i="42"/>
  <c r="O300" i="42"/>
  <c r="O436" i="42"/>
  <c r="O464" i="42"/>
  <c r="O476" i="42"/>
  <c r="O496" i="42"/>
  <c r="O532" i="42"/>
  <c r="O540" i="42"/>
  <c r="O576" i="42"/>
  <c r="O20" i="42"/>
  <c r="O72" i="42"/>
  <c r="O92" i="42"/>
  <c r="O144" i="42"/>
  <c r="O356" i="42"/>
  <c r="O396" i="42"/>
  <c r="O452" i="42"/>
  <c r="O8" i="42"/>
  <c r="O16" i="42"/>
  <c r="O68" i="42"/>
  <c r="O84" i="42"/>
  <c r="O96" i="42"/>
  <c r="O140" i="42"/>
  <c r="O156" i="42"/>
  <c r="O160" i="42"/>
  <c r="O164" i="42"/>
  <c r="O192" i="42"/>
  <c r="O196" i="42"/>
  <c r="O200" i="42"/>
  <c r="O212" i="42"/>
  <c r="O220" i="42"/>
  <c r="O228" i="42"/>
  <c r="O236" i="42"/>
  <c r="O240" i="42"/>
  <c r="O276" i="42"/>
  <c r="O308" i="42"/>
  <c r="O340" i="42"/>
  <c r="O344" i="42"/>
  <c r="O352" i="42"/>
  <c r="O372" i="42"/>
  <c r="O376" i="42"/>
  <c r="O380" i="42"/>
  <c r="O388" i="42"/>
  <c r="O392" i="42"/>
  <c r="O404" i="42"/>
  <c r="O408" i="42"/>
  <c r="O412" i="42"/>
  <c r="O416" i="42"/>
  <c r="O484" i="42"/>
  <c r="O492" i="42"/>
  <c r="O500" i="42"/>
  <c r="O508" i="42"/>
  <c r="O516" i="42"/>
  <c r="O524" i="42"/>
  <c r="O536" i="42"/>
  <c r="O560" i="42"/>
  <c r="O572" i="42"/>
  <c r="O580" i="42"/>
  <c r="O28" i="42"/>
  <c r="O36" i="42"/>
  <c r="O52" i="42"/>
  <c r="O60" i="42"/>
  <c r="O104" i="42"/>
  <c r="O148" i="42"/>
  <c r="O176" i="42"/>
  <c r="O208" i="42"/>
  <c r="O244" i="42"/>
  <c r="O260" i="42"/>
  <c r="O328" i="42"/>
  <c r="O9" i="42"/>
  <c r="O17" i="42"/>
  <c r="O29" i="42"/>
  <c r="O33" i="42"/>
  <c r="O45" i="42"/>
  <c r="O49" i="42"/>
  <c r="O53" i="42"/>
  <c r="O69" i="42"/>
  <c r="O73" i="42"/>
  <c r="O77" i="42"/>
  <c r="O85" i="42"/>
  <c r="O121" i="42"/>
  <c r="O153" i="42"/>
  <c r="O173" i="42"/>
  <c r="O185" i="42"/>
  <c r="O193" i="42"/>
  <c r="O225" i="42"/>
  <c r="O233" i="42"/>
  <c r="O261" i="42"/>
  <c r="O269" i="42"/>
  <c r="O277" i="42"/>
  <c r="O293" i="42"/>
  <c r="O301" i="42"/>
  <c r="O313" i="42"/>
  <c r="O325" i="42"/>
  <c r="O333" i="42"/>
  <c r="O341" i="42"/>
  <c r="O349" i="42"/>
  <c r="O353" i="42"/>
  <c r="O357" i="42"/>
  <c r="O369" i="42"/>
  <c r="O389" i="42"/>
  <c r="O401" i="42"/>
  <c r="O409" i="42"/>
  <c r="O425" i="42"/>
  <c r="O429" i="42"/>
  <c r="O437" i="42"/>
  <c r="O441" i="42"/>
  <c r="O493" i="42"/>
  <c r="O513" i="42"/>
  <c r="O521" i="42"/>
  <c r="O529" i="42"/>
  <c r="O541" i="42"/>
  <c r="O545" i="42"/>
  <c r="O557" i="42"/>
  <c r="O561" i="42"/>
  <c r="O569" i="42"/>
  <c r="O577" i="42"/>
  <c r="O581" i="42"/>
  <c r="O12" i="42"/>
  <c r="O44" i="42"/>
  <c r="O76" i="42"/>
  <c r="O100" i="42"/>
  <c r="O108" i="42"/>
  <c r="O116" i="42"/>
  <c r="O124" i="42"/>
  <c r="O132" i="42"/>
  <c r="O172" i="42"/>
  <c r="O188" i="42"/>
  <c r="O204" i="42"/>
  <c r="O292" i="42"/>
  <c r="O304" i="42"/>
  <c r="O332" i="42"/>
  <c r="O460" i="42"/>
  <c r="O4" i="42"/>
  <c r="O13" i="42"/>
  <c r="O21" i="42"/>
  <c r="O25" i="42"/>
  <c r="O37" i="42"/>
  <c r="O41" i="42"/>
  <c r="O57" i="42"/>
  <c r="O61" i="42"/>
  <c r="O65" i="42"/>
  <c r="O81" i="42"/>
  <c r="O93" i="42"/>
  <c r="O101" i="42"/>
  <c r="O109" i="42"/>
  <c r="O165" i="42"/>
  <c r="O169" i="42"/>
  <c r="O209" i="42"/>
  <c r="O237" i="42"/>
  <c r="O245" i="42"/>
  <c r="O257" i="42"/>
  <c r="O265" i="42"/>
  <c r="O285" i="42"/>
  <c r="O297" i="42"/>
  <c r="O309" i="42"/>
  <c r="O345" i="42"/>
  <c r="O361" i="42"/>
  <c r="O365" i="42"/>
  <c r="O377" i="42"/>
  <c r="O393" i="42"/>
  <c r="O397" i="42"/>
  <c r="O405" i="42"/>
  <c r="O413" i="42"/>
  <c r="O421" i="42"/>
  <c r="O433" i="42"/>
  <c r="O449" i="42"/>
  <c r="O453" i="42"/>
  <c r="O461" i="42"/>
  <c r="O469" i="42"/>
  <c r="O473" i="42"/>
  <c r="O477" i="42"/>
  <c r="O481" i="42"/>
  <c r="O485" i="42"/>
  <c r="O497" i="42"/>
  <c r="O501" i="42"/>
  <c r="O509" i="42"/>
  <c r="O525" i="42"/>
  <c r="O537" i="42"/>
  <c r="O565" i="42"/>
  <c r="T14" i="32"/>
  <c r="P14" i="32"/>
  <c r="U14" i="32"/>
  <c r="U24" i="32"/>
  <c r="P24" i="32"/>
  <c r="T24" i="32"/>
  <c r="T20" i="32"/>
  <c r="U20" i="32"/>
  <c r="P20" i="32"/>
  <c r="B3" i="42"/>
  <c r="U19" i="32"/>
  <c r="P19" i="32"/>
  <c r="T19" i="32"/>
  <c r="P25" i="32"/>
  <c r="U25" i="32"/>
  <c r="T25" i="32"/>
  <c r="U12" i="32"/>
  <c r="T12" i="32"/>
  <c r="P12" i="32"/>
  <c r="P13" i="32"/>
  <c r="U13" i="32"/>
  <c r="T13" i="32"/>
  <c r="T21" i="32"/>
  <c r="P21" i="32"/>
  <c r="U21" i="32"/>
  <c r="T22" i="32"/>
  <c r="U22" i="32"/>
  <c r="P22" i="32"/>
  <c r="P15" i="32"/>
  <c r="U15" i="32"/>
  <c r="T15" i="32"/>
  <c r="T2" i="32"/>
  <c r="U2" i="32"/>
  <c r="P2" i="32"/>
  <c r="P27" i="32"/>
  <c r="U27" i="32"/>
  <c r="T27" i="32"/>
  <c r="U6" i="32"/>
  <c r="T6" i="32"/>
  <c r="P6" i="32"/>
  <c r="U23" i="32"/>
  <c r="P23" i="32"/>
  <c r="T23" i="32"/>
  <c r="U10" i="32"/>
  <c r="P10" i="32"/>
  <c r="T10" i="32"/>
  <c r="P11" i="32"/>
  <c r="T11" i="32"/>
  <c r="U11" i="32"/>
  <c r="F11" i="42"/>
  <c r="G11" i="42" s="1"/>
  <c r="E8" i="42"/>
  <c r="N454" i="42"/>
  <c r="N495" i="42"/>
  <c r="N400" i="42"/>
  <c r="N256" i="42"/>
  <c r="N312" i="42"/>
  <c r="N440" i="42"/>
  <c r="N556" i="42"/>
  <c r="N456" i="42"/>
  <c r="N117" i="42"/>
  <c r="N181" i="42"/>
  <c r="N252" i="42"/>
  <c r="N141" i="42"/>
  <c r="N428" i="42"/>
  <c r="N480" i="42"/>
  <c r="N568" i="42"/>
  <c r="N133" i="42"/>
  <c r="N249" i="42"/>
  <c r="N157" i="42"/>
  <c r="F5" i="42"/>
  <c r="N511" i="42"/>
  <c r="N348" i="42"/>
  <c r="N137" i="42"/>
  <c r="N64" i="42"/>
  <c r="N97" i="42"/>
  <c r="N553" i="42"/>
  <c r="E6" i="42"/>
  <c r="N239" i="42"/>
  <c r="N448" i="42"/>
  <c r="N488" i="42"/>
  <c r="N120" i="42"/>
  <c r="N149" i="42"/>
  <c r="N373" i="42"/>
  <c r="N324" i="42"/>
  <c r="N317" i="42"/>
  <c r="E5" i="42"/>
  <c r="N335" i="42"/>
  <c r="N462" i="42"/>
  <c r="N574" i="42"/>
  <c r="N471" i="42"/>
  <c r="N128" i="42"/>
  <c r="N40" i="42"/>
  <c r="N320" i="42"/>
  <c r="N89" i="42"/>
  <c r="N213" i="42"/>
  <c r="F4" i="42"/>
  <c r="N479" i="42"/>
  <c r="N468" i="42"/>
  <c r="N420" i="42"/>
  <c r="N105" i="42"/>
  <c r="N125" i="42"/>
  <c r="N337" i="42"/>
  <c r="N406" i="42"/>
  <c r="N504" i="42"/>
  <c r="N177" i="42"/>
  <c r="N465" i="42"/>
  <c r="N224" i="42"/>
  <c r="N129" i="42"/>
  <c r="N417" i="42"/>
  <c r="F10" i="42"/>
  <c r="G10" i="42" s="1"/>
  <c r="E7" i="42"/>
  <c r="N366" i="42"/>
  <c r="N318" i="42"/>
  <c r="N542" i="42"/>
  <c r="N575" i="42"/>
  <c r="N431" i="42"/>
  <c r="N424" i="42"/>
  <c r="N48" i="42"/>
  <c r="N288" i="42"/>
  <c r="N5" i="42"/>
  <c r="N248" i="42"/>
  <c r="N316" i="42"/>
  <c r="N444" i="42"/>
  <c r="N232" i="42"/>
  <c r="N241" i="42"/>
  <c r="N32" i="42"/>
  <c r="N268" i="42"/>
  <c r="N145" i="42"/>
  <c r="N221" i="42"/>
  <c r="N289" i="42"/>
  <c r="E11" i="42"/>
  <c r="F6" i="42"/>
  <c r="N271" i="42"/>
  <c r="AC8" i="39"/>
  <c r="N414" i="42"/>
  <c r="N512" i="42"/>
  <c r="N336" i="42"/>
  <c r="N264" i="42"/>
  <c r="N520" i="42"/>
  <c r="N80" i="42"/>
  <c r="N189" i="42"/>
  <c r="N305" i="42"/>
  <c r="N517" i="42"/>
  <c r="N229" i="42"/>
  <c r="N549" i="42"/>
  <c r="E10" i="42"/>
  <c r="N270" i="42"/>
  <c r="N439" i="42"/>
  <c r="N447" i="42"/>
  <c r="N272" i="42"/>
  <c r="N253" i="42"/>
  <c r="N573" i="42"/>
  <c r="N152" i="42"/>
  <c r="N161" i="42"/>
  <c r="N489" i="42"/>
  <c r="F9" i="42"/>
  <c r="G9" i="42" s="1"/>
  <c r="N326" i="42"/>
  <c r="N407" i="42"/>
  <c r="N486" i="42"/>
  <c r="N319" i="42"/>
  <c r="N178" i="42"/>
  <c r="N494" i="42"/>
  <c r="N112" i="42"/>
  <c r="N24" i="42"/>
  <c r="N216" i="42"/>
  <c r="N528" i="42"/>
  <c r="N284" i="42"/>
  <c r="N201" i="42"/>
  <c r="N321" i="42"/>
  <c r="N457" i="42"/>
  <c r="F8" i="42"/>
  <c r="G8" i="42" s="1"/>
  <c r="G3" i="42"/>
  <c r="N552" i="42"/>
  <c r="N368" i="42"/>
  <c r="N280" i="42"/>
  <c r="N381" i="42"/>
  <c r="N533" i="42"/>
  <c r="N88" i="42"/>
  <c r="N329" i="42"/>
  <c r="E9" i="42"/>
  <c r="E4" i="42"/>
  <c r="N423" i="42"/>
  <c r="N564" i="42"/>
  <c r="N56" i="42"/>
  <c r="N296" i="42"/>
  <c r="N544" i="42"/>
  <c r="N273" i="42"/>
  <c r="N385" i="42"/>
  <c r="N445" i="42"/>
  <c r="N364" i="42"/>
  <c r="N197" i="42"/>
  <c r="E3" i="42"/>
  <c r="F7" i="42"/>
  <c r="N384" i="42"/>
  <c r="N432" i="42"/>
  <c r="N360" i="42"/>
  <c r="AB40" i="32"/>
  <c r="AB41" i="32" s="1"/>
  <c r="AB42" i="32" s="1"/>
  <c r="AB43" i="32" s="1"/>
  <c r="AB44" i="32" s="1"/>
  <c r="AB45" i="32" s="1"/>
  <c r="AB46" i="32" s="1"/>
  <c r="AB47" i="32" s="1"/>
  <c r="AB48" i="32" s="1"/>
  <c r="AB49" i="32" s="1"/>
  <c r="AB50" i="32" s="1"/>
  <c r="AB51" i="32" s="1"/>
  <c r="AB52" i="32" s="1"/>
  <c r="AB53" i="32" s="1"/>
  <c r="AB54" i="32" s="1"/>
  <c r="AB55" i="32" s="1"/>
  <c r="AB56" i="32" s="1"/>
  <c r="AB57" i="32" s="1"/>
  <c r="AB58" i="32" s="1"/>
  <c r="AB59" i="32" s="1"/>
  <c r="AB60" i="32" s="1"/>
  <c r="AB61" i="32" s="1"/>
  <c r="AB62" i="32" s="1"/>
  <c r="AB63" i="32" s="1"/>
  <c r="AB64" i="32" s="1"/>
  <c r="AB65" i="32" s="1"/>
  <c r="AB66" i="32" s="1"/>
  <c r="AB67" i="32" s="1"/>
  <c r="AB68" i="32" s="1"/>
  <c r="AB69" i="32" s="1"/>
  <c r="AB70" i="32" s="1"/>
  <c r="AB71" i="32" s="1"/>
  <c r="AB72" i="32" s="1"/>
  <c r="AB73" i="32" s="1"/>
  <c r="AB74" i="32" s="1"/>
  <c r="AB75" i="32" s="1"/>
  <c r="AB76" i="32" s="1"/>
  <c r="AB77" i="32" s="1"/>
  <c r="AB78" i="32" s="1"/>
  <c r="AB79" i="32" s="1"/>
  <c r="AB80" i="32" s="1"/>
  <c r="AB81" i="32" s="1"/>
  <c r="AB82" i="32" s="1"/>
  <c r="AB83" i="32" s="1"/>
  <c r="AB84" i="32" s="1"/>
  <c r="AB85" i="32" s="1"/>
  <c r="AB86" i="32" s="1"/>
  <c r="AB87" i="32" s="1"/>
  <c r="AB88" i="32" s="1"/>
  <c r="AB89" i="32" s="1"/>
  <c r="AB90" i="32" s="1"/>
  <c r="AB91" i="32" s="1"/>
  <c r="AB92" i="32" s="1"/>
  <c r="AB93" i="32" s="1"/>
  <c r="AB94" i="32" s="1"/>
  <c r="AB95" i="32" s="1"/>
  <c r="AB96" i="32" s="1"/>
  <c r="N205" i="42"/>
  <c r="N136" i="42"/>
  <c r="N168" i="42"/>
  <c r="N180" i="42"/>
  <c r="N343" i="42"/>
  <c r="N472" i="42"/>
  <c r="N281" i="42"/>
  <c r="N217" i="42"/>
  <c r="N505" i="42"/>
  <c r="N184" i="42"/>
  <c r="N548" i="42"/>
  <c r="N113" i="42"/>
  <c r="AD8" i="39"/>
  <c r="O113" i="42" l="1"/>
  <c r="O548" i="42"/>
  <c r="O184" i="42"/>
  <c r="O505" i="42"/>
  <c r="O217" i="42"/>
  <c r="O281" i="42"/>
  <c r="O472" i="42"/>
  <c r="O343" i="42"/>
  <c r="O180" i="42"/>
  <c r="O168" i="42"/>
  <c r="O136" i="42"/>
  <c r="O205" i="42"/>
  <c r="O360" i="42"/>
  <c r="O432" i="42"/>
  <c r="O384" i="42"/>
  <c r="H3" i="42"/>
  <c r="O197" i="42"/>
  <c r="O364" i="42"/>
  <c r="O445" i="42"/>
  <c r="O385" i="42"/>
  <c r="O273" i="42"/>
  <c r="O544" i="42"/>
  <c r="O296" i="42"/>
  <c r="O56" i="42"/>
  <c r="O564" i="42"/>
  <c r="O423" i="42"/>
  <c r="H9" i="42"/>
  <c r="O329" i="42"/>
  <c r="O88" i="42"/>
  <c r="O533" i="42"/>
  <c r="O381" i="42"/>
  <c r="O280" i="42"/>
  <c r="O368" i="42"/>
  <c r="O552" i="42"/>
  <c r="O457" i="42"/>
  <c r="O321" i="42"/>
  <c r="O201" i="42"/>
  <c r="O284" i="42"/>
  <c r="O528" i="42"/>
  <c r="O216" i="42"/>
  <c r="O24" i="42"/>
  <c r="O112" i="42"/>
  <c r="O494" i="42"/>
  <c r="O178" i="42"/>
  <c r="O319" i="42"/>
  <c r="O486" i="42"/>
  <c r="O407" i="42"/>
  <c r="O326" i="42"/>
  <c r="O489" i="42"/>
  <c r="O161" i="42"/>
  <c r="O152" i="42"/>
  <c r="O573" i="42"/>
  <c r="O253" i="42"/>
  <c r="O272" i="42"/>
  <c r="O447" i="42"/>
  <c r="O439" i="42"/>
  <c r="O270" i="42"/>
  <c r="H10" i="42"/>
  <c r="O549" i="42"/>
  <c r="O229" i="42"/>
  <c r="O517" i="42"/>
  <c r="O305" i="42"/>
  <c r="O189" i="42"/>
  <c r="O80" i="42"/>
  <c r="O520" i="42"/>
  <c r="O264" i="42"/>
  <c r="O336" i="42"/>
  <c r="O512" i="42"/>
  <c r="O414" i="42"/>
  <c r="O271" i="42"/>
  <c r="H11" i="42"/>
  <c r="O289" i="42"/>
  <c r="O221" i="42"/>
  <c r="O145" i="42"/>
  <c r="O268" i="42"/>
  <c r="O32" i="42"/>
  <c r="O241" i="42"/>
  <c r="O232" i="42"/>
  <c r="O444" i="42"/>
  <c r="O316" i="42"/>
  <c r="O248" i="42"/>
  <c r="O5" i="42"/>
  <c r="O288" i="42"/>
  <c r="O48" i="42"/>
  <c r="O424" i="42"/>
  <c r="O431" i="42"/>
  <c r="O575" i="42"/>
  <c r="O542" i="42"/>
  <c r="O318" i="42"/>
  <c r="O366" i="42"/>
  <c r="O417" i="42"/>
  <c r="O129" i="42"/>
  <c r="O224" i="42"/>
  <c r="O465" i="42"/>
  <c r="O177" i="42"/>
  <c r="O504" i="42"/>
  <c r="O406" i="42"/>
  <c r="O337" i="42"/>
  <c r="O125" i="42"/>
  <c r="O105" i="42"/>
  <c r="O420" i="42"/>
  <c r="O468" i="42"/>
  <c r="O479" i="42"/>
  <c r="O213" i="42"/>
  <c r="O89" i="42"/>
  <c r="O320" i="42"/>
  <c r="O40" i="42"/>
  <c r="O128" i="42"/>
  <c r="O471" i="42"/>
  <c r="O574" i="42"/>
  <c r="O462" i="42"/>
  <c r="O335" i="42"/>
  <c r="O317" i="42"/>
  <c r="O324" i="42"/>
  <c r="O373" i="42"/>
  <c r="O149" i="42"/>
  <c r="O120" i="42"/>
  <c r="O488" i="42"/>
  <c r="O448" i="42"/>
  <c r="O239" i="42"/>
  <c r="O553" i="42"/>
  <c r="O97" i="42"/>
  <c r="O64" i="42"/>
  <c r="O137" i="42"/>
  <c r="O348" i="42"/>
  <c r="O511" i="42"/>
  <c r="O157" i="42"/>
  <c r="O249" i="42"/>
  <c r="O133" i="42"/>
  <c r="O568" i="42"/>
  <c r="O480" i="42"/>
  <c r="O428" i="42"/>
  <c r="O141" i="42"/>
  <c r="O252" i="42"/>
  <c r="O181" i="42"/>
  <c r="O117" i="42"/>
  <c r="O456" i="42"/>
  <c r="O556" i="42"/>
  <c r="O440" i="42"/>
  <c r="O312" i="42"/>
  <c r="O256" i="42"/>
  <c r="O400" i="42"/>
  <c r="O495" i="42"/>
  <c r="O454" i="42"/>
  <c r="H8" i="42"/>
  <c r="G6" i="42"/>
  <c r="G4" i="42"/>
  <c r="G7" i="42"/>
  <c r="AC9" i="39"/>
  <c r="G5" i="42"/>
  <c r="AD9" i="39"/>
  <c r="H5" i="42" l="1"/>
  <c r="H7" i="42"/>
  <c r="H4" i="42"/>
  <c r="H6" i="42"/>
  <c r="AC10" i="39"/>
  <c r="AD10" i="39"/>
  <c r="AC11" i="39" l="1"/>
  <c r="AD11" i="39"/>
  <c r="AC12" i="39" l="1"/>
  <c r="AD12" i="39"/>
  <c r="AC13" i="39" l="1"/>
  <c r="AD13" i="39"/>
  <c r="AC14" i="39" l="1"/>
  <c r="AD14" i="39"/>
  <c r="AC15" i="39" l="1"/>
  <c r="AD15" i="39"/>
  <c r="AC16" i="39" l="1"/>
  <c r="AD16" i="39"/>
  <c r="AC17" i="39" l="1"/>
  <c r="AD17" i="39"/>
  <c r="AC18" i="39" l="1"/>
  <c r="AD18" i="39"/>
  <c r="AC19" i="39" l="1"/>
  <c r="AD19" i="39"/>
  <c r="AC20" i="39" l="1"/>
  <c r="AD20" i="39"/>
  <c r="AC21" i="39" l="1"/>
  <c r="AD21" i="39"/>
  <c r="AC22" i="39" l="1"/>
  <c r="AD22" i="39"/>
  <c r="AC23" i="39" l="1"/>
  <c r="AD23" i="39"/>
  <c r="AC24" i="39" l="1"/>
  <c r="AD24" i="39"/>
  <c r="AC25" i="39" l="1"/>
  <c r="AD25" i="39"/>
  <c r="AC26" i="39" l="1"/>
  <c r="AD26" i="39"/>
  <c r="AC27" i="39" l="1"/>
  <c r="AD27" i="39"/>
  <c r="AC28" i="39" l="1"/>
  <c r="AD28" i="39"/>
  <c r="AC29" i="39" l="1"/>
  <c r="AD29" i="39"/>
  <c r="AC30" i="39" l="1"/>
  <c r="AD30" i="39"/>
  <c r="AC31" i="39" l="1"/>
  <c r="AD31" i="39"/>
  <c r="AC32" i="39" l="1"/>
  <c r="AD32" i="39"/>
  <c r="AC33" i="39" l="1"/>
  <c r="AD33" i="39"/>
  <c r="AC34" i="39" l="1"/>
  <c r="AD34" i="39"/>
  <c r="AC35" i="39" l="1"/>
  <c r="AD35" i="39"/>
  <c r="AC36" i="39" l="1"/>
  <c r="AD36" i="39"/>
  <c r="AC37" i="39" l="1"/>
  <c r="AD37" i="39"/>
  <c r="AC38" i="39" l="1"/>
  <c r="AD38" i="39"/>
  <c r="AC39" i="39" l="1"/>
  <c r="AD39" i="39"/>
  <c r="AC40" i="39" l="1"/>
  <c r="AD40" i="39"/>
  <c r="AC41" i="39" l="1"/>
  <c r="AD41" i="39"/>
  <c r="AC42" i="39" l="1"/>
  <c r="AD42" i="39"/>
  <c r="AC43" i="39" l="1"/>
  <c r="AD43" i="39"/>
  <c r="AC44" i="39" l="1"/>
  <c r="AD44" i="39"/>
  <c r="AC45" i="39" l="1"/>
  <c r="AD45" i="39"/>
  <c r="AC46" i="39" l="1"/>
  <c r="AD46" i="39"/>
  <c r="AC47" i="39" l="1"/>
  <c r="AD47" i="39"/>
  <c r="AC48" i="39" l="1"/>
  <c r="AD48" i="39"/>
  <c r="AC49" i="39" l="1"/>
  <c r="AD49" i="39"/>
  <c r="AC50" i="39" l="1"/>
  <c r="AD50" i="39"/>
  <c r="AC51" i="39" l="1"/>
  <c r="AD51" i="39"/>
  <c r="AC52" i="39" l="1"/>
  <c r="AD52" i="39"/>
  <c r="AC53" i="39" l="1"/>
  <c r="AD53" i="39"/>
  <c r="AC54" i="39" l="1"/>
  <c r="AD54" i="39"/>
  <c r="AC55" i="39" l="1"/>
  <c r="AD55" i="39"/>
  <c r="AC56" i="39" l="1"/>
  <c r="AD56" i="39"/>
  <c r="AC57" i="39" l="1"/>
  <c r="AD57" i="39"/>
  <c r="AC58" i="39" l="1"/>
  <c r="AD58" i="39"/>
  <c r="AC59" i="39" l="1"/>
  <c r="AD59" i="39"/>
  <c r="AC60" i="39" l="1"/>
  <c r="AD60" i="39"/>
  <c r="AC61" i="39" l="1"/>
  <c r="AD61" i="39"/>
  <c r="AC62" i="39" l="1"/>
  <c r="AD62" i="39"/>
  <c r="AC63" i="39" l="1"/>
  <c r="AD63" i="39"/>
  <c r="AC64" i="39" l="1"/>
  <c r="AD64" i="39"/>
  <c r="AC65" i="39" l="1"/>
  <c r="AD65" i="39"/>
  <c r="AC66" i="39" l="1"/>
  <c r="AD66" i="39"/>
  <c r="AC67" i="39" l="1"/>
  <c r="AD67" i="39"/>
  <c r="AC68" i="39" l="1"/>
  <c r="AD68" i="39"/>
  <c r="AC69" i="39" l="1"/>
  <c r="AD69" i="39"/>
  <c r="AC70" i="39" l="1"/>
  <c r="AD70" i="39"/>
  <c r="AC71" i="39" l="1"/>
  <c r="AD71" i="39"/>
  <c r="AC72" i="39" l="1"/>
  <c r="AD72" i="39"/>
  <c r="AC73" i="39" l="1"/>
  <c r="AD73" i="39"/>
  <c r="AC74" i="39" l="1"/>
  <c r="AD74" i="39"/>
  <c r="AC75" i="39" l="1"/>
  <c r="AD75" i="39"/>
  <c r="AC76" i="39" l="1"/>
  <c r="AD76" i="39"/>
  <c r="AC77" i="39" l="1"/>
  <c r="AD77" i="39"/>
  <c r="AC78" i="39" l="1"/>
  <c r="AD78" i="39"/>
  <c r="AC79" i="39" l="1"/>
  <c r="AD79" i="39"/>
  <c r="AC80" i="39" l="1"/>
  <c r="AD80" i="39"/>
  <c r="AC81" i="39" l="1"/>
  <c r="AD81" i="39"/>
  <c r="AC82" i="39" l="1"/>
  <c r="AD82" i="39"/>
  <c r="AC83" i="39" l="1"/>
  <c r="AD83" i="39"/>
  <c r="AC84" i="39" l="1"/>
  <c r="AD84" i="39"/>
  <c r="AC85" i="39" l="1"/>
  <c r="AD85" i="39"/>
  <c r="AC86" i="39" l="1"/>
  <c r="AD86" i="39"/>
  <c r="AC87" i="39" l="1"/>
  <c r="AD87" i="39"/>
  <c r="AC88" i="39" l="1"/>
  <c r="AD88" i="39"/>
  <c r="AC89" i="39" l="1"/>
  <c r="AD89" i="39"/>
  <c r="AC90" i="39" l="1"/>
  <c r="AD90" i="39"/>
  <c r="AC91" i="39" l="1"/>
  <c r="AD91" i="39"/>
  <c r="AC92" i="39" l="1"/>
  <c r="AD92" i="39"/>
  <c r="AC93" i="39" l="1"/>
  <c r="AD93" i="39"/>
  <c r="AC94" i="39" l="1"/>
  <c r="AD94" i="39"/>
  <c r="AC95" i="39" l="1"/>
  <c r="AD95" i="39"/>
  <c r="AC96" i="39" l="1"/>
  <c r="AD96" i="39"/>
  <c r="AC97" i="39" l="1"/>
  <c r="AD97" i="39"/>
  <c r="AC98" i="39" l="1"/>
  <c r="AD98" i="39"/>
  <c r="AC99" i="39" l="1"/>
  <c r="AD99" i="39"/>
  <c r="AC100" i="39" l="1"/>
  <c r="AD100" i="39"/>
  <c r="AC101" i="39" l="1"/>
  <c r="AD101" i="39"/>
  <c r="AC102" i="39" l="1"/>
  <c r="AD102" i="39"/>
  <c r="AC103" i="39" l="1"/>
  <c r="AD103" i="39"/>
  <c r="AC104" i="39" l="1"/>
  <c r="AD104" i="39"/>
  <c r="AC105" i="39" l="1"/>
  <c r="AD105" i="39"/>
  <c r="AC106" i="39" l="1"/>
  <c r="AD106" i="39"/>
  <c r="AC107" i="39" l="1"/>
  <c r="AD107" i="39"/>
  <c r="AC108" i="39" l="1"/>
  <c r="AD108" i="39"/>
  <c r="AC109" i="39" l="1"/>
  <c r="AD109" i="39"/>
  <c r="AC110" i="39" l="1"/>
  <c r="AD110" i="39"/>
  <c r="AC111" i="39" l="1"/>
  <c r="AD111" i="39"/>
  <c r="AC112" i="39" l="1"/>
  <c r="AD112" i="39"/>
  <c r="AC113" i="39" l="1"/>
  <c r="AD113" i="39"/>
  <c r="AC114" i="39" l="1"/>
  <c r="AD114" i="39"/>
  <c r="AC115" i="39" l="1"/>
  <c r="AD115" i="39"/>
  <c r="AC116" i="39" l="1"/>
  <c r="AD116" i="39"/>
  <c r="AC117" i="39" l="1"/>
  <c r="AD117" i="39"/>
  <c r="AC118" i="39" l="1"/>
  <c r="AD118" i="39"/>
  <c r="AC119" i="39" l="1"/>
  <c r="AD119" i="39"/>
  <c r="AC120" i="39" l="1"/>
  <c r="AD120" i="39"/>
  <c r="AC121" i="39" l="1"/>
  <c r="AD121" i="39"/>
  <c r="AC122" i="39" l="1"/>
  <c r="AD122" i="39"/>
  <c r="AC123" i="39" l="1"/>
  <c r="AD123" i="39"/>
  <c r="AC124" i="39" l="1"/>
  <c r="AD124" i="39"/>
  <c r="AC125" i="39" l="1"/>
  <c r="AD125" i="39"/>
  <c r="AC126" i="39" l="1"/>
  <c r="AD126" i="39"/>
  <c r="AC127" i="39" l="1"/>
  <c r="AD127" i="39"/>
  <c r="AC128" i="39" l="1"/>
  <c r="AD128" i="39"/>
  <c r="AC129" i="39" l="1"/>
  <c r="AD129" i="39"/>
  <c r="AC130" i="39" l="1"/>
  <c r="AD130" i="39"/>
  <c r="AC131" i="39" l="1"/>
  <c r="AD131" i="39"/>
  <c r="AC132" i="39" l="1"/>
  <c r="AD132" i="39" s="1"/>
  <c r="J20" i="29" l="1"/>
  <c r="J21" i="29"/>
  <c r="H11" i="36" a="1"/>
  <c r="G3" i="36"/>
  <c r="K2" i="35"/>
  <c r="G5" i="36"/>
  <c r="K4" i="35"/>
  <c r="G6" i="36"/>
  <c r="K5" i="35"/>
  <c r="G4" i="36"/>
  <c r="K3" i="35"/>
  <c r="G7" i="36"/>
  <c r="K6" i="35"/>
  <c r="E2" i="35" a="1"/>
  <c r="B3" i="35"/>
  <c r="L39" i="32"/>
  <c r="H25" i="32"/>
  <c r="H23" i="32"/>
  <c r="G10" i="32"/>
  <c r="H19" i="32"/>
  <c r="L44" i="32"/>
  <c r="H21" i="32"/>
  <c r="H13" i="32"/>
  <c r="G11" i="32"/>
  <c r="P2" i="40"/>
  <c r="B4" i="35"/>
  <c r="P585" i="40"/>
  <c r="O585" i="40"/>
  <c r="P584" i="40"/>
  <c r="O584" i="40"/>
  <c r="P583" i="40"/>
  <c r="O583" i="40"/>
  <c r="P582" i="40"/>
  <c r="O582" i="40"/>
  <c r="P581" i="40"/>
  <c r="O581" i="40"/>
  <c r="P580" i="40"/>
  <c r="O580" i="40"/>
  <c r="P579" i="40"/>
  <c r="O579" i="40"/>
  <c r="P578" i="40"/>
  <c r="O578" i="40"/>
  <c r="P577" i="40"/>
  <c r="O577" i="40"/>
  <c r="P576" i="40"/>
  <c r="O576" i="40"/>
  <c r="P575" i="40"/>
  <c r="O575" i="40"/>
  <c r="P574" i="40"/>
  <c r="O574" i="40"/>
  <c r="P573" i="40"/>
  <c r="O573" i="40"/>
  <c r="P572" i="40"/>
  <c r="O572" i="40"/>
  <c r="P571" i="40"/>
  <c r="O571" i="40"/>
  <c r="P570" i="40"/>
  <c r="O570" i="40"/>
  <c r="P569" i="40"/>
  <c r="O569" i="40"/>
  <c r="P568" i="40"/>
  <c r="O568" i="40"/>
  <c r="P567" i="40"/>
  <c r="O567" i="40"/>
  <c r="P566" i="40"/>
  <c r="O566" i="40"/>
  <c r="P565" i="40"/>
  <c r="O565" i="40"/>
  <c r="P564" i="40"/>
  <c r="O564" i="40"/>
  <c r="P563" i="40"/>
  <c r="O563" i="40"/>
  <c r="P562" i="40"/>
  <c r="O562" i="40"/>
  <c r="P561" i="40"/>
  <c r="O561" i="40"/>
  <c r="P560" i="40"/>
  <c r="O560" i="40"/>
  <c r="P559" i="40"/>
  <c r="O559" i="40"/>
  <c r="P558" i="40"/>
  <c r="O558" i="40"/>
  <c r="P557" i="40"/>
  <c r="O557" i="40"/>
  <c r="P556" i="40"/>
  <c r="O556" i="40"/>
  <c r="P555" i="40"/>
  <c r="O555" i="40"/>
  <c r="P554" i="40"/>
  <c r="O554" i="40"/>
  <c r="P553" i="40"/>
  <c r="O553" i="40"/>
  <c r="P552" i="40"/>
  <c r="O552" i="40"/>
  <c r="P551" i="40"/>
  <c r="O551" i="40"/>
  <c r="P550" i="40"/>
  <c r="O550" i="40"/>
  <c r="P549" i="40"/>
  <c r="O549" i="40"/>
  <c r="P548" i="40"/>
  <c r="O548" i="40"/>
  <c r="P547" i="40"/>
  <c r="O547" i="40"/>
  <c r="P546" i="40"/>
  <c r="O546" i="40"/>
  <c r="P545" i="40"/>
  <c r="O545" i="40"/>
  <c r="P544" i="40"/>
  <c r="O544" i="40"/>
  <c r="P543" i="40"/>
  <c r="O543" i="40"/>
  <c r="P542" i="40"/>
  <c r="O542" i="40"/>
  <c r="P541" i="40"/>
  <c r="O541" i="40"/>
  <c r="P540" i="40"/>
  <c r="O540" i="40"/>
  <c r="P539" i="40"/>
  <c r="O539" i="40"/>
  <c r="P538" i="40"/>
  <c r="O538" i="40"/>
  <c r="P537" i="40"/>
  <c r="O537" i="40"/>
  <c r="P536" i="40"/>
  <c r="O536" i="40"/>
  <c r="P535" i="40"/>
  <c r="O535" i="40"/>
  <c r="P534" i="40"/>
  <c r="O534" i="40"/>
  <c r="P533" i="40"/>
  <c r="O533" i="40"/>
  <c r="P532" i="40"/>
  <c r="O532" i="40"/>
  <c r="P531" i="40"/>
  <c r="O531" i="40"/>
  <c r="P530" i="40"/>
  <c r="O530" i="40"/>
  <c r="P529" i="40"/>
  <c r="O529" i="40"/>
  <c r="P528" i="40"/>
  <c r="O528" i="40"/>
  <c r="P527" i="40"/>
  <c r="O527" i="40"/>
  <c r="P526" i="40"/>
  <c r="O526" i="40"/>
  <c r="P525" i="40"/>
  <c r="O525" i="40"/>
  <c r="P524" i="40"/>
  <c r="O524" i="40"/>
  <c r="P523" i="40"/>
  <c r="O523" i="40"/>
  <c r="P522" i="40"/>
  <c r="O522" i="40"/>
  <c r="P521" i="40"/>
  <c r="O521" i="40"/>
  <c r="P520" i="40"/>
  <c r="O520" i="40"/>
  <c r="P519" i="40"/>
  <c r="O519" i="40"/>
  <c r="P518" i="40"/>
  <c r="O518" i="40"/>
  <c r="P517" i="40"/>
  <c r="O517" i="40"/>
  <c r="P516" i="40"/>
  <c r="O516" i="40"/>
  <c r="P515" i="40"/>
  <c r="O515" i="40"/>
  <c r="P514" i="40"/>
  <c r="O514" i="40"/>
  <c r="P513" i="40"/>
  <c r="O513" i="40"/>
  <c r="P512" i="40"/>
  <c r="O512" i="40"/>
  <c r="P511" i="40"/>
  <c r="O511" i="40"/>
  <c r="P510" i="40"/>
  <c r="O510" i="40"/>
  <c r="P509" i="40"/>
  <c r="O509" i="40"/>
  <c r="P508" i="40"/>
  <c r="O508" i="40"/>
  <c r="P507" i="40"/>
  <c r="O507" i="40"/>
  <c r="P506" i="40"/>
  <c r="O506" i="40"/>
  <c r="P505" i="40"/>
  <c r="O505" i="40"/>
  <c r="P504" i="40"/>
  <c r="O504" i="40"/>
  <c r="P503" i="40"/>
  <c r="O503" i="40"/>
  <c r="P502" i="40"/>
  <c r="O502" i="40"/>
  <c r="P501" i="40"/>
  <c r="O501" i="40"/>
  <c r="P500" i="40"/>
  <c r="O500" i="40"/>
  <c r="P499" i="40"/>
  <c r="O499" i="40"/>
  <c r="P498" i="40"/>
  <c r="O498" i="40"/>
  <c r="P497" i="40"/>
  <c r="O497" i="40"/>
  <c r="P496" i="40"/>
  <c r="O496" i="40"/>
  <c r="P495" i="40"/>
  <c r="O495" i="40"/>
  <c r="P494" i="40"/>
  <c r="O494" i="40"/>
  <c r="P493" i="40"/>
  <c r="O493" i="40"/>
  <c r="P492" i="40"/>
  <c r="O492" i="40"/>
  <c r="P491" i="40"/>
  <c r="O491" i="40"/>
  <c r="P490" i="40"/>
  <c r="O490" i="40"/>
  <c r="P489" i="40"/>
  <c r="O489" i="40"/>
  <c r="P488" i="40"/>
  <c r="O488" i="40"/>
  <c r="P487" i="40"/>
  <c r="O487" i="40"/>
  <c r="P486" i="40"/>
  <c r="O486" i="40"/>
  <c r="P485" i="40"/>
  <c r="O485" i="40"/>
  <c r="P484" i="40"/>
  <c r="O484" i="40"/>
  <c r="P483" i="40"/>
  <c r="O483" i="40"/>
  <c r="P482" i="40"/>
  <c r="O482" i="40"/>
  <c r="P481" i="40"/>
  <c r="O481" i="40"/>
  <c r="P480" i="40"/>
  <c r="O480" i="40"/>
  <c r="P479" i="40"/>
  <c r="O479" i="40"/>
  <c r="P478" i="40"/>
  <c r="O478" i="40"/>
  <c r="P477" i="40"/>
  <c r="O477" i="40"/>
  <c r="P476" i="40"/>
  <c r="O476" i="40"/>
  <c r="P475" i="40"/>
  <c r="O475" i="40"/>
  <c r="P474" i="40"/>
  <c r="O474" i="40"/>
  <c r="P473" i="40"/>
  <c r="O473" i="40"/>
  <c r="P472" i="40"/>
  <c r="O472" i="40"/>
  <c r="P471" i="40"/>
  <c r="O471" i="40"/>
  <c r="P470" i="40"/>
  <c r="O470" i="40"/>
  <c r="P469" i="40"/>
  <c r="O469" i="40"/>
  <c r="P468" i="40"/>
  <c r="O468" i="40"/>
  <c r="P467" i="40"/>
  <c r="O467" i="40"/>
  <c r="P466" i="40"/>
  <c r="O466" i="40"/>
  <c r="P465" i="40"/>
  <c r="O465" i="40"/>
  <c r="P464" i="40"/>
  <c r="O464" i="40"/>
  <c r="P463" i="40"/>
  <c r="O463" i="40"/>
  <c r="P462" i="40"/>
  <c r="O462" i="40"/>
  <c r="P461" i="40"/>
  <c r="O461" i="40"/>
  <c r="P460" i="40"/>
  <c r="O460" i="40"/>
  <c r="P459" i="40"/>
  <c r="O459" i="40"/>
  <c r="P458" i="40"/>
  <c r="O458" i="40"/>
  <c r="P457" i="40"/>
  <c r="O457" i="40"/>
  <c r="P456" i="40"/>
  <c r="O456" i="40"/>
  <c r="P455" i="40"/>
  <c r="O455" i="40"/>
  <c r="P454" i="40"/>
  <c r="O454" i="40"/>
  <c r="P453" i="40"/>
  <c r="O453" i="40"/>
  <c r="P452" i="40"/>
  <c r="O452" i="40"/>
  <c r="P451" i="40"/>
  <c r="O451" i="40"/>
  <c r="P450" i="40"/>
  <c r="O450" i="40"/>
  <c r="P449" i="40"/>
  <c r="O449" i="40"/>
  <c r="P448" i="40"/>
  <c r="O448" i="40"/>
  <c r="P447" i="40"/>
  <c r="O447" i="40"/>
  <c r="P446" i="40"/>
  <c r="O446" i="40"/>
  <c r="P445" i="40"/>
  <c r="O445" i="40"/>
  <c r="P444" i="40"/>
  <c r="O444" i="40"/>
  <c r="P443" i="40"/>
  <c r="O443" i="40"/>
  <c r="P442" i="40"/>
  <c r="O442" i="40"/>
  <c r="P441" i="40"/>
  <c r="O441" i="40"/>
  <c r="P440" i="40"/>
  <c r="O440" i="40"/>
  <c r="P439" i="40"/>
  <c r="O439" i="40"/>
  <c r="P438" i="40"/>
  <c r="O438" i="40"/>
  <c r="P437" i="40"/>
  <c r="O437" i="40"/>
  <c r="P436" i="40"/>
  <c r="O436" i="40"/>
  <c r="P435" i="40"/>
  <c r="O435" i="40"/>
  <c r="P434" i="40"/>
  <c r="O434" i="40"/>
  <c r="P433" i="40"/>
  <c r="O433" i="40"/>
  <c r="P432" i="40"/>
  <c r="O432" i="40"/>
  <c r="P431" i="40"/>
  <c r="O431" i="40"/>
  <c r="P430" i="40"/>
  <c r="O430" i="40"/>
  <c r="P429" i="40"/>
  <c r="O429" i="40"/>
  <c r="P428" i="40"/>
  <c r="O428" i="40"/>
  <c r="P427" i="40"/>
  <c r="O427" i="40"/>
  <c r="P426" i="40"/>
  <c r="O426" i="40"/>
  <c r="P425" i="40"/>
  <c r="O425" i="40"/>
  <c r="P424" i="40"/>
  <c r="O424" i="40"/>
  <c r="P423" i="40"/>
  <c r="O423" i="40"/>
  <c r="P422" i="40"/>
  <c r="O422" i="40"/>
  <c r="P421" i="40"/>
  <c r="O421" i="40"/>
  <c r="P420" i="40"/>
  <c r="O420" i="40"/>
  <c r="P419" i="40"/>
  <c r="O419" i="40"/>
  <c r="P418" i="40"/>
  <c r="O418" i="40"/>
  <c r="P417" i="40"/>
  <c r="O417" i="40"/>
  <c r="P416" i="40"/>
  <c r="O416" i="40"/>
  <c r="P415" i="40"/>
  <c r="O415" i="40"/>
  <c r="P414" i="40"/>
  <c r="O414" i="40"/>
  <c r="P413" i="40"/>
  <c r="O413" i="40"/>
  <c r="P412" i="40"/>
  <c r="O412" i="40"/>
  <c r="P411" i="40"/>
  <c r="O411" i="40"/>
  <c r="P410" i="40"/>
  <c r="O410" i="40"/>
  <c r="P409" i="40"/>
  <c r="O409" i="40"/>
  <c r="P408" i="40"/>
  <c r="O408" i="40"/>
  <c r="P407" i="40"/>
  <c r="O407" i="40"/>
  <c r="P406" i="40"/>
  <c r="O406" i="40"/>
  <c r="P405" i="40"/>
  <c r="O405" i="40"/>
  <c r="P404" i="40"/>
  <c r="O404" i="40"/>
  <c r="P403" i="40"/>
  <c r="O403" i="40"/>
  <c r="P402" i="40"/>
  <c r="O402" i="40"/>
  <c r="P401" i="40"/>
  <c r="O401" i="40"/>
  <c r="P400" i="40"/>
  <c r="O400" i="40"/>
  <c r="P399" i="40"/>
  <c r="O399" i="40"/>
  <c r="P398" i="40"/>
  <c r="O398" i="40"/>
  <c r="P397" i="40"/>
  <c r="O397" i="40"/>
  <c r="P396" i="40"/>
  <c r="O396" i="40"/>
  <c r="P395" i="40"/>
  <c r="O395" i="40"/>
  <c r="P394" i="40"/>
  <c r="O394" i="40"/>
  <c r="P393" i="40"/>
  <c r="O393" i="40"/>
  <c r="P392" i="40"/>
  <c r="O392" i="40"/>
  <c r="P391" i="40"/>
  <c r="O391" i="40"/>
  <c r="P390" i="40"/>
  <c r="O390" i="40"/>
  <c r="P389" i="40"/>
  <c r="O389" i="40"/>
  <c r="P388" i="40"/>
  <c r="O388" i="40"/>
  <c r="P387" i="40"/>
  <c r="O387" i="40"/>
  <c r="P386" i="40"/>
  <c r="O386" i="40"/>
  <c r="P385" i="40"/>
  <c r="O385" i="40"/>
  <c r="P384" i="40"/>
  <c r="O384" i="40"/>
  <c r="P383" i="40"/>
  <c r="O383" i="40"/>
  <c r="P382" i="40"/>
  <c r="O382" i="40"/>
  <c r="P381" i="40"/>
  <c r="O381" i="40"/>
  <c r="P380" i="40"/>
  <c r="O380" i="40"/>
  <c r="P379" i="40"/>
  <c r="O379" i="40"/>
  <c r="P378" i="40"/>
  <c r="O378" i="40"/>
  <c r="P377" i="40"/>
  <c r="O377" i="40"/>
  <c r="P376" i="40"/>
  <c r="O376" i="40"/>
  <c r="P375" i="40"/>
  <c r="O375" i="40"/>
  <c r="P374" i="40"/>
  <c r="O374" i="40"/>
  <c r="P373" i="40"/>
  <c r="O373" i="40"/>
  <c r="P372" i="40"/>
  <c r="O372" i="40"/>
  <c r="P371" i="40"/>
  <c r="O371" i="40"/>
  <c r="P370" i="40"/>
  <c r="O370" i="40"/>
  <c r="P369" i="40"/>
  <c r="O369" i="40"/>
  <c r="P368" i="40"/>
  <c r="O368" i="40"/>
  <c r="P367" i="40"/>
  <c r="O367" i="40"/>
  <c r="P366" i="40"/>
  <c r="O366" i="40"/>
  <c r="P365" i="40"/>
  <c r="O365" i="40"/>
  <c r="P364" i="40"/>
  <c r="O364" i="40"/>
  <c r="P363" i="40"/>
  <c r="O363" i="40"/>
  <c r="P362" i="40"/>
  <c r="O362" i="40"/>
  <c r="P361" i="40"/>
  <c r="O361" i="40"/>
  <c r="P360" i="40"/>
  <c r="O360" i="40"/>
  <c r="P359" i="40"/>
  <c r="O359" i="40"/>
  <c r="P358" i="40"/>
  <c r="O358" i="40"/>
  <c r="P357" i="40"/>
  <c r="O357" i="40"/>
  <c r="P356" i="40"/>
  <c r="O356" i="40"/>
  <c r="P355" i="40"/>
  <c r="O355" i="40"/>
  <c r="P354" i="40"/>
  <c r="O354" i="40"/>
  <c r="P353" i="40"/>
  <c r="O353" i="40"/>
  <c r="P352" i="40"/>
  <c r="O352" i="40"/>
  <c r="P351" i="40"/>
  <c r="O351" i="40"/>
  <c r="P350" i="40"/>
  <c r="O350" i="40"/>
  <c r="P349" i="40"/>
  <c r="O349" i="40"/>
  <c r="P348" i="40"/>
  <c r="O348" i="40"/>
  <c r="P347" i="40"/>
  <c r="O347" i="40"/>
  <c r="P346" i="40"/>
  <c r="O346" i="40"/>
  <c r="P345" i="40"/>
  <c r="O345" i="40"/>
  <c r="P344" i="40"/>
  <c r="O344" i="40"/>
  <c r="P343" i="40"/>
  <c r="O343" i="40"/>
  <c r="P342" i="40"/>
  <c r="O342" i="40"/>
  <c r="P341" i="40"/>
  <c r="O341" i="40"/>
  <c r="P340" i="40"/>
  <c r="O340" i="40"/>
  <c r="P339" i="40"/>
  <c r="O339" i="40"/>
  <c r="P338" i="40"/>
  <c r="O338" i="40"/>
  <c r="P337" i="40"/>
  <c r="O337" i="40"/>
  <c r="P336" i="40"/>
  <c r="O336" i="40"/>
  <c r="P335" i="40"/>
  <c r="O335" i="40"/>
  <c r="P334" i="40"/>
  <c r="O334" i="40"/>
  <c r="P333" i="40"/>
  <c r="O333" i="40"/>
  <c r="P332" i="40"/>
  <c r="O332" i="40"/>
  <c r="P331" i="40"/>
  <c r="O331" i="40"/>
  <c r="P330" i="40"/>
  <c r="O330" i="40"/>
  <c r="P329" i="40"/>
  <c r="O329" i="40"/>
  <c r="P328" i="40"/>
  <c r="O328" i="40"/>
  <c r="P327" i="40"/>
  <c r="O327" i="40"/>
  <c r="P326" i="40"/>
  <c r="O326" i="40"/>
  <c r="P325" i="40"/>
  <c r="O325" i="40"/>
  <c r="P324" i="40"/>
  <c r="O324" i="40"/>
  <c r="P323" i="40"/>
  <c r="O323" i="40"/>
  <c r="P322" i="40"/>
  <c r="O322" i="40"/>
  <c r="P321" i="40"/>
  <c r="O321" i="40"/>
  <c r="P320" i="40"/>
  <c r="O320" i="40"/>
  <c r="P319" i="40"/>
  <c r="O319" i="40"/>
  <c r="P318" i="40"/>
  <c r="O318" i="40"/>
  <c r="P317" i="40"/>
  <c r="O317" i="40"/>
  <c r="P316" i="40"/>
  <c r="O316" i="40"/>
  <c r="P315" i="40"/>
  <c r="O315" i="40"/>
  <c r="P314" i="40"/>
  <c r="O314" i="40"/>
  <c r="P313" i="40"/>
  <c r="O313" i="40"/>
  <c r="P312" i="40"/>
  <c r="O312" i="40"/>
  <c r="P311" i="40"/>
  <c r="O311" i="40"/>
  <c r="P310" i="40"/>
  <c r="O310" i="40"/>
  <c r="P309" i="40"/>
  <c r="O309" i="40"/>
  <c r="P308" i="40"/>
  <c r="O308" i="40"/>
  <c r="P307" i="40"/>
  <c r="O307" i="40"/>
  <c r="P306" i="40"/>
  <c r="O306" i="40"/>
  <c r="P305" i="40"/>
  <c r="O305" i="40"/>
  <c r="P304" i="40"/>
  <c r="O304" i="40"/>
  <c r="P303" i="40"/>
  <c r="O303" i="40"/>
  <c r="P302" i="40"/>
  <c r="O302" i="40"/>
  <c r="P301" i="40"/>
  <c r="O301" i="40"/>
  <c r="P300" i="40"/>
  <c r="O300" i="40"/>
  <c r="P299" i="40"/>
  <c r="O299" i="40"/>
  <c r="P298" i="40"/>
  <c r="O298" i="40"/>
  <c r="P297" i="40"/>
  <c r="O297" i="40"/>
  <c r="P296" i="40"/>
  <c r="O296" i="40"/>
  <c r="P295" i="40"/>
  <c r="O295" i="40"/>
  <c r="P294" i="40"/>
  <c r="O294" i="40"/>
  <c r="P293" i="40"/>
  <c r="O293" i="40"/>
  <c r="P292" i="40"/>
  <c r="O292" i="40"/>
  <c r="P291" i="40"/>
  <c r="O291" i="40"/>
  <c r="P290" i="40"/>
  <c r="O290" i="40"/>
  <c r="P289" i="40"/>
  <c r="O289" i="40"/>
  <c r="P288" i="40"/>
  <c r="O288" i="40"/>
  <c r="P287" i="40"/>
  <c r="O287" i="40"/>
  <c r="P286" i="40"/>
  <c r="O286" i="40"/>
  <c r="P285" i="40"/>
  <c r="O285" i="40"/>
  <c r="P284" i="40"/>
  <c r="O284" i="40"/>
  <c r="P283" i="40"/>
  <c r="O283" i="40"/>
  <c r="P282" i="40"/>
  <c r="O282" i="40"/>
  <c r="P281" i="40"/>
  <c r="O281" i="40"/>
  <c r="P280" i="40"/>
  <c r="O280" i="40"/>
  <c r="P279" i="40"/>
  <c r="O279" i="40"/>
  <c r="P278" i="40"/>
  <c r="O278" i="40"/>
  <c r="P277" i="40"/>
  <c r="O277" i="40"/>
  <c r="P276" i="40"/>
  <c r="O276" i="40"/>
  <c r="P275" i="40"/>
  <c r="O275" i="40"/>
  <c r="P274" i="40"/>
  <c r="O274" i="40"/>
  <c r="P273" i="40"/>
  <c r="O273" i="40"/>
  <c r="P272" i="40"/>
  <c r="O272" i="40"/>
  <c r="P271" i="40"/>
  <c r="O271" i="40"/>
  <c r="P270" i="40"/>
  <c r="O270" i="40"/>
  <c r="P269" i="40"/>
  <c r="O269" i="40"/>
  <c r="P268" i="40"/>
  <c r="O268" i="40"/>
  <c r="P267" i="40"/>
  <c r="O267" i="40"/>
  <c r="P266" i="40"/>
  <c r="O266" i="40"/>
  <c r="P265" i="40"/>
  <c r="O265" i="40"/>
  <c r="P264" i="40"/>
  <c r="O264" i="40"/>
  <c r="P263" i="40"/>
  <c r="O263" i="40"/>
  <c r="P262" i="40"/>
  <c r="O262" i="40"/>
  <c r="P261" i="40"/>
  <c r="O261" i="40"/>
  <c r="P260" i="40"/>
  <c r="O260" i="40"/>
  <c r="P259" i="40"/>
  <c r="O259" i="40"/>
  <c r="P258" i="40"/>
  <c r="O258" i="40"/>
  <c r="P257" i="40"/>
  <c r="O257" i="40"/>
  <c r="P256" i="40"/>
  <c r="O256" i="40"/>
  <c r="P255" i="40"/>
  <c r="O255" i="40"/>
  <c r="P254" i="40"/>
  <c r="O254" i="40"/>
  <c r="P253" i="40"/>
  <c r="O253" i="40"/>
  <c r="P252" i="40"/>
  <c r="O252" i="40"/>
  <c r="P251" i="40"/>
  <c r="O251" i="40"/>
  <c r="P250" i="40"/>
  <c r="O250" i="40"/>
  <c r="P249" i="40"/>
  <c r="O249" i="40"/>
  <c r="P248" i="40"/>
  <c r="O248" i="40"/>
  <c r="P247" i="40"/>
  <c r="O247" i="40"/>
  <c r="P246" i="40"/>
  <c r="O246" i="40"/>
  <c r="P245" i="40"/>
  <c r="O245" i="40"/>
  <c r="P244" i="40"/>
  <c r="O244" i="40"/>
  <c r="P243" i="40"/>
  <c r="O243" i="40"/>
  <c r="P242" i="40"/>
  <c r="O242" i="40"/>
  <c r="P241" i="40"/>
  <c r="O241" i="40"/>
  <c r="P240" i="40"/>
  <c r="O240" i="40"/>
  <c r="P239" i="40"/>
  <c r="O239" i="40"/>
  <c r="P238" i="40"/>
  <c r="O238" i="40"/>
  <c r="P237" i="40"/>
  <c r="O237" i="40"/>
  <c r="P236" i="40"/>
  <c r="O236" i="40"/>
  <c r="P235" i="40"/>
  <c r="O235" i="40"/>
  <c r="P234" i="40"/>
  <c r="O234" i="40"/>
  <c r="P233" i="40"/>
  <c r="O233" i="40"/>
  <c r="P232" i="40"/>
  <c r="O232" i="40"/>
  <c r="P231" i="40"/>
  <c r="O231" i="40"/>
  <c r="P230" i="40"/>
  <c r="O230" i="40"/>
  <c r="P229" i="40"/>
  <c r="O229" i="40"/>
  <c r="P228" i="40"/>
  <c r="O228" i="40"/>
  <c r="P227" i="40"/>
  <c r="O227" i="40"/>
  <c r="P226" i="40"/>
  <c r="O226" i="40"/>
  <c r="P225" i="40"/>
  <c r="O225" i="40"/>
  <c r="P224" i="40"/>
  <c r="O224" i="40"/>
  <c r="P223" i="40"/>
  <c r="O223" i="40"/>
  <c r="P222" i="40"/>
  <c r="O222" i="40"/>
  <c r="P221" i="40"/>
  <c r="O221" i="40"/>
  <c r="P220" i="40"/>
  <c r="O220" i="40"/>
  <c r="P219" i="40"/>
  <c r="O219" i="40"/>
  <c r="P218" i="40"/>
  <c r="O218" i="40"/>
  <c r="P217" i="40"/>
  <c r="O217" i="40"/>
  <c r="P216" i="40"/>
  <c r="O216" i="40"/>
  <c r="P215" i="40"/>
  <c r="O215" i="40"/>
  <c r="P214" i="40"/>
  <c r="O214" i="40"/>
  <c r="P213" i="40"/>
  <c r="O213" i="40"/>
  <c r="P212" i="40"/>
  <c r="O212" i="40"/>
  <c r="P211" i="40"/>
  <c r="O211" i="40"/>
  <c r="P210" i="40"/>
  <c r="O210" i="40"/>
  <c r="P209" i="40"/>
  <c r="O209" i="40"/>
  <c r="P208" i="40"/>
  <c r="O208" i="40"/>
  <c r="P207" i="40"/>
  <c r="O207" i="40"/>
  <c r="P206" i="40"/>
  <c r="O206" i="40"/>
  <c r="P205" i="40"/>
  <c r="O205" i="40"/>
  <c r="P204" i="40"/>
  <c r="O204" i="40"/>
  <c r="P203" i="40"/>
  <c r="O203" i="40"/>
  <c r="P202" i="40"/>
  <c r="O202" i="40"/>
  <c r="P201" i="40"/>
  <c r="O201" i="40"/>
  <c r="P200" i="40"/>
  <c r="O200" i="40"/>
  <c r="P199" i="40"/>
  <c r="O199" i="40"/>
  <c r="P198" i="40"/>
  <c r="O198" i="40"/>
  <c r="P197" i="40"/>
  <c r="O197" i="40"/>
  <c r="P196" i="40"/>
  <c r="O196" i="40"/>
  <c r="P195" i="40"/>
  <c r="O195" i="40"/>
  <c r="P194" i="40"/>
  <c r="O194" i="40"/>
  <c r="P193" i="40"/>
  <c r="O193" i="40"/>
  <c r="P192" i="40"/>
  <c r="O192" i="40"/>
  <c r="P191" i="40"/>
  <c r="O191" i="40"/>
  <c r="P190" i="40"/>
  <c r="O190" i="40"/>
  <c r="P189" i="40"/>
  <c r="O189" i="40"/>
  <c r="P188" i="40"/>
  <c r="O188" i="40"/>
  <c r="P187" i="40"/>
  <c r="O187" i="40"/>
  <c r="P186" i="40"/>
  <c r="O186" i="40"/>
  <c r="P185" i="40"/>
  <c r="O185" i="40"/>
  <c r="P184" i="40"/>
  <c r="O184" i="40"/>
  <c r="P183" i="40"/>
  <c r="O183" i="40"/>
  <c r="P182" i="40"/>
  <c r="O182" i="40"/>
  <c r="P181" i="40"/>
  <c r="O181" i="40"/>
  <c r="P180" i="40"/>
  <c r="O180" i="40"/>
  <c r="P179" i="40"/>
  <c r="O179" i="40"/>
  <c r="P178" i="40"/>
  <c r="O178" i="40"/>
  <c r="P177" i="40"/>
  <c r="O177" i="40"/>
  <c r="P176" i="40"/>
  <c r="O176" i="40"/>
  <c r="P175" i="40"/>
  <c r="O175" i="40"/>
  <c r="P174" i="40"/>
  <c r="O174" i="40"/>
  <c r="P173" i="40"/>
  <c r="O173" i="40"/>
  <c r="P172" i="40"/>
  <c r="O172" i="40"/>
  <c r="P171" i="40"/>
  <c r="O171" i="40"/>
  <c r="P170" i="40"/>
  <c r="O170" i="40"/>
  <c r="P169" i="40"/>
  <c r="O169" i="40"/>
  <c r="P168" i="40"/>
  <c r="O168" i="40"/>
  <c r="P167" i="40"/>
  <c r="O167" i="40"/>
  <c r="P166" i="40"/>
  <c r="O166" i="40"/>
  <c r="P165" i="40"/>
  <c r="O165" i="40"/>
  <c r="P164" i="40"/>
  <c r="O164" i="40"/>
  <c r="P163" i="40"/>
  <c r="O163" i="40"/>
  <c r="P162" i="40"/>
  <c r="O162" i="40"/>
  <c r="P161" i="40"/>
  <c r="O161" i="40"/>
  <c r="P160" i="40"/>
  <c r="O160" i="40"/>
  <c r="P159" i="40"/>
  <c r="O159" i="40"/>
  <c r="P158" i="40"/>
  <c r="O158" i="40"/>
  <c r="P157" i="40"/>
  <c r="O157" i="40"/>
  <c r="P156" i="40"/>
  <c r="O156" i="40"/>
  <c r="P155" i="40"/>
  <c r="O155" i="40"/>
  <c r="P154" i="40"/>
  <c r="O154" i="40"/>
  <c r="P153" i="40"/>
  <c r="O153" i="40"/>
  <c r="P152" i="40"/>
  <c r="O152" i="40"/>
  <c r="P151" i="40"/>
  <c r="O151" i="40"/>
  <c r="P150" i="40"/>
  <c r="O150" i="40"/>
  <c r="P149" i="40"/>
  <c r="O149" i="40"/>
  <c r="P148" i="40"/>
  <c r="O148" i="40"/>
  <c r="P147" i="40"/>
  <c r="O147" i="40"/>
  <c r="P146" i="40"/>
  <c r="O146" i="40"/>
  <c r="P145" i="40"/>
  <c r="O145" i="40"/>
  <c r="P144" i="40"/>
  <c r="O144" i="40"/>
  <c r="P143" i="40"/>
  <c r="O143" i="40"/>
  <c r="P142" i="40"/>
  <c r="O142" i="40"/>
  <c r="P141" i="40"/>
  <c r="O141" i="40"/>
  <c r="P140" i="40"/>
  <c r="O140" i="40"/>
  <c r="P139" i="40"/>
  <c r="O139" i="40"/>
  <c r="P138" i="40"/>
  <c r="O138" i="40"/>
  <c r="P137" i="40"/>
  <c r="O137" i="40"/>
  <c r="P136" i="40"/>
  <c r="O136" i="40"/>
  <c r="P135" i="40"/>
  <c r="O135" i="40"/>
  <c r="P134" i="40"/>
  <c r="O134" i="40"/>
  <c r="P133" i="40"/>
  <c r="O133" i="40"/>
  <c r="P132" i="40"/>
  <c r="O132" i="40"/>
  <c r="P131" i="40"/>
  <c r="O131" i="40"/>
  <c r="P130" i="40"/>
  <c r="O130" i="40"/>
  <c r="P129" i="40"/>
  <c r="O129" i="40"/>
  <c r="P128" i="40"/>
  <c r="O128" i="40"/>
  <c r="P127" i="40"/>
  <c r="O127" i="40"/>
  <c r="P126" i="40"/>
  <c r="O126" i="40"/>
  <c r="P125" i="40"/>
  <c r="O125" i="40"/>
  <c r="P124" i="40"/>
  <c r="O124" i="40"/>
  <c r="P123" i="40"/>
  <c r="O123" i="40"/>
  <c r="P122" i="40"/>
  <c r="O122" i="40"/>
  <c r="P121" i="40"/>
  <c r="O121" i="40"/>
  <c r="P120" i="40"/>
  <c r="O120" i="40"/>
  <c r="P119" i="40"/>
  <c r="O119" i="40"/>
  <c r="P118" i="40"/>
  <c r="O118" i="40"/>
  <c r="P117" i="40"/>
  <c r="O117" i="40"/>
  <c r="P116" i="40"/>
  <c r="O116" i="40"/>
  <c r="P115" i="40"/>
  <c r="O115" i="40"/>
  <c r="P114" i="40"/>
  <c r="O114" i="40"/>
  <c r="P113" i="40"/>
  <c r="O113" i="40"/>
  <c r="P112" i="40"/>
  <c r="O112" i="40"/>
  <c r="P111" i="40"/>
  <c r="O111" i="40"/>
  <c r="P110" i="40"/>
  <c r="O110" i="40"/>
  <c r="P109" i="40"/>
  <c r="O109" i="40"/>
  <c r="P108" i="40"/>
  <c r="O108" i="40"/>
  <c r="P107" i="40"/>
  <c r="O107" i="40"/>
  <c r="P106" i="40"/>
  <c r="O106" i="40"/>
  <c r="P105" i="40"/>
  <c r="O105" i="40"/>
  <c r="P104" i="40"/>
  <c r="O104" i="40"/>
  <c r="P103" i="40"/>
  <c r="O103" i="40"/>
  <c r="P102" i="40"/>
  <c r="O102" i="40"/>
  <c r="P101" i="40"/>
  <c r="O101" i="40"/>
  <c r="P100" i="40"/>
  <c r="O100" i="40"/>
  <c r="P99" i="40"/>
  <c r="O99" i="40"/>
  <c r="P98" i="40"/>
  <c r="O98" i="40"/>
  <c r="P97" i="40"/>
  <c r="O97" i="40"/>
  <c r="P96" i="40"/>
  <c r="O96" i="40"/>
  <c r="P95" i="40"/>
  <c r="O95" i="40"/>
  <c r="P94" i="40"/>
  <c r="O94" i="40"/>
  <c r="P93" i="40"/>
  <c r="O93" i="40"/>
  <c r="P92" i="40"/>
  <c r="O92" i="40"/>
  <c r="P91" i="40"/>
  <c r="O91" i="40"/>
  <c r="P90" i="40"/>
  <c r="O90" i="40"/>
  <c r="P89" i="40"/>
  <c r="O89" i="40"/>
  <c r="P88" i="40"/>
  <c r="O88" i="40"/>
  <c r="P87" i="40"/>
  <c r="O87" i="40"/>
  <c r="P86" i="40"/>
  <c r="O86" i="40"/>
  <c r="P85" i="40"/>
  <c r="O85" i="40"/>
  <c r="P84" i="40"/>
  <c r="O84" i="40"/>
  <c r="P83" i="40"/>
  <c r="O83" i="40"/>
  <c r="P82" i="40"/>
  <c r="O82" i="40"/>
  <c r="P81" i="40"/>
  <c r="O81" i="40"/>
  <c r="P80" i="40"/>
  <c r="O80" i="40"/>
  <c r="P79" i="40"/>
  <c r="O79" i="40"/>
  <c r="P78" i="40"/>
  <c r="O78" i="40"/>
  <c r="P77" i="40"/>
  <c r="O77" i="40"/>
  <c r="P76" i="40"/>
  <c r="O76" i="40"/>
  <c r="P75" i="40"/>
  <c r="O75" i="40"/>
  <c r="P74" i="40"/>
  <c r="O74" i="40"/>
  <c r="P73" i="40"/>
  <c r="O73" i="40"/>
  <c r="P72" i="40"/>
  <c r="O72" i="40"/>
  <c r="P71" i="40"/>
  <c r="O71" i="40"/>
  <c r="P70" i="40"/>
  <c r="O70" i="40"/>
  <c r="P69" i="40"/>
  <c r="O69" i="40"/>
  <c r="P68" i="40"/>
  <c r="O68" i="40"/>
  <c r="P67" i="40"/>
  <c r="O67" i="40"/>
  <c r="P66" i="40"/>
  <c r="O66" i="40"/>
  <c r="P65" i="40"/>
  <c r="O65" i="40"/>
  <c r="P64" i="40"/>
  <c r="O64" i="40"/>
  <c r="P63" i="40"/>
  <c r="O63" i="40"/>
  <c r="P62" i="40"/>
  <c r="O62" i="40"/>
  <c r="P61" i="40"/>
  <c r="O61" i="40"/>
  <c r="P60" i="40"/>
  <c r="O60" i="40"/>
  <c r="P59" i="40"/>
  <c r="O59" i="40"/>
  <c r="P58" i="40"/>
  <c r="O58" i="40"/>
  <c r="P57" i="40"/>
  <c r="O57" i="40"/>
  <c r="P56" i="40"/>
  <c r="O56" i="40"/>
  <c r="P55" i="40"/>
  <c r="O55" i="40"/>
  <c r="P54" i="40"/>
  <c r="O54" i="40"/>
  <c r="P53" i="40"/>
  <c r="O53" i="40"/>
  <c r="P52" i="40"/>
  <c r="O52" i="40"/>
  <c r="P51" i="40"/>
  <c r="O51" i="40"/>
  <c r="P50" i="40"/>
  <c r="O50" i="40"/>
  <c r="P49" i="40"/>
  <c r="O49" i="40"/>
  <c r="P48" i="40"/>
  <c r="O48" i="40"/>
  <c r="P47" i="40"/>
  <c r="O47" i="40"/>
  <c r="P46" i="40"/>
  <c r="O46" i="40"/>
  <c r="P45" i="40"/>
  <c r="O45" i="40"/>
  <c r="P44" i="40"/>
  <c r="O44" i="40"/>
  <c r="P43" i="40"/>
  <c r="O43" i="40"/>
  <c r="P42" i="40"/>
  <c r="O42" i="40"/>
  <c r="P41" i="40"/>
  <c r="O41" i="40"/>
  <c r="P40" i="40"/>
  <c r="O40" i="40"/>
  <c r="P39" i="40"/>
  <c r="O39" i="40"/>
  <c r="P38" i="40"/>
  <c r="O38" i="40"/>
  <c r="P37" i="40"/>
  <c r="O37" i="40"/>
  <c r="P36" i="40"/>
  <c r="O36" i="40"/>
  <c r="P35" i="40"/>
  <c r="O35" i="40"/>
  <c r="P34" i="40"/>
  <c r="O34" i="40"/>
  <c r="P33" i="40"/>
  <c r="O33" i="40"/>
  <c r="P32" i="40"/>
  <c r="O32" i="40"/>
  <c r="P31" i="40"/>
  <c r="O31" i="40"/>
  <c r="P30" i="40"/>
  <c r="O30" i="40"/>
  <c r="P29" i="40"/>
  <c r="O29" i="40"/>
  <c r="P28" i="40"/>
  <c r="O28" i="40"/>
  <c r="P27" i="40"/>
  <c r="O27" i="40"/>
  <c r="P26" i="40"/>
  <c r="O26" i="40"/>
  <c r="P25" i="40"/>
  <c r="O25" i="40"/>
  <c r="P24" i="40"/>
  <c r="O24" i="40"/>
  <c r="P23" i="40"/>
  <c r="O23" i="40"/>
  <c r="P22" i="40"/>
  <c r="O22" i="40"/>
  <c r="P21" i="40"/>
  <c r="O21" i="40"/>
  <c r="P20" i="40"/>
  <c r="O20" i="40"/>
  <c r="P19" i="40"/>
  <c r="O19" i="40"/>
  <c r="P18" i="40"/>
  <c r="O18" i="40"/>
  <c r="P17" i="40"/>
  <c r="O17" i="40"/>
  <c r="P16" i="40"/>
  <c r="O16" i="40"/>
  <c r="P15" i="40"/>
  <c r="O15" i="40"/>
  <c r="P14" i="40"/>
  <c r="O14" i="40"/>
  <c r="P13" i="40"/>
  <c r="O13" i="40"/>
  <c r="P12" i="40"/>
  <c r="O12" i="40"/>
  <c r="P11" i="40"/>
  <c r="O11" i="40"/>
  <c r="P10" i="40"/>
  <c r="O10" i="40"/>
  <c r="P9" i="40"/>
  <c r="O9" i="40"/>
  <c r="P8" i="40"/>
  <c r="O8" i="40"/>
  <c r="P7" i="40"/>
  <c r="O7" i="40"/>
  <c r="H11" i="32"/>
  <c r="P6" i="40"/>
  <c r="O6" i="40"/>
  <c r="P5" i="40"/>
  <c r="O5" i="40"/>
  <c r="H10" i="32"/>
  <c r="H20" i="32"/>
  <c r="H6" i="32"/>
  <c r="P4" i="40"/>
  <c r="H15" i="32"/>
  <c r="H2" i="32"/>
  <c r="I7" i="40"/>
  <c r="L36" i="32"/>
  <c r="P3" i="40"/>
  <c r="N47" i="38"/>
  <c r="I9" i="40"/>
  <c r="I11" i="40"/>
  <c r="I2" i="40"/>
  <c r="G3" i="32"/>
  <c r="G24" i="32"/>
  <c r="K3" i="34"/>
  <c r="G6" i="40"/>
  <c r="K6" i="34"/>
  <c r="L49" i="32"/>
  <c r="G14" i="32"/>
  <c r="G20" i="32"/>
  <c r="I18" i="40"/>
  <c r="G9" i="40"/>
  <c r="G18" i="40"/>
  <c r="G6" i="34"/>
  <c r="I8" i="40"/>
  <c r="G15" i="40"/>
  <c r="G12" i="32"/>
  <c r="G7" i="32"/>
  <c r="G15" i="32"/>
  <c r="L34" i="32"/>
  <c r="G26" i="32"/>
  <c r="G13" i="32"/>
  <c r="L37" i="32"/>
  <c r="L48" i="32"/>
  <c r="L41" i="32"/>
  <c r="L42" i="32"/>
  <c r="I16" i="40"/>
  <c r="O2" i="40"/>
  <c r="B7" i="35"/>
  <c r="L46" i="32"/>
  <c r="N45" i="38"/>
  <c r="L5" i="34"/>
  <c r="L2" i="34"/>
  <c r="I14" i="40"/>
  <c r="I19" i="40"/>
  <c r="L4" i="34"/>
  <c r="G17" i="39"/>
  <c r="G13" i="40"/>
  <c r="G18" i="39"/>
  <c r="G27" i="32"/>
  <c r="L40" i="32"/>
  <c r="I6" i="40"/>
  <c r="K5" i="34"/>
  <c r="G8" i="40"/>
  <c r="G16" i="32"/>
  <c r="G24" i="39"/>
  <c r="N50" i="38"/>
  <c r="I20" i="40"/>
  <c r="I4" i="40"/>
  <c r="L6" i="34"/>
  <c r="I10" i="40"/>
  <c r="G7" i="40"/>
  <c r="G21" i="39"/>
  <c r="G2" i="34"/>
  <c r="G12" i="40"/>
  <c r="G6" i="32"/>
  <c r="I15" i="40"/>
  <c r="O3" i="40"/>
  <c r="N49" i="38"/>
  <c r="L3" i="34"/>
  <c r="G19" i="39"/>
  <c r="G4" i="40"/>
  <c r="G3" i="40"/>
  <c r="I3" i="40"/>
  <c r="G25" i="39"/>
  <c r="G19" i="32"/>
  <c r="L45" i="32"/>
  <c r="L38" i="32"/>
  <c r="G21" i="32"/>
  <c r="G25" i="32"/>
  <c r="B5" i="35"/>
  <c r="N48" i="38"/>
  <c r="I17" i="40"/>
  <c r="H12" i="32"/>
  <c r="G4" i="34"/>
  <c r="G11" i="40"/>
  <c r="G2" i="32"/>
  <c r="G16" i="39"/>
  <c r="G17" i="40"/>
  <c r="G5" i="32"/>
  <c r="N46" i="38"/>
  <c r="G20" i="39"/>
  <c r="G23" i="39"/>
  <c r="G5" i="34"/>
  <c r="G3" i="34"/>
  <c r="B6" i="35"/>
  <c r="G22" i="32"/>
  <c r="L43" i="32"/>
  <c r="G19" i="40"/>
  <c r="K2" i="34"/>
  <c r="O4" i="40"/>
  <c r="I5" i="40"/>
  <c r="I12" i="40"/>
  <c r="G23" i="32"/>
  <c r="K4" i="34"/>
  <c r="G5" i="40"/>
  <c r="N44" i="38"/>
  <c r="I13" i="40"/>
  <c r="G14" i="40"/>
  <c r="G20" i="40"/>
  <c r="H27" i="32"/>
  <c r="G22" i="39"/>
  <c r="G16" i="40"/>
  <c r="G10" i="40"/>
  <c r="H14" i="32"/>
  <c r="H22" i="32"/>
  <c r="L47" i="32"/>
  <c r="H24" i="32"/>
  <c r="L35" i="32"/>
  <c r="E26" i="32"/>
  <c r="E7" i="32"/>
  <c r="G2" i="40"/>
  <c r="E16" i="32"/>
  <c r="E3" i="32"/>
  <c r="F26" i="32"/>
  <c r="F7" i="32"/>
  <c r="F16" i="32"/>
  <c r="F3" i="32"/>
  <c r="B26" i="32"/>
  <c r="C26" i="32" s="1"/>
  <c r="H26" i="32" s="1"/>
  <c r="B7" i="32"/>
  <c r="C7" i="32" s="1"/>
  <c r="H7" i="32" s="1"/>
  <c r="B16" i="32"/>
  <c r="C16" i="32" s="1"/>
  <c r="H16" i="32" s="1"/>
  <c r="B3" i="32"/>
  <c r="C3" i="32" s="1"/>
  <c r="H3" i="32" s="1"/>
  <c r="O3" i="32" l="1"/>
  <c r="E4" i="32"/>
  <c r="O16" i="32"/>
  <c r="O7" i="32"/>
  <c r="O26" i="32"/>
  <c r="N3" i="32"/>
  <c r="N16" i="32"/>
  <c r="J2" i="40"/>
  <c r="N7" i="32"/>
  <c r="N26" i="32"/>
  <c r="J10" i="40"/>
  <c r="J16" i="40"/>
  <c r="J20" i="40"/>
  <c r="J14" i="40"/>
  <c r="J5" i="40"/>
  <c r="D5" i="36"/>
  <c r="I23" i="32"/>
  <c r="Q4" i="40"/>
  <c r="D3" i="36"/>
  <c r="J19" i="40"/>
  <c r="I22" i="32"/>
  <c r="C4" i="36"/>
  <c r="C6" i="36"/>
  <c r="G4" i="32"/>
  <c r="J17" i="40"/>
  <c r="I2" i="32"/>
  <c r="J11" i="40"/>
  <c r="C5" i="36"/>
  <c r="I25" i="32"/>
  <c r="I21" i="32"/>
  <c r="I19" i="32"/>
  <c r="J3" i="40"/>
  <c r="J4" i="40"/>
  <c r="E4" i="36"/>
  <c r="Q3" i="40"/>
  <c r="I6" i="32"/>
  <c r="J12" i="40"/>
  <c r="C3" i="36"/>
  <c r="J7" i="40"/>
  <c r="E7" i="36"/>
  <c r="I16" i="32"/>
  <c r="J16" i="32" s="1"/>
  <c r="J8" i="40"/>
  <c r="D6" i="36"/>
  <c r="I27" i="32"/>
  <c r="J13" i="40"/>
  <c r="E5" i="36"/>
  <c r="E3" i="36"/>
  <c r="E6" i="36"/>
  <c r="Q2" i="40"/>
  <c r="I13" i="32"/>
  <c r="I26" i="32"/>
  <c r="J26" i="32" s="1"/>
  <c r="I15" i="32"/>
  <c r="I7" i="32"/>
  <c r="J7" i="32" s="1"/>
  <c r="I12" i="32"/>
  <c r="J15" i="40"/>
  <c r="C7" i="36"/>
  <c r="J18" i="40"/>
  <c r="J9" i="40"/>
  <c r="I20" i="32"/>
  <c r="I14" i="32"/>
  <c r="D7" i="36"/>
  <c r="J6" i="40"/>
  <c r="D4" i="36"/>
  <c r="I24" i="32"/>
  <c r="I3" i="32"/>
  <c r="J3" i="32" s="1"/>
  <c r="Q5" i="40"/>
  <c r="Q6" i="40"/>
  <c r="Q7" i="40"/>
  <c r="Q8" i="40"/>
  <c r="Q9" i="40"/>
  <c r="Q10" i="40"/>
  <c r="Q11" i="40"/>
  <c r="Q12" i="40"/>
  <c r="Q13" i="40"/>
  <c r="Q14" i="40"/>
  <c r="Q15" i="40"/>
  <c r="Q16" i="40"/>
  <c r="Q17" i="40"/>
  <c r="Q18" i="40"/>
  <c r="Q19" i="40"/>
  <c r="Q20" i="40"/>
  <c r="Q21" i="40"/>
  <c r="Q22" i="40"/>
  <c r="Q23" i="40"/>
  <c r="Q24" i="40"/>
  <c r="Q25" i="40"/>
  <c r="Q26" i="40"/>
  <c r="Q27" i="40"/>
  <c r="Q28" i="40"/>
  <c r="Q29" i="40"/>
  <c r="Q30" i="40"/>
  <c r="Q31" i="40"/>
  <c r="Q32" i="40"/>
  <c r="Q33" i="40"/>
  <c r="Q34" i="40"/>
  <c r="Q35" i="40"/>
  <c r="Q36" i="40"/>
  <c r="Q37" i="40"/>
  <c r="Q38" i="40"/>
  <c r="Q39" i="40"/>
  <c r="Q40" i="40"/>
  <c r="Q41" i="40"/>
  <c r="Q42" i="40"/>
  <c r="Q43" i="40"/>
  <c r="Q44" i="40"/>
  <c r="Q45" i="40"/>
  <c r="Q46" i="40"/>
  <c r="Q47" i="40"/>
  <c r="Q48" i="40"/>
  <c r="Q49" i="40"/>
  <c r="Q50" i="40"/>
  <c r="Q51" i="40"/>
  <c r="Q52" i="40"/>
  <c r="Q53" i="40"/>
  <c r="Q54" i="40"/>
  <c r="Q55" i="40"/>
  <c r="Q56" i="40"/>
  <c r="Q57" i="40"/>
  <c r="Q58" i="40"/>
  <c r="Q59" i="40"/>
  <c r="Q60" i="40"/>
  <c r="Q61" i="40"/>
  <c r="Q62" i="40"/>
  <c r="Q63" i="40"/>
  <c r="Q64" i="40"/>
  <c r="Q65" i="40"/>
  <c r="Q66" i="40"/>
  <c r="Q67" i="40"/>
  <c r="Q68" i="40"/>
  <c r="Q69" i="40"/>
  <c r="Q70" i="40"/>
  <c r="Q71" i="40"/>
  <c r="Q72" i="40"/>
  <c r="Q73" i="40"/>
  <c r="Q74" i="40"/>
  <c r="Q75" i="40"/>
  <c r="Q76" i="40"/>
  <c r="Q77" i="40"/>
  <c r="Q78" i="40"/>
  <c r="Q79" i="40"/>
  <c r="Q80" i="40"/>
  <c r="Q81" i="40"/>
  <c r="Q82" i="40"/>
  <c r="Q83" i="40"/>
  <c r="Q84" i="40"/>
  <c r="Q85" i="40"/>
  <c r="Q86" i="40"/>
  <c r="Q87" i="40"/>
  <c r="Q88" i="40"/>
  <c r="Q89" i="40"/>
  <c r="Q90" i="40"/>
  <c r="Q91" i="40"/>
  <c r="Q92" i="40"/>
  <c r="Q93" i="40"/>
  <c r="Q94" i="40"/>
  <c r="Q95" i="40"/>
  <c r="Q96" i="40"/>
  <c r="Q97" i="40"/>
  <c r="Q98" i="40"/>
  <c r="Q99" i="40"/>
  <c r="Q100" i="40"/>
  <c r="Q101" i="40"/>
  <c r="Q102" i="40"/>
  <c r="Q103" i="40"/>
  <c r="Q104" i="40"/>
  <c r="Q105" i="40"/>
  <c r="Q106" i="40"/>
  <c r="Q107" i="40"/>
  <c r="Q108" i="40"/>
  <c r="Q109" i="40"/>
  <c r="Q110" i="40"/>
  <c r="Q111" i="40"/>
  <c r="Q112" i="40"/>
  <c r="Q113" i="40"/>
  <c r="Q114" i="40"/>
  <c r="Q115" i="40"/>
  <c r="Q116" i="40"/>
  <c r="Q117" i="40"/>
  <c r="Q118" i="40"/>
  <c r="Q119" i="40"/>
  <c r="Q120" i="40"/>
  <c r="Q121" i="40"/>
  <c r="Q122" i="40"/>
  <c r="Q123" i="40"/>
  <c r="Q124" i="40"/>
  <c r="Q125" i="40"/>
  <c r="Q126" i="40"/>
  <c r="Q127" i="40"/>
  <c r="Q128" i="40"/>
  <c r="Q129" i="40"/>
  <c r="Q130" i="40"/>
  <c r="Q131" i="40"/>
  <c r="Q132" i="40"/>
  <c r="Q133" i="40"/>
  <c r="Q134" i="40"/>
  <c r="Q135" i="40"/>
  <c r="Q136" i="40"/>
  <c r="Q137" i="40"/>
  <c r="Q138" i="40"/>
  <c r="Q139" i="40"/>
  <c r="Q140" i="40"/>
  <c r="Q141" i="40"/>
  <c r="Q142" i="40"/>
  <c r="Q143" i="40"/>
  <c r="Q144" i="40"/>
  <c r="Q145" i="40"/>
  <c r="Q146" i="40"/>
  <c r="Q147" i="40"/>
  <c r="Q148" i="40"/>
  <c r="Q149" i="40"/>
  <c r="Q150" i="40"/>
  <c r="Q151" i="40"/>
  <c r="Q152" i="40"/>
  <c r="Q153" i="40"/>
  <c r="Q154" i="40"/>
  <c r="Q155" i="40"/>
  <c r="Q156" i="40"/>
  <c r="Q157" i="40"/>
  <c r="Q158" i="40"/>
  <c r="Q159" i="40"/>
  <c r="Q160" i="40"/>
  <c r="Q161" i="40"/>
  <c r="Q162" i="40"/>
  <c r="Q163" i="40"/>
  <c r="Q164" i="40"/>
  <c r="Q165" i="40"/>
  <c r="Q166" i="40"/>
  <c r="Q167" i="40"/>
  <c r="Q168" i="40"/>
  <c r="Q169" i="40"/>
  <c r="Q170" i="40"/>
  <c r="Q171" i="40"/>
  <c r="Q172" i="40"/>
  <c r="Q173" i="40"/>
  <c r="Q174" i="40"/>
  <c r="Q175" i="40"/>
  <c r="Q176" i="40"/>
  <c r="Q177" i="40"/>
  <c r="Q178" i="40"/>
  <c r="Q179" i="40"/>
  <c r="Q180" i="40"/>
  <c r="Q181" i="40"/>
  <c r="Q182" i="40"/>
  <c r="Q183" i="40"/>
  <c r="Q184" i="40"/>
  <c r="Q185" i="40"/>
  <c r="Q186" i="40"/>
  <c r="Q187" i="40"/>
  <c r="Q188" i="40"/>
  <c r="Q189" i="40"/>
  <c r="Q190" i="40"/>
  <c r="Q191" i="40"/>
  <c r="Q192" i="40"/>
  <c r="Q193" i="40"/>
  <c r="Q194" i="40"/>
  <c r="Q195" i="40"/>
  <c r="Q196" i="40"/>
  <c r="Q197" i="40"/>
  <c r="Q198" i="40"/>
  <c r="Q199" i="40"/>
  <c r="Q200" i="40"/>
  <c r="Q201" i="40"/>
  <c r="Q202" i="40"/>
  <c r="Q203" i="40"/>
  <c r="Q204" i="40"/>
  <c r="Q205" i="40"/>
  <c r="Q206" i="40"/>
  <c r="Q207" i="40"/>
  <c r="Q208" i="40"/>
  <c r="Q209" i="40"/>
  <c r="Q210" i="40"/>
  <c r="Q211" i="40"/>
  <c r="Q212" i="40"/>
  <c r="Q213" i="40"/>
  <c r="Q214" i="40"/>
  <c r="Q215" i="40"/>
  <c r="Q216" i="40"/>
  <c r="Q217" i="40"/>
  <c r="Q218" i="40"/>
  <c r="Q219" i="40"/>
  <c r="Q220" i="40"/>
  <c r="Q221" i="40"/>
  <c r="Q222" i="40"/>
  <c r="Q223" i="40"/>
  <c r="Q224" i="40"/>
  <c r="Q225" i="40"/>
  <c r="Q226" i="40"/>
  <c r="Q227" i="40"/>
  <c r="Q228" i="40"/>
  <c r="Q229" i="40"/>
  <c r="Q230" i="40"/>
  <c r="Q231" i="40"/>
  <c r="Q232" i="40"/>
  <c r="Q233" i="40"/>
  <c r="Q234" i="40"/>
  <c r="Q235" i="40"/>
  <c r="Q236" i="40"/>
  <c r="Q237" i="40"/>
  <c r="Q238" i="40"/>
  <c r="Q239" i="40"/>
  <c r="Q240" i="40"/>
  <c r="Q241" i="40"/>
  <c r="Q242" i="40"/>
  <c r="Q243" i="40"/>
  <c r="Q244" i="40"/>
  <c r="Q245" i="40"/>
  <c r="Q246" i="40"/>
  <c r="Q247" i="40"/>
  <c r="Q248" i="40"/>
  <c r="Q249" i="40"/>
  <c r="Q250" i="40"/>
  <c r="Q251" i="40"/>
  <c r="Q252" i="40"/>
  <c r="Q253" i="40"/>
  <c r="Q254" i="40"/>
  <c r="Q255" i="40"/>
  <c r="Q256" i="40"/>
  <c r="Q257" i="40"/>
  <c r="Q258" i="40"/>
  <c r="Q259" i="40"/>
  <c r="Q260" i="40"/>
  <c r="Q261" i="40"/>
  <c r="Q262" i="40"/>
  <c r="Q263" i="40"/>
  <c r="Q264" i="40"/>
  <c r="Q265" i="40"/>
  <c r="Q266" i="40"/>
  <c r="Q267" i="40"/>
  <c r="Q268" i="40"/>
  <c r="Q269" i="40"/>
  <c r="Q270" i="40"/>
  <c r="Q271" i="40"/>
  <c r="Q272" i="40"/>
  <c r="Q273" i="40"/>
  <c r="Q274" i="40"/>
  <c r="Q275" i="40"/>
  <c r="Q276" i="40"/>
  <c r="Q277" i="40"/>
  <c r="Q278" i="40"/>
  <c r="Q279" i="40"/>
  <c r="Q280" i="40"/>
  <c r="Q281" i="40"/>
  <c r="Q282" i="40"/>
  <c r="Q283" i="40"/>
  <c r="Q284" i="40"/>
  <c r="Q285" i="40"/>
  <c r="Q286" i="40"/>
  <c r="Q287" i="40"/>
  <c r="Q288" i="40"/>
  <c r="Q289" i="40"/>
  <c r="Q290" i="40"/>
  <c r="Q291" i="40"/>
  <c r="Q292" i="40"/>
  <c r="Q293" i="40"/>
  <c r="Q294" i="40"/>
  <c r="Q295" i="40"/>
  <c r="Q296" i="40"/>
  <c r="Q297" i="40"/>
  <c r="Q298" i="40"/>
  <c r="Q299" i="40"/>
  <c r="Q300" i="40"/>
  <c r="Q301" i="40"/>
  <c r="Q302" i="40"/>
  <c r="Q303" i="40"/>
  <c r="Q304" i="40"/>
  <c r="Q305" i="40"/>
  <c r="Q306" i="40"/>
  <c r="Q307" i="40"/>
  <c r="Q308" i="40"/>
  <c r="Q309" i="40"/>
  <c r="Q310" i="40"/>
  <c r="Q311" i="40"/>
  <c r="Q312" i="40"/>
  <c r="Q313" i="40"/>
  <c r="Q314" i="40"/>
  <c r="Q315" i="40"/>
  <c r="Q316" i="40"/>
  <c r="Q317" i="40"/>
  <c r="Q318" i="40"/>
  <c r="Q319" i="40"/>
  <c r="Q320" i="40"/>
  <c r="Q321" i="40"/>
  <c r="Q322" i="40"/>
  <c r="Q323" i="40"/>
  <c r="Q324" i="40"/>
  <c r="Q325" i="40"/>
  <c r="Q326" i="40"/>
  <c r="Q327" i="40"/>
  <c r="Q328" i="40"/>
  <c r="Q329" i="40"/>
  <c r="Q330" i="40"/>
  <c r="Q331" i="40"/>
  <c r="Q332" i="40"/>
  <c r="Q333" i="40"/>
  <c r="Q334" i="40"/>
  <c r="Q335" i="40"/>
  <c r="Q336" i="40"/>
  <c r="Q337" i="40"/>
  <c r="Q338" i="40"/>
  <c r="Q339" i="40"/>
  <c r="Q340" i="40"/>
  <c r="Q341" i="40"/>
  <c r="Q342" i="40"/>
  <c r="Q343" i="40"/>
  <c r="Q344" i="40"/>
  <c r="Q345" i="40"/>
  <c r="Q346" i="40"/>
  <c r="Q347" i="40"/>
  <c r="Q348" i="40"/>
  <c r="Q349" i="40"/>
  <c r="Q350" i="40"/>
  <c r="Q351" i="40"/>
  <c r="Q352" i="40"/>
  <c r="Q353" i="40"/>
  <c r="Q354" i="40"/>
  <c r="Q355" i="40"/>
  <c r="Q356" i="40"/>
  <c r="Q357" i="40"/>
  <c r="Q358" i="40"/>
  <c r="Q359" i="40"/>
  <c r="Q360" i="40"/>
  <c r="Q361" i="40"/>
  <c r="Q362" i="40"/>
  <c r="Q363" i="40"/>
  <c r="Q364" i="40"/>
  <c r="Q365" i="40"/>
  <c r="Q366" i="40"/>
  <c r="Q367" i="40"/>
  <c r="Q368" i="40"/>
  <c r="Q369" i="40"/>
  <c r="Q370" i="40"/>
  <c r="Q371" i="40"/>
  <c r="Q372" i="40"/>
  <c r="Q373" i="40"/>
  <c r="Q374" i="40"/>
  <c r="Q375" i="40"/>
  <c r="Q376" i="40"/>
  <c r="Q377" i="40"/>
  <c r="Q378" i="40"/>
  <c r="Q379" i="40"/>
  <c r="Q380" i="40"/>
  <c r="Q381" i="40"/>
  <c r="Q382" i="40"/>
  <c r="Q383" i="40"/>
  <c r="Q384" i="40"/>
  <c r="Q385" i="40"/>
  <c r="Q386" i="40"/>
  <c r="Q387" i="40"/>
  <c r="Q388" i="40"/>
  <c r="Q389" i="40"/>
  <c r="Q390" i="40"/>
  <c r="Q391" i="40"/>
  <c r="Q392" i="40"/>
  <c r="Q393" i="40"/>
  <c r="Q394" i="40"/>
  <c r="Q395" i="40"/>
  <c r="Q396" i="40"/>
  <c r="Q397" i="40"/>
  <c r="Q398" i="40"/>
  <c r="Q399" i="40"/>
  <c r="Q400" i="40"/>
  <c r="Q401" i="40"/>
  <c r="Q402" i="40"/>
  <c r="Q403" i="40"/>
  <c r="Q404" i="40"/>
  <c r="Q405" i="40"/>
  <c r="Q406" i="40"/>
  <c r="Q407" i="40"/>
  <c r="Q408" i="40"/>
  <c r="Q409" i="40"/>
  <c r="Q410" i="40"/>
  <c r="Q411" i="40"/>
  <c r="Q412" i="40"/>
  <c r="Q413" i="40"/>
  <c r="Q414" i="40"/>
  <c r="Q415" i="40"/>
  <c r="Q416" i="40"/>
  <c r="Q417" i="40"/>
  <c r="Q418" i="40"/>
  <c r="Q419" i="40"/>
  <c r="Q420" i="40"/>
  <c r="Q421" i="40"/>
  <c r="Q422" i="40"/>
  <c r="Q423" i="40"/>
  <c r="Q424" i="40"/>
  <c r="Q425" i="40"/>
  <c r="Q426" i="40"/>
  <c r="Q427" i="40"/>
  <c r="Q428" i="40"/>
  <c r="Q429" i="40"/>
  <c r="Q430" i="40"/>
  <c r="Q431" i="40"/>
  <c r="Q432" i="40"/>
  <c r="Q433" i="40"/>
  <c r="Q434" i="40"/>
  <c r="Q435" i="40"/>
  <c r="Q436" i="40"/>
  <c r="Q437" i="40"/>
  <c r="Q438" i="40"/>
  <c r="Q439" i="40"/>
  <c r="Q440" i="40"/>
  <c r="Q441" i="40"/>
  <c r="Q442" i="40"/>
  <c r="Q443" i="40"/>
  <c r="Q444" i="40"/>
  <c r="Q445" i="40"/>
  <c r="Q446" i="40"/>
  <c r="Q447" i="40"/>
  <c r="Q448" i="40"/>
  <c r="Q449" i="40"/>
  <c r="Q450" i="40"/>
  <c r="Q451" i="40"/>
  <c r="Q452" i="40"/>
  <c r="Q453" i="40"/>
  <c r="Q454" i="40"/>
  <c r="Q455" i="40"/>
  <c r="Q456" i="40"/>
  <c r="Q457" i="40"/>
  <c r="Q458" i="40"/>
  <c r="Q459" i="40"/>
  <c r="Q460" i="40"/>
  <c r="Q461" i="40"/>
  <c r="Q462" i="40"/>
  <c r="Q463" i="40"/>
  <c r="Q464" i="40"/>
  <c r="Q465" i="40"/>
  <c r="Q466" i="40"/>
  <c r="Q467" i="40"/>
  <c r="Q468" i="40"/>
  <c r="Q469" i="40"/>
  <c r="Q470" i="40"/>
  <c r="Q471" i="40"/>
  <c r="Q472" i="40"/>
  <c r="Q473" i="40"/>
  <c r="Q474" i="40"/>
  <c r="Q475" i="40"/>
  <c r="Q476" i="40"/>
  <c r="Q477" i="40"/>
  <c r="Q478" i="40"/>
  <c r="Q479" i="40"/>
  <c r="Q480" i="40"/>
  <c r="Q481" i="40"/>
  <c r="Q482" i="40"/>
  <c r="Q483" i="40"/>
  <c r="Q484" i="40"/>
  <c r="Q485" i="40"/>
  <c r="Q486" i="40"/>
  <c r="Q487" i="40"/>
  <c r="Q488" i="40"/>
  <c r="Q489" i="40"/>
  <c r="Q490" i="40"/>
  <c r="Q491" i="40"/>
  <c r="Q492" i="40"/>
  <c r="Q493" i="40"/>
  <c r="Q494" i="40"/>
  <c r="Q495" i="40"/>
  <c r="Q496" i="40"/>
  <c r="Q497" i="40"/>
  <c r="Q498" i="40"/>
  <c r="Q499" i="40"/>
  <c r="Q500" i="40"/>
  <c r="Q501" i="40"/>
  <c r="Q502" i="40"/>
  <c r="Q503" i="40"/>
  <c r="Q504" i="40"/>
  <c r="Q505" i="40"/>
  <c r="Q506" i="40"/>
  <c r="Q507" i="40"/>
  <c r="Q508" i="40"/>
  <c r="Q509" i="40"/>
  <c r="Q510" i="40"/>
  <c r="Q511" i="40"/>
  <c r="Q512" i="40"/>
  <c r="Q513" i="40"/>
  <c r="Q514" i="40"/>
  <c r="Q515" i="40"/>
  <c r="Q516" i="40"/>
  <c r="Q517" i="40"/>
  <c r="Q518" i="40"/>
  <c r="Q519" i="40"/>
  <c r="Q520" i="40"/>
  <c r="Q521" i="40"/>
  <c r="Q522" i="40"/>
  <c r="Q523" i="40"/>
  <c r="Q524" i="40"/>
  <c r="Q525" i="40"/>
  <c r="Q526" i="40"/>
  <c r="Q527" i="40"/>
  <c r="Q528" i="40"/>
  <c r="Q529" i="40"/>
  <c r="Q530" i="40"/>
  <c r="Q531" i="40"/>
  <c r="Q532" i="40"/>
  <c r="Q533" i="40"/>
  <c r="Q534" i="40"/>
  <c r="Q535" i="40"/>
  <c r="Q536" i="40"/>
  <c r="Q537" i="40"/>
  <c r="Q538" i="40"/>
  <c r="Q539" i="40"/>
  <c r="Q540" i="40"/>
  <c r="Q541" i="40"/>
  <c r="Q542" i="40"/>
  <c r="Q543" i="40"/>
  <c r="Q544" i="40"/>
  <c r="Q545" i="40"/>
  <c r="Q546" i="40"/>
  <c r="Q547" i="40"/>
  <c r="Q548" i="40"/>
  <c r="Q549" i="40"/>
  <c r="Q550" i="40"/>
  <c r="Q551" i="40"/>
  <c r="Q552" i="40"/>
  <c r="Q553" i="40"/>
  <c r="Q554" i="40"/>
  <c r="Q555" i="40"/>
  <c r="Q556" i="40"/>
  <c r="Q557" i="40"/>
  <c r="Q558" i="40"/>
  <c r="Q559" i="40"/>
  <c r="Q560" i="40"/>
  <c r="Q561" i="40"/>
  <c r="Q562" i="40"/>
  <c r="Q563" i="40"/>
  <c r="Q564" i="40"/>
  <c r="Q565" i="40"/>
  <c r="Q566" i="40"/>
  <c r="Q567" i="40"/>
  <c r="Q568" i="40"/>
  <c r="Q569" i="40"/>
  <c r="Q570" i="40"/>
  <c r="Q571" i="40"/>
  <c r="Q572" i="40"/>
  <c r="Q573" i="40"/>
  <c r="Q574" i="40"/>
  <c r="Q575" i="40"/>
  <c r="Q576" i="40"/>
  <c r="Q577" i="40"/>
  <c r="Q578" i="40"/>
  <c r="Q579" i="40"/>
  <c r="Q580" i="40"/>
  <c r="Q581" i="40"/>
  <c r="Q582" i="40"/>
  <c r="Q583" i="40"/>
  <c r="Q584" i="40"/>
  <c r="Q585" i="40"/>
  <c r="I11" i="32"/>
  <c r="I10" i="32"/>
  <c r="E13" i="35"/>
  <c r="E95" i="35"/>
  <c r="E122" i="35"/>
  <c r="E86" i="35"/>
  <c r="E26" i="35"/>
  <c r="E76" i="35"/>
  <c r="E92" i="35"/>
  <c r="E25" i="35"/>
  <c r="E9" i="35"/>
  <c r="E71" i="35"/>
  <c r="E22" i="35"/>
  <c r="E117" i="35"/>
  <c r="E29" i="35"/>
  <c r="E123" i="35"/>
  <c r="E53" i="35"/>
  <c r="E107" i="35"/>
  <c r="E6" i="35"/>
  <c r="E14" i="35"/>
  <c r="E40" i="35"/>
  <c r="E37" i="35"/>
  <c r="E115" i="35"/>
  <c r="E78" i="35"/>
  <c r="E105" i="35"/>
  <c r="E50" i="35"/>
  <c r="E7" i="35"/>
  <c r="E44" i="35"/>
  <c r="E124" i="35"/>
  <c r="E72" i="35"/>
  <c r="E82" i="35"/>
  <c r="E55" i="35"/>
  <c r="E67" i="35"/>
  <c r="E60" i="35"/>
  <c r="E97" i="35"/>
  <c r="E96" i="35"/>
  <c r="E120" i="35"/>
  <c r="E87" i="35"/>
  <c r="E4" i="35"/>
  <c r="E108" i="35"/>
  <c r="E119" i="35"/>
  <c r="E80" i="35"/>
  <c r="E32" i="35"/>
  <c r="E18" i="35"/>
  <c r="E12" i="35"/>
  <c r="E98" i="35"/>
  <c r="E74" i="35"/>
  <c r="E73" i="35"/>
  <c r="E3" i="35"/>
  <c r="E100" i="35"/>
  <c r="E77" i="35"/>
  <c r="E56" i="35"/>
  <c r="E125" i="35"/>
  <c r="E33" i="35"/>
  <c r="E63" i="35"/>
  <c r="E61" i="35"/>
  <c r="E11" i="35"/>
  <c r="E58" i="35"/>
  <c r="E85" i="35"/>
  <c r="E79" i="35"/>
  <c r="E114" i="35"/>
  <c r="E17" i="35"/>
  <c r="E90" i="35"/>
  <c r="E28" i="35"/>
  <c r="E121" i="35"/>
  <c r="E47" i="35"/>
  <c r="E91" i="35"/>
  <c r="E42" i="35"/>
  <c r="E84" i="35"/>
  <c r="E99" i="35"/>
  <c r="E59" i="35"/>
  <c r="E94" i="35"/>
  <c r="E2" i="35"/>
  <c r="E38" i="35"/>
  <c r="E75" i="35"/>
  <c r="E102" i="35"/>
  <c r="E126" i="35"/>
  <c r="E113" i="35"/>
  <c r="E81" i="35"/>
  <c r="E30" i="35"/>
  <c r="E93" i="35"/>
  <c r="E36" i="35"/>
  <c r="E110" i="35"/>
  <c r="E39" i="35"/>
  <c r="E16" i="35"/>
  <c r="E66" i="35"/>
  <c r="E27" i="35"/>
  <c r="E5" i="35"/>
  <c r="E116" i="35"/>
  <c r="E64" i="35"/>
  <c r="E103" i="35"/>
  <c r="E19" i="35"/>
  <c r="E106" i="35"/>
  <c r="E24" i="35"/>
  <c r="E65" i="35"/>
  <c r="E70" i="35"/>
  <c r="E52" i="35"/>
  <c r="E48" i="35"/>
  <c r="E127" i="35"/>
  <c r="E68" i="35"/>
  <c r="E45" i="35"/>
  <c r="E62" i="35"/>
  <c r="E88" i="35"/>
  <c r="E69" i="35"/>
  <c r="E35" i="35"/>
  <c r="E57" i="35"/>
  <c r="E15" i="35"/>
  <c r="E34" i="35"/>
  <c r="E89" i="35"/>
  <c r="E51" i="35"/>
  <c r="E104" i="35"/>
  <c r="E54" i="35"/>
  <c r="E49" i="35"/>
  <c r="E20" i="35"/>
  <c r="E112" i="35"/>
  <c r="E101" i="35"/>
  <c r="E23" i="35"/>
  <c r="E31" i="35"/>
  <c r="E21" i="35"/>
  <c r="E111" i="35"/>
  <c r="E43" i="35"/>
  <c r="E41" i="35"/>
  <c r="E46" i="35"/>
  <c r="E8" i="35"/>
  <c r="E118" i="35"/>
  <c r="E109" i="35"/>
  <c r="E83" i="35"/>
  <c r="E10" i="35"/>
  <c r="H19" i="36"/>
  <c r="H39" i="36"/>
  <c r="H12" i="36"/>
  <c r="H41" i="36"/>
  <c r="H56" i="36"/>
  <c r="H44" i="36"/>
  <c r="H21" i="36"/>
  <c r="H33" i="36"/>
  <c r="H45" i="36"/>
  <c r="H49" i="36"/>
  <c r="H36" i="36"/>
  <c r="H22" i="36"/>
  <c r="H23" i="36"/>
  <c r="H59" i="36"/>
  <c r="H13" i="36"/>
  <c r="H40" i="36"/>
  <c r="H34" i="36"/>
  <c r="H58" i="36"/>
  <c r="H35" i="36"/>
  <c r="H18" i="36"/>
  <c r="H29" i="36"/>
  <c r="H11" i="36"/>
  <c r="H25" i="36"/>
  <c r="H43" i="36"/>
  <c r="H14" i="36"/>
  <c r="H47" i="36"/>
  <c r="H37" i="36"/>
  <c r="H57" i="36"/>
  <c r="H32" i="36"/>
  <c r="H50" i="36"/>
  <c r="H48" i="36"/>
  <c r="H52" i="36"/>
  <c r="H38" i="36"/>
  <c r="H15" i="36"/>
  <c r="H30" i="36"/>
  <c r="H24" i="36"/>
  <c r="H55" i="36"/>
  <c r="H46" i="36"/>
  <c r="H54" i="36"/>
  <c r="H16" i="36"/>
  <c r="H17" i="36"/>
  <c r="H31" i="36"/>
  <c r="H26" i="36"/>
  <c r="H53" i="36"/>
  <c r="H28" i="36"/>
  <c r="H51" i="36"/>
  <c r="H27" i="36"/>
  <c r="H20" i="36"/>
  <c r="H42" i="36"/>
  <c r="F3" i="36"/>
  <c r="I31" i="32"/>
  <c r="F7" i="36"/>
  <c r="B4" i="32"/>
  <c r="C4" i="32" s="1"/>
  <c r="H4" i="32" s="1"/>
  <c r="F6" i="36"/>
  <c r="H31" i="32"/>
  <c r="F4" i="36"/>
  <c r="F5" i="36"/>
  <c r="H32" i="32" l="1"/>
  <c r="I32" i="32"/>
  <c r="J10" i="32"/>
  <c r="J24" i="32"/>
  <c r="U26" i="32"/>
  <c r="T26" i="32"/>
  <c r="P26" i="32"/>
  <c r="J21" i="32"/>
  <c r="J22" i="32"/>
  <c r="J14" i="32"/>
  <c r="J27" i="32"/>
  <c r="T7" i="32"/>
  <c r="P7" i="32"/>
  <c r="U7" i="32"/>
  <c r="J20" i="32"/>
  <c r="J13" i="32"/>
  <c r="N4" i="32"/>
  <c r="I4" i="32"/>
  <c r="J11" i="32"/>
  <c r="J19" i="32"/>
  <c r="U16" i="32"/>
  <c r="T16" i="32"/>
  <c r="P16" i="32"/>
  <c r="J23" i="32"/>
  <c r="T3" i="32"/>
  <c r="U3" i="32"/>
  <c r="P3" i="32"/>
  <c r="AD9" i="32" a="1"/>
  <c r="B3" i="38" a="1"/>
  <c r="Z9" i="32" a="1"/>
  <c r="E3" i="38" a="1"/>
  <c r="C3" i="38" a="1"/>
  <c r="F3" i="38" a="1"/>
  <c r="D3" i="38" a="1"/>
  <c r="X9" i="32" a="1"/>
  <c r="AD18" i="32" a="1"/>
  <c r="B3" i="39" a="1"/>
  <c r="Z18" i="32" a="1"/>
  <c r="G3" i="39" a="1"/>
  <c r="C3" i="39" a="1"/>
  <c r="H3" i="39" a="1"/>
  <c r="D3" i="39" a="1"/>
  <c r="K10" i="32"/>
  <c r="L10" i="32" s="1"/>
  <c r="K12" i="32"/>
  <c r="L12" i="32" s="1"/>
  <c r="K14" i="32"/>
  <c r="L14" i="32" s="1"/>
  <c r="K13" i="32"/>
  <c r="L13" i="32" s="1"/>
  <c r="K11" i="32"/>
  <c r="L11" i="32" s="1"/>
  <c r="Y18" i="32" a="1"/>
  <c r="Y9" i="32" a="1"/>
  <c r="X18" i="32" a="1"/>
  <c r="K27" i="32"/>
  <c r="K24" i="32"/>
  <c r="L24" i="32" s="1"/>
  <c r="K21" i="32"/>
  <c r="L21" i="32" s="1"/>
  <c r="K22" i="32"/>
  <c r="L22" i="32" s="1"/>
  <c r="K20" i="32"/>
  <c r="L20" i="32" s="1"/>
  <c r="K19" i="32"/>
  <c r="K23" i="32"/>
  <c r="L23" i="32" s="1"/>
  <c r="L19" i="32"/>
  <c r="P31" i="32" l="1"/>
  <c r="K26" i="32"/>
  <c r="Q31" i="32" s="1"/>
  <c r="X18" i="32"/>
  <c r="X20" i="32"/>
  <c r="X19" i="32"/>
  <c r="Y11" i="32"/>
  <c r="Y9" i="32"/>
  <c r="Y10" i="32"/>
  <c r="Y19" i="32"/>
  <c r="Y18" i="32"/>
  <c r="Y20" i="32"/>
  <c r="D3" i="39"/>
  <c r="D4" i="39"/>
  <c r="D6" i="39"/>
  <c r="D5" i="39"/>
  <c r="H6" i="39"/>
  <c r="H4" i="39"/>
  <c r="H5" i="39"/>
  <c r="H3" i="39"/>
  <c r="C6" i="39"/>
  <c r="C4" i="39"/>
  <c r="C3" i="39"/>
  <c r="C5" i="39"/>
  <c r="G5" i="39"/>
  <c r="G4" i="39"/>
  <c r="G6" i="39"/>
  <c r="G3" i="39"/>
  <c r="Z18" i="32"/>
  <c r="Z20" i="32"/>
  <c r="Z19" i="32"/>
  <c r="B5" i="39"/>
  <c r="B6" i="39"/>
  <c r="B4" i="39"/>
  <c r="B3" i="39"/>
  <c r="AD18" i="32"/>
  <c r="AD20" i="32"/>
  <c r="AD19" i="32"/>
  <c r="X9" i="32"/>
  <c r="X11" i="32"/>
  <c r="X10" i="32"/>
  <c r="D5" i="38"/>
  <c r="D4" i="38"/>
  <c r="D6" i="38"/>
  <c r="D3" i="38"/>
  <c r="F4" i="38"/>
  <c r="F3" i="38"/>
  <c r="F5" i="38"/>
  <c r="F6" i="38"/>
  <c r="C5" i="38"/>
  <c r="C6" i="38"/>
  <c r="C4" i="38"/>
  <c r="C3" i="38"/>
  <c r="E4" i="38"/>
  <c r="E5" i="38"/>
  <c r="E3" i="38"/>
  <c r="E6" i="38"/>
  <c r="Z11" i="32"/>
  <c r="Z9" i="32"/>
  <c r="Z10" i="32"/>
  <c r="B6" i="38"/>
  <c r="B5" i="38"/>
  <c r="B3" i="38"/>
  <c r="B4" i="38"/>
  <c r="AD9" i="32"/>
  <c r="AD11" i="32"/>
  <c r="AD10" i="32"/>
  <c r="J4" i="32"/>
  <c r="P4" i="32"/>
  <c r="U4" i="32"/>
  <c r="T4" i="32"/>
  <c r="AC39" i="32"/>
  <c r="AC75" i="32"/>
  <c r="AC90" i="32"/>
  <c r="AC96" i="32"/>
  <c r="AC91" i="32"/>
  <c r="AC64" i="32"/>
  <c r="AC62" i="32"/>
  <c r="AC85" i="32"/>
  <c r="AC81" i="32"/>
  <c r="AC45" i="32"/>
  <c r="AC93" i="32"/>
  <c r="AC51" i="32"/>
  <c r="AC30" i="32"/>
  <c r="AC59" i="32"/>
  <c r="AC74" i="32"/>
  <c r="AC43" i="32"/>
  <c r="AC76" i="32"/>
  <c r="AC41" i="32"/>
  <c r="AC89" i="32"/>
  <c r="AC55" i="32"/>
  <c r="AC35" i="32"/>
  <c r="AC86" i="32"/>
  <c r="AC88" i="32"/>
  <c r="AC52" i="32"/>
  <c r="AC37" i="32"/>
  <c r="AC46" i="32"/>
  <c r="AC53" i="32"/>
  <c r="AC94" i="32"/>
  <c r="AC83" i="32"/>
  <c r="AC38" i="32"/>
  <c r="AC54" i="32"/>
  <c r="AC65" i="32"/>
  <c r="AC42" i="32"/>
  <c r="AC71" i="32"/>
  <c r="AC44" i="32"/>
  <c r="AC84" i="32"/>
  <c r="AC68" i="32"/>
  <c r="AC95" i="32"/>
  <c r="AC80" i="32"/>
  <c r="AC70" i="32"/>
  <c r="AC56" i="32"/>
  <c r="AC48" i="32"/>
  <c r="AC58" i="32"/>
  <c r="AC66" i="32"/>
  <c r="AC72" i="32"/>
  <c r="AC32" i="32"/>
  <c r="AC69" i="32"/>
  <c r="AC92" i="32"/>
  <c r="AC49" i="32"/>
  <c r="AC87" i="32"/>
  <c r="AC50" i="32"/>
  <c r="AC73" i="32"/>
  <c r="AC79" i="32"/>
  <c r="AC34" i="32"/>
  <c r="AC67" i="32"/>
  <c r="AC33" i="32"/>
  <c r="AC82" i="32"/>
  <c r="AC61" i="32"/>
  <c r="AC78" i="32"/>
  <c r="AC31" i="32"/>
  <c r="AC57" i="32"/>
  <c r="AC40" i="32"/>
  <c r="AC77" i="32"/>
  <c r="AC60" i="32"/>
  <c r="AC36" i="32"/>
  <c r="AC63" i="32"/>
  <c r="AC47" i="32"/>
  <c r="J4" i="39"/>
  <c r="I4" i="39"/>
  <c r="F11" i="38"/>
  <c r="E11" i="38"/>
  <c r="J5" i="39"/>
  <c r="I6" i="39"/>
  <c r="F10" i="38"/>
  <c r="E12" i="38"/>
  <c r="J3" i="39"/>
  <c r="I3" i="39"/>
  <c r="F12" i="38"/>
  <c r="E10" i="38"/>
  <c r="H9" i="39"/>
  <c r="G12" i="39"/>
  <c r="F9" i="38"/>
  <c r="E9" i="38"/>
  <c r="K4" i="32"/>
  <c r="H10" i="39"/>
  <c r="G10" i="39"/>
  <c r="H4" i="38"/>
  <c r="G4" i="38"/>
  <c r="H12" i="39"/>
  <c r="G9" i="39"/>
  <c r="H3" i="38"/>
  <c r="G5" i="38"/>
  <c r="H11" i="39"/>
  <c r="G11" i="39"/>
  <c r="H5" i="38"/>
  <c r="G3" i="38"/>
  <c r="J6" i="39"/>
  <c r="I5" i="39"/>
  <c r="H6" i="38"/>
  <c r="G6" i="38"/>
  <c r="I6" i="38" l="1"/>
  <c r="U20" i="38" s="1"/>
  <c r="K5" i="39"/>
  <c r="I3" i="38"/>
  <c r="I11" i="39"/>
  <c r="R5" i="39" s="1"/>
  <c r="K11" i="39"/>
  <c r="P5" i="39" s="1"/>
  <c r="J11" i="39"/>
  <c r="Q5" i="39" s="1"/>
  <c r="L11" i="39"/>
  <c r="I5" i="38"/>
  <c r="K12" i="39"/>
  <c r="I12" i="39"/>
  <c r="L12" i="39"/>
  <c r="J12" i="39"/>
  <c r="I4" i="38"/>
  <c r="K10" i="39"/>
  <c r="P4" i="39" s="1"/>
  <c r="L10" i="39"/>
  <c r="I10" i="39"/>
  <c r="J10" i="39"/>
  <c r="K3" i="32"/>
  <c r="N31" i="32"/>
  <c r="I9" i="38"/>
  <c r="H9" i="38"/>
  <c r="J9" i="38"/>
  <c r="N17" i="38" s="1"/>
  <c r="G9" i="38"/>
  <c r="J9" i="39"/>
  <c r="I9" i="39"/>
  <c r="K9" i="39"/>
  <c r="P3" i="39" s="1"/>
  <c r="L9" i="39"/>
  <c r="I12" i="38"/>
  <c r="O20" i="38" s="1"/>
  <c r="J12" i="38"/>
  <c r="N20" i="38" s="1"/>
  <c r="H12" i="38"/>
  <c r="P20" i="38" s="1"/>
  <c r="G12" i="38"/>
  <c r="Q20" i="38" s="1"/>
  <c r="K3" i="39"/>
  <c r="G10" i="38"/>
  <c r="H10" i="38"/>
  <c r="J10" i="38"/>
  <c r="N18" i="38" s="1"/>
  <c r="I10" i="38"/>
  <c r="K6" i="39"/>
  <c r="L6" i="39" s="1"/>
  <c r="G11" i="38"/>
  <c r="J11" i="38"/>
  <c r="N19" i="38" s="1"/>
  <c r="I11" i="38"/>
  <c r="H11" i="38"/>
  <c r="K4" i="39"/>
  <c r="AF9" i="32" a="1"/>
  <c r="AF18" i="32" a="1"/>
  <c r="O5" i="38" l="1"/>
  <c r="O19" i="38"/>
  <c r="Q3" i="39"/>
  <c r="Q9" i="39"/>
  <c r="R10" i="39"/>
  <c r="R4" i="39"/>
  <c r="U19" i="38"/>
  <c r="U5" i="38"/>
  <c r="Q9" i="38"/>
  <c r="Q17" i="38"/>
  <c r="Q13" i="38"/>
  <c r="W13" i="38" s="1"/>
  <c r="Q3" i="38"/>
  <c r="Q19" i="38"/>
  <c r="Q5" i="38"/>
  <c r="AH18" i="32"/>
  <c r="AG18" i="32"/>
  <c r="AF18" i="32"/>
  <c r="AF20" i="32"/>
  <c r="AF19" i="32"/>
  <c r="AH20" i="32"/>
  <c r="AH19" i="32"/>
  <c r="AG19" i="32"/>
  <c r="AG20" i="32"/>
  <c r="P3" i="38"/>
  <c r="P17" i="38"/>
  <c r="P9" i="38"/>
  <c r="U4" i="38"/>
  <c r="U10" i="38"/>
  <c r="U18" i="38"/>
  <c r="O18" i="38"/>
  <c r="O4" i="38"/>
  <c r="O3" i="38"/>
  <c r="O17" i="38"/>
  <c r="AG9" i="32"/>
  <c r="AH11" i="32"/>
  <c r="AH9" i="32"/>
  <c r="AH10" i="32"/>
  <c r="AF9" i="32"/>
  <c r="AF10" i="32"/>
  <c r="AG11" i="32"/>
  <c r="AF11" i="32"/>
  <c r="AG10" i="32"/>
  <c r="U9" i="38"/>
  <c r="U17" i="38"/>
  <c r="U3" i="38"/>
  <c r="U13" i="38"/>
  <c r="V4" i="39"/>
  <c r="V10" i="39"/>
  <c r="L4" i="39"/>
  <c r="P18" i="38"/>
  <c r="P4" i="38"/>
  <c r="P10" i="38"/>
  <c r="L5" i="39"/>
  <c r="V5" i="39"/>
  <c r="P19" i="38"/>
  <c r="P5" i="38"/>
  <c r="Q4" i="38"/>
  <c r="Q10" i="38"/>
  <c r="Q18" i="38"/>
  <c r="R13" i="39"/>
  <c r="X13" i="39" s="1"/>
  <c r="R9" i="39"/>
  <c r="R3" i="39"/>
  <c r="Q10" i="39"/>
  <c r="Q4" i="39"/>
  <c r="X3" i="39" l="1" a="1"/>
  <c r="Z3" i="39" s="1"/>
  <c r="W17" i="38" a="1"/>
  <c r="Z20" i="38" s="1"/>
  <c r="W9" i="38" a="1"/>
  <c r="S13" i="38"/>
  <c r="AB18" i="32" a="1"/>
  <c r="AB9" i="32" a="1"/>
  <c r="X9" i="39" a="1"/>
  <c r="W3" i="38" a="1"/>
  <c r="X5" i="39" l="1"/>
  <c r="X3" i="39"/>
  <c r="Z5" i="39"/>
  <c r="Y3" i="39"/>
  <c r="Y5" i="39"/>
  <c r="Z4" i="39"/>
  <c r="X20" i="38"/>
  <c r="W19" i="38"/>
  <c r="Z19" i="38"/>
  <c r="X4" i="39"/>
  <c r="Y4" i="39"/>
  <c r="Z18" i="38"/>
  <c r="Z17" i="38"/>
  <c r="Y18" i="38"/>
  <c r="Y17" i="38"/>
  <c r="W20" i="38"/>
  <c r="Y20" i="38"/>
  <c r="X17" i="38"/>
  <c r="W17" i="38"/>
  <c r="X19" i="38"/>
  <c r="Y19" i="38"/>
  <c r="X18" i="38"/>
  <c r="W18" i="38"/>
  <c r="Y4" i="38"/>
  <c r="Y5" i="38"/>
  <c r="W5" i="38"/>
  <c r="X5" i="38"/>
  <c r="X3" i="38"/>
  <c r="W3" i="38"/>
  <c r="Y3" i="38"/>
  <c r="X4" i="38"/>
  <c r="W4" i="38"/>
  <c r="Y10" i="39"/>
  <c r="X9" i="39"/>
  <c r="X10" i="39"/>
  <c r="Y9" i="39"/>
  <c r="AB11" i="32"/>
  <c r="T32" i="32" s="1"/>
  <c r="AB9" i="32"/>
  <c r="AB10" i="32"/>
  <c r="T31" i="32" s="1"/>
  <c r="AB18" i="32"/>
  <c r="AB20" i="32"/>
  <c r="U32" i="32" s="1"/>
  <c r="AB19" i="32"/>
  <c r="U31" i="32" s="1"/>
  <c r="R47" i="38"/>
  <c r="N58" i="38" s="1"/>
  <c r="D51" i="38"/>
  <c r="D34" i="38"/>
  <c r="D75" i="38"/>
  <c r="D83" i="38"/>
  <c r="D35" i="38"/>
  <c r="R44" i="38"/>
  <c r="N55" i="38" s="1"/>
  <c r="D72" i="38"/>
  <c r="R45" i="38"/>
  <c r="N56" i="38" s="1"/>
  <c r="D40" i="38"/>
  <c r="D73" i="38"/>
  <c r="D66" i="38"/>
  <c r="D41" i="38"/>
  <c r="D38" i="38"/>
  <c r="D54" i="38"/>
  <c r="D19" i="38"/>
  <c r="R46" i="38"/>
  <c r="N57" i="38" s="1"/>
  <c r="D26" i="38"/>
  <c r="D50" i="38"/>
  <c r="D53" i="38"/>
  <c r="D52" i="38"/>
  <c r="D45" i="38"/>
  <c r="D61" i="38"/>
  <c r="D64" i="38"/>
  <c r="D28" i="38"/>
  <c r="R49" i="38"/>
  <c r="N60" i="38" s="1"/>
  <c r="D18" i="38"/>
  <c r="D59" i="38"/>
  <c r="D37" i="38"/>
  <c r="D62" i="38"/>
  <c r="D63" i="38"/>
  <c r="D77" i="38"/>
  <c r="R48" i="38"/>
  <c r="N59" i="38" s="1"/>
  <c r="D79" i="38"/>
  <c r="D48" i="38"/>
  <c r="D74" i="38"/>
  <c r="D80" i="38"/>
  <c r="D24" i="38"/>
  <c r="D32" i="38"/>
  <c r="D29" i="38"/>
  <c r="D31" i="38"/>
  <c r="D47" i="38"/>
  <c r="D43" i="38"/>
  <c r="D69" i="38"/>
  <c r="D42" i="38"/>
  <c r="D20" i="38"/>
  <c r="D55" i="38"/>
  <c r="D44" i="38"/>
  <c r="D68" i="38"/>
  <c r="D27" i="38"/>
  <c r="D58" i="38"/>
  <c r="R50" i="38"/>
  <c r="N61" i="38" s="1"/>
  <c r="D60" i="38"/>
  <c r="D71" i="38"/>
  <c r="D17" i="38"/>
  <c r="D57" i="38"/>
  <c r="D22" i="38"/>
  <c r="D46" i="38"/>
  <c r="D82" i="38"/>
  <c r="D76" i="38"/>
  <c r="D30" i="38"/>
  <c r="D49" i="38"/>
  <c r="D65" i="38"/>
  <c r="D39" i="38"/>
  <c r="D56" i="38"/>
  <c r="D36" i="38"/>
  <c r="D81" i="38"/>
  <c r="D21" i="38"/>
  <c r="D67" i="38"/>
  <c r="D23" i="38"/>
  <c r="D70" i="38"/>
  <c r="D33" i="38"/>
  <c r="D25" i="38"/>
  <c r="D78" i="38"/>
  <c r="X9" i="38"/>
  <c r="X10" i="38"/>
  <c r="W10" i="38"/>
  <c r="W9" i="38"/>
  <c r="S17" i="38" l="1" a="1"/>
  <c r="S3" i="38" a="1"/>
  <c r="T30" i="32"/>
  <c r="AE82" i="32" s="1"/>
  <c r="AJ9" i="32" a="1"/>
  <c r="S17" i="38"/>
  <c r="S18" i="38"/>
  <c r="S20" i="38"/>
  <c r="S19" i="38"/>
  <c r="AE77" i="32"/>
  <c r="S9" i="38" a="1"/>
  <c r="U30" i="32"/>
  <c r="AJ18" i="32" a="1"/>
  <c r="AE68" i="32" l="1"/>
  <c r="AE65" i="32"/>
  <c r="AE84" i="32"/>
  <c r="AE70" i="32"/>
  <c r="AE67" i="32"/>
  <c r="AE51" i="32"/>
  <c r="AE40" i="32"/>
  <c r="AE74" i="32"/>
  <c r="AE30" i="32"/>
  <c r="AE55" i="32"/>
  <c r="AE61" i="32"/>
  <c r="AE47" i="32"/>
  <c r="AE92" i="32"/>
  <c r="AE72" i="32"/>
  <c r="AE63" i="32"/>
  <c r="AE76" i="32"/>
  <c r="AE45" i="32"/>
  <c r="AE73" i="32"/>
  <c r="AE64" i="32"/>
  <c r="AE43" i="32"/>
  <c r="AE46" i="32"/>
  <c r="AE94" i="32"/>
  <c r="AE58" i="32"/>
  <c r="AE35" i="32"/>
  <c r="AE62" i="32"/>
  <c r="AE69" i="32"/>
  <c r="AE42" i="32"/>
  <c r="AE52" i="32"/>
  <c r="AE41" i="32"/>
  <c r="AE37" i="32"/>
  <c r="AE93" i="32"/>
  <c r="AE75" i="32"/>
  <c r="AE44" i="32"/>
  <c r="AE86" i="32"/>
  <c r="AE79" i="32"/>
  <c r="AE57" i="32"/>
  <c r="AE85" i="32"/>
  <c r="AE59" i="32"/>
  <c r="AE87" i="32"/>
  <c r="AE60" i="32"/>
  <c r="AE36" i="32"/>
  <c r="AE96" i="32"/>
  <c r="AE56" i="32"/>
  <c r="AE81" i="32"/>
  <c r="AE31" i="32"/>
  <c r="AE39" i="32"/>
  <c r="AE34" i="32"/>
  <c r="AE89" i="32"/>
  <c r="AE38" i="32"/>
  <c r="AE48" i="32"/>
  <c r="AE80" i="32"/>
  <c r="AE91" i="32"/>
  <c r="AE49" i="32"/>
  <c r="AE90" i="32"/>
  <c r="AE66" i="32"/>
  <c r="AE50" i="32"/>
  <c r="AE71" i="32"/>
  <c r="AE32" i="32"/>
  <c r="AE83" i="32"/>
  <c r="AE95" i="32"/>
  <c r="AE88" i="32"/>
  <c r="AE78" i="32"/>
  <c r="AE33" i="32"/>
  <c r="AE54" i="32"/>
  <c r="AJ10" i="32"/>
  <c r="AJ9" i="32"/>
  <c r="AJ11" i="32"/>
  <c r="G25" i="38"/>
  <c r="G18" i="38"/>
  <c r="G26" i="38"/>
  <c r="G78" i="38"/>
  <c r="G35" i="38"/>
  <c r="G50" i="38"/>
  <c r="G81" i="38"/>
  <c r="G75" i="38"/>
  <c r="U46" i="38"/>
  <c r="Q57" i="38" s="1"/>
  <c r="G46" i="38"/>
  <c r="G27" i="38"/>
  <c r="G36" i="38"/>
  <c r="G49" i="38"/>
  <c r="G54" i="38"/>
  <c r="G76" i="38"/>
  <c r="G28" i="38"/>
  <c r="G80" i="38"/>
  <c r="G30" i="38"/>
  <c r="G48" i="38"/>
  <c r="G29" i="38"/>
  <c r="U49" i="38"/>
  <c r="Q60" i="38" s="1"/>
  <c r="G40" i="38"/>
  <c r="G70" i="38"/>
  <c r="G31" i="38"/>
  <c r="G21" i="38"/>
  <c r="G43" i="38"/>
  <c r="G24" i="38"/>
  <c r="G20" i="38"/>
  <c r="G51" i="38"/>
  <c r="U50" i="38"/>
  <c r="Q61" i="38" s="1"/>
  <c r="G38" i="38"/>
  <c r="G42" i="38"/>
  <c r="G77" i="38"/>
  <c r="G58" i="38"/>
  <c r="G66" i="38"/>
  <c r="G34" i="38"/>
  <c r="G61" i="38"/>
  <c r="G45" i="38"/>
  <c r="G62" i="38"/>
  <c r="G67" i="38"/>
  <c r="G79" i="38"/>
  <c r="G72" i="38"/>
  <c r="G37" i="38"/>
  <c r="G60" i="38"/>
  <c r="G23" i="38"/>
  <c r="G55" i="38"/>
  <c r="G44" i="38"/>
  <c r="G19" i="38"/>
  <c r="G59" i="38"/>
  <c r="G33" i="38"/>
  <c r="G63" i="38"/>
  <c r="G41" i="38"/>
  <c r="U47" i="38"/>
  <c r="Q58" i="38" s="1"/>
  <c r="G65" i="38"/>
  <c r="G17" i="38"/>
  <c r="G69" i="38"/>
  <c r="G22" i="38"/>
  <c r="U48" i="38"/>
  <c r="Q59" i="38" s="1"/>
  <c r="G56" i="38"/>
  <c r="G82" i="38"/>
  <c r="G32" i="38"/>
  <c r="G52" i="38"/>
  <c r="G39" i="38"/>
  <c r="U45" i="38"/>
  <c r="Q56" i="38" s="1"/>
  <c r="G68" i="38"/>
  <c r="G47" i="38"/>
  <c r="G53" i="38"/>
  <c r="G74" i="38"/>
  <c r="G57" i="38"/>
  <c r="G73" i="38"/>
  <c r="G64" i="38"/>
  <c r="U44" i="38"/>
  <c r="Q55" i="38" s="1"/>
  <c r="G71" i="38"/>
  <c r="G83" i="38"/>
  <c r="U34" i="32"/>
  <c r="P34" i="32" s="1"/>
  <c r="I34" i="32" s="1"/>
  <c r="J15" i="33" s="1"/>
  <c r="U43" i="32"/>
  <c r="P43" i="32" s="1"/>
  <c r="I43" i="32" s="1"/>
  <c r="J24" i="33" s="1"/>
  <c r="U38" i="32"/>
  <c r="P38" i="32" s="1"/>
  <c r="I38" i="32" s="1"/>
  <c r="J19" i="33" s="1"/>
  <c r="U37" i="32"/>
  <c r="P37" i="32" s="1"/>
  <c r="I37" i="32" s="1"/>
  <c r="J18" i="33" s="1"/>
  <c r="U40" i="32"/>
  <c r="P40" i="32" s="1"/>
  <c r="I40" i="32" s="1"/>
  <c r="J21" i="33" s="1"/>
  <c r="U39" i="32"/>
  <c r="P39" i="32" s="1"/>
  <c r="I39" i="32" s="1"/>
  <c r="J20" i="33" s="1"/>
  <c r="U42" i="32"/>
  <c r="P42" i="32" s="1"/>
  <c r="I42" i="32" s="1"/>
  <c r="J23" i="33" s="1"/>
  <c r="U35" i="32"/>
  <c r="P35" i="32" s="1"/>
  <c r="I35" i="32" s="1"/>
  <c r="J16" i="33" s="1"/>
  <c r="U41" i="32"/>
  <c r="P41" i="32" s="1"/>
  <c r="I41" i="32" s="1"/>
  <c r="J22" i="33" s="1"/>
  <c r="U36" i="32"/>
  <c r="P36" i="32" s="1"/>
  <c r="I36" i="32" s="1"/>
  <c r="J17" i="33" s="1"/>
  <c r="S9" i="38"/>
  <c r="S10" i="38"/>
  <c r="AE53" i="32"/>
  <c r="T37" i="32"/>
  <c r="T40" i="32"/>
  <c r="T38" i="32"/>
  <c r="T35" i="32"/>
  <c r="T36" i="32"/>
  <c r="T34" i="32"/>
  <c r="T39" i="32"/>
  <c r="AJ19" i="32"/>
  <c r="AJ20" i="32"/>
  <c r="AJ18" i="32"/>
  <c r="S3" i="38"/>
  <c r="S5" i="38"/>
  <c r="S4" i="38"/>
  <c r="F82" i="38" l="1"/>
  <c r="F63" i="38"/>
  <c r="F53" i="38"/>
  <c r="F37" i="38"/>
  <c r="F50" i="38"/>
  <c r="F81" i="38"/>
  <c r="F33" i="38"/>
  <c r="F48" i="38"/>
  <c r="F47" i="38"/>
  <c r="F31" i="38"/>
  <c r="F29" i="38"/>
  <c r="T49" i="38"/>
  <c r="P60" i="38" s="1"/>
  <c r="F73" i="38"/>
  <c r="F60" i="38"/>
  <c r="F65" i="38"/>
  <c r="F46" i="38"/>
  <c r="F38" i="38"/>
  <c r="F56" i="38"/>
  <c r="T47" i="38"/>
  <c r="P58" i="38" s="1"/>
  <c r="F43" i="38"/>
  <c r="F61" i="38"/>
  <c r="F62" i="38"/>
  <c r="F40" i="38"/>
  <c r="F44" i="38"/>
  <c r="F32" i="38"/>
  <c r="F72" i="38"/>
  <c r="F51" i="38"/>
  <c r="F77" i="38"/>
  <c r="F76" i="38"/>
  <c r="F24" i="38"/>
  <c r="T46" i="38"/>
  <c r="P57" i="38" s="1"/>
  <c r="F45" i="38"/>
  <c r="F36" i="38"/>
  <c r="F68" i="38"/>
  <c r="F71" i="38"/>
  <c r="F25" i="38"/>
  <c r="F66" i="38"/>
  <c r="F34" i="38"/>
  <c r="F19" i="38"/>
  <c r="T50" i="38"/>
  <c r="P61" i="38" s="1"/>
  <c r="F49" i="38"/>
  <c r="F54" i="38"/>
  <c r="F74" i="38"/>
  <c r="F20" i="38"/>
  <c r="F26" i="38"/>
  <c r="F35" i="38"/>
  <c r="F78" i="38"/>
  <c r="F17" i="38"/>
  <c r="F79" i="38"/>
  <c r="F39" i="38"/>
  <c r="F41" i="38"/>
  <c r="T48" i="38"/>
  <c r="P59" i="38" s="1"/>
  <c r="T45" i="38"/>
  <c r="P56" i="38" s="1"/>
  <c r="F80" i="38"/>
  <c r="F22" i="38"/>
  <c r="T44" i="38"/>
  <c r="P55" i="38" s="1"/>
  <c r="F27" i="38"/>
  <c r="F75" i="38"/>
  <c r="F59" i="38"/>
  <c r="F69" i="38"/>
  <c r="F18" i="38"/>
  <c r="F55" i="38"/>
  <c r="F21" i="38"/>
  <c r="F28" i="38"/>
  <c r="F57" i="38"/>
  <c r="F42" i="38"/>
  <c r="F67" i="38"/>
  <c r="F58" i="38"/>
  <c r="F70" i="38"/>
  <c r="F64" i="38"/>
  <c r="F83" i="38"/>
  <c r="F23" i="38"/>
  <c r="F30" i="38"/>
  <c r="F52" i="38"/>
  <c r="E26" i="38"/>
  <c r="E80" i="38"/>
  <c r="E25" i="38"/>
  <c r="E56" i="38"/>
  <c r="E42" i="38"/>
  <c r="S48" i="38"/>
  <c r="O59" i="38" s="1"/>
  <c r="E49" i="38"/>
  <c r="S47" i="38"/>
  <c r="O58" i="38" s="1"/>
  <c r="E23" i="38"/>
  <c r="E61" i="38"/>
  <c r="S46" i="38"/>
  <c r="O57" i="38" s="1"/>
  <c r="E22" i="38"/>
  <c r="S45" i="38"/>
  <c r="O56" i="38" s="1"/>
  <c r="E41" i="38"/>
  <c r="E21" i="38"/>
  <c r="E19" i="38"/>
  <c r="E30" i="38"/>
  <c r="E57" i="38"/>
  <c r="E77" i="38"/>
  <c r="E69" i="38"/>
  <c r="E66" i="38"/>
  <c r="E51" i="38"/>
  <c r="E68" i="38"/>
  <c r="E32" i="38"/>
  <c r="E59" i="38"/>
  <c r="E52" i="38"/>
  <c r="S49" i="38"/>
  <c r="O60" i="38" s="1"/>
  <c r="E34" i="38"/>
  <c r="E81" i="38"/>
  <c r="E47" i="38"/>
  <c r="E17" i="38"/>
  <c r="E50" i="38"/>
  <c r="E43" i="38"/>
  <c r="E29" i="38"/>
  <c r="E35" i="38"/>
  <c r="E74" i="38"/>
  <c r="E76" i="38"/>
  <c r="E67" i="38"/>
  <c r="S44" i="38"/>
  <c r="O55" i="38" s="1"/>
  <c r="E65" i="38"/>
  <c r="E83" i="38"/>
  <c r="E33" i="38"/>
  <c r="S50" i="38"/>
  <c r="O61" i="38" s="1"/>
  <c r="E28" i="38"/>
  <c r="E37" i="38"/>
  <c r="E75" i="38"/>
  <c r="E73" i="38"/>
  <c r="E82" i="38"/>
  <c r="E60" i="38"/>
  <c r="E24" i="38"/>
  <c r="E53" i="38"/>
  <c r="E79" i="38"/>
  <c r="E20" i="38"/>
  <c r="E54" i="38"/>
  <c r="E62" i="38"/>
  <c r="E18" i="38"/>
  <c r="E58" i="38"/>
  <c r="E64" i="38"/>
  <c r="E45" i="38"/>
  <c r="E46" i="38"/>
  <c r="E44" i="38"/>
  <c r="E40" i="38"/>
  <c r="E78" i="38"/>
  <c r="E38" i="38"/>
  <c r="E31" i="38"/>
  <c r="E70" i="38"/>
  <c r="E27" i="38"/>
  <c r="E63" i="38"/>
  <c r="E48" i="38"/>
  <c r="E36" i="38"/>
  <c r="E71" i="38"/>
  <c r="E72" i="38"/>
  <c r="E55" i="38"/>
  <c r="E39" i="38"/>
  <c r="L1" i="39"/>
  <c r="L3" i="39"/>
  <c r="G31" i="32"/>
  <c r="V13" i="39" l="1"/>
  <c r="T13" i="39" s="1"/>
  <c r="G32" i="32"/>
  <c r="D43" i="29"/>
  <c r="K9" i="32"/>
  <c r="O31" i="32"/>
  <c r="L9" i="32"/>
  <c r="J31" i="32"/>
  <c r="O32" i="32" l="1"/>
  <c r="J32" i="32"/>
  <c r="D44" i="29"/>
  <c r="K18" i="32"/>
  <c r="AD53" i="32" l="1"/>
  <c r="O35" i="32"/>
  <c r="H35" i="32" s="1"/>
  <c r="J9" i="33" s="1"/>
  <c r="AE68" i="39"/>
  <c r="AD83" i="32"/>
  <c r="AE105" i="39"/>
  <c r="AE132" i="39"/>
  <c r="AD72" i="32"/>
  <c r="AE35" i="39"/>
  <c r="AE32" i="39"/>
  <c r="AE30" i="39"/>
  <c r="AE33" i="39"/>
  <c r="AE17" i="39"/>
  <c r="AE80" i="39"/>
  <c r="AE42" i="39"/>
  <c r="AE40" i="39"/>
  <c r="AE128" i="39"/>
  <c r="AD90" i="32"/>
  <c r="AE89" i="39"/>
  <c r="AE8" i="39"/>
  <c r="AE67" i="39"/>
  <c r="AE78" i="39"/>
  <c r="O40" i="32"/>
  <c r="H40" i="32" s="1"/>
  <c r="J14" i="33" s="1"/>
  <c r="AE84" i="39"/>
  <c r="AE14" i="39"/>
  <c r="AD79" i="32"/>
  <c r="AE76" i="39"/>
  <c r="AD87" i="32"/>
  <c r="AE126" i="39"/>
  <c r="AD85" i="32"/>
  <c r="AD49" i="32"/>
  <c r="AE70" i="39"/>
  <c r="AE66" i="39"/>
  <c r="AD39" i="32"/>
  <c r="AE10" i="39"/>
  <c r="AE74" i="39"/>
  <c r="AD62" i="32"/>
  <c r="AE86" i="39"/>
  <c r="AE21" i="39"/>
  <c r="K25" i="39"/>
  <c r="G38" i="39" s="1"/>
  <c r="AE106" i="39"/>
  <c r="AE69" i="39"/>
  <c r="AE118" i="39"/>
  <c r="AE28" i="39"/>
  <c r="AE22" i="39"/>
  <c r="AE4" i="39"/>
  <c r="AD78" i="32"/>
  <c r="AE45" i="39"/>
  <c r="AE90" i="39"/>
  <c r="AE31" i="39"/>
  <c r="V9" i="39"/>
  <c r="T9" i="39" s="1" a="1"/>
  <c r="T10" i="39" s="1"/>
  <c r="AE104" i="39"/>
  <c r="AD52" i="32"/>
  <c r="AD94" i="32"/>
  <c r="AD71" i="32"/>
  <c r="K20" i="39"/>
  <c r="G33" i="39" s="1"/>
  <c r="AE103" i="39"/>
  <c r="AD68" i="32"/>
  <c r="AE127" i="39"/>
  <c r="V3" i="39"/>
  <c r="T3" i="39" a="1"/>
  <c r="T5" i="39" s="1"/>
  <c r="AD76" i="32"/>
  <c r="AD54" i="32"/>
  <c r="AE29" i="39"/>
  <c r="AE119" i="39"/>
  <c r="AE11" i="39"/>
  <c r="AD82" i="32"/>
  <c r="AE91" i="39"/>
  <c r="O34" i="32"/>
  <c r="H34" i="32"/>
  <c r="J8" i="33" s="1"/>
  <c r="AD65" i="32"/>
  <c r="AE49" i="39"/>
  <c r="AD69" i="32"/>
  <c r="AD56" i="32"/>
  <c r="AE72" i="39"/>
  <c r="AD93" i="32"/>
  <c r="AE82" i="39"/>
  <c r="AE15" i="39"/>
  <c r="K21" i="39"/>
  <c r="G34" i="39" s="1"/>
  <c r="AD60" i="32"/>
  <c r="AE120" i="39"/>
  <c r="AE112" i="39"/>
  <c r="AE121" i="39"/>
  <c r="AD36" i="32"/>
  <c r="AE27" i="39"/>
  <c r="AE9" i="39"/>
  <c r="AE19" i="39"/>
  <c r="AE96" i="39"/>
  <c r="AE26" i="39"/>
  <c r="AE24" i="39"/>
  <c r="AE130" i="39"/>
  <c r="AE55" i="39"/>
  <c r="AD33" i="32"/>
  <c r="AE3" i="39"/>
  <c r="AE129" i="39"/>
  <c r="AE81" i="39"/>
  <c r="AE93" i="39"/>
  <c r="AE116" i="39"/>
  <c r="AE131" i="39"/>
  <c r="AE36" i="39"/>
  <c r="AE85" i="39"/>
  <c r="O38" i="32"/>
  <c r="H38" i="32" s="1"/>
  <c r="J12" i="33" s="1"/>
  <c r="AD77" i="32"/>
  <c r="AD31" i="32"/>
  <c r="AE12" i="39"/>
  <c r="AE77" i="39"/>
  <c r="AD41" i="32"/>
  <c r="AE107" i="39"/>
  <c r="AE75" i="39"/>
  <c r="K16" i="39"/>
  <c r="G29" i="39" s="1"/>
  <c r="AE97" i="39"/>
  <c r="AD80" i="32"/>
  <c r="AE101" i="39"/>
  <c r="AD91" i="32"/>
  <c r="AE117" i="39"/>
  <c r="AE99" i="39"/>
  <c r="AE64" i="39"/>
  <c r="AD73" i="32"/>
  <c r="AE43" i="39"/>
  <c r="AD95" i="32"/>
  <c r="AD86" i="32"/>
  <c r="AE53" i="39"/>
  <c r="AE59" i="39"/>
  <c r="AE115" i="39"/>
  <c r="AD89" i="32"/>
  <c r="AD58" i="32"/>
  <c r="AD88" i="32"/>
  <c r="AD32" i="32"/>
  <c r="AE108" i="39"/>
  <c r="AE38" i="39"/>
  <c r="AE95" i="39"/>
  <c r="AE62" i="39"/>
  <c r="K24" i="39"/>
  <c r="G37" i="39" s="1"/>
  <c r="K18" i="39"/>
  <c r="G31" i="39" s="1"/>
  <c r="AE71" i="39"/>
  <c r="AE65" i="39"/>
  <c r="AE34" i="39"/>
  <c r="AE47" i="39"/>
  <c r="AD96" i="32"/>
  <c r="AE111" i="39"/>
  <c r="AE7" i="39"/>
  <c r="AE46" i="39"/>
  <c r="AE51" i="39"/>
  <c r="AE39" i="39"/>
  <c r="AE114" i="39"/>
  <c r="AE5" i="39"/>
  <c r="AE94" i="39"/>
  <c r="O39" i="32"/>
  <c r="H39" i="32" s="1"/>
  <c r="J13" i="33" s="1"/>
  <c r="AE92" i="39"/>
  <c r="AE13" i="39"/>
  <c r="O37" i="32"/>
  <c r="H37" i="32" s="1"/>
  <c r="J11" i="33" s="1"/>
  <c r="AD45" i="32"/>
  <c r="AE83" i="39"/>
  <c r="AE56" i="39"/>
  <c r="AD35" i="32"/>
  <c r="AE54" i="39"/>
  <c r="AD40" i="32"/>
  <c r="AE109" i="39"/>
  <c r="AE57" i="39"/>
  <c r="AD44" i="32"/>
  <c r="AE23" i="39"/>
  <c r="AE73" i="39"/>
  <c r="AE18" i="39"/>
  <c r="O36" i="32"/>
  <c r="H36" i="32"/>
  <c r="J10" i="33" s="1"/>
  <c r="AE87" i="39"/>
  <c r="K19" i="39"/>
  <c r="G32" i="39" s="1"/>
  <c r="AD63" i="32"/>
  <c r="AD37" i="32"/>
  <c r="AE58" i="39"/>
  <c r="AE113" i="39"/>
  <c r="AE88" i="39"/>
  <c r="AD75" i="32"/>
  <c r="AD74" i="32"/>
  <c r="AD66" i="32"/>
  <c r="AE52" i="39"/>
  <c r="K22" i="39"/>
  <c r="G35" i="39" s="1"/>
  <c r="AD81" i="32"/>
  <c r="AD92" i="32"/>
  <c r="AD42" i="32"/>
  <c r="AE79" i="39"/>
  <c r="AE60" i="39"/>
  <c r="AD84" i="32"/>
  <c r="AE102" i="39"/>
  <c r="AD43" i="32"/>
  <c r="AD30" i="32"/>
  <c r="AD64" i="32"/>
  <c r="K17" i="39"/>
  <c r="G30" i="39" s="1"/>
  <c r="AE25" i="39"/>
  <c r="AE48" i="39"/>
  <c r="AE61" i="39"/>
  <c r="AD70" i="32"/>
  <c r="AE63" i="39"/>
  <c r="AE6" i="39"/>
  <c r="AE124" i="39"/>
  <c r="AE110" i="39"/>
  <c r="AE123" i="39"/>
  <c r="AD47" i="32"/>
  <c r="AE122" i="39"/>
  <c r="AE44" i="39"/>
  <c r="AD50" i="32"/>
  <c r="AD48" i="32"/>
  <c r="AE20" i="39"/>
  <c r="AD38" i="32"/>
  <c r="AE125" i="39"/>
  <c r="AE50" i="39"/>
  <c r="AD55" i="32"/>
  <c r="AE100" i="39"/>
  <c r="AD61" i="32"/>
  <c r="AE16" i="39"/>
  <c r="AE41" i="39"/>
  <c r="AD51" i="32"/>
  <c r="AD67" i="32"/>
  <c r="AD34" i="32"/>
  <c r="AD59" i="32"/>
  <c r="AD46" i="32"/>
  <c r="AE98" i="39"/>
  <c r="AD57" i="32"/>
  <c r="K23" i="39"/>
  <c r="G36" i="39" s="1"/>
  <c r="AE37" i="39"/>
  <c r="N3" i="33" a="1"/>
  <c r="L18" i="32"/>
  <c r="T3" i="39" l="1"/>
  <c r="P32" i="32"/>
  <c r="T4" i="39"/>
  <c r="AG65" i="39" s="1"/>
  <c r="T9" i="39"/>
  <c r="AF66" i="39" s="1"/>
  <c r="AF109" i="39" l="1"/>
  <c r="AF58" i="39"/>
  <c r="AF51" i="39"/>
  <c r="AF46" i="39"/>
  <c r="AF87" i="39"/>
  <c r="AF15" i="39"/>
  <c r="AF84" i="39"/>
  <c r="AF62" i="39"/>
  <c r="AF56" i="39"/>
  <c r="AF33" i="39"/>
  <c r="L25" i="39"/>
  <c r="H38" i="39" s="1"/>
  <c r="AF100" i="39"/>
  <c r="AF118" i="39"/>
  <c r="AF31" i="39"/>
  <c r="AF43" i="39"/>
  <c r="AF32" i="39"/>
  <c r="AF130" i="39"/>
  <c r="AF119" i="39"/>
  <c r="AF83" i="39"/>
  <c r="AG43" i="39"/>
  <c r="AG122" i="39"/>
  <c r="AG15" i="39"/>
  <c r="AG7" i="39"/>
  <c r="M18" i="39"/>
  <c r="I31" i="39" s="1"/>
  <c r="AG61" i="39"/>
  <c r="AG115" i="39"/>
  <c r="AG23" i="39"/>
  <c r="AG16" i="39"/>
  <c r="AG51" i="39"/>
  <c r="AG36" i="39"/>
  <c r="AG118" i="39"/>
  <c r="AG94" i="39"/>
  <c r="AG87" i="39"/>
  <c r="AG57" i="39"/>
  <c r="AG79" i="39"/>
  <c r="AG32" i="39"/>
  <c r="AG77" i="39"/>
  <c r="AG78" i="39"/>
  <c r="AG117" i="39"/>
  <c r="AG42" i="39"/>
  <c r="AG8" i="39"/>
  <c r="AG105" i="39"/>
  <c r="AG72" i="39"/>
  <c r="AG130" i="39"/>
  <c r="AG106" i="39"/>
  <c r="AG108" i="39"/>
  <c r="AG101" i="39"/>
  <c r="AG4" i="39"/>
  <c r="AG12" i="39"/>
  <c r="AG92" i="39"/>
  <c r="AG116" i="39"/>
  <c r="AG50" i="39"/>
  <c r="AG123" i="39"/>
  <c r="AG45" i="39"/>
  <c r="AG80" i="39"/>
  <c r="AG49" i="39"/>
  <c r="AG119" i="39"/>
  <c r="AG114" i="39"/>
  <c r="AG102" i="39"/>
  <c r="AF18" i="39"/>
  <c r="AF122" i="39"/>
  <c r="L22" i="39"/>
  <c r="H35" i="39" s="1"/>
  <c r="AF97" i="39"/>
  <c r="AF47" i="39"/>
  <c r="AF11" i="39"/>
  <c r="AF75" i="39"/>
  <c r="AF85" i="39"/>
  <c r="AF77" i="39"/>
  <c r="AG98" i="39"/>
  <c r="AG82" i="39"/>
  <c r="AG40" i="39"/>
  <c r="AG121" i="39"/>
  <c r="M23" i="39"/>
  <c r="I36" i="39" s="1"/>
  <c r="AG37" i="39"/>
  <c r="AG30" i="39"/>
  <c r="AG74" i="39"/>
  <c r="AG52" i="39"/>
  <c r="AG89" i="39"/>
  <c r="AF115" i="39"/>
  <c r="L21" i="39"/>
  <c r="H34" i="39" s="1"/>
  <c r="AF104" i="39"/>
  <c r="AF102" i="39"/>
  <c r="AF24" i="39"/>
  <c r="AF54" i="39"/>
  <c r="L19" i="39"/>
  <c r="H32" i="39" s="1"/>
  <c r="AG125" i="39"/>
  <c r="AG100" i="39"/>
  <c r="AG11" i="39"/>
  <c r="AG111" i="39"/>
  <c r="AG128" i="39"/>
  <c r="AG127" i="39"/>
  <c r="AG69" i="39"/>
  <c r="AG13" i="39"/>
  <c r="AG107" i="39"/>
  <c r="AG64" i="39"/>
  <c r="AG19" i="39"/>
  <c r="AF96" i="39"/>
  <c r="AF8" i="39"/>
  <c r="AF86" i="39"/>
  <c r="AF123" i="39"/>
  <c r="L24" i="39"/>
  <c r="H37" i="39" s="1"/>
  <c r="AF39" i="39"/>
  <c r="AF91" i="39"/>
  <c r="AG17" i="39"/>
  <c r="AG113" i="39"/>
  <c r="M17" i="39"/>
  <c r="I30" i="39" s="1"/>
  <c r="AG62" i="39"/>
  <c r="AG68" i="39"/>
  <c r="M25" i="39"/>
  <c r="I38" i="39" s="1"/>
  <c r="M24" i="39"/>
  <c r="I37" i="39" s="1"/>
  <c r="AG41" i="39"/>
  <c r="AG126" i="39"/>
  <c r="AG10" i="39"/>
  <c r="AG67" i="39"/>
  <c r="AF68" i="39"/>
  <c r="AF90" i="39"/>
  <c r="AF78" i="39"/>
  <c r="AF113" i="39"/>
  <c r="AF93" i="39"/>
  <c r="AF25" i="39"/>
  <c r="AG3" i="39"/>
  <c r="AG97" i="39"/>
  <c r="AG99" i="39"/>
  <c r="AG55" i="39"/>
  <c r="AG46" i="39"/>
  <c r="AG86" i="39"/>
  <c r="AG71" i="39"/>
  <c r="AG70" i="39"/>
  <c r="AG73" i="39"/>
  <c r="AG24" i="39"/>
  <c r="AG109" i="39"/>
  <c r="AF132" i="39"/>
  <c r="AF120" i="39"/>
  <c r="AF98" i="39"/>
  <c r="AF5" i="39"/>
  <c r="AF88" i="39"/>
  <c r="AF59" i="39"/>
  <c r="AF99" i="39"/>
  <c r="AF37" i="39"/>
  <c r="AF13" i="39"/>
  <c r="AF106" i="39"/>
  <c r="AF114" i="39"/>
  <c r="AF72" i="39"/>
  <c r="AF71" i="39"/>
  <c r="AF101" i="39"/>
  <c r="AF19" i="39"/>
  <c r="AF41" i="39"/>
  <c r="M20" i="39"/>
  <c r="I33" i="39" s="1"/>
  <c r="AG110" i="39"/>
  <c r="AG56" i="39"/>
  <c r="AG104" i="39"/>
  <c r="AG6" i="39"/>
  <c r="AG5" i="39"/>
  <c r="AG28" i="39"/>
  <c r="AG85" i="39"/>
  <c r="M19" i="39"/>
  <c r="I32" i="39" s="1"/>
  <c r="M22" i="39"/>
  <c r="I35" i="39" s="1"/>
  <c r="AG63" i="39"/>
  <c r="AF70" i="39"/>
  <c r="AF3" i="39"/>
  <c r="AF124" i="39"/>
  <c r="AF40" i="39"/>
  <c r="AF16" i="39"/>
  <c r="AF48" i="39"/>
  <c r="AF131" i="39"/>
  <c r="AF64" i="39"/>
  <c r="AF55" i="39"/>
  <c r="AF27" i="39"/>
  <c r="AF42" i="39"/>
  <c r="AF81" i="39"/>
  <c r="AF65" i="39"/>
  <c r="AF35" i="39"/>
  <c r="AF67" i="39"/>
  <c r="AF26" i="39"/>
  <c r="AF108" i="39"/>
  <c r="AF125" i="39"/>
  <c r="AF76" i="39"/>
  <c r="AF20" i="39"/>
  <c r="L18" i="39"/>
  <c r="H31" i="39" s="1"/>
  <c r="AF111" i="39"/>
  <c r="AF128" i="39"/>
  <c r="AG76" i="39"/>
  <c r="AG31" i="39"/>
  <c r="AG39" i="39"/>
  <c r="AG54" i="39"/>
  <c r="AG29" i="39"/>
  <c r="AG96" i="39"/>
  <c r="AG131" i="39"/>
  <c r="AG75" i="39"/>
  <c r="AG18" i="39"/>
  <c r="AG14" i="39"/>
  <c r="AG22" i="39"/>
  <c r="AF80" i="39"/>
  <c r="AF52" i="39"/>
  <c r="AF117" i="39"/>
  <c r="AF129" i="39"/>
  <c r="AF38" i="39"/>
  <c r="AF94" i="39"/>
  <c r="AF14" i="39"/>
  <c r="AF110" i="39"/>
  <c r="AF63" i="39"/>
  <c r="AF92" i="39"/>
  <c r="AF10" i="39"/>
  <c r="AF103" i="39"/>
  <c r="AF121" i="39"/>
  <c r="AF9" i="39"/>
  <c r="AF6" i="39"/>
  <c r="L20" i="39"/>
  <c r="H33" i="39" s="1"/>
  <c r="AF95" i="39"/>
  <c r="AF79" i="39"/>
  <c r="AG58" i="39"/>
  <c r="AG38" i="39"/>
  <c r="M16" i="39"/>
  <c r="I29" i="39" s="1"/>
  <c r="AG33" i="39"/>
  <c r="AG93" i="39"/>
  <c r="AG26" i="39"/>
  <c r="AG59" i="39"/>
  <c r="AG81" i="39"/>
  <c r="AG84" i="39"/>
  <c r="AG27" i="39"/>
  <c r="M21" i="39"/>
  <c r="I34" i="39" s="1"/>
  <c r="AG88" i="39"/>
  <c r="AG91" i="39"/>
  <c r="AG48" i="39"/>
  <c r="AG129" i="39"/>
  <c r="AG103" i="39"/>
  <c r="AG112" i="39"/>
  <c r="AF45" i="39"/>
  <c r="AF127" i="39"/>
  <c r="AF112" i="39"/>
  <c r="AF50" i="39"/>
  <c r="AF29" i="39"/>
  <c r="AF23" i="39"/>
  <c r="AF34" i="39"/>
  <c r="AF21" i="39"/>
  <c r="AF60" i="39"/>
  <c r="AF82" i="39"/>
  <c r="AF28" i="39"/>
  <c r="AF4" i="39"/>
  <c r="AF73" i="39"/>
  <c r="AF49" i="39"/>
  <c r="AF69" i="39"/>
  <c r="AF107" i="39"/>
  <c r="AF12" i="39"/>
  <c r="AF74" i="39"/>
  <c r="AG25" i="39"/>
  <c r="AG120" i="39"/>
  <c r="AG21" i="39"/>
  <c r="AG90" i="39"/>
  <c r="AG95" i="39"/>
  <c r="AG66" i="39"/>
  <c r="AG9" i="39"/>
  <c r="AG44" i="39"/>
  <c r="AG124" i="39"/>
  <c r="AG35" i="39"/>
  <c r="AG20" i="39"/>
  <c r="AG60" i="39"/>
  <c r="AG34" i="39"/>
  <c r="AG83" i="39"/>
  <c r="AG132" i="39"/>
  <c r="AG53" i="39"/>
  <c r="AG47" i="39"/>
  <c r="AF57" i="39"/>
  <c r="AF22" i="39"/>
  <c r="L17" i="39"/>
  <c r="H30" i="39" s="1"/>
  <c r="AF105" i="39"/>
  <c r="AF116" i="39"/>
  <c r="AF89" i="39"/>
  <c r="AF30" i="39"/>
  <c r="AF44" i="39"/>
  <c r="L16" i="39"/>
  <c r="H29" i="39" s="1"/>
  <c r="AF17" i="39"/>
  <c r="L23" i="39"/>
  <c r="H36" i="39" s="1"/>
  <c r="AF126" i="39"/>
  <c r="AF7" i="39"/>
  <c r="AF53" i="39"/>
  <c r="AF61" i="39"/>
  <c r="AF36" i="39"/>
  <c r="N17" i="33"/>
  <c r="O17" i="33"/>
  <c r="N9" i="33"/>
  <c r="O9" i="33"/>
  <c r="N24" i="33"/>
  <c r="O24" i="33"/>
  <c r="N16" i="33"/>
  <c r="O16" i="33"/>
  <c r="N8" i="33"/>
  <c r="O8" i="33"/>
  <c r="N23" i="33"/>
  <c r="O23" i="33"/>
  <c r="N15" i="33"/>
  <c r="O15" i="33"/>
  <c r="N22" i="33"/>
  <c r="O22" i="33"/>
  <c r="N14" i="33"/>
  <c r="O14" i="33"/>
  <c r="N21" i="33"/>
  <c r="O21" i="33"/>
  <c r="N13" i="33"/>
  <c r="O13" i="33"/>
  <c r="N20" i="33"/>
  <c r="O20" i="33"/>
  <c r="N12" i="33"/>
  <c r="O12" i="33"/>
  <c r="N19" i="33"/>
  <c r="O19" i="33"/>
  <c r="N11" i="33"/>
  <c r="O11" i="33"/>
  <c r="N18" i="33"/>
  <c r="O18" i="33"/>
  <c r="N10" i="33"/>
  <c r="O10" i="33"/>
  <c r="P15" i="33"/>
  <c r="P8" i="33"/>
  <c r="L27" i="32"/>
  <c r="L3" i="32"/>
  <c r="L26" i="32"/>
  <c r="L4" i="32"/>
  <c r="N32" i="32"/>
  <c r="N34" i="32"/>
  <c r="G34" i="32"/>
  <c r="J3" i="33" s="1"/>
  <c r="Q32" i="32"/>
  <c r="Q36" i="32" s="1"/>
  <c r="J36" i="32" s="1"/>
  <c r="J27" i="33" s="1"/>
  <c r="N35" i="32"/>
  <c r="G35" i="32" s="1"/>
  <c r="J4" i="33" s="1"/>
  <c r="N37" i="32"/>
  <c r="G37" i="32" s="1"/>
  <c r="J6" i="33" s="1"/>
  <c r="N36" i="32"/>
  <c r="G36" i="32" s="1"/>
  <c r="J5" i="33" s="1"/>
  <c r="N38" i="32"/>
  <c r="G38" i="32" s="1"/>
  <c r="J7" i="33" s="1"/>
  <c r="Q48" i="32" l="1"/>
  <c r="J48" i="32" s="1"/>
  <c r="J39" i="33" s="1"/>
  <c r="Q40" i="32"/>
  <c r="J40" i="32" s="1"/>
  <c r="J31" i="33" s="1"/>
  <c r="Q46" i="32"/>
  <c r="J46" i="32" s="1"/>
  <c r="J37" i="33" s="1"/>
  <c r="Q37" i="32"/>
  <c r="J37" i="32" s="1"/>
  <c r="J28" i="33" s="1"/>
  <c r="Q41" i="32"/>
  <c r="J41" i="32" s="1"/>
  <c r="J32" i="33" s="1"/>
  <c r="Q39" i="32"/>
  <c r="J39" i="32" s="1"/>
  <c r="J30" i="33" s="1"/>
  <c r="Q49" i="32"/>
  <c r="J49" i="32" s="1"/>
  <c r="J40" i="33" s="1"/>
  <c r="Q42" i="32"/>
  <c r="J42" i="32" s="1"/>
  <c r="J33" i="33" s="1"/>
  <c r="N33" i="33" s="1"/>
  <c r="Q38" i="32"/>
  <c r="J38" i="32" s="1"/>
  <c r="J29" i="33" s="1"/>
  <c r="Q35" i="32"/>
  <c r="J35" i="32" s="1"/>
  <c r="J26" i="33" s="1"/>
  <c r="Q47" i="32"/>
  <c r="J47" i="32" s="1"/>
  <c r="J38" i="33" s="1"/>
  <c r="Q44" i="32"/>
  <c r="J44" i="32" s="1"/>
  <c r="J35" i="33" s="1"/>
  <c r="Q45" i="32"/>
  <c r="J45" i="32" s="1"/>
  <c r="J36" i="33" s="1"/>
  <c r="Q43" i="32"/>
  <c r="J43" i="32" s="1"/>
  <c r="J34" i="33" s="1"/>
  <c r="Q34" i="32"/>
  <c r="J34" i="32" s="1"/>
  <c r="J25" i="33" s="1"/>
  <c r="N25" i="33" s="1"/>
  <c r="O33" i="33"/>
  <c r="O25" i="33"/>
  <c r="N40" i="33"/>
  <c r="O40" i="33"/>
  <c r="N32" i="33"/>
  <c r="O32" i="33"/>
  <c r="N39" i="33"/>
  <c r="O39" i="33"/>
  <c r="N31" i="33"/>
  <c r="O31" i="33"/>
  <c r="N7" i="33"/>
  <c r="O7" i="33"/>
  <c r="N38" i="33"/>
  <c r="O38" i="33"/>
  <c r="N30" i="33"/>
  <c r="O30" i="33"/>
  <c r="N6" i="33"/>
  <c r="O6" i="33"/>
  <c r="N37" i="33"/>
  <c r="O37" i="33"/>
  <c r="N29" i="33"/>
  <c r="O29" i="33"/>
  <c r="N5" i="33"/>
  <c r="O5" i="33"/>
  <c r="N36" i="33"/>
  <c r="O36" i="33"/>
  <c r="N28" i="33"/>
  <c r="O28" i="33"/>
  <c r="N4" i="33"/>
  <c r="O4" i="33"/>
  <c r="N35" i="33"/>
  <c r="O35" i="33"/>
  <c r="N27" i="33"/>
  <c r="O27" i="33"/>
  <c r="N3" i="33"/>
  <c r="O3" i="33"/>
  <c r="N34" i="33"/>
  <c r="O34" i="33"/>
  <c r="N26" i="33"/>
  <c r="O26" i="33"/>
  <c r="P2" i="33"/>
  <c r="P25" i="33"/>
  <c r="G45" i="36"/>
  <c r="I45" i="36"/>
  <c r="G56" i="36"/>
  <c r="I56" i="36"/>
  <c r="G30" i="36"/>
  <c r="I30" i="36"/>
  <c r="L3" i="35"/>
  <c r="H4" i="36"/>
  <c r="M3" i="35"/>
  <c r="I4" i="36" s="1"/>
  <c r="J4" i="36" s="1"/>
  <c r="G31" i="36"/>
  <c r="I31" i="36"/>
  <c r="G51" i="36"/>
  <c r="I51" i="36"/>
  <c r="G26" i="36"/>
  <c r="I26" i="36"/>
  <c r="G12" i="36"/>
  <c r="I12" i="36"/>
  <c r="G32" i="36"/>
  <c r="I32" i="36"/>
  <c r="G55" i="36"/>
  <c r="I55" i="36"/>
  <c r="G24" i="36"/>
  <c r="I24" i="36"/>
  <c r="G44" i="36"/>
  <c r="I44" i="36"/>
  <c r="L2" i="35"/>
  <c r="M2" i="35"/>
  <c r="I3" i="36" s="1"/>
  <c r="J3" i="36" s="1"/>
  <c r="H3" i="36"/>
  <c r="G49" i="36"/>
  <c r="I49" i="36"/>
  <c r="G48" i="36"/>
  <c r="I48" i="36"/>
  <c r="L5" i="35"/>
  <c r="M5" i="35"/>
  <c r="I6" i="36" s="1"/>
  <c r="J6" i="36" s="1"/>
  <c r="H6" i="36"/>
  <c r="G13" i="36"/>
  <c r="I13" i="36"/>
  <c r="G29" i="36"/>
  <c r="I29" i="36"/>
  <c r="G17" i="36"/>
  <c r="I17" i="36"/>
  <c r="G58" i="36"/>
  <c r="I58" i="36"/>
  <c r="G15" i="36"/>
  <c r="I15" i="36"/>
  <c r="G52" i="36"/>
  <c r="I52" i="36"/>
  <c r="G20" i="36"/>
  <c r="I20" i="36"/>
  <c r="G53" i="36"/>
  <c r="I53" i="36"/>
  <c r="G43" i="36"/>
  <c r="I43" i="36"/>
  <c r="G11" i="36"/>
  <c r="I11" i="36"/>
  <c r="G21" i="36"/>
  <c r="I21" i="36"/>
  <c r="G14" i="36"/>
  <c r="I14" i="36"/>
  <c r="G39" i="36"/>
  <c r="I39" i="36"/>
  <c r="G50" i="36"/>
  <c r="I50" i="36"/>
  <c r="G16" i="36"/>
  <c r="I16" i="36"/>
  <c r="G57" i="36"/>
  <c r="I57" i="36"/>
  <c r="G40" i="36"/>
  <c r="I40" i="36"/>
  <c r="G42" i="36"/>
  <c r="I42" i="36"/>
  <c r="G18" i="36"/>
  <c r="I18" i="36"/>
  <c r="L6" i="35"/>
  <c r="M6" i="35"/>
  <c r="P6" i="35"/>
  <c r="P5" i="35"/>
  <c r="P3" i="35"/>
  <c r="P2" i="35"/>
  <c r="G19" i="36"/>
  <c r="I19" i="36"/>
  <c r="G23" i="36"/>
  <c r="I23" i="36"/>
  <c r="L4" i="35"/>
  <c r="M4" i="35"/>
  <c r="I5" i="36" s="1"/>
  <c r="J5" i="36" s="1"/>
  <c r="P4" i="35"/>
  <c r="H5" i="36"/>
  <c r="G46" i="36"/>
  <c r="I46" i="36"/>
  <c r="G41" i="36"/>
  <c r="I41" i="36"/>
  <c r="G54" i="36"/>
  <c r="I54" i="36"/>
  <c r="G28" i="36"/>
  <c r="I28" i="36"/>
  <c r="I7" i="36"/>
  <c r="J7" i="36" s="1"/>
  <c r="H7" i="36"/>
  <c r="G36" i="36"/>
  <c r="I36" i="36"/>
  <c r="G47" i="36"/>
  <c r="I47" i="36"/>
  <c r="G59" i="36"/>
  <c r="I59" i="36"/>
  <c r="G38" i="36"/>
  <c r="I38" i="36"/>
  <c r="G34" i="36"/>
  <c r="I34" i="36"/>
  <c r="G33" i="36"/>
  <c r="I33" i="36"/>
  <c r="G35" i="36"/>
  <c r="I35" i="36"/>
  <c r="G27" i="36"/>
  <c r="I27" i="36"/>
  <c r="G25" i="36"/>
  <c r="I25" i="36"/>
  <c r="G37" i="36"/>
  <c r="I37" i="36"/>
  <c r="G22" i="36"/>
  <c r="I22" i="36"/>
  <c r="L16" i="35"/>
  <c r="M16" i="35"/>
  <c r="N16" i="35"/>
  <c r="J19" i="36"/>
  <c r="L27" i="35"/>
  <c r="M27" i="35"/>
  <c r="L9" i="35"/>
  <c r="M9" i="35"/>
  <c r="N27" i="35"/>
  <c r="J58" i="33"/>
  <c r="N58" i="33"/>
  <c r="N9" i="35"/>
  <c r="J41" i="33" s="1"/>
  <c r="N41" i="33" s="1"/>
  <c r="O58" i="33"/>
  <c r="O41" i="33"/>
  <c r="L39" i="35"/>
  <c r="M39" i="35"/>
  <c r="N39" i="35"/>
  <c r="J69" i="33"/>
  <c r="J42" i="36"/>
  <c r="N69" i="33"/>
  <c r="O69" i="33"/>
  <c r="L49" i="35"/>
  <c r="M49" i="35"/>
  <c r="N49" i="35"/>
  <c r="J78" i="33"/>
  <c r="N78" i="33" s="1"/>
  <c r="O78" i="33"/>
  <c r="L54" i="35"/>
  <c r="M54" i="35"/>
  <c r="N54" i="35"/>
  <c r="J83" i="33"/>
  <c r="N83" i="33"/>
  <c r="J57" i="36"/>
  <c r="O83" i="33"/>
  <c r="L45" i="35"/>
  <c r="M45" i="35"/>
  <c r="N45" i="35"/>
  <c r="J74" i="33"/>
  <c r="N74" i="33"/>
  <c r="O74" i="33"/>
  <c r="L53" i="35"/>
  <c r="M53" i="35"/>
  <c r="N53" i="35"/>
  <c r="J82" i="33"/>
  <c r="N82" i="33"/>
  <c r="O82" i="33"/>
  <c r="L47" i="35"/>
  <c r="M47" i="35"/>
  <c r="N47" i="35"/>
  <c r="J50" i="36"/>
  <c r="L18" i="35"/>
  <c r="M18" i="35"/>
  <c r="N18" i="35"/>
  <c r="J50" i="33" s="1"/>
  <c r="N50" i="33" s="1"/>
  <c r="O50" i="33"/>
  <c r="L33" i="35"/>
  <c r="M33" i="35"/>
  <c r="N33" i="35"/>
  <c r="J36" i="36" s="1"/>
  <c r="L36" i="35"/>
  <c r="M36" i="35"/>
  <c r="J63" i="33" l="1"/>
  <c r="N63" i="33" s="1"/>
  <c r="N36" i="35"/>
  <c r="J66" i="33" s="1"/>
  <c r="N66" i="33" s="1"/>
  <c r="O63" i="33"/>
  <c r="O66" i="33"/>
  <c r="L11" i="35"/>
  <c r="M11" i="35"/>
  <c r="J39" i="36" l="1"/>
  <c r="N11" i="35"/>
  <c r="J14" i="36" s="1"/>
  <c r="J21" i="36"/>
  <c r="L8" i="35"/>
  <c r="M8" i="35"/>
  <c r="N8" i="35"/>
  <c r="J11" i="36" s="1"/>
  <c r="L21" i="35"/>
  <c r="M21" i="35"/>
  <c r="N21" i="35"/>
  <c r="J52" i="33" s="1"/>
  <c r="N52" i="33" s="1"/>
  <c r="O52" i="33"/>
  <c r="L50" i="35"/>
  <c r="M50" i="35"/>
  <c r="N50" i="35"/>
  <c r="J79" i="33" s="1"/>
  <c r="N79" i="33" s="1"/>
  <c r="J76" i="33"/>
  <c r="N76" i="33" s="1"/>
  <c r="O79" i="33"/>
  <c r="O76" i="33"/>
  <c r="L28" i="35"/>
  <c r="M28" i="35"/>
  <c r="N28" i="35"/>
  <c r="J59" i="33" s="1"/>
  <c r="N59" i="33" s="1"/>
  <c r="J53" i="36"/>
  <c r="O59" i="33"/>
  <c r="L17" i="35"/>
  <c r="M17" i="35"/>
  <c r="N17" i="35"/>
  <c r="J20" i="36" s="1"/>
  <c r="J52" i="36"/>
  <c r="L55" i="35"/>
  <c r="M55" i="35"/>
  <c r="N55" i="35"/>
  <c r="J58" i="36" s="1"/>
  <c r="L24" i="35"/>
  <c r="M24" i="35"/>
  <c r="N24" i="35"/>
  <c r="J27" i="36" s="1"/>
  <c r="L31" i="35"/>
  <c r="M31" i="35"/>
  <c r="J55" i="33" l="1"/>
  <c r="N55" i="33" s="1"/>
  <c r="N31" i="35"/>
  <c r="J62" i="33"/>
  <c r="N62" i="33" s="1"/>
  <c r="J34" i="36"/>
  <c r="O55" i="33"/>
  <c r="O62" i="33"/>
  <c r="L51" i="35"/>
  <c r="M51" i="35"/>
  <c r="N51" i="35"/>
  <c r="J80" i="33" s="1"/>
  <c r="N80" i="33" s="1"/>
  <c r="J48" i="36"/>
  <c r="O80" i="33"/>
  <c r="L20" i="35"/>
  <c r="M20" i="35"/>
  <c r="J54" i="36" l="1"/>
  <c r="N20" i="35"/>
  <c r="J24" i="36"/>
  <c r="J84" i="33"/>
  <c r="J23" i="36"/>
  <c r="N84" i="33"/>
  <c r="O84" i="33"/>
  <c r="L29" i="35"/>
  <c r="M29" i="35"/>
  <c r="N29" i="35"/>
  <c r="J32" i="36" s="1"/>
  <c r="J12" i="36"/>
  <c r="L38" i="35"/>
  <c r="M38" i="35"/>
  <c r="J60" i="33" l="1"/>
  <c r="N60" i="33" s="1"/>
  <c r="N38" i="35"/>
  <c r="J68" i="33" s="1"/>
  <c r="N68" i="33" s="1"/>
  <c r="O60" i="33"/>
  <c r="O68" i="33"/>
  <c r="L23" i="35"/>
  <c r="M23" i="35"/>
  <c r="J41" i="36" l="1"/>
  <c r="N23" i="35"/>
  <c r="J54" i="33"/>
  <c r="N54" i="33" s="1"/>
  <c r="J26" i="36"/>
  <c r="O54" i="33"/>
  <c r="L48" i="35"/>
  <c r="M48" i="35"/>
  <c r="N48" i="35"/>
  <c r="J51" i="36" s="1"/>
  <c r="J43" i="33"/>
  <c r="N43" i="33"/>
  <c r="J56" i="36"/>
  <c r="J49" i="33"/>
  <c r="N49" i="33"/>
  <c r="J48" i="33"/>
  <c r="N48" i="33" s="1"/>
  <c r="J31" i="36"/>
  <c r="J30" i="36"/>
  <c r="O48" i="33"/>
  <c r="O49" i="33"/>
  <c r="O43" i="33"/>
  <c r="L15" i="35"/>
  <c r="M15" i="35"/>
  <c r="J77" i="33" l="1"/>
  <c r="N77" i="33" s="1"/>
  <c r="N15" i="35"/>
  <c r="J47" i="33"/>
  <c r="J18" i="36"/>
  <c r="N47" i="33"/>
  <c r="O77" i="33"/>
  <c r="O47" i="33"/>
  <c r="L30" i="35"/>
  <c r="M30" i="35"/>
  <c r="N30" i="35"/>
  <c r="J61" i="33" s="1"/>
  <c r="N61" i="33" s="1"/>
  <c r="O61" i="33"/>
  <c r="L25" i="35"/>
  <c r="M25" i="35"/>
  <c r="N25" i="35"/>
  <c r="J56" i="33" s="1"/>
  <c r="N56" i="33" s="1"/>
  <c r="O56" i="33"/>
  <c r="L42" i="35"/>
  <c r="M42" i="35"/>
  <c r="N42" i="35"/>
  <c r="J45" i="36" s="1"/>
  <c r="L34" i="35"/>
  <c r="M34" i="35"/>
  <c r="L32" i="35"/>
  <c r="M32" i="35"/>
  <c r="L41" i="35"/>
  <c r="M41" i="35"/>
  <c r="N41" i="35"/>
  <c r="J44" i="36" s="1"/>
  <c r="L12" i="35"/>
  <c r="M12" i="35"/>
  <c r="L13" i="35"/>
  <c r="M13" i="35"/>
  <c r="L52" i="35"/>
  <c r="M52" i="35"/>
  <c r="L22" i="35"/>
  <c r="M22" i="35"/>
  <c r="N22" i="35"/>
  <c r="J53" i="33" s="1"/>
  <c r="N53" i="33" s="1"/>
  <c r="O53" i="33"/>
  <c r="L46" i="35"/>
  <c r="M46" i="35"/>
  <c r="N46" i="35"/>
  <c r="J49" i="36" s="1"/>
  <c r="L10" i="35"/>
  <c r="M10" i="35"/>
  <c r="N13" i="35"/>
  <c r="J45" i="33" s="1"/>
  <c r="N45" i="33" s="1"/>
  <c r="N12" i="35"/>
  <c r="J44" i="33"/>
  <c r="N44" i="33"/>
  <c r="N10" i="35"/>
  <c r="J42" i="33"/>
  <c r="N42" i="33" s="1"/>
  <c r="O45" i="33"/>
  <c r="O42" i="33"/>
  <c r="O44" i="33"/>
  <c r="L14" i="35"/>
  <c r="M14" i="35"/>
  <c r="N14" i="35"/>
  <c r="J46" i="33" s="1"/>
  <c r="N46" i="33" s="1"/>
  <c r="O46" i="33"/>
  <c r="L19" i="35"/>
  <c r="M19" i="35"/>
  <c r="N19" i="35"/>
  <c r="J51" i="33" s="1"/>
  <c r="N51" i="33" s="1"/>
  <c r="O51" i="33"/>
  <c r="L26" i="35"/>
  <c r="M26" i="35"/>
  <c r="N26" i="35"/>
  <c r="J57" i="33" s="1"/>
  <c r="N57" i="33" s="1"/>
  <c r="N34" i="35"/>
  <c r="J64" i="33" s="1"/>
  <c r="N64" i="33" s="1"/>
  <c r="O57" i="33"/>
  <c r="O64" i="33"/>
  <c r="L35" i="35"/>
  <c r="M35" i="35"/>
  <c r="N35" i="35"/>
  <c r="J65" i="33" s="1"/>
  <c r="N65" i="33" s="1"/>
  <c r="O65" i="33"/>
  <c r="L37" i="35"/>
  <c r="M37" i="35"/>
  <c r="N37" i="35"/>
  <c r="J67" i="33" s="1"/>
  <c r="N67" i="33" s="1"/>
  <c r="O67" i="33"/>
  <c r="L40" i="35"/>
  <c r="M40" i="35"/>
  <c r="N40" i="35"/>
  <c r="J71" i="33"/>
  <c r="N71" i="33" s="1"/>
  <c r="J70" i="33"/>
  <c r="N70" i="33" s="1"/>
  <c r="J72" i="33"/>
  <c r="N72" i="33" s="1"/>
  <c r="O70" i="33"/>
  <c r="O71" i="33"/>
  <c r="O72" i="33"/>
  <c r="L43" i="35"/>
  <c r="M43" i="35"/>
  <c r="N43" i="35"/>
  <c r="J73" i="33" s="1"/>
  <c r="N73" i="33" s="1"/>
  <c r="N52" i="35"/>
  <c r="J81" i="33" s="1"/>
  <c r="N81" i="33" s="1"/>
  <c r="J75" i="33"/>
  <c r="N75" i="33"/>
  <c r="O75" i="33"/>
  <c r="O81" i="33"/>
  <c r="O73" i="33"/>
  <c r="P41" i="33"/>
  <c r="J13" i="36"/>
  <c r="J29" i="36"/>
  <c r="J17" i="36"/>
  <c r="L56" i="35"/>
  <c r="M56" i="35"/>
  <c r="J15" i="36"/>
  <c r="L44" i="35"/>
  <c r="M44" i="35"/>
  <c r="J16" i="36"/>
  <c r="J43" i="36"/>
  <c r="J33" i="36"/>
  <c r="N32" i="35"/>
  <c r="J35" i="36"/>
  <c r="J46" i="36"/>
  <c r="N44" i="35"/>
  <c r="J47" i="36"/>
  <c r="J40" i="36"/>
  <c r="J38" i="36"/>
  <c r="J37" i="36"/>
  <c r="J55" i="36"/>
  <c r="J28" i="36"/>
  <c r="J25" i="36"/>
  <c r="J22" i="36"/>
  <c r="N56" i="35"/>
  <c r="J59" i="36" s="1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<sst xmlns="http://schemas.openxmlformats.org/spreadsheetml/2006/main" count="459" uniqueCount="193">
  <si>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</si>
  <si>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</si>
  <si>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</si>
  <si>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</si>
  <si>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</si>
  <si>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</si>
  <si>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</si>
  <si>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</si>
  <si>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</si>
  <si>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</si>
  <si>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</si>
  <si>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</si>
  <si>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</si>
  <si>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</si>
  <si>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</si>
  <si>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</si>
  <si>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</si>
  <si>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</si>
  <si>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</si>
  <si>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</si>
  <si>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</si>
  <si>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</si>
  <si>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</si>
  <si>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</si>
  <si>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</si>
  <si>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</si>
  <si>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</si>
  <si>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</si>
  <si>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</si>
  <si>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</si>
  <si>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</si>
  <si>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</si>
  <si>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</si>
  <si>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</si>
  <si>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</si>
  <si>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</si>
  <si>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</si>
  <si>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</si>
  <si>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</si>
  <si>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 id</t>
  </si>
  <si>
    <t>Instrument</t>
  </si>
  <si>
    <t>start</t>
  </si>
  <si>
    <t>end</t>
  </si>
  <si>
    <t>quote</t>
  </si>
  <si>
    <t>OIS</t>
  </si>
  <si>
    <t>basis</t>
  </si>
  <si>
    <t>β</t>
  </si>
  <si>
    <t>α</t>
  </si>
  <si>
    <t>a</t>
  </si>
  <si>
    <t>b</t>
  </si>
  <si>
    <t>BA</t>
  </si>
  <si>
    <t>1x2F</t>
  </si>
  <si>
    <t>solution</t>
  </si>
  <si>
    <t>inverse</t>
  </si>
  <si>
    <t>error</t>
  </si>
  <si>
    <t>x</t>
  </si>
  <si>
    <t>=</t>
  </si>
  <si>
    <t>Flat</t>
  </si>
  <si>
    <t>γ</t>
  </si>
  <si>
    <t>parallel shift first guess</t>
  </si>
  <si>
    <t>parallel shift monotonicity</t>
  </si>
  <si>
    <t>1M</t>
  </si>
  <si>
    <t>3M</t>
  </si>
  <si>
    <t>6M</t>
  </si>
  <si>
    <t>days</t>
  </si>
  <si>
    <t>1D</t>
  </si>
  <si>
    <t>1W</t>
  </si>
  <si>
    <t>2W</t>
  </si>
  <si>
    <t>3W</t>
  </si>
  <si>
    <t>2M</t>
  </si>
  <si>
    <t>4M</t>
  </si>
  <si>
    <t>5M</t>
  </si>
  <si>
    <t>7M</t>
  </si>
  <si>
    <t>integrated</t>
  </si>
  <si>
    <t>8M</t>
  </si>
  <si>
    <t>instantaneous</t>
  </si>
  <si>
    <t>9M</t>
  </si>
  <si>
    <t>fwd spread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</si>
  <si>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</si>
  <si>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</si>
  <si>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</si>
  <si>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</si>
  <si>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</si>
  <si>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</si>
  <si>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</si>
  <si>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</si>
  <si>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</si>
  <si>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</si>
  <si>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</si>
  <si>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</si>
  <si>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</si>
  <si>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</si>
  <si>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</si>
  <si>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</si>
  <si>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</si>
  <si>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</si>
  <si>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</si>
  <si>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</si>
  <si>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</si>
  <si>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</si>
  <si>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</si>
  <si>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</si>
  <si>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</si>
  <si>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</si>
  <si>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</si>
  <si>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</si>
  <si>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</si>
  <si>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</si>
  <si>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</si>
  <si>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</si>
  <si>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</si>
  <si>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</si>
  <si>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</si>
  <si>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</si>
  <si>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</si>
  <si>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</si>
  <si>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</si>
  <si>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</si>
  <si>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</si>
  <si>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</si>
  <si>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</si>
  <si>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</si>
  <si>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</si>
  <si>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</si>
  <si>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</si>
  <si>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</si>
  <si>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</si>
  <si>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</si>
  <si>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</si>
  <si>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</si>
  <si>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</si>
  <si>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</si>
  <si>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</si>
  <si>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</si>
  <si>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</si>
  <si>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</si>
  <si>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</si>
  <si>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</si>
  <si>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</si>
  <si>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</si>
  <si>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</si>
  <si>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Synt FRA</t>
  </si>
  <si>
    <t>Linear</t>
  </si>
  <si>
    <t>Quadratic</t>
  </si>
  <si>
    <t>EURFUT3MQ4_Quote</t>
  </si>
  <si>
    <t>EURFUT3MU4_Quote</t>
  </si>
  <si>
    <t>Euribor3M LastFixing</t>
  </si>
  <si>
    <t>Instruments</t>
  </si>
  <si>
    <t>Basis</t>
  </si>
  <si>
    <t>FRA 12x24</t>
  </si>
  <si>
    <t>IRS 3Y (vs 12M Euribor)</t>
  </si>
  <si>
    <t>IRS 4Y (vs 12M Euribor)</t>
  </si>
  <si>
    <t>IRS 5Y (vs 12M Euribor)</t>
  </si>
  <si>
    <t>Implied FRA</t>
  </si>
  <si>
    <t>Fixing 12M</t>
  </si>
  <si>
    <t>quadratic</t>
  </si>
  <si>
    <t>linear</t>
  </si>
  <si>
    <t>flat</t>
  </si>
  <si>
    <t>3M market day counter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</si>
  <si>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</si>
  <si>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</si>
  <si>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</si>
  <si>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</si>
  <si>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</si>
  <si>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</si>
  <si>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</si>
  <si>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</si>
  <si>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</si>
  <si>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</si>
  <si>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3M Synthetic Deposits</t>
  </si>
  <si>
    <t>coef 4</t>
  </si>
  <si>
    <t>cubic</t>
  </si>
  <si>
    <t>6M Curve</t>
  </si>
  <si>
    <t>start date</t>
  </si>
  <si>
    <t>maturity date</t>
  </si>
  <si>
    <t>Discounting</t>
  </si>
  <si>
    <t>EURON</t>
  </si>
  <si>
    <t>OIS 6M ON curve</t>
  </si>
  <si>
    <t>6M Instruments</t>
  </si>
  <si>
    <t>3M Curve</t>
  </si>
  <si>
    <t>OIS 3M Curve</t>
  </si>
  <si>
    <t>diff</t>
  </si>
  <si>
    <t>3M Market quote</t>
  </si>
  <si>
    <t xml:space="preserve">OIS 3M </t>
  </si>
  <si>
    <t>Market 6M quote</t>
  </si>
  <si>
    <t>OIS 6M</t>
  </si>
  <si>
    <t>OIS 6M Curve</t>
  </si>
  <si>
    <t xml:space="preserve">   </t>
  </si>
  <si>
    <t>Interpolation</t>
  </si>
  <si>
    <t>6M Synthetic Deposits</t>
  </si>
  <si>
    <t>6M market day counter</t>
  </si>
  <si>
    <t>interp. basis</t>
  </si>
  <si>
    <t>Delta 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</si>
</sst>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E+00"/>
    <numFmt numFmtId="176" formatCode="0.00000000000"/>
    <numFmt numFmtId="177" formatCode="[$-409]d\-mmm\-yy;@"/>
    <numFmt numFmtId="178" formatCode="0.000000000"/>
    <numFmt numFmtId="179" formatCode="ddd\,\ d\-mmm\-yy"/>
    <numFmt numFmtId="180" formatCode="0.E+00"/>
    <numFmt numFmtId="181" formatCode="0.0000E+00"/>
    <numFmt numFmtId="182" formatCode="0.000E+00"/>
  </numFmts>
  <fonts count="30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  <font>
      <sz val="10"/>
      <name val="Courier New"/>
      <family val="3"/>
    </font>
    <font>
      <sz val="10"/>
      <color theme="0"/>
      <name val="Courier New"/>
      <family val="3"/>
    </font>
    <font>
      <sz val="8"/>
      <color theme="0"/>
      <name val="Courier New"/>
      <family val="3"/>
    </font>
    <font>
      <b/>
      <i/>
      <sz val="8"/>
      <name val="Courier New"/>
      <family val="3"/>
    </font>
    <font>
      <sz val="8"/>
      <color theme="0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8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166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7" fontId="8" fillId="0" borderId="0"/>
    <xf numFmtId="165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" fillId="0" borderId="0"/>
    <xf numFmtId="0" fontId="3" fillId="0" borderId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11" fillId="0" borderId="0"/>
    <xf numFmtId="9" fontId="11" fillId="0" borderId="0" applyFont="0" applyFill="0" applyBorder="0" applyAlignment="0" applyProtection="0"/>
    <xf numFmtId="0" fontId="5" fillId="0" borderId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576">
    <xf numFmtId="0" fontId="0" fillId="0" borderId="0" xfId="0"/>
    <xf numFmtId="0" fontId="10" fillId="3" borderId="0" xfId="15" applyFont="1" applyFill="1"/>
    <xf numFmtId="0" fontId="10" fillId="5" borderId="4" xfId="15" applyFont="1" applyFill="1" applyBorder="1"/>
    <xf numFmtId="0" fontId="10" fillId="5" borderId="0" xfId="15" applyFont="1" applyFill="1" applyBorder="1"/>
    <xf numFmtId="0" fontId="10" fillId="5" borderId="5" xfId="15" applyFont="1" applyFill="1" applyBorder="1"/>
    <xf numFmtId="0" fontId="10" fillId="6" borderId="6" xfId="15" applyFont="1" applyFill="1" applyBorder="1" applyAlignment="1">
      <alignment horizontal="right"/>
    </xf>
    <xf numFmtId="0" fontId="10" fillId="5" borderId="6" xfId="15" applyFont="1" applyFill="1" applyBorder="1" applyAlignment="1">
      <alignment horizontal="center"/>
    </xf>
    <xf numFmtId="168" fontId="10" fillId="5" borderId="6" xfId="15" applyNumberFormat="1" applyFont="1" applyFill="1" applyBorder="1" applyAlignment="1">
      <alignment horizontal="center"/>
    </xf>
    <xf numFmtId="0" fontId="10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0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0" fillId="5" borderId="7" xfId="17" applyNumberFormat="1" applyFont="1" applyFill="1" applyBorder="1" applyAlignment="1">
      <alignment horizontal="center"/>
    </xf>
    <xf numFmtId="169" fontId="10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10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0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10" fillId="5" borderId="10" xfId="15" applyFont="1" applyFill="1" applyBorder="1"/>
    <xf numFmtId="0" fontId="10" fillId="5" borderId="11" xfId="15" applyFont="1" applyFill="1" applyBorder="1"/>
    <xf numFmtId="0" fontId="10" fillId="5" borderId="12" xfId="15" applyFont="1" applyFill="1" applyBorder="1"/>
    <xf numFmtId="0" fontId="10" fillId="3" borderId="0" xfId="15" applyFont="1" applyFill="1" applyBorder="1"/>
    <xf numFmtId="0" fontId="10" fillId="5" borderId="0" xfId="0" applyFont="1" applyFill="1" applyBorder="1"/>
    <xf numFmtId="0" fontId="10" fillId="0" borderId="0" xfId="0" applyFont="1"/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169" fontId="10" fillId="0" borderId="21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22" xfId="0" applyFont="1" applyBorder="1"/>
    <xf numFmtId="0" fontId="10" fillId="0" borderId="18" xfId="0" applyFont="1" applyBorder="1"/>
    <xf numFmtId="0" fontId="10" fillId="8" borderId="22" xfId="0" applyFont="1" applyFill="1" applyBorder="1" applyAlignment="1"/>
    <xf numFmtId="171" fontId="10" fillId="8" borderId="23" xfId="0" applyNumberFormat="1" applyFont="1" applyFill="1" applyBorder="1" applyAlignment="1"/>
    <xf numFmtId="171" fontId="10" fillId="8" borderId="18" xfId="0" applyNumberFormat="1" applyFont="1" applyFill="1" applyBorder="1" applyAlignment="1"/>
    <xf numFmtId="172" fontId="10" fillId="8" borderId="22" xfId="0" applyNumberFormat="1" applyFont="1" applyFill="1" applyBorder="1" applyAlignment="1"/>
    <xf numFmtId="172" fontId="10" fillId="8" borderId="23" xfId="17" applyNumberFormat="1" applyFont="1" applyFill="1" applyBorder="1"/>
    <xf numFmtId="172" fontId="10" fillId="8" borderId="18" xfId="0" applyNumberFormat="1" applyFont="1" applyFill="1" applyBorder="1"/>
    <xf numFmtId="0" fontId="10" fillId="8" borderId="0" xfId="0" applyFont="1" applyFill="1"/>
    <xf numFmtId="0" fontId="10" fillId="8" borderId="0" xfId="0" applyFont="1" applyFill="1" applyBorder="1"/>
    <xf numFmtId="0" fontId="10" fillId="8" borderId="0" xfId="0" applyNumberFormat="1" applyFont="1" applyFill="1" applyBorder="1"/>
    <xf numFmtId="2" fontId="10" fillId="8" borderId="0" xfId="0" applyNumberFormat="1" applyFont="1" applyFill="1"/>
    <xf numFmtId="0" fontId="10" fillId="0" borderId="13" xfId="0" applyFont="1" applyFill="1" applyBorder="1"/>
    <xf numFmtId="0" fontId="10" fillId="0" borderId="9" xfId="0" applyFont="1" applyBorder="1"/>
    <xf numFmtId="0" fontId="10" fillId="8" borderId="13" xfId="0" applyFont="1" applyFill="1" applyBorder="1" applyAlignment="1"/>
    <xf numFmtId="171" fontId="10" fillId="8" borderId="0" xfId="0" applyNumberFormat="1" applyFont="1" applyFill="1" applyBorder="1" applyAlignment="1"/>
    <xf numFmtId="171" fontId="10" fillId="8" borderId="9" xfId="0" applyNumberFormat="1" applyFont="1" applyFill="1" applyBorder="1" applyAlignment="1"/>
    <xf numFmtId="172" fontId="10" fillId="8" borderId="13" xfId="0" applyNumberFormat="1" applyFont="1" applyFill="1" applyBorder="1" applyAlignment="1"/>
    <xf numFmtId="172" fontId="10" fillId="8" borderId="0" xfId="17" applyNumberFormat="1" applyFont="1" applyFill="1" applyBorder="1"/>
    <xf numFmtId="172" fontId="10" fillId="8" borderId="9" xfId="0" applyNumberFormat="1" applyFont="1" applyFill="1" applyBorder="1"/>
    <xf numFmtId="172" fontId="10" fillId="8" borderId="0" xfId="0" applyNumberFormat="1" applyFont="1" applyFill="1" applyBorder="1"/>
    <xf numFmtId="0" fontId="10" fillId="0" borderId="13" xfId="0" applyFont="1" applyBorder="1" applyAlignment="1"/>
    <xf numFmtId="171" fontId="10" fillId="0" borderId="0" xfId="0" applyNumberFormat="1" applyFont="1" applyBorder="1" applyAlignment="1"/>
    <xf numFmtId="171" fontId="10" fillId="0" borderId="9" xfId="0" applyNumberFormat="1" applyFont="1" applyBorder="1" applyAlignment="1"/>
    <xf numFmtId="172" fontId="10" fillId="0" borderId="13" xfId="0" applyNumberFormat="1" applyFont="1" applyBorder="1" applyAlignment="1"/>
    <xf numFmtId="172" fontId="10" fillId="0" borderId="0" xfId="17" applyNumberFormat="1" applyFont="1" applyBorder="1"/>
    <xf numFmtId="172" fontId="10" fillId="0" borderId="9" xfId="0" applyNumberFormat="1" applyFont="1" applyBorder="1"/>
    <xf numFmtId="0" fontId="10" fillId="0" borderId="0" xfId="0" applyFont="1" applyBorder="1"/>
    <xf numFmtId="0" fontId="10" fillId="0" borderId="0" xfId="0" applyNumberFormat="1" applyFont="1" applyBorder="1"/>
    <xf numFmtId="2" fontId="10" fillId="0" borderId="0" xfId="0" applyNumberFormat="1" applyFont="1"/>
    <xf numFmtId="0" fontId="10" fillId="0" borderId="14" xfId="0" applyFont="1" applyBorder="1" applyAlignment="1"/>
    <xf numFmtId="172" fontId="10" fillId="0" borderId="13" xfId="17" applyNumberFormat="1" applyFont="1" applyBorder="1" applyAlignment="1"/>
    <xf numFmtId="172" fontId="10" fillId="0" borderId="0" xfId="17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6" fillId="0" borderId="0" xfId="0" applyNumberFormat="1" applyFont="1" applyBorder="1"/>
    <xf numFmtId="0" fontId="10" fillId="8" borderId="0" xfId="0" quotePrefix="1" applyFont="1" applyFill="1" applyBorder="1"/>
    <xf numFmtId="0" fontId="10" fillId="0" borderId="13" xfId="0" applyFont="1" applyBorder="1"/>
    <xf numFmtId="172" fontId="10" fillId="8" borderId="13" xfId="17" applyNumberFormat="1" applyFont="1" applyFill="1" applyBorder="1" applyAlignment="1"/>
    <xf numFmtId="2" fontId="10" fillId="0" borderId="22" xfId="0" applyNumberFormat="1" applyFont="1" applyBorder="1"/>
    <xf numFmtId="2" fontId="10" fillId="0" borderId="13" xfId="0" applyNumberFormat="1" applyFont="1" applyBorder="1"/>
    <xf numFmtId="2" fontId="10" fillId="0" borderId="14" xfId="0" applyNumberFormat="1" applyFont="1" applyBorder="1"/>
    <xf numFmtId="2" fontId="10" fillId="0" borderId="23" xfId="0" applyNumberFormat="1" applyFont="1" applyBorder="1"/>
    <xf numFmtId="2" fontId="10" fillId="0" borderId="0" xfId="0" applyNumberFormat="1" applyFont="1" applyBorder="1"/>
    <xf numFmtId="2" fontId="10" fillId="0" borderId="15" xfId="0" applyNumberFormat="1" applyFont="1" applyBorder="1"/>
    <xf numFmtId="2" fontId="10" fillId="0" borderId="18" xfId="0" applyNumberFormat="1" applyFont="1" applyBorder="1"/>
    <xf numFmtId="2" fontId="10" fillId="0" borderId="9" xfId="0" applyNumberFormat="1" applyFont="1" applyBorder="1"/>
    <xf numFmtId="2" fontId="10" fillId="0" borderId="16" xfId="0" applyNumberFormat="1" applyFont="1" applyBorder="1"/>
    <xf numFmtId="172" fontId="10" fillId="0" borderId="17" xfId="0" applyNumberFormat="1" applyFont="1" applyBorder="1"/>
    <xf numFmtId="172" fontId="10" fillId="0" borderId="8" xfId="0" applyNumberFormat="1" applyFont="1" applyBorder="1"/>
    <xf numFmtId="172" fontId="10" fillId="0" borderId="19" xfId="0" applyNumberFormat="1" applyFont="1" applyBorder="1"/>
    <xf numFmtId="175" fontId="10" fillId="0" borderId="22" xfId="0" applyNumberFormat="1" applyFont="1" applyBorder="1"/>
    <xf numFmtId="175" fontId="10" fillId="0" borderId="23" xfId="0" applyNumberFormat="1" applyFont="1" applyBorder="1"/>
    <xf numFmtId="175" fontId="10" fillId="0" borderId="18" xfId="0" applyNumberFormat="1" applyFont="1" applyBorder="1"/>
    <xf numFmtId="175" fontId="10" fillId="0" borderId="13" xfId="0" applyNumberFormat="1" applyFont="1" applyBorder="1"/>
    <xf numFmtId="175" fontId="10" fillId="0" borderId="0" xfId="0" applyNumberFormat="1" applyFont="1" applyBorder="1"/>
    <xf numFmtId="175" fontId="10" fillId="0" borderId="9" xfId="0" applyNumberFormat="1" applyFont="1" applyBorder="1"/>
    <xf numFmtId="175" fontId="10" fillId="0" borderId="14" xfId="0" applyNumberFormat="1" applyFont="1" applyBorder="1"/>
    <xf numFmtId="175" fontId="10" fillId="0" borderId="15" xfId="0" applyNumberFormat="1" applyFont="1" applyBorder="1"/>
    <xf numFmtId="175" fontId="10" fillId="0" borderId="16" xfId="0" applyNumberFormat="1" applyFont="1" applyBorder="1"/>
    <xf numFmtId="175" fontId="10" fillId="0" borderId="17" xfId="0" applyNumberFormat="1" applyFont="1" applyBorder="1"/>
    <xf numFmtId="175" fontId="10" fillId="0" borderId="8" xfId="0" applyNumberFormat="1" applyFont="1" applyBorder="1"/>
    <xf numFmtId="175" fontId="10" fillId="0" borderId="19" xfId="0" applyNumberFormat="1" applyFont="1" applyBorder="1"/>
    <xf numFmtId="172" fontId="10" fillId="0" borderId="0" xfId="0" applyNumberFormat="1" applyFont="1"/>
    <xf numFmtId="0" fontId="10" fillId="0" borderId="23" xfId="0" applyFont="1" applyBorder="1"/>
    <xf numFmtId="169" fontId="10" fillId="0" borderId="23" xfId="0" applyNumberFormat="1" applyFont="1" applyBorder="1" applyAlignment="1"/>
    <xf numFmtId="172" fontId="10" fillId="0" borderId="23" xfId="0" applyNumberFormat="1" applyFont="1" applyBorder="1" applyAlignment="1"/>
    <xf numFmtId="172" fontId="10" fillId="0" borderId="0" xfId="17" applyNumberFormat="1" applyFont="1"/>
    <xf numFmtId="169" fontId="10" fillId="0" borderId="0" xfId="0" applyNumberFormat="1" applyFont="1" applyBorder="1" applyAlignment="1"/>
    <xf numFmtId="0" fontId="10" fillId="0" borderId="17" xfId="0" applyFont="1" applyBorder="1" applyAlignment="1">
      <alignment horizontal="center"/>
    </xf>
    <xf numFmtId="172" fontId="10" fillId="0" borderId="23" xfId="0" applyNumberFormat="1" applyFont="1" applyBorder="1"/>
    <xf numFmtId="172" fontId="10" fillId="0" borderId="18" xfId="0" applyNumberFormat="1" applyFont="1" applyBorder="1"/>
    <xf numFmtId="172" fontId="10" fillId="0" borderId="20" xfId="0" applyNumberFormat="1" applyFont="1" applyBorder="1"/>
    <xf numFmtId="172" fontId="10" fillId="0" borderId="21" xfId="0" applyNumberFormat="1" applyFont="1" applyBorder="1"/>
    <xf numFmtId="172" fontId="10" fillId="0" borderId="7" xfId="0" applyNumberFormat="1" applyFont="1" applyBorder="1"/>
    <xf numFmtId="0" fontId="10" fillId="0" borderId="8" xfId="0" applyFont="1" applyBorder="1" applyAlignment="1">
      <alignment horizontal="center"/>
    </xf>
    <xf numFmtId="172" fontId="10" fillId="0" borderId="0" xfId="0" applyNumberFormat="1" applyFont="1" applyBorder="1"/>
    <xf numFmtId="0" fontId="10" fillId="0" borderId="6" xfId="0" applyFont="1" applyBorder="1"/>
    <xf numFmtId="0" fontId="10" fillId="0" borderId="22" xfId="0" applyFont="1" applyBorder="1" applyAlignment="1">
      <alignment horizontal="right"/>
    </xf>
    <xf numFmtId="171" fontId="10" fillId="0" borderId="23" xfId="0" applyNumberFormat="1" applyFont="1" applyBorder="1" applyAlignment="1"/>
    <xf numFmtId="171" fontId="10" fillId="0" borderId="18" xfId="0" applyNumberFormat="1" applyFont="1" applyBorder="1"/>
    <xf numFmtId="172" fontId="16" fillId="0" borderId="0" xfId="17" applyNumberFormat="1" applyFont="1" applyBorder="1"/>
    <xf numFmtId="0" fontId="10" fillId="0" borderId="17" xfId="0" applyFont="1" applyBorder="1"/>
    <xf numFmtId="172" fontId="10" fillId="0" borderId="17" xfId="17" applyNumberFormat="1" applyFont="1" applyBorder="1"/>
    <xf numFmtId="172" fontId="10" fillId="0" borderId="13" xfId="0" applyNumberFormat="1" applyFont="1" applyBorder="1"/>
    <xf numFmtId="0" fontId="10" fillId="0" borderId="17" xfId="0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171" fontId="10" fillId="0" borderId="9" xfId="0" applyNumberFormat="1" applyFont="1" applyBorder="1"/>
    <xf numFmtId="0" fontId="10" fillId="0" borderId="8" xfId="0" applyFont="1" applyBorder="1"/>
    <xf numFmtId="172" fontId="10" fillId="0" borderId="8" xfId="17" applyNumberFormat="1" applyFont="1" applyBorder="1"/>
    <xf numFmtId="0" fontId="10" fillId="0" borderId="8" xfId="0" applyFont="1" applyBorder="1" applyAlignment="1">
      <alignment horizontal="right"/>
    </xf>
    <xf numFmtId="0" fontId="10" fillId="0" borderId="14" xfId="0" applyFont="1" applyBorder="1"/>
    <xf numFmtId="0" fontId="10" fillId="0" borderId="15" xfId="0" applyFont="1" applyBorder="1"/>
    <xf numFmtId="0" fontId="10" fillId="0" borderId="14" xfId="0" applyFont="1" applyBorder="1" applyAlignment="1">
      <alignment horizontal="right"/>
    </xf>
    <xf numFmtId="171" fontId="10" fillId="0" borderId="15" xfId="0" applyNumberFormat="1" applyFont="1" applyBorder="1" applyAlignment="1"/>
    <xf numFmtId="171" fontId="10" fillId="0" borderId="16" xfId="0" applyNumberFormat="1" applyFont="1" applyBorder="1"/>
    <xf numFmtId="172" fontId="16" fillId="0" borderId="15" xfId="17" applyNumberFormat="1" applyFont="1" applyBorder="1"/>
    <xf numFmtId="0" fontId="10" fillId="0" borderId="19" xfId="0" applyFont="1" applyBorder="1"/>
    <xf numFmtId="172" fontId="10" fillId="0" borderId="19" xfId="17" applyNumberFormat="1" applyFont="1" applyBorder="1"/>
    <xf numFmtId="172" fontId="10" fillId="0" borderId="14" xfId="0" applyNumberFormat="1" applyFont="1" applyBorder="1"/>
    <xf numFmtId="172" fontId="10" fillId="0" borderId="15" xfId="0" applyNumberFormat="1" applyFont="1" applyBorder="1"/>
    <xf numFmtId="172" fontId="10" fillId="0" borderId="16" xfId="0" applyNumberFormat="1" applyFont="1" applyBorder="1"/>
    <xf numFmtId="0" fontId="10" fillId="0" borderId="19" xfId="0" applyFont="1" applyBorder="1" applyAlignment="1">
      <alignment horizontal="right"/>
    </xf>
    <xf numFmtId="172" fontId="16" fillId="0" borderId="23" xfId="17" applyNumberFormat="1" applyFont="1" applyBorder="1"/>
    <xf numFmtId="172" fontId="16" fillId="9" borderId="17" xfId="17" applyNumberFormat="1" applyFont="1" applyFill="1" applyBorder="1" applyAlignment="1"/>
    <xf numFmtId="172" fontId="16" fillId="9" borderId="8" xfId="17" applyNumberFormat="1" applyFont="1" applyFill="1" applyBorder="1" applyAlignment="1"/>
    <xf numFmtId="172" fontId="16" fillId="9" borderId="13" xfId="17" applyNumberFormat="1" applyFont="1" applyFill="1" applyBorder="1" applyAlignment="1"/>
    <xf numFmtId="172" fontId="16" fillId="9" borderId="18" xfId="17" applyNumberFormat="1" applyFont="1" applyFill="1" applyBorder="1"/>
    <xf numFmtId="172" fontId="16" fillId="9" borderId="9" xfId="17" applyNumberFormat="1" applyFont="1" applyFill="1" applyBorder="1"/>
    <xf numFmtId="0" fontId="10" fillId="0" borderId="13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172" fontId="16" fillId="9" borderId="16" xfId="17" applyNumberFormat="1" applyFont="1" applyFill="1" applyBorder="1"/>
    <xf numFmtId="172" fontId="16" fillId="9" borderId="0" xfId="17" applyNumberFormat="1" applyFont="1" applyFill="1" applyBorder="1"/>
    <xf numFmtId="172" fontId="16" fillId="10" borderId="13" xfId="17" applyNumberFormat="1" applyFont="1" applyFill="1" applyBorder="1" applyAlignment="1">
      <alignment horizontal="left"/>
    </xf>
    <xf numFmtId="172" fontId="16" fillId="10" borderId="0" xfId="17" applyNumberFormat="1" applyFont="1" applyFill="1" applyBorder="1"/>
    <xf numFmtId="172" fontId="16" fillId="10" borderId="13" xfId="17" applyNumberFormat="1" applyFont="1" applyFill="1" applyBorder="1" applyAlignment="1"/>
    <xf numFmtId="172" fontId="16" fillId="10" borderId="0" xfId="17" applyNumberFormat="1" applyFont="1" applyFill="1" applyBorder="1" applyAlignment="1">
      <alignment horizontal="center"/>
    </xf>
    <xf numFmtId="172" fontId="16" fillId="10" borderId="9" xfId="17" applyNumberFormat="1" applyFont="1" applyFill="1" applyBorder="1"/>
    <xf numFmtId="172" fontId="16" fillId="10" borderId="9" xfId="17" applyNumberFormat="1" applyFont="1" applyFill="1" applyBorder="1" applyAlignment="1">
      <alignment horizontal="right"/>
    </xf>
    <xf numFmtId="172" fontId="16" fillId="9" borderId="14" xfId="17" applyNumberFormat="1" applyFont="1" applyFill="1" applyBorder="1" applyAlignment="1"/>
    <xf numFmtId="172" fontId="16" fillId="9" borderId="15" xfId="17" applyNumberFormat="1" applyFont="1" applyFill="1" applyBorder="1"/>
    <xf numFmtId="176" fontId="10" fillId="0" borderId="0" xfId="0" applyNumberFormat="1" applyFont="1"/>
    <xf numFmtId="0" fontId="10" fillId="5" borderId="24" xfId="14" applyFont="1" applyFill="1" applyBorder="1"/>
    <xf numFmtId="0" fontId="10" fillId="5" borderId="25" xfId="14" applyFont="1" applyFill="1" applyBorder="1"/>
    <xf numFmtId="0" fontId="10" fillId="5" borderId="26" xfId="14" applyFont="1" applyFill="1" applyBorder="1"/>
    <xf numFmtId="0" fontId="10" fillId="0" borderId="0" xfId="14" applyFont="1"/>
    <xf numFmtId="0" fontId="10" fillId="5" borderId="24" xfId="20" applyFont="1" applyFill="1" applyBorder="1" applyAlignment="1">
      <alignment horizontal="center"/>
    </xf>
    <xf numFmtId="0" fontId="10" fillId="5" borderId="25" xfId="20" applyFont="1" applyFill="1" applyBorder="1"/>
    <xf numFmtId="0" fontId="10" fillId="5" borderId="25" xfId="20" applyFont="1" applyFill="1" applyBorder="1" applyAlignment="1">
      <alignment horizontal="center"/>
    </xf>
    <xf numFmtId="0" fontId="10" fillId="5" borderId="26" xfId="18" applyFont="1" applyFill="1" applyBorder="1"/>
    <xf numFmtId="0" fontId="11" fillId="0" borderId="0" xfId="14" applyFont="1"/>
    <xf numFmtId="0" fontId="10" fillId="5" borderId="5" xfId="14" applyFont="1" applyFill="1" applyBorder="1" applyAlignment="1">
      <alignment horizontal="center"/>
    </xf>
    <xf numFmtId="0" fontId="10" fillId="5" borderId="4" xfId="20" applyFont="1" applyFill="1" applyBorder="1" applyAlignment="1">
      <alignment horizontal="center"/>
    </xf>
    <xf numFmtId="0" fontId="10" fillId="5" borderId="0" xfId="20" applyFont="1" applyFill="1" applyBorder="1" applyAlignment="1">
      <alignment horizontal="center"/>
    </xf>
    <xf numFmtId="0" fontId="10" fillId="5" borderId="5" xfId="18" applyFont="1" applyFill="1" applyBorder="1"/>
    <xf numFmtId="0" fontId="10" fillId="5" borderId="17" xfId="14" applyNumberFormat="1" applyFont="1" applyFill="1" applyBorder="1" applyAlignment="1"/>
    <xf numFmtId="0" fontId="10" fillId="5" borderId="0" xfId="20" quotePrefix="1" applyFont="1" applyFill="1" applyBorder="1" applyAlignment="1">
      <alignment horizontal="center"/>
    </xf>
    <xf numFmtId="0" fontId="10" fillId="5" borderId="8" xfId="14" applyNumberFormat="1" applyFont="1" applyFill="1" applyBorder="1" applyAlignment="1"/>
    <xf numFmtId="0" fontId="11" fillId="5" borderId="4" xfId="14" applyFont="1" applyFill="1" applyBorder="1" applyAlignment="1">
      <alignment horizontal="center"/>
    </xf>
    <xf numFmtId="0" fontId="11" fillId="5" borderId="5" xfId="14" applyFont="1" applyFill="1" applyBorder="1" applyAlignment="1">
      <alignment horizontal="center"/>
    </xf>
    <xf numFmtId="0" fontId="10" fillId="5" borderId="4" xfId="0" applyFont="1" applyFill="1" applyBorder="1"/>
    <xf numFmtId="0" fontId="10" fillId="5" borderId="0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0" fillId="5" borderId="0" xfId="0" quotePrefix="1" applyFont="1" applyFill="1" applyBorder="1" applyAlignment="1">
      <alignment horizontal="center"/>
    </xf>
    <xf numFmtId="0" fontId="10" fillId="5" borderId="5" xfId="0" applyFont="1" applyFill="1" applyBorder="1"/>
    <xf numFmtId="0" fontId="10" fillId="5" borderId="10" xfId="0" applyFont="1" applyFill="1" applyBorder="1"/>
    <xf numFmtId="0" fontId="10" fillId="5" borderId="11" xfId="0" applyFont="1" applyFill="1" applyBorder="1"/>
    <xf numFmtId="0" fontId="10" fillId="5" borderId="12" xfId="0" applyFont="1" applyFill="1" applyBorder="1"/>
    <xf numFmtId="0" fontId="4" fillId="5" borderId="5" xfId="14" applyFont="1" applyFill="1" applyBorder="1"/>
    <xf numFmtId="0" fontId="11" fillId="5" borderId="10" xfId="14" applyFont="1" applyFill="1" applyBorder="1" applyAlignment="1">
      <alignment horizontal="center"/>
    </xf>
    <xf numFmtId="0" fontId="4" fillId="5" borderId="12" xfId="14" applyFont="1" applyFill="1" applyBorder="1"/>
    <xf numFmtId="0" fontId="17" fillId="10" borderId="21" xfId="8" applyFont="1" applyFill="1" applyBorder="1" applyAlignment="1">
      <alignment horizontal="center" vertical="center" wrapText="1"/>
    </xf>
    <xf numFmtId="0" fontId="17" fillId="10" borderId="7" xfId="8" applyFont="1" applyFill="1" applyBorder="1" applyAlignment="1">
      <alignment horizontal="center" vertical="center" wrapText="1"/>
    </xf>
    <xf numFmtId="0" fontId="10" fillId="0" borderId="0" xfId="8" applyFont="1"/>
    <xf numFmtId="0" fontId="17" fillId="5" borderId="14" xfId="8" applyFont="1" applyFill="1" applyBorder="1" applyAlignment="1">
      <alignment vertical="center" textRotation="90"/>
    </xf>
    <xf numFmtId="0" fontId="10" fillId="5" borderId="15" xfId="8" applyNumberFormat="1" applyFont="1" applyFill="1" applyBorder="1" applyAlignment="1"/>
    <xf numFmtId="0" fontId="10" fillId="5" borderId="15" xfId="8" applyFont="1" applyFill="1" applyBorder="1" applyAlignment="1"/>
    <xf numFmtId="172" fontId="10" fillId="5" borderId="15" xfId="11" applyNumberFormat="1" applyFont="1" applyFill="1" applyBorder="1" applyAlignment="1">
      <alignment horizontal="right"/>
    </xf>
    <xf numFmtId="0" fontId="10" fillId="5" borderId="15" xfId="8" applyFont="1" applyFill="1" applyBorder="1" applyAlignment="1">
      <alignment horizontal="center"/>
    </xf>
    <xf numFmtId="169" fontId="10" fillId="5" borderId="15" xfId="8" applyNumberFormat="1" applyFont="1" applyFill="1" applyBorder="1" applyAlignment="1">
      <alignment horizontal="right"/>
    </xf>
    <xf numFmtId="169" fontId="10" fillId="5" borderId="16" xfId="8" applyNumberFormat="1" applyFont="1" applyFill="1" applyBorder="1" applyAlignment="1">
      <alignment horizontal="right"/>
    </xf>
    <xf numFmtId="0" fontId="10" fillId="5" borderId="20" xfId="8" applyNumberFormat="1" applyFont="1" applyFill="1" applyBorder="1" applyAlignment="1"/>
    <xf numFmtId="0" fontId="10" fillId="5" borderId="21" xfId="8" applyNumberFormat="1" applyFont="1" applyFill="1" applyBorder="1" applyAlignment="1"/>
    <xf numFmtId="172" fontId="10" fillId="5" borderId="21" xfId="11" applyNumberFormat="1" applyFont="1" applyFill="1" applyBorder="1" applyAlignment="1">
      <alignment horizontal="right"/>
    </xf>
    <xf numFmtId="0" fontId="10" fillId="5" borderId="21" xfId="8" applyFont="1" applyFill="1" applyBorder="1" applyAlignment="1">
      <alignment horizontal="center"/>
    </xf>
    <xf numFmtId="169" fontId="10" fillId="5" borderId="21" xfId="8" applyNumberFormat="1" applyFont="1" applyFill="1" applyBorder="1" applyAlignment="1">
      <alignment horizontal="right"/>
    </xf>
    <xf numFmtId="169" fontId="10" fillId="5" borderId="7" xfId="8" applyNumberFormat="1" applyFont="1" applyFill="1" applyBorder="1" applyAlignment="1">
      <alignment horizontal="right"/>
    </xf>
    <xf numFmtId="172" fontId="10" fillId="0" borderId="0" xfId="8" applyNumberFormat="1" applyFont="1"/>
    <xf numFmtId="0" fontId="10" fillId="5" borderId="22" xfId="8" applyNumberFormat="1" applyFont="1" applyFill="1" applyBorder="1" applyAlignment="1"/>
    <xf numFmtId="0" fontId="10" fillId="5" borderId="23" xfId="8" applyNumberFormat="1" applyFont="1" applyFill="1" applyBorder="1" applyAlignment="1"/>
    <xf numFmtId="0" fontId="10" fillId="5" borderId="23" xfId="8" applyFont="1" applyFill="1" applyBorder="1" applyAlignment="1"/>
    <xf numFmtId="172" fontId="10" fillId="5" borderId="23" xfId="11" applyNumberFormat="1" applyFont="1" applyFill="1" applyBorder="1" applyAlignment="1">
      <alignment horizontal="right"/>
    </xf>
    <xf numFmtId="0" fontId="10" fillId="5" borderId="23" xfId="8" applyFont="1" applyFill="1" applyBorder="1" applyAlignment="1">
      <alignment horizontal="center"/>
    </xf>
    <xf numFmtId="169" fontId="10" fillId="5" borderId="23" xfId="8" applyNumberFormat="1" applyFont="1" applyFill="1" applyBorder="1" applyAlignment="1">
      <alignment horizontal="right"/>
    </xf>
    <xf numFmtId="169" fontId="10" fillId="5" borderId="18" xfId="8" applyNumberFormat="1" applyFont="1" applyFill="1" applyBorder="1" applyAlignment="1">
      <alignment horizontal="right"/>
    </xf>
    <xf numFmtId="0" fontId="10" fillId="5" borderId="13" xfId="8" applyNumberFormat="1" applyFont="1" applyFill="1" applyBorder="1" applyAlignment="1"/>
    <xf numFmtId="0" fontId="10" fillId="5" borderId="0" xfId="8" applyNumberFormat="1" applyFont="1" applyFill="1" applyBorder="1" applyAlignment="1"/>
    <xf numFmtId="0" fontId="10" fillId="5" borderId="0" xfId="8" applyFont="1" applyFill="1" applyBorder="1" applyAlignment="1"/>
    <xf numFmtId="172" fontId="10" fillId="5" borderId="0" xfId="11" applyNumberFormat="1" applyFont="1" applyFill="1" applyBorder="1" applyAlignment="1">
      <alignment horizontal="right"/>
    </xf>
    <xf numFmtId="0" fontId="10" fillId="5" borderId="0" xfId="8" applyFont="1" applyFill="1" applyBorder="1" applyAlignment="1">
      <alignment horizontal="center"/>
    </xf>
    <xf numFmtId="169" fontId="10" fillId="5" borderId="0" xfId="8" applyNumberFormat="1" applyFont="1" applyFill="1" applyBorder="1" applyAlignment="1">
      <alignment horizontal="right"/>
    </xf>
    <xf numFmtId="169" fontId="10" fillId="5" borderId="9" xfId="8" applyNumberFormat="1" applyFont="1" applyFill="1" applyBorder="1" applyAlignment="1">
      <alignment horizontal="right"/>
    </xf>
    <xf numFmtId="0" fontId="10" fillId="5" borderId="14" xfId="8" applyNumberFormat="1" applyFont="1" applyFill="1" applyBorder="1" applyAlignment="1"/>
    <xf numFmtId="0" fontId="10" fillId="0" borderId="0" xfId="8" applyFont="1" applyAlignment="1">
      <alignment horizontal="left"/>
    </xf>
    <xf numFmtId="0" fontId="17" fillId="10" borderId="20" xfId="8" applyFont="1" applyFill="1" applyBorder="1" applyAlignment="1">
      <alignment horizontal="center" vertical="center" wrapText="1"/>
    </xf>
    <xf numFmtId="0" fontId="10" fillId="0" borderId="0" xfId="8" applyFont="1" applyAlignment="1">
      <alignment horizontal="center" vertical="center" wrapText="1"/>
    </xf>
    <xf numFmtId="0" fontId="10" fillId="9" borderId="20" xfId="8" applyFont="1" applyFill="1" applyBorder="1"/>
    <xf numFmtId="0" fontId="10" fillId="9" borderId="21" xfId="8" applyFont="1" applyFill="1" applyBorder="1"/>
    <xf numFmtId="171" fontId="10" fillId="9" borderId="7" xfId="8" applyNumberFormat="1" applyFont="1" applyFill="1" applyBorder="1"/>
    <xf numFmtId="171" fontId="10" fillId="5" borderId="9" xfId="8" applyNumberFormat="1" applyFont="1" applyFill="1" applyBorder="1" applyAlignment="1"/>
    <xf numFmtId="172" fontId="10" fillId="0" borderId="0" xfId="11" applyNumberFormat="1" applyFont="1"/>
    <xf numFmtId="171" fontId="10" fillId="0" borderId="0" xfId="8" applyNumberFormat="1" applyFont="1"/>
    <xf numFmtId="0" fontId="10" fillId="5" borderId="13" xfId="8" applyFont="1" applyFill="1" applyBorder="1" applyAlignment="1"/>
    <xf numFmtId="172" fontId="10" fillId="5" borderId="0" xfId="8" applyNumberFormat="1" applyFont="1" applyFill="1" applyBorder="1" applyAlignment="1"/>
    <xf numFmtId="171" fontId="10" fillId="5" borderId="0" xfId="8" applyNumberFormat="1" applyFont="1" applyFill="1" applyBorder="1" applyAlignment="1"/>
    <xf numFmtId="0" fontId="10" fillId="5" borderId="14" xfId="8" applyFont="1" applyFill="1" applyBorder="1" applyAlignment="1"/>
    <xf numFmtId="172" fontId="10" fillId="5" borderId="15" xfId="8" applyNumberFormat="1" applyFont="1" applyFill="1" applyBorder="1" applyAlignment="1"/>
    <xf numFmtId="171" fontId="10" fillId="5" borderId="15" xfId="8" applyNumberFormat="1" applyFont="1" applyFill="1" applyBorder="1" applyAlignment="1"/>
    <xf numFmtId="171" fontId="10" fillId="5" borderId="16" xfId="8" applyNumberFormat="1" applyFont="1" applyFill="1" applyBorder="1" applyAlignment="1"/>
    <xf numFmtId="0" fontId="10" fillId="5" borderId="0" xfId="19" quotePrefix="1" applyFont="1" applyFill="1" applyBorder="1" applyAlignment="1">
      <alignment horizontal="center"/>
    </xf>
    <xf numFmtId="0" fontId="10" fillId="5" borderId="0" xfId="19" applyFont="1" applyFill="1" applyBorder="1" applyAlignment="1">
      <alignment horizontal="center"/>
    </xf>
    <xf numFmtId="0" fontId="10" fillId="11" borderId="4" xfId="15" applyFont="1" applyFill="1" applyBorder="1"/>
    <xf numFmtId="0" fontId="10" fillId="11" borderId="0" xfId="15" applyFont="1" applyFill="1" applyBorder="1" applyAlignment="1">
      <alignment horizontal="right"/>
    </xf>
    <xf numFmtId="171" fontId="10" fillId="11" borderId="0" xfId="17" applyNumberFormat="1" applyFont="1" applyFill="1" applyBorder="1" applyAlignment="1">
      <alignment horizontal="center"/>
    </xf>
    <xf numFmtId="0" fontId="10" fillId="11" borderId="0" xfId="15" applyFont="1" applyFill="1" applyBorder="1"/>
    <xf numFmtId="0" fontId="10" fillId="11" borderId="5" xfId="15" applyFont="1" applyFill="1" applyBorder="1"/>
    <xf numFmtId="168" fontId="11" fillId="5" borderId="6" xfId="15" applyNumberFormat="1" applyFont="1" applyFill="1" applyBorder="1" applyAlignment="1">
      <alignment horizontal="center"/>
    </xf>
    <xf numFmtId="1" fontId="10" fillId="5" borderId="6" xfId="15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0" fontId="10" fillId="6" borderId="6" xfId="15" applyFont="1" applyFill="1" applyBorder="1" applyAlignment="1">
      <alignment horizontal="right" vertical="center"/>
    </xf>
    <xf numFmtId="169" fontId="10" fillId="12" borderId="6" xfId="11" applyNumberFormat="1" applyFont="1" applyFill="1" applyBorder="1" applyAlignment="1">
      <alignment horizontal="center"/>
    </xf>
    <xf numFmtId="0" fontId="10" fillId="5" borderId="6" xfId="0" applyNumberFormat="1" applyFont="1" applyFill="1" applyBorder="1" applyAlignment="1">
      <alignment horizontal="center"/>
    </xf>
    <xf numFmtId="169" fontId="10" fillId="5" borderId="17" xfId="0" applyNumberFormat="1" applyFont="1" applyFill="1" applyBorder="1" applyAlignment="1">
      <alignment horizontal="right"/>
    </xf>
    <xf numFmtId="178" fontId="10" fillId="5" borderId="18" xfId="0" applyNumberFormat="1" applyFont="1" applyFill="1" applyBorder="1" applyAlignment="1">
      <alignment horizontal="center"/>
    </xf>
    <xf numFmtId="169" fontId="10" fillId="5" borderId="19" xfId="0" applyNumberFormat="1" applyFont="1" applyFill="1" applyBorder="1" applyAlignment="1">
      <alignment horizontal="right"/>
    </xf>
    <xf numFmtId="0" fontId="10" fillId="5" borderId="16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right"/>
    </xf>
    <xf numFmtId="179" fontId="10" fillId="7" borderId="18" xfId="0" quotePrefix="1" applyNumberFormat="1" applyFont="1" applyFill="1" applyBorder="1" applyAlignment="1">
      <alignment horizontal="center"/>
    </xf>
    <xf numFmtId="0" fontId="17" fillId="6" borderId="19" xfId="0" applyFont="1" applyFill="1" applyBorder="1" applyAlignment="1">
      <alignment horizontal="right"/>
    </xf>
    <xf numFmtId="1" fontId="16" fillId="7" borderId="16" xfId="0" applyNumberFormat="1" applyFont="1" applyFill="1" applyBorder="1" applyAlignment="1">
      <alignment horizontal="left"/>
    </xf>
    <xf numFmtId="0" fontId="20" fillId="5" borderId="11" xfId="14" applyFont="1" applyFill="1" applyBorder="1" applyAlignment="1"/>
    <xf numFmtId="0" fontId="11" fillId="5" borderId="11" xfId="14" applyNumberFormat="1" applyFont="1" applyFill="1" applyBorder="1" applyAlignment="1"/>
    <xf numFmtId="0" fontId="10" fillId="11" borderId="15" xfId="8" applyFont="1" applyFill="1" applyBorder="1"/>
    <xf numFmtId="0" fontId="10" fillId="11" borderId="21" xfId="8" applyFont="1" applyFill="1" applyBorder="1"/>
    <xf numFmtId="0" fontId="10" fillId="11" borderId="23" xfId="8" applyFont="1" applyFill="1" applyBorder="1"/>
    <xf numFmtId="0" fontId="10" fillId="11" borderId="0" xfId="8" applyFont="1" applyFill="1" applyBorder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1" fontId="10" fillId="0" borderId="17" xfId="0" applyNumberFormat="1" applyFont="1" applyBorder="1"/>
    <xf numFmtId="0" fontId="10" fillId="7" borderId="30" xfId="14" applyNumberFormat="1" applyFont="1" applyFill="1" applyBorder="1" applyAlignment="1" applyProtection="1"/>
    <xf numFmtId="0" fontId="10" fillId="5" borderId="32" xfId="14" applyNumberFormat="1" applyFont="1" applyFill="1" applyBorder="1" applyAlignment="1"/>
    <xf numFmtId="172" fontId="17" fillId="0" borderId="29" xfId="21" applyNumberFormat="1" applyFont="1" applyFill="1" applyBorder="1" applyAlignment="1">
      <alignment horizontal="center" vertical="center" wrapText="1"/>
    </xf>
    <xf numFmtId="173" fontId="17" fillId="0" borderId="30" xfId="21" applyNumberFormat="1" applyFont="1" applyFill="1" applyBorder="1" applyAlignment="1">
      <alignment horizontal="center" vertical="center" wrapText="1"/>
    </xf>
    <xf numFmtId="0" fontId="10" fillId="0" borderId="4" xfId="21" applyNumberFormat="1" applyFont="1" applyFill="1" applyBorder="1" applyAlignment="1">
      <alignment vertical="center"/>
    </xf>
    <xf numFmtId="172" fontId="10" fillId="0" borderId="5" xfId="21" quotePrefix="1" applyNumberFormat="1" applyFont="1" applyFill="1" applyBorder="1" applyAlignment="1"/>
    <xf numFmtId="0" fontId="10" fillId="0" borderId="34" xfId="21" applyNumberFormat="1" applyFont="1" applyFill="1" applyBorder="1" applyAlignment="1">
      <alignment vertical="center"/>
    </xf>
    <xf numFmtId="172" fontId="10" fillId="0" borderId="35" xfId="21" quotePrefix="1" applyNumberFormat="1" applyFont="1" applyFill="1" applyBorder="1" applyAlignment="1"/>
    <xf numFmtId="0" fontId="10" fillId="0" borderId="10" xfId="21" applyNumberFormat="1" applyFont="1" applyFill="1" applyBorder="1" applyAlignment="1">
      <alignment vertical="center"/>
    </xf>
    <xf numFmtId="172" fontId="10" fillId="0" borderId="12" xfId="21" quotePrefix="1" applyNumberFormat="1" applyFont="1" applyFill="1" applyBorder="1" applyAlignment="1"/>
    <xf numFmtId="172" fontId="17" fillId="0" borderId="27" xfId="21" applyNumberFormat="1" applyFont="1" applyFill="1" applyBorder="1" applyAlignment="1">
      <alignment horizontal="center" vertical="center" wrapText="1"/>
    </xf>
    <xf numFmtId="172" fontId="10" fillId="0" borderId="36" xfId="21" applyNumberFormat="1" applyFont="1" applyBorder="1" applyAlignment="1"/>
    <xf numFmtId="172" fontId="10" fillId="0" borderId="37" xfId="21" applyNumberFormat="1" applyFont="1" applyBorder="1" applyAlignment="1"/>
    <xf numFmtId="172" fontId="10" fillId="0" borderId="38" xfId="21" applyNumberFormat="1" applyFont="1" applyBorder="1" applyAlignment="1"/>
    <xf numFmtId="172" fontId="17" fillId="0" borderId="30" xfId="21" applyNumberFormat="1" applyFont="1" applyFill="1" applyBorder="1" applyAlignment="1">
      <alignment horizontal="center" vertical="center" wrapText="1"/>
    </xf>
    <xf numFmtId="172" fontId="10" fillId="0" borderId="4" xfId="21" applyNumberFormat="1" applyFont="1" applyFill="1" applyBorder="1" applyAlignment="1"/>
    <xf numFmtId="172" fontId="10" fillId="0" borderId="5" xfId="21" applyNumberFormat="1" applyFont="1" applyFill="1" applyBorder="1" applyAlignment="1"/>
    <xf numFmtId="172" fontId="10" fillId="0" borderId="34" xfId="21" applyNumberFormat="1" applyFont="1" applyFill="1" applyBorder="1" applyAlignment="1"/>
    <xf numFmtId="172" fontId="10" fillId="0" borderId="35" xfId="21" applyNumberFormat="1" applyFont="1" applyFill="1" applyBorder="1" applyAlignment="1"/>
    <xf numFmtId="172" fontId="10" fillId="0" borderId="10" xfId="21" applyNumberFormat="1" applyFont="1" applyFill="1" applyBorder="1" applyAlignment="1"/>
    <xf numFmtId="172" fontId="10" fillId="0" borderId="12" xfId="21" applyNumberFormat="1" applyFont="1" applyFill="1" applyBorder="1" applyAlignment="1"/>
    <xf numFmtId="0" fontId="10" fillId="0" borderId="4" xfId="21" applyNumberFormat="1" applyFont="1" applyFill="1" applyBorder="1" applyAlignment="1"/>
    <xf numFmtId="0" fontId="10" fillId="0" borderId="34" xfId="21" applyNumberFormat="1" applyFont="1" applyFill="1" applyBorder="1" applyAlignment="1"/>
    <xf numFmtId="0" fontId="10" fillId="0" borderId="10" xfId="21" applyNumberFormat="1" applyFont="1" applyFill="1" applyBorder="1" applyAlignment="1"/>
    <xf numFmtId="0" fontId="10" fillId="5" borderId="36" xfId="20" applyFont="1" applyFill="1" applyBorder="1" applyAlignment="1">
      <alignment horizontal="center"/>
    </xf>
    <xf numFmtId="0" fontId="10" fillId="5" borderId="36" xfId="20" quotePrefix="1" applyFont="1" applyFill="1" applyBorder="1" applyAlignment="1">
      <alignment horizontal="center"/>
    </xf>
    <xf numFmtId="0" fontId="10" fillId="0" borderId="24" xfId="21" applyNumberFormat="1" applyFont="1" applyFill="1" applyBorder="1" applyAlignment="1"/>
    <xf numFmtId="172" fontId="10" fillId="0" borderId="26" xfId="21" quotePrefix="1" applyNumberFormat="1" applyFont="1" applyFill="1" applyBorder="1" applyAlignment="1"/>
    <xf numFmtId="172" fontId="10" fillId="0" borderId="39" xfId="21" applyNumberFormat="1" applyFont="1" applyBorder="1" applyAlignment="1"/>
    <xf numFmtId="172" fontId="10" fillId="0" borderId="24" xfId="21" applyNumberFormat="1" applyFont="1" applyFill="1" applyBorder="1" applyAlignment="1"/>
    <xf numFmtId="172" fontId="10" fillId="0" borderId="26" xfId="21" applyNumberFormat="1" applyFont="1" applyFill="1" applyBorder="1" applyAlignment="1"/>
    <xf numFmtId="0" fontId="10" fillId="0" borderId="24" xfId="21" applyNumberFormat="1" applyFont="1" applyFill="1" applyBorder="1" applyAlignment="1">
      <alignment horizontal="left"/>
    </xf>
    <xf numFmtId="0" fontId="10" fillId="0" borderId="4" xfId="21" applyNumberFormat="1" applyFont="1" applyFill="1" applyBorder="1" applyAlignment="1">
      <alignment horizontal="left"/>
    </xf>
    <xf numFmtId="0" fontId="10" fillId="0" borderId="34" xfId="21" applyNumberFormat="1" applyFont="1" applyFill="1" applyBorder="1" applyAlignment="1">
      <alignment horizontal="left"/>
    </xf>
    <xf numFmtId="0" fontId="10" fillId="0" borderId="4" xfId="19" applyFont="1" applyBorder="1" applyAlignment="1">
      <alignment horizontal="left"/>
    </xf>
    <xf numFmtId="172" fontId="10" fillId="0" borderId="5" xfId="19" quotePrefix="1" applyNumberFormat="1" applyFont="1" applyFill="1" applyBorder="1"/>
    <xf numFmtId="0" fontId="10" fillId="0" borderId="10" xfId="19" applyFont="1" applyBorder="1" applyAlignment="1">
      <alignment horizontal="left"/>
    </xf>
    <xf numFmtId="172" fontId="10" fillId="0" borderId="12" xfId="19" quotePrefix="1" applyNumberFormat="1" applyFont="1" applyFill="1" applyBorder="1"/>
    <xf numFmtId="172" fontId="10" fillId="0" borderId="36" xfId="11" applyNumberFormat="1" applyFont="1" applyBorder="1" applyAlignment="1"/>
    <xf numFmtId="172" fontId="10" fillId="0" borderId="38" xfId="11" applyNumberFormat="1" applyFont="1" applyBorder="1" applyAlignment="1"/>
    <xf numFmtId="172" fontId="10" fillId="0" borderId="4" xfId="11" applyNumberFormat="1" applyFont="1" applyBorder="1"/>
    <xf numFmtId="172" fontId="10" fillId="0" borderId="5" xfId="11" applyNumberFormat="1" applyFont="1" applyFill="1" applyBorder="1" applyAlignment="1"/>
    <xf numFmtId="0" fontId="10" fillId="11" borderId="43" xfId="14" applyFont="1" applyFill="1" applyBorder="1"/>
    <xf numFmtId="0" fontId="10" fillId="11" borderId="44" xfId="14" applyFont="1" applyFill="1" applyBorder="1"/>
    <xf numFmtId="0" fontId="10" fillId="5" borderId="45" xfId="14" applyFont="1" applyFill="1" applyBorder="1" applyAlignment="1">
      <alignment horizontal="left"/>
    </xf>
    <xf numFmtId="0" fontId="10" fillId="5" borderId="20" xfId="14" applyFont="1" applyFill="1" applyBorder="1" applyAlignment="1">
      <alignment horizontal="left"/>
    </xf>
    <xf numFmtId="177" fontId="10" fillId="7" borderId="41" xfId="14" applyNumberFormat="1" applyFont="1" applyFill="1" applyBorder="1" applyAlignment="1" applyProtection="1">
      <alignment horizontal="left"/>
    </xf>
    <xf numFmtId="177" fontId="10" fillId="7" borderId="5" xfId="14" applyNumberFormat="1" applyFont="1" applyFill="1" applyBorder="1" applyAlignment="1" applyProtection="1">
      <alignment horizontal="left"/>
    </xf>
    <xf numFmtId="177" fontId="14" fillId="7" borderId="5" xfId="14" applyNumberFormat="1" applyFont="1" applyFill="1" applyBorder="1" applyAlignment="1" applyProtection="1">
      <alignment horizontal="left"/>
    </xf>
    <xf numFmtId="177" fontId="14" fillId="7" borderId="12" xfId="14" applyNumberFormat="1" applyFont="1" applyFill="1" applyBorder="1" applyAlignment="1" applyProtection="1">
      <alignment horizontal="left"/>
    </xf>
    <xf numFmtId="0" fontId="17" fillId="5" borderId="24" xfId="14" applyFont="1" applyFill="1" applyBorder="1" applyAlignment="1"/>
    <xf numFmtId="0" fontId="10" fillId="5" borderId="28" xfId="14" applyNumberFormat="1" applyFont="1" applyFill="1" applyBorder="1" applyAlignment="1"/>
    <xf numFmtId="0" fontId="10" fillId="5" borderId="26" xfId="14" applyNumberFormat="1" applyFont="1" applyFill="1" applyBorder="1" applyAlignment="1"/>
    <xf numFmtId="0" fontId="17" fillId="5" borderId="4" xfId="14" applyFont="1" applyFill="1" applyBorder="1" applyAlignment="1"/>
    <xf numFmtId="0" fontId="10" fillId="5" borderId="5" xfId="14" applyNumberFormat="1" applyFont="1" applyFill="1" applyBorder="1" applyAlignment="1"/>
    <xf numFmtId="0" fontId="10" fillId="5" borderId="31" xfId="14" applyNumberFormat="1" applyFont="1" applyFill="1" applyBorder="1" applyAlignment="1"/>
    <xf numFmtId="0" fontId="17" fillId="5" borderId="10" xfId="14" applyFont="1" applyFill="1" applyBorder="1" applyAlignment="1"/>
    <xf numFmtId="0" fontId="10" fillId="5" borderId="33" xfId="14" applyNumberFormat="1" applyFont="1" applyFill="1" applyBorder="1" applyAlignment="1"/>
    <xf numFmtId="177" fontId="10" fillId="7" borderId="12" xfId="14" applyNumberFormat="1" applyFont="1" applyFill="1" applyBorder="1" applyAlignment="1" applyProtection="1">
      <alignment horizontal="left"/>
    </xf>
    <xf numFmtId="0" fontId="19" fillId="5" borderId="28" xfId="14" applyFont="1" applyFill="1" applyBorder="1" applyAlignment="1">
      <alignment horizontal="left"/>
    </xf>
    <xf numFmtId="0" fontId="10" fillId="7" borderId="28" xfId="14" applyNumberFormat="1" applyFont="1" applyFill="1" applyBorder="1" applyAlignment="1" applyProtection="1">
      <alignment horizontal="center"/>
    </xf>
    <xf numFmtId="0" fontId="17" fillId="5" borderId="46" xfId="14" applyFont="1" applyFill="1" applyBorder="1" applyAlignment="1"/>
    <xf numFmtId="0" fontId="10" fillId="5" borderId="27" xfId="14" applyFont="1" applyFill="1" applyBorder="1" applyAlignment="1">
      <alignment horizontal="left"/>
    </xf>
    <xf numFmtId="0" fontId="10" fillId="5" borderId="47" xfId="14" applyFont="1" applyFill="1" applyBorder="1" applyAlignment="1">
      <alignment horizontal="left"/>
    </xf>
    <xf numFmtId="0" fontId="10" fillId="5" borderId="36" xfId="14" applyFont="1" applyFill="1" applyBorder="1" applyAlignment="1">
      <alignment horizontal="center"/>
    </xf>
    <xf numFmtId="0" fontId="10" fillId="5" borderId="38" xfId="14" applyFont="1" applyFill="1" applyBorder="1" applyAlignment="1">
      <alignment horizontal="center"/>
    </xf>
    <xf numFmtId="0" fontId="17" fillId="5" borderId="48" xfId="14" applyFont="1" applyFill="1" applyBorder="1" applyAlignment="1"/>
    <xf numFmtId="0" fontId="17" fillId="5" borderId="40" xfId="14" applyFont="1" applyFill="1" applyBorder="1" applyAlignment="1"/>
    <xf numFmtId="0" fontId="10" fillId="5" borderId="12" xfId="14" applyNumberFormat="1" applyFont="1" applyFill="1" applyBorder="1" applyAlignment="1"/>
    <xf numFmtId="0" fontId="11" fillId="0" borderId="36" xfId="14" applyFont="1" applyBorder="1"/>
    <xf numFmtId="0" fontId="11" fillId="5" borderId="36" xfId="14" applyFont="1" applyFill="1" applyBorder="1" applyAlignment="1">
      <alignment horizontal="center"/>
    </xf>
    <xf numFmtId="0" fontId="11" fillId="5" borderId="38" xfId="14" applyFont="1" applyFill="1" applyBorder="1" applyAlignment="1">
      <alignment horizontal="center"/>
    </xf>
    <xf numFmtId="0" fontId="10" fillId="5" borderId="41" xfId="14" applyNumberFormat="1" applyFont="1" applyFill="1" applyBorder="1" applyAlignment="1"/>
    <xf numFmtId="0" fontId="17" fillId="5" borderId="42" xfId="14" applyFont="1" applyFill="1" applyBorder="1" applyAlignment="1"/>
    <xf numFmtId="0" fontId="11" fillId="5" borderId="36" xfId="14" applyFont="1" applyFill="1" applyBorder="1"/>
    <xf numFmtId="0" fontId="4" fillId="5" borderId="36" xfId="14" applyFont="1" applyFill="1" applyBorder="1"/>
    <xf numFmtId="0" fontId="11" fillId="5" borderId="37" xfId="14" applyFont="1" applyFill="1" applyBorder="1" applyAlignment="1">
      <alignment horizontal="center"/>
    </xf>
    <xf numFmtId="0" fontId="10" fillId="0" borderId="10" xfId="21" applyNumberFormat="1" applyFont="1" applyFill="1" applyBorder="1" applyAlignment="1">
      <alignment horizontal="left"/>
    </xf>
    <xf numFmtId="172" fontId="10" fillId="0" borderId="10" xfId="11" applyNumberFormat="1" applyFont="1" applyBorder="1"/>
    <xf numFmtId="172" fontId="10" fillId="0" borderId="12" xfId="11" applyNumberFormat="1" applyFont="1" applyFill="1" applyBorder="1" applyAlignment="1"/>
    <xf numFmtId="0" fontId="10" fillId="0" borderId="36" xfId="20" applyFont="1" applyFill="1" applyBorder="1" applyAlignment="1">
      <alignment horizontal="center"/>
    </xf>
    <xf numFmtId="0" fontId="10" fillId="5" borderId="5" xfId="18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1" fillId="5" borderId="0" xfId="17" applyNumberFormat="1" applyFont="1" applyFill="1" applyBorder="1" applyAlignment="1">
      <alignment horizontal="center" vertical="center"/>
    </xf>
    <xf numFmtId="0" fontId="12" fillId="4" borderId="1" xfId="16" applyFont="1" applyFill="1" applyBorder="1" applyAlignment="1">
      <alignment horizontal="centerContinuous" vertical="center"/>
    </xf>
    <xf numFmtId="0" fontId="12" fillId="4" borderId="49" xfId="16" applyFont="1" applyFill="1" applyBorder="1" applyAlignment="1">
      <alignment horizontal="centerContinuous" vertical="center"/>
    </xf>
    <xf numFmtId="171" fontId="10" fillId="5" borderId="6" xfId="15" applyNumberFormat="1" applyFont="1" applyFill="1" applyBorder="1" applyAlignment="1">
      <alignment horizontal="center"/>
    </xf>
    <xf numFmtId="1" fontId="10" fillId="5" borderId="6" xfId="17" applyNumberFormat="1" applyFont="1" applyFill="1" applyBorder="1" applyAlignment="1">
      <alignment horizontal="center"/>
    </xf>
    <xf numFmtId="1" fontId="10" fillId="5" borderId="7" xfId="17" applyNumberFormat="1" applyFont="1" applyFill="1" applyBorder="1" applyAlignment="1">
      <alignment horizontal="center"/>
    </xf>
    <xf numFmtId="0" fontId="10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0" fontId="16" fillId="5" borderId="11" xfId="15" applyFont="1" applyFill="1" applyBorder="1" applyAlignment="1">
      <alignment horizontal="right" vertical="center"/>
    </xf>
    <xf numFmtId="0" fontId="13" fillId="4" borderId="1" xfId="14" applyFont="1" applyFill="1" applyBorder="1" applyAlignment="1">
      <alignment horizontal="centerContinuous"/>
    </xf>
    <xf numFmtId="0" fontId="13" fillId="4" borderId="2" xfId="14" applyFont="1" applyFill="1" applyBorder="1" applyAlignment="1">
      <alignment horizontal="centerContinuous"/>
    </xf>
    <xf numFmtId="0" fontId="13" fillId="4" borderId="3" xfId="14" applyFont="1" applyFill="1" applyBorder="1" applyAlignment="1">
      <alignment horizontal="centerContinuous"/>
    </xf>
    <xf numFmtId="180" fontId="10" fillId="0" borderId="0" xfId="8" applyNumberFormat="1" applyFont="1"/>
    <xf numFmtId="0" fontId="10" fillId="13" borderId="0" xfId="8" applyFont="1" applyFill="1"/>
    <xf numFmtId="171" fontId="10" fillId="13" borderId="0" xfId="8" applyNumberFormat="1" applyFont="1" applyFill="1"/>
    <xf numFmtId="172" fontId="10" fillId="13" borderId="0" xfId="11" applyNumberFormat="1" applyFont="1" applyFill="1"/>
    <xf numFmtId="172" fontId="10" fillId="13" borderId="0" xfId="8" applyNumberFormat="1" applyFont="1" applyFill="1"/>
    <xf numFmtId="0" fontId="10" fillId="14" borderId="0" xfId="8" applyFont="1" applyFill="1"/>
    <xf numFmtId="171" fontId="10" fillId="14" borderId="0" xfId="8" applyNumberFormat="1" applyFont="1" applyFill="1"/>
    <xf numFmtId="172" fontId="10" fillId="14" borderId="0" xfId="11" applyNumberFormat="1" applyFont="1" applyFill="1"/>
    <xf numFmtId="172" fontId="10" fillId="14" borderId="0" xfId="8" applyNumberFormat="1" applyFont="1" applyFill="1"/>
    <xf numFmtId="171" fontId="10" fillId="0" borderId="0" xfId="0" applyNumberFormat="1" applyFont="1"/>
    <xf numFmtId="0" fontId="23" fillId="15" borderId="51" xfId="0" applyFont="1" applyFill="1" applyBorder="1" applyAlignment="1">
      <alignment horizontal="center" vertical="center" wrapText="1"/>
    </xf>
    <xf numFmtId="0" fontId="23" fillId="15" borderId="52" xfId="0" applyFont="1" applyFill="1" applyBorder="1" applyAlignment="1">
      <alignment horizontal="center" vertical="center" wrapText="1"/>
    </xf>
    <xf numFmtId="0" fontId="10" fillId="11" borderId="0" xfId="0" applyFont="1" applyFill="1"/>
    <xf numFmtId="0" fontId="22" fillId="11" borderId="48" xfId="0" applyFont="1" applyFill="1" applyBorder="1"/>
    <xf numFmtId="171" fontId="22" fillId="11" borderId="28" xfId="0" applyNumberFormat="1" applyFont="1" applyFill="1" applyBorder="1"/>
    <xf numFmtId="172" fontId="22" fillId="11" borderId="28" xfId="0" applyNumberFormat="1" applyFont="1" applyFill="1" applyBorder="1"/>
    <xf numFmtId="172" fontId="22" fillId="11" borderId="50" xfId="0" applyNumberFormat="1" applyFont="1" applyFill="1" applyBorder="1"/>
    <xf numFmtId="0" fontId="22" fillId="11" borderId="40" xfId="0" applyFont="1" applyFill="1" applyBorder="1"/>
    <xf numFmtId="171" fontId="22" fillId="11" borderId="8" xfId="0" applyNumberFormat="1" applyFont="1" applyFill="1" applyBorder="1"/>
    <xf numFmtId="172" fontId="22" fillId="11" borderId="8" xfId="0" applyNumberFormat="1" applyFont="1" applyFill="1" applyBorder="1"/>
    <xf numFmtId="172" fontId="22" fillId="11" borderId="31" xfId="0" applyNumberFormat="1" applyFont="1" applyFill="1" applyBorder="1"/>
    <xf numFmtId="0" fontId="22" fillId="11" borderId="46" xfId="0" applyFont="1" applyFill="1" applyBorder="1"/>
    <xf numFmtId="171" fontId="22" fillId="11" borderId="32" xfId="0" applyNumberFormat="1" applyFont="1" applyFill="1" applyBorder="1"/>
    <xf numFmtId="172" fontId="22" fillId="11" borderId="32" xfId="0" applyNumberFormat="1" applyFont="1" applyFill="1" applyBorder="1"/>
    <xf numFmtId="172" fontId="22" fillId="11" borderId="33" xfId="0" applyNumberFormat="1" applyFont="1" applyFill="1" applyBorder="1"/>
    <xf numFmtId="0" fontId="24" fillId="15" borderId="51" xfId="23" applyFont="1" applyFill="1" applyBorder="1" applyAlignment="1">
      <alignment horizontal="center" vertical="center" wrapText="1"/>
    </xf>
    <xf numFmtId="0" fontId="24" fillId="15" borderId="52" xfId="23" applyFont="1" applyFill="1" applyBorder="1" applyAlignment="1">
      <alignment horizontal="center" vertical="center" wrapText="1"/>
    </xf>
    <xf numFmtId="0" fontId="24" fillId="15" borderId="53" xfId="23" applyFont="1" applyFill="1" applyBorder="1" applyAlignment="1">
      <alignment horizontal="center" vertical="center" wrapText="1"/>
    </xf>
    <xf numFmtId="171" fontId="10" fillId="11" borderId="40" xfId="23" applyNumberFormat="1" applyFont="1" applyFill="1" applyBorder="1"/>
    <xf numFmtId="171" fontId="10" fillId="11" borderId="8" xfId="23" applyNumberFormat="1" applyFont="1" applyFill="1" applyBorder="1"/>
    <xf numFmtId="172" fontId="10" fillId="11" borderId="8" xfId="23" applyNumberFormat="1" applyFont="1" applyFill="1" applyBorder="1" applyAlignment="1">
      <alignment horizontal="center" vertical="center"/>
    </xf>
    <xf numFmtId="172" fontId="10" fillId="11" borderId="31" xfId="23" applyNumberFormat="1" applyFont="1" applyFill="1" applyBorder="1" applyAlignment="1">
      <alignment horizontal="center" vertical="center"/>
    </xf>
    <xf numFmtId="0" fontId="10" fillId="11" borderId="4" xfId="8" applyFont="1" applyFill="1" applyBorder="1"/>
    <xf numFmtId="0" fontId="10" fillId="11" borderId="5" xfId="8" applyFont="1" applyFill="1" applyBorder="1"/>
    <xf numFmtId="0" fontId="10" fillId="11" borderId="10" xfId="8" applyFont="1" applyFill="1" applyBorder="1"/>
    <xf numFmtId="0" fontId="25" fillId="11" borderId="38" xfId="8" applyFont="1" applyFill="1" applyBorder="1"/>
    <xf numFmtId="0" fontId="25" fillId="11" borderId="4" xfId="8" applyFont="1" applyFill="1" applyBorder="1"/>
    <xf numFmtId="171" fontId="25" fillId="11" borderId="42" xfId="23" applyNumberFormat="1" applyFont="1" applyFill="1" applyBorder="1"/>
    <xf numFmtId="171" fontId="25" fillId="11" borderId="19" xfId="23" applyNumberFormat="1" applyFont="1" applyFill="1" applyBorder="1"/>
    <xf numFmtId="172" fontId="25" fillId="11" borderId="19" xfId="23" applyNumberFormat="1" applyFont="1" applyFill="1" applyBorder="1" applyAlignment="1">
      <alignment horizontal="center" vertical="center"/>
    </xf>
    <xf numFmtId="172" fontId="25" fillId="11" borderId="54" xfId="23" applyNumberFormat="1" applyFont="1" applyFill="1" applyBorder="1" applyAlignment="1">
      <alignment horizontal="center" vertical="center"/>
    </xf>
    <xf numFmtId="171" fontId="25" fillId="11" borderId="40" xfId="23" applyNumberFormat="1" applyFont="1" applyFill="1" applyBorder="1"/>
    <xf numFmtId="171" fontId="25" fillId="11" borderId="8" xfId="23" applyNumberFormat="1" applyFont="1" applyFill="1" applyBorder="1"/>
    <xf numFmtId="172" fontId="25" fillId="11" borderId="8" xfId="23" applyNumberFormat="1" applyFont="1" applyFill="1" applyBorder="1" applyAlignment="1">
      <alignment horizontal="center" vertical="center"/>
    </xf>
    <xf numFmtId="172" fontId="25" fillId="11" borderId="31" xfId="23" applyNumberFormat="1" applyFont="1" applyFill="1" applyBorder="1" applyAlignment="1">
      <alignment horizontal="center" vertical="center"/>
    </xf>
    <xf numFmtId="171" fontId="25" fillId="11" borderId="48" xfId="23" applyNumberFormat="1" applyFont="1" applyFill="1" applyBorder="1"/>
    <xf numFmtId="171" fontId="25" fillId="11" borderId="28" xfId="23" applyNumberFormat="1" applyFont="1" applyFill="1" applyBorder="1"/>
    <xf numFmtId="172" fontId="25" fillId="11" borderId="28" xfId="23" applyNumberFormat="1" applyFont="1" applyFill="1" applyBorder="1" applyAlignment="1">
      <alignment horizontal="center" vertical="center"/>
    </xf>
    <xf numFmtId="172" fontId="25" fillId="11" borderId="50" xfId="23" applyNumberFormat="1" applyFont="1" applyFill="1" applyBorder="1" applyAlignment="1">
      <alignment horizontal="center" vertical="center"/>
    </xf>
    <xf numFmtId="0" fontId="24" fillId="15" borderId="55" xfId="23" applyFont="1" applyFill="1" applyBorder="1" applyAlignment="1">
      <alignment horizontal="center" vertical="center" wrapText="1"/>
    </xf>
    <xf numFmtId="172" fontId="25" fillId="11" borderId="28" xfId="23" applyNumberFormat="1" applyFont="1" applyFill="1" applyBorder="1"/>
    <xf numFmtId="172" fontId="10" fillId="11" borderId="8" xfId="23" applyNumberFormat="1" applyFont="1" applyFill="1" applyBorder="1"/>
    <xf numFmtId="172" fontId="25" fillId="11" borderId="8" xfId="23" applyNumberFormat="1" applyFont="1" applyFill="1" applyBorder="1"/>
    <xf numFmtId="172" fontId="25" fillId="11" borderId="19" xfId="23" applyNumberFormat="1" applyFont="1" applyFill="1" applyBorder="1"/>
    <xf numFmtId="0" fontId="10" fillId="11" borderId="13" xfId="8" applyFont="1" applyFill="1" applyBorder="1"/>
    <xf numFmtId="180" fontId="10" fillId="11" borderId="0" xfId="8" applyNumberFormat="1" applyFont="1" applyFill="1" applyBorder="1"/>
    <xf numFmtId="172" fontId="10" fillId="11" borderId="0" xfId="0" applyNumberFormat="1" applyFont="1" applyFill="1"/>
    <xf numFmtId="171" fontId="10" fillId="11" borderId="32" xfId="23" applyNumberFormat="1" applyFont="1" applyFill="1" applyBorder="1"/>
    <xf numFmtId="172" fontId="10" fillId="11" borderId="32" xfId="23" applyNumberFormat="1" applyFont="1" applyFill="1" applyBorder="1"/>
    <xf numFmtId="172" fontId="10" fillId="11" borderId="33" xfId="23" applyNumberFormat="1" applyFont="1" applyFill="1" applyBorder="1" applyAlignment="1">
      <alignment horizontal="center" vertical="center"/>
    </xf>
    <xf numFmtId="0" fontId="24" fillId="15" borderId="49" xfId="23" applyFont="1" applyFill="1" applyBorder="1" applyAlignment="1">
      <alignment horizontal="center" vertical="center" wrapText="1"/>
    </xf>
    <xf numFmtId="172" fontId="10" fillId="11" borderId="36" xfId="23" applyNumberFormat="1" applyFont="1" applyFill="1" applyBorder="1" applyAlignment="1">
      <alignment horizontal="center" vertical="center"/>
    </xf>
    <xf numFmtId="172" fontId="10" fillId="11" borderId="38" xfId="23" applyNumberFormat="1" applyFont="1" applyFill="1" applyBorder="1" applyAlignment="1">
      <alignment horizontal="center" vertical="center"/>
    </xf>
    <xf numFmtId="0" fontId="0" fillId="11" borderId="0" xfId="0" applyFill="1"/>
    <xf numFmtId="0" fontId="10" fillId="11" borderId="40" xfId="0" applyFont="1" applyFill="1" applyBorder="1" applyAlignment="1"/>
    <xf numFmtId="171" fontId="10" fillId="11" borderId="8" xfId="0" applyNumberFormat="1" applyFont="1" applyFill="1" applyBorder="1" applyAlignment="1"/>
    <xf numFmtId="172" fontId="10" fillId="11" borderId="8" xfId="0" applyNumberFormat="1" applyFont="1" applyFill="1" applyBorder="1" applyAlignment="1"/>
    <xf numFmtId="172" fontId="10" fillId="11" borderId="8" xfId="17" applyNumberFormat="1" applyFont="1" applyFill="1" applyBorder="1"/>
    <xf numFmtId="172" fontId="10" fillId="11" borderId="31" xfId="0" applyNumberFormat="1" applyFont="1" applyFill="1" applyBorder="1"/>
    <xf numFmtId="0" fontId="10" fillId="11" borderId="46" xfId="0" applyFont="1" applyFill="1" applyBorder="1" applyAlignment="1"/>
    <xf numFmtId="171" fontId="10" fillId="11" borderId="32" xfId="0" applyNumberFormat="1" applyFont="1" applyFill="1" applyBorder="1" applyAlignment="1"/>
    <xf numFmtId="172" fontId="10" fillId="11" borderId="32" xfId="0" applyNumberFormat="1" applyFont="1" applyFill="1" applyBorder="1" applyAlignment="1"/>
    <xf numFmtId="172" fontId="10" fillId="11" borderId="32" xfId="17" applyNumberFormat="1" applyFont="1" applyFill="1" applyBorder="1"/>
    <xf numFmtId="172" fontId="10" fillId="11" borderId="33" xfId="0" applyNumberFormat="1" applyFont="1" applyFill="1" applyBorder="1"/>
    <xf numFmtId="0" fontId="24" fillId="15" borderId="56" xfId="0" applyFont="1" applyFill="1" applyBorder="1" applyAlignment="1">
      <alignment horizontal="center" vertical="center" wrapText="1"/>
    </xf>
    <xf numFmtId="0" fontId="24" fillId="15" borderId="57" xfId="0" applyFont="1" applyFill="1" applyBorder="1" applyAlignment="1">
      <alignment horizontal="center" vertical="center" wrapText="1"/>
    </xf>
    <xf numFmtId="0" fontId="24" fillId="15" borderId="58" xfId="0" applyFont="1" applyFill="1" applyBorder="1" applyAlignment="1">
      <alignment horizontal="center" vertical="center" wrapText="1"/>
    </xf>
    <xf numFmtId="2" fontId="10" fillId="11" borderId="0" xfId="0" applyNumberFormat="1" applyFont="1" applyFill="1" applyBorder="1"/>
    <xf numFmtId="0" fontId="10" fillId="11" borderId="0" xfId="0" applyFont="1" applyFill="1" applyBorder="1" applyAlignment="1">
      <alignment horizontal="center"/>
    </xf>
    <xf numFmtId="172" fontId="10" fillId="11" borderId="0" xfId="0" applyNumberFormat="1" applyFont="1" applyFill="1" applyBorder="1"/>
    <xf numFmtId="0" fontId="10" fillId="11" borderId="0" xfId="0" applyFont="1" applyFill="1" applyBorder="1"/>
    <xf numFmtId="2" fontId="0" fillId="11" borderId="0" xfId="0" applyNumberFormat="1" applyFill="1"/>
    <xf numFmtId="0" fontId="0" fillId="11" borderId="0" xfId="0" applyFill="1" applyAlignment="1">
      <alignment horizontal="center"/>
    </xf>
    <xf numFmtId="171" fontId="10" fillId="11" borderId="0" xfId="0" applyNumberFormat="1" applyFont="1" applyFill="1"/>
    <xf numFmtId="181" fontId="0" fillId="11" borderId="0" xfId="0" applyNumberFormat="1" applyFill="1"/>
    <xf numFmtId="0" fontId="10" fillId="11" borderId="0" xfId="0" applyFont="1" applyFill="1" applyAlignment="1">
      <alignment horizontal="center" vertical="center"/>
    </xf>
    <xf numFmtId="2" fontId="10" fillId="11" borderId="13" xfId="0" applyNumberFormat="1" applyFont="1" applyFill="1" applyBorder="1" applyAlignment="1">
      <alignment horizontal="center" vertical="center"/>
    </xf>
    <xf numFmtId="2" fontId="10" fillId="11" borderId="0" xfId="0" applyNumberFormat="1" applyFont="1" applyFill="1" applyBorder="1" applyAlignment="1">
      <alignment horizontal="center" vertical="center"/>
    </xf>
    <xf numFmtId="2" fontId="10" fillId="11" borderId="9" xfId="0" applyNumberFormat="1" applyFont="1" applyFill="1" applyBorder="1" applyAlignment="1">
      <alignment horizontal="center" vertical="center"/>
    </xf>
    <xf numFmtId="2" fontId="10" fillId="11" borderId="8" xfId="0" applyNumberFormat="1" applyFont="1" applyFill="1" applyBorder="1" applyAlignment="1">
      <alignment horizontal="center" vertical="center"/>
    </xf>
    <xf numFmtId="172" fontId="10" fillId="11" borderId="8" xfId="0" applyNumberFormat="1" applyFont="1" applyFill="1" applyBorder="1" applyAlignment="1">
      <alignment vertical="center"/>
    </xf>
    <xf numFmtId="2" fontId="10" fillId="11" borderId="0" xfId="0" applyNumberFormat="1" applyFont="1" applyFill="1" applyBorder="1" applyAlignment="1"/>
    <xf numFmtId="0" fontId="10" fillId="11" borderId="0" xfId="0" applyFont="1" applyFill="1" applyAlignment="1">
      <alignment vertical="center"/>
    </xf>
    <xf numFmtId="0" fontId="10" fillId="11" borderId="0" xfId="0" applyFont="1" applyFill="1" applyAlignment="1"/>
    <xf numFmtId="0" fontId="24" fillId="15" borderId="45" xfId="0" applyFont="1" applyFill="1" applyBorder="1" applyAlignment="1">
      <alignment horizontal="center" vertical="center" wrapText="1"/>
    </xf>
    <xf numFmtId="172" fontId="10" fillId="11" borderId="13" xfId="17" applyNumberFormat="1" applyFont="1" applyFill="1" applyBorder="1"/>
    <xf numFmtId="172" fontId="10" fillId="11" borderId="59" xfId="17" applyNumberFormat="1" applyFont="1" applyFill="1" applyBorder="1"/>
    <xf numFmtId="171" fontId="10" fillId="11" borderId="58" xfId="0" applyNumberFormat="1" applyFont="1" applyFill="1" applyBorder="1" applyAlignment="1"/>
    <xf numFmtId="0" fontId="24" fillId="15" borderId="60" xfId="0" applyFont="1" applyFill="1" applyBorder="1" applyAlignment="1">
      <alignment horizontal="center" vertical="center" wrapText="1"/>
    </xf>
    <xf numFmtId="171" fontId="10" fillId="11" borderId="61" xfId="0" applyNumberFormat="1" applyFont="1" applyFill="1" applyBorder="1" applyAlignment="1"/>
    <xf numFmtId="0" fontId="24" fillId="15" borderId="62" xfId="0" applyFont="1" applyFill="1" applyBorder="1" applyAlignment="1">
      <alignment horizontal="center" vertical="center" wrapText="1"/>
    </xf>
    <xf numFmtId="171" fontId="10" fillId="11" borderId="63" xfId="0" applyNumberFormat="1" applyFont="1" applyFill="1" applyBorder="1" applyAlignment="1"/>
    <xf numFmtId="0" fontId="26" fillId="15" borderId="57" xfId="0" applyFont="1" applyFill="1" applyBorder="1" applyAlignment="1">
      <alignment horizontal="center" vertical="center" wrapText="1"/>
    </xf>
    <xf numFmtId="0" fontId="26" fillId="15" borderId="45" xfId="0" applyFont="1" applyFill="1" applyBorder="1" applyAlignment="1">
      <alignment horizontal="center" vertical="center" wrapText="1"/>
    </xf>
    <xf numFmtId="0" fontId="26" fillId="15" borderId="58" xfId="0" applyFont="1" applyFill="1" applyBorder="1" applyAlignment="1">
      <alignment horizontal="center" vertical="center" wrapText="1"/>
    </xf>
    <xf numFmtId="0" fontId="0" fillId="11" borderId="17" xfId="0" applyFill="1" applyBorder="1"/>
    <xf numFmtId="0" fontId="0" fillId="11" borderId="65" xfId="0" applyFill="1" applyBorder="1"/>
    <xf numFmtId="0" fontId="0" fillId="11" borderId="8" xfId="0" applyFill="1" applyBorder="1"/>
    <xf numFmtId="0" fontId="0" fillId="11" borderId="31" xfId="0" applyFill="1" applyBorder="1"/>
    <xf numFmtId="0" fontId="0" fillId="11" borderId="32" xfId="0" applyFill="1" applyBorder="1"/>
    <xf numFmtId="0" fontId="0" fillId="11" borderId="33" xfId="0" applyFill="1" applyBorder="1"/>
    <xf numFmtId="171" fontId="10" fillId="11" borderId="64" xfId="0" applyNumberFormat="1" applyFont="1" applyFill="1" applyBorder="1"/>
    <xf numFmtId="172" fontId="10" fillId="11" borderId="17" xfId="0" applyNumberFormat="1" applyFont="1" applyFill="1" applyBorder="1"/>
    <xf numFmtId="172" fontId="10" fillId="11" borderId="65" xfId="0" applyNumberFormat="1" applyFont="1" applyFill="1" applyBorder="1"/>
    <xf numFmtId="171" fontId="10" fillId="11" borderId="40" xfId="0" applyNumberFormat="1" applyFont="1" applyFill="1" applyBorder="1"/>
    <xf numFmtId="172" fontId="10" fillId="11" borderId="8" xfId="0" applyNumberFormat="1" applyFont="1" applyFill="1" applyBorder="1"/>
    <xf numFmtId="171" fontId="10" fillId="11" borderId="46" xfId="0" applyNumberFormat="1" applyFont="1" applyFill="1" applyBorder="1"/>
    <xf numFmtId="172" fontId="10" fillId="11" borderId="32" xfId="0" applyNumberFormat="1" applyFont="1" applyFill="1" applyBorder="1"/>
    <xf numFmtId="0" fontId="27" fillId="11" borderId="0" xfId="0" applyFont="1" applyFill="1" applyAlignment="1">
      <alignment horizontal="center" vertical="center"/>
    </xf>
    <xf numFmtId="0" fontId="28" fillId="11" borderId="0" xfId="0" applyFont="1" applyFill="1" applyAlignment="1">
      <alignment horizontal="center" vertical="center"/>
    </xf>
    <xf numFmtId="172" fontId="10" fillId="11" borderId="31" xfId="17" applyNumberFormat="1" applyFont="1" applyFill="1" applyBorder="1"/>
    <xf numFmtId="172" fontId="10" fillId="11" borderId="33" xfId="17" applyNumberFormat="1" applyFont="1" applyFill="1" applyBorder="1"/>
    <xf numFmtId="173" fontId="0" fillId="11" borderId="64" xfId="0" applyNumberFormat="1" applyFill="1" applyBorder="1"/>
    <xf numFmtId="173" fontId="0" fillId="11" borderId="17" xfId="0" applyNumberFormat="1" applyFill="1" applyBorder="1"/>
    <xf numFmtId="173" fontId="0" fillId="11" borderId="40" xfId="0" applyNumberFormat="1" applyFill="1" applyBorder="1"/>
    <xf numFmtId="173" fontId="0" fillId="11" borderId="8" xfId="0" applyNumberFormat="1" applyFill="1" applyBorder="1"/>
    <xf numFmtId="173" fontId="0" fillId="11" borderId="46" xfId="0" applyNumberFormat="1" applyFill="1" applyBorder="1"/>
    <xf numFmtId="173" fontId="0" fillId="11" borderId="32" xfId="0" applyNumberFormat="1" applyFill="1" applyBorder="1"/>
    <xf numFmtId="172" fontId="10" fillId="11" borderId="17" xfId="17" applyNumberFormat="1" applyFont="1" applyFill="1" applyBorder="1"/>
    <xf numFmtId="171" fontId="10" fillId="11" borderId="17" xfId="0" applyNumberFormat="1" applyFont="1" applyFill="1" applyBorder="1" applyAlignment="1"/>
    <xf numFmtId="171" fontId="10" fillId="11" borderId="17" xfId="0" applyNumberFormat="1" applyFont="1" applyFill="1" applyBorder="1"/>
    <xf numFmtId="0" fontId="10" fillId="11" borderId="17" xfId="0" applyFont="1" applyFill="1" applyBorder="1"/>
    <xf numFmtId="171" fontId="10" fillId="11" borderId="8" xfId="0" applyNumberFormat="1" applyFont="1" applyFill="1" applyBorder="1"/>
    <xf numFmtId="0" fontId="10" fillId="11" borderId="8" xfId="0" applyFont="1" applyFill="1" applyBorder="1"/>
    <xf numFmtId="171" fontId="10" fillId="11" borderId="32" xfId="0" applyNumberFormat="1" applyFont="1" applyFill="1" applyBorder="1"/>
    <xf numFmtId="0" fontId="10" fillId="11" borderId="32" xfId="0" applyFont="1" applyFill="1" applyBorder="1"/>
    <xf numFmtId="0" fontId="24" fillId="15" borderId="48" xfId="0" applyFont="1" applyFill="1" applyBorder="1" applyAlignment="1">
      <alignment horizontal="center" vertical="center" wrapText="1"/>
    </xf>
    <xf numFmtId="0" fontId="24" fillId="15" borderId="28" xfId="0" applyFont="1" applyFill="1" applyBorder="1" applyAlignment="1">
      <alignment horizontal="center" vertical="center" wrapText="1"/>
    </xf>
    <xf numFmtId="0" fontId="26" fillId="15" borderId="28" xfId="0" applyFont="1" applyFill="1" applyBorder="1" applyAlignment="1">
      <alignment horizontal="center" vertical="center" wrapText="1"/>
    </xf>
    <xf numFmtId="0" fontId="26" fillId="15" borderId="50" xfId="0" applyFont="1" applyFill="1" applyBorder="1" applyAlignment="1">
      <alignment horizontal="center" vertical="center" wrapText="1"/>
    </xf>
    <xf numFmtId="172" fontId="0" fillId="11" borderId="28" xfId="0" applyNumberFormat="1" applyFill="1" applyBorder="1"/>
    <xf numFmtId="172" fontId="0" fillId="11" borderId="50" xfId="0" applyNumberFormat="1" applyFill="1" applyBorder="1"/>
    <xf numFmtId="172" fontId="0" fillId="11" borderId="8" xfId="0" applyNumberFormat="1" applyFill="1" applyBorder="1"/>
    <xf numFmtId="172" fontId="0" fillId="11" borderId="31" xfId="0" applyNumberFormat="1" applyFill="1" applyBorder="1"/>
    <xf numFmtId="172" fontId="0" fillId="11" borderId="32" xfId="0" applyNumberFormat="1" applyFill="1" applyBorder="1"/>
    <xf numFmtId="172" fontId="0" fillId="11" borderId="33" xfId="0" applyNumberFormat="1" applyFill="1" applyBorder="1"/>
    <xf numFmtId="171" fontId="10" fillId="11" borderId="28" xfId="0" applyNumberFormat="1" applyFont="1" applyFill="1" applyBorder="1" applyAlignment="1"/>
    <xf numFmtId="171" fontId="10" fillId="11" borderId="28" xfId="0" applyNumberFormat="1" applyFont="1" applyFill="1" applyBorder="1"/>
    <xf numFmtId="0" fontId="10" fillId="11" borderId="0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26" fillId="15" borderId="1" xfId="0" applyFont="1" applyFill="1" applyBorder="1" applyAlignment="1">
      <alignment horizontal="centerContinuous" vertical="center" wrapText="1"/>
    </xf>
    <xf numFmtId="0" fontId="26" fillId="15" borderId="2" xfId="0" applyFont="1" applyFill="1" applyBorder="1" applyAlignment="1">
      <alignment horizontal="centerContinuous" vertical="center" wrapText="1"/>
    </xf>
    <xf numFmtId="0" fontId="26" fillId="15" borderId="3" xfId="0" applyFont="1" applyFill="1" applyBorder="1" applyAlignment="1">
      <alignment horizontal="centerContinuous" vertical="center" wrapText="1"/>
    </xf>
    <xf numFmtId="0" fontId="10" fillId="11" borderId="48" xfId="0" applyFont="1" applyFill="1" applyBorder="1" applyAlignment="1">
      <alignment horizontal="center" vertical="center"/>
    </xf>
    <xf numFmtId="0" fontId="10" fillId="11" borderId="40" xfId="0" applyFont="1" applyFill="1" applyBorder="1" applyAlignment="1">
      <alignment horizontal="center" vertical="center"/>
    </xf>
    <xf numFmtId="0" fontId="10" fillId="11" borderId="46" xfId="0" applyFont="1" applyFill="1" applyBorder="1" applyAlignment="1">
      <alignment horizontal="center" vertical="center"/>
    </xf>
    <xf numFmtId="0" fontId="10" fillId="11" borderId="64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173" fontId="0" fillId="11" borderId="65" xfId="0" applyNumberFormat="1" applyFill="1" applyBorder="1"/>
    <xf numFmtId="173" fontId="0" fillId="11" borderId="31" xfId="0" applyNumberFormat="1" applyFill="1" applyBorder="1"/>
    <xf numFmtId="173" fontId="0" fillId="11" borderId="33" xfId="0" applyNumberFormat="1" applyFill="1" applyBorder="1"/>
    <xf numFmtId="0" fontId="10" fillId="11" borderId="0" xfId="0" applyFont="1" applyFill="1" applyAlignment="1">
      <alignment horizontal="center" vertical="center"/>
    </xf>
    <xf numFmtId="0" fontId="0" fillId="11" borderId="0" xfId="0" applyFill="1" applyBorder="1"/>
    <xf numFmtId="173" fontId="10" fillId="11" borderId="13" xfId="0" applyNumberFormat="1" applyFont="1" applyFill="1" applyBorder="1" applyAlignment="1">
      <alignment horizontal="center" vertical="center"/>
    </xf>
    <xf numFmtId="173" fontId="10" fillId="11" borderId="0" xfId="0" applyNumberFormat="1" applyFont="1" applyFill="1" applyBorder="1" applyAlignment="1">
      <alignment horizontal="center" vertical="center"/>
    </xf>
    <xf numFmtId="173" fontId="10" fillId="11" borderId="9" xfId="0" applyNumberFormat="1" applyFont="1" applyFill="1" applyBorder="1" applyAlignment="1">
      <alignment horizontal="center" vertical="center"/>
    </xf>
    <xf numFmtId="172" fontId="0" fillId="0" borderId="0" xfId="0" applyNumberFormat="1"/>
    <xf numFmtId="171" fontId="0" fillId="0" borderId="0" xfId="0" applyNumberFormat="1"/>
    <xf numFmtId="0" fontId="29" fillId="15" borderId="48" xfId="0" applyFont="1" applyFill="1" applyBorder="1" applyAlignment="1">
      <alignment horizontal="center" vertical="center" wrapText="1"/>
    </xf>
    <xf numFmtId="0" fontId="29" fillId="15" borderId="28" xfId="0" applyFont="1" applyFill="1" applyBorder="1" applyAlignment="1">
      <alignment horizontal="center" vertical="center" wrapText="1"/>
    </xf>
    <xf numFmtId="0" fontId="29" fillId="15" borderId="50" xfId="0" applyFont="1" applyFill="1" applyBorder="1" applyAlignment="1">
      <alignment horizontal="center" vertical="center" wrapText="1"/>
    </xf>
    <xf numFmtId="0" fontId="0" fillId="0" borderId="40" xfId="0" applyBorder="1"/>
    <xf numFmtId="171" fontId="0" fillId="0" borderId="8" xfId="0" applyNumberFormat="1" applyBorder="1"/>
    <xf numFmtId="172" fontId="0" fillId="0" borderId="8" xfId="0" applyNumberFormat="1" applyBorder="1"/>
    <xf numFmtId="0" fontId="0" fillId="0" borderId="8" xfId="0" applyBorder="1"/>
    <xf numFmtId="172" fontId="0" fillId="0" borderId="31" xfId="0" applyNumberFormat="1" applyBorder="1"/>
    <xf numFmtId="0" fontId="0" fillId="0" borderId="46" xfId="0" applyBorder="1"/>
    <xf numFmtId="171" fontId="0" fillId="0" borderId="32" xfId="0" applyNumberFormat="1" applyBorder="1"/>
    <xf numFmtId="172" fontId="0" fillId="0" borderId="32" xfId="0" applyNumberFormat="1" applyBorder="1"/>
    <xf numFmtId="0" fontId="0" fillId="0" borderId="32" xfId="0" applyBorder="1"/>
    <xf numFmtId="172" fontId="0" fillId="0" borderId="33" xfId="0" applyNumberFormat="1" applyBorder="1"/>
    <xf numFmtId="171" fontId="0" fillId="0" borderId="40" xfId="0" applyNumberFormat="1" applyBorder="1"/>
    <xf numFmtId="171" fontId="0" fillId="0" borderId="46" xfId="0" applyNumberFormat="1" applyBorder="1"/>
    <xf numFmtId="0" fontId="0" fillId="0" borderId="25" xfId="0" applyBorder="1"/>
    <xf numFmtId="0" fontId="4" fillId="0" borderId="0" xfId="0" applyFont="1"/>
    <xf numFmtId="0" fontId="10" fillId="11" borderId="0" xfId="0" applyFont="1" applyFill="1" applyAlignment="1">
      <alignment horizontal="center" vertical="center"/>
    </xf>
    <xf numFmtId="0" fontId="17" fillId="10" borderId="20" xfId="8" applyFont="1" applyFill="1" applyBorder="1" applyAlignment="1">
      <alignment horizontal="center" vertical="center" wrapText="1"/>
    </xf>
    <xf numFmtId="0" fontId="17" fillId="10" borderId="21" xfId="8" applyFont="1" applyFill="1" applyBorder="1" applyAlignment="1">
      <alignment horizontal="center" vertical="center" wrapText="1"/>
    </xf>
    <xf numFmtId="0" fontId="10" fillId="11" borderId="0" xfId="0" applyFont="1" applyFill="1" applyBorder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0" fillId="11" borderId="9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10" fillId="11" borderId="22" xfId="0" applyFont="1" applyFill="1" applyBorder="1"/>
    <xf numFmtId="0" fontId="10" fillId="11" borderId="13" xfId="0" applyFont="1" applyFill="1" applyBorder="1"/>
    <xf numFmtId="0" fontId="10" fillId="11" borderId="59" xfId="0" applyFont="1" applyFill="1" applyBorder="1"/>
    <xf numFmtId="0" fontId="26" fillId="15" borderId="30" xfId="0" applyFont="1" applyFill="1" applyBorder="1" applyAlignment="1">
      <alignment horizontal="center" vertical="center" wrapText="1"/>
    </xf>
    <xf numFmtId="182" fontId="0" fillId="11" borderId="18" xfId="0" applyNumberFormat="1" applyFill="1" applyBorder="1"/>
    <xf numFmtId="182" fontId="0" fillId="11" borderId="17" xfId="0" applyNumberFormat="1" applyFill="1" applyBorder="1"/>
    <xf numFmtId="182" fontId="0" fillId="11" borderId="65" xfId="0" applyNumberFormat="1" applyFill="1" applyBorder="1"/>
    <xf numFmtId="182" fontId="0" fillId="11" borderId="9" xfId="0" applyNumberFormat="1" applyFill="1" applyBorder="1"/>
    <xf numFmtId="182" fontId="0" fillId="11" borderId="8" xfId="0" applyNumberFormat="1" applyFill="1" applyBorder="1"/>
    <xf numFmtId="182" fontId="0" fillId="11" borderId="31" xfId="0" applyNumberFormat="1" applyFill="1" applyBorder="1"/>
    <xf numFmtId="182" fontId="0" fillId="11" borderId="66" xfId="0" applyNumberFormat="1" applyFill="1" applyBorder="1"/>
    <xf numFmtId="182" fontId="0" fillId="11" borderId="32" xfId="0" applyNumberFormat="1" applyFill="1" applyBorder="1"/>
    <xf numFmtId="182" fontId="0" fillId="11" borderId="33" xfId="0" applyNumberFormat="1" applyFill="1" applyBorder="1"/>
  </cellXfs>
  <cellStyles count="42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21303587051618"/>
          <c:y val="5.1400554097404488E-2"/>
          <c:w val="0.83818328958880128"/>
          <c:h val="0.76329323417906092"/>
        </c:manualLayout>
      </c:layout>
      <c:lineChart>
        <c:grouping val="standard"/>
        <c:varyColors val="0"/>
        <c:ser>
          <c:idx val="0"/>
          <c:order val="0"/>
          <c:tx>
            <c:strRef>
              <c:f>SynthDepo!$AC$29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41887</c:v>
                </c:pt>
                <c:pt idx="1">
                  <c:v>41890</c:v>
                </c:pt>
                <c:pt idx="2">
                  <c:v>41891</c:v>
                </c:pt>
                <c:pt idx="3">
                  <c:v>41892</c:v>
                </c:pt>
                <c:pt idx="4">
                  <c:v>41893</c:v>
                </c:pt>
                <c:pt idx="5">
                  <c:v>41894</c:v>
                </c:pt>
                <c:pt idx="6">
                  <c:v>41897</c:v>
                </c:pt>
                <c:pt idx="7">
                  <c:v>41898</c:v>
                </c:pt>
                <c:pt idx="8">
                  <c:v>41899</c:v>
                </c:pt>
                <c:pt idx="9">
                  <c:v>41900</c:v>
                </c:pt>
                <c:pt idx="10">
                  <c:v>41901</c:v>
                </c:pt>
                <c:pt idx="11">
                  <c:v>41904</c:v>
                </c:pt>
                <c:pt idx="12">
                  <c:v>41905</c:v>
                </c:pt>
                <c:pt idx="13">
                  <c:v>41906</c:v>
                </c:pt>
                <c:pt idx="14">
                  <c:v>41907</c:v>
                </c:pt>
                <c:pt idx="15">
                  <c:v>41908</c:v>
                </c:pt>
                <c:pt idx="16">
                  <c:v>41911</c:v>
                </c:pt>
                <c:pt idx="17">
                  <c:v>41912</c:v>
                </c:pt>
                <c:pt idx="18">
                  <c:v>41913</c:v>
                </c:pt>
                <c:pt idx="19">
                  <c:v>41914</c:v>
                </c:pt>
                <c:pt idx="20">
                  <c:v>41915</c:v>
                </c:pt>
                <c:pt idx="21">
                  <c:v>41918</c:v>
                </c:pt>
                <c:pt idx="22">
                  <c:v>41919</c:v>
                </c:pt>
                <c:pt idx="23">
                  <c:v>41920</c:v>
                </c:pt>
                <c:pt idx="24">
                  <c:v>41921</c:v>
                </c:pt>
                <c:pt idx="25">
                  <c:v>41922</c:v>
                </c:pt>
                <c:pt idx="26">
                  <c:v>41925</c:v>
                </c:pt>
                <c:pt idx="27">
                  <c:v>41926</c:v>
                </c:pt>
                <c:pt idx="28">
                  <c:v>41927</c:v>
                </c:pt>
                <c:pt idx="29">
                  <c:v>41928</c:v>
                </c:pt>
                <c:pt idx="30">
                  <c:v>41929</c:v>
                </c:pt>
                <c:pt idx="31">
                  <c:v>41932</c:v>
                </c:pt>
                <c:pt idx="32">
                  <c:v>41933</c:v>
                </c:pt>
                <c:pt idx="33">
                  <c:v>41934</c:v>
                </c:pt>
                <c:pt idx="34">
                  <c:v>41935</c:v>
                </c:pt>
                <c:pt idx="35">
                  <c:v>41936</c:v>
                </c:pt>
                <c:pt idx="36">
                  <c:v>41939</c:v>
                </c:pt>
                <c:pt idx="37">
                  <c:v>41940</c:v>
                </c:pt>
                <c:pt idx="38">
                  <c:v>41941</c:v>
                </c:pt>
                <c:pt idx="39">
                  <c:v>41942</c:v>
                </c:pt>
                <c:pt idx="40">
                  <c:v>41943</c:v>
                </c:pt>
                <c:pt idx="41">
                  <c:v>41946</c:v>
                </c:pt>
                <c:pt idx="42">
                  <c:v>41947</c:v>
                </c:pt>
                <c:pt idx="43">
                  <c:v>41948</c:v>
                </c:pt>
                <c:pt idx="44">
                  <c:v>41949</c:v>
                </c:pt>
                <c:pt idx="45">
                  <c:v>41950</c:v>
                </c:pt>
                <c:pt idx="46">
                  <c:v>41953</c:v>
                </c:pt>
                <c:pt idx="47">
                  <c:v>41954</c:v>
                </c:pt>
                <c:pt idx="48">
                  <c:v>41955</c:v>
                </c:pt>
                <c:pt idx="49">
                  <c:v>41956</c:v>
                </c:pt>
                <c:pt idx="50">
                  <c:v>41957</c:v>
                </c:pt>
                <c:pt idx="51">
                  <c:v>41960</c:v>
                </c:pt>
                <c:pt idx="52">
                  <c:v>41961</c:v>
                </c:pt>
                <c:pt idx="53">
                  <c:v>41962</c:v>
                </c:pt>
                <c:pt idx="54">
                  <c:v>41963</c:v>
                </c:pt>
                <c:pt idx="55">
                  <c:v>41964</c:v>
                </c:pt>
                <c:pt idx="56">
                  <c:v>41967</c:v>
                </c:pt>
                <c:pt idx="57">
                  <c:v>41968</c:v>
                </c:pt>
                <c:pt idx="58">
                  <c:v>41969</c:v>
                </c:pt>
                <c:pt idx="59">
                  <c:v>41970</c:v>
                </c:pt>
                <c:pt idx="60">
                  <c:v>41971</c:v>
                </c:pt>
                <c:pt idx="61">
                  <c:v>41974</c:v>
                </c:pt>
                <c:pt idx="62">
                  <c:v>41975</c:v>
                </c:pt>
                <c:pt idx="63">
                  <c:v>41976</c:v>
                </c:pt>
                <c:pt idx="64">
                  <c:v>41977</c:v>
                </c:pt>
                <c:pt idx="65">
                  <c:v>41978</c:v>
                </c:pt>
                <c:pt idx="66">
                  <c:v>41981</c:v>
                </c:pt>
              </c:numCache>
            </c:numRef>
          </c:cat>
          <c:val>
            <c:numRef>
              <c:f>SynthDepo!$AC$30:$AC$128</c:f>
              <c:numCache>
                <c:formatCode>0.0000%</c:formatCode>
                <c:ptCount val="99"/>
                <c:pt idx="0">
                  <c:v>1.5518681226430601E-3</c:v>
                </c:pt>
                <c:pt idx="1">
                  <c:v>1.5518681226430601E-3</c:v>
                </c:pt>
                <c:pt idx="2">
                  <c:v>1.5518681226430601E-3</c:v>
                </c:pt>
                <c:pt idx="3">
                  <c:v>1.5518681226430601E-3</c:v>
                </c:pt>
                <c:pt idx="4">
                  <c:v>1.5518681226430601E-3</c:v>
                </c:pt>
                <c:pt idx="5">
                  <c:v>1.5518681226430601E-3</c:v>
                </c:pt>
                <c:pt idx="6">
                  <c:v>1.5518681226430601E-3</c:v>
                </c:pt>
                <c:pt idx="7">
                  <c:v>1.5518681226430601E-3</c:v>
                </c:pt>
                <c:pt idx="8">
                  <c:v>1.5518681226430601E-3</c:v>
                </c:pt>
                <c:pt idx="9">
                  <c:v>1.5518681226430601E-3</c:v>
                </c:pt>
                <c:pt idx="10">
                  <c:v>1.5518681226430601E-3</c:v>
                </c:pt>
                <c:pt idx="11">
                  <c:v>1.5518681226430601E-3</c:v>
                </c:pt>
                <c:pt idx="12">
                  <c:v>1.5518681226430601E-3</c:v>
                </c:pt>
                <c:pt idx="13">
                  <c:v>1.5518681226430601E-3</c:v>
                </c:pt>
                <c:pt idx="14">
                  <c:v>1.5518681226430601E-3</c:v>
                </c:pt>
                <c:pt idx="15">
                  <c:v>1.5518681226430601E-3</c:v>
                </c:pt>
                <c:pt idx="16">
                  <c:v>1.5518681226430601E-3</c:v>
                </c:pt>
                <c:pt idx="17">
                  <c:v>1.5518681226430601E-3</c:v>
                </c:pt>
                <c:pt idx="18">
                  <c:v>1.5518681226430601E-3</c:v>
                </c:pt>
                <c:pt idx="19">
                  <c:v>1.5518681226430601E-3</c:v>
                </c:pt>
                <c:pt idx="20">
                  <c:v>1.5518681226430601E-3</c:v>
                </c:pt>
                <c:pt idx="21">
                  <c:v>1.5518681226430601E-3</c:v>
                </c:pt>
                <c:pt idx="22">
                  <c:v>1.5518681226430601E-3</c:v>
                </c:pt>
                <c:pt idx="23">
                  <c:v>1.5518681226430601E-3</c:v>
                </c:pt>
                <c:pt idx="24">
                  <c:v>1.5518681226430601E-3</c:v>
                </c:pt>
                <c:pt idx="25">
                  <c:v>1.5518681226430601E-3</c:v>
                </c:pt>
                <c:pt idx="26">
                  <c:v>1.5518681226430601E-3</c:v>
                </c:pt>
                <c:pt idx="27">
                  <c:v>1.5518681226430601E-3</c:v>
                </c:pt>
                <c:pt idx="28">
                  <c:v>1.5518681226430601E-3</c:v>
                </c:pt>
                <c:pt idx="29">
                  <c:v>1.5518681226430601E-3</c:v>
                </c:pt>
                <c:pt idx="30">
                  <c:v>1.5518681226430601E-3</c:v>
                </c:pt>
                <c:pt idx="31">
                  <c:v>1.5518681226430601E-3</c:v>
                </c:pt>
                <c:pt idx="32">
                  <c:v>1.5518681226430601E-3</c:v>
                </c:pt>
                <c:pt idx="33">
                  <c:v>1.5518681226430601E-3</c:v>
                </c:pt>
                <c:pt idx="34">
                  <c:v>1.5518681226430601E-3</c:v>
                </c:pt>
                <c:pt idx="35">
                  <c:v>1.5518681226430601E-3</c:v>
                </c:pt>
                <c:pt idx="36">
                  <c:v>1.5518681226430601E-3</c:v>
                </c:pt>
                <c:pt idx="37">
                  <c:v>1.5518681226430601E-3</c:v>
                </c:pt>
                <c:pt idx="38">
                  <c:v>1.5518681226430601E-3</c:v>
                </c:pt>
                <c:pt idx="39">
                  <c:v>1.5518681226430601E-3</c:v>
                </c:pt>
                <c:pt idx="40">
                  <c:v>1.5518681226430601E-3</c:v>
                </c:pt>
                <c:pt idx="41">
                  <c:v>1.5518681226430601E-3</c:v>
                </c:pt>
                <c:pt idx="42">
                  <c:v>1.5518681226430601E-3</c:v>
                </c:pt>
                <c:pt idx="43">
                  <c:v>1.5518681226430601E-3</c:v>
                </c:pt>
                <c:pt idx="44">
                  <c:v>1.5518681226430601E-3</c:v>
                </c:pt>
                <c:pt idx="45">
                  <c:v>1.5518681226430601E-3</c:v>
                </c:pt>
                <c:pt idx="46">
                  <c:v>1.5518681226430601E-3</c:v>
                </c:pt>
                <c:pt idx="47">
                  <c:v>1.5518681226430601E-3</c:v>
                </c:pt>
                <c:pt idx="48">
                  <c:v>1.5518681226430601E-3</c:v>
                </c:pt>
                <c:pt idx="49">
                  <c:v>1.5518681226430601E-3</c:v>
                </c:pt>
                <c:pt idx="50">
                  <c:v>1.5518681226430601E-3</c:v>
                </c:pt>
                <c:pt idx="51">
                  <c:v>1.5518681226430601E-3</c:v>
                </c:pt>
                <c:pt idx="52">
                  <c:v>1.5518681226430601E-3</c:v>
                </c:pt>
                <c:pt idx="53">
                  <c:v>1.5518681226430601E-3</c:v>
                </c:pt>
                <c:pt idx="54">
                  <c:v>1.5518681226430601E-3</c:v>
                </c:pt>
                <c:pt idx="55">
                  <c:v>1.5518681226430601E-3</c:v>
                </c:pt>
                <c:pt idx="56">
                  <c:v>1.5518681226430601E-3</c:v>
                </c:pt>
                <c:pt idx="57">
                  <c:v>1.5518681226430601E-3</c:v>
                </c:pt>
                <c:pt idx="58">
                  <c:v>1.5518681226430601E-3</c:v>
                </c:pt>
                <c:pt idx="59">
                  <c:v>1.5518681226430601E-3</c:v>
                </c:pt>
                <c:pt idx="60">
                  <c:v>1.5518681226430601E-3</c:v>
                </c:pt>
                <c:pt idx="61">
                  <c:v>1.5518681226430601E-3</c:v>
                </c:pt>
                <c:pt idx="62">
                  <c:v>1.5518681226430601E-3</c:v>
                </c:pt>
                <c:pt idx="63">
                  <c:v>1.5518681226430601E-3</c:v>
                </c:pt>
                <c:pt idx="64">
                  <c:v>1.5518681226430601E-3</c:v>
                </c:pt>
                <c:pt idx="65">
                  <c:v>1.5518681226430601E-3</c:v>
                </c:pt>
                <c:pt idx="66">
                  <c:v>1.5518681226430601E-3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SynthDepo!$AD$29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41887</c:v>
                </c:pt>
                <c:pt idx="1">
                  <c:v>41890</c:v>
                </c:pt>
                <c:pt idx="2">
                  <c:v>41891</c:v>
                </c:pt>
                <c:pt idx="3">
                  <c:v>41892</c:v>
                </c:pt>
                <c:pt idx="4">
                  <c:v>41893</c:v>
                </c:pt>
                <c:pt idx="5">
                  <c:v>41894</c:v>
                </c:pt>
                <c:pt idx="6">
                  <c:v>41897</c:v>
                </c:pt>
                <c:pt idx="7">
                  <c:v>41898</c:v>
                </c:pt>
                <c:pt idx="8">
                  <c:v>41899</c:v>
                </c:pt>
                <c:pt idx="9">
                  <c:v>41900</c:v>
                </c:pt>
                <c:pt idx="10">
                  <c:v>41901</c:v>
                </c:pt>
                <c:pt idx="11">
                  <c:v>41904</c:v>
                </c:pt>
                <c:pt idx="12">
                  <c:v>41905</c:v>
                </c:pt>
                <c:pt idx="13">
                  <c:v>41906</c:v>
                </c:pt>
                <c:pt idx="14">
                  <c:v>41907</c:v>
                </c:pt>
                <c:pt idx="15">
                  <c:v>41908</c:v>
                </c:pt>
                <c:pt idx="16">
                  <c:v>41911</c:v>
                </c:pt>
                <c:pt idx="17">
                  <c:v>41912</c:v>
                </c:pt>
                <c:pt idx="18">
                  <c:v>41913</c:v>
                </c:pt>
                <c:pt idx="19">
                  <c:v>41914</c:v>
                </c:pt>
                <c:pt idx="20">
                  <c:v>41915</c:v>
                </c:pt>
                <c:pt idx="21">
                  <c:v>41918</c:v>
                </c:pt>
                <c:pt idx="22">
                  <c:v>41919</c:v>
                </c:pt>
                <c:pt idx="23">
                  <c:v>41920</c:v>
                </c:pt>
                <c:pt idx="24">
                  <c:v>41921</c:v>
                </c:pt>
                <c:pt idx="25">
                  <c:v>41922</c:v>
                </c:pt>
                <c:pt idx="26">
                  <c:v>41925</c:v>
                </c:pt>
                <c:pt idx="27">
                  <c:v>41926</c:v>
                </c:pt>
                <c:pt idx="28">
                  <c:v>41927</c:v>
                </c:pt>
                <c:pt idx="29">
                  <c:v>41928</c:v>
                </c:pt>
                <c:pt idx="30">
                  <c:v>41929</c:v>
                </c:pt>
                <c:pt idx="31">
                  <c:v>41932</c:v>
                </c:pt>
                <c:pt idx="32">
                  <c:v>41933</c:v>
                </c:pt>
                <c:pt idx="33">
                  <c:v>41934</c:v>
                </c:pt>
                <c:pt idx="34">
                  <c:v>41935</c:v>
                </c:pt>
                <c:pt idx="35">
                  <c:v>41936</c:v>
                </c:pt>
                <c:pt idx="36">
                  <c:v>41939</c:v>
                </c:pt>
                <c:pt idx="37">
                  <c:v>41940</c:v>
                </c:pt>
                <c:pt idx="38">
                  <c:v>41941</c:v>
                </c:pt>
                <c:pt idx="39">
                  <c:v>41942</c:v>
                </c:pt>
                <c:pt idx="40">
                  <c:v>41943</c:v>
                </c:pt>
                <c:pt idx="41">
                  <c:v>41946</c:v>
                </c:pt>
                <c:pt idx="42">
                  <c:v>41947</c:v>
                </c:pt>
                <c:pt idx="43">
                  <c:v>41948</c:v>
                </c:pt>
                <c:pt idx="44">
                  <c:v>41949</c:v>
                </c:pt>
                <c:pt idx="45">
                  <c:v>41950</c:v>
                </c:pt>
                <c:pt idx="46">
                  <c:v>41953</c:v>
                </c:pt>
                <c:pt idx="47">
                  <c:v>41954</c:v>
                </c:pt>
                <c:pt idx="48">
                  <c:v>41955</c:v>
                </c:pt>
                <c:pt idx="49">
                  <c:v>41956</c:v>
                </c:pt>
                <c:pt idx="50">
                  <c:v>41957</c:v>
                </c:pt>
                <c:pt idx="51">
                  <c:v>41960</c:v>
                </c:pt>
                <c:pt idx="52">
                  <c:v>41961</c:v>
                </c:pt>
                <c:pt idx="53">
                  <c:v>41962</c:v>
                </c:pt>
                <c:pt idx="54">
                  <c:v>41963</c:v>
                </c:pt>
                <c:pt idx="55">
                  <c:v>41964</c:v>
                </c:pt>
                <c:pt idx="56">
                  <c:v>41967</c:v>
                </c:pt>
                <c:pt idx="57">
                  <c:v>41968</c:v>
                </c:pt>
                <c:pt idx="58">
                  <c:v>41969</c:v>
                </c:pt>
                <c:pt idx="59">
                  <c:v>41970</c:v>
                </c:pt>
                <c:pt idx="60">
                  <c:v>41971</c:v>
                </c:pt>
                <c:pt idx="61">
                  <c:v>41974</c:v>
                </c:pt>
                <c:pt idx="62">
                  <c:v>41975</c:v>
                </c:pt>
                <c:pt idx="63">
                  <c:v>41976</c:v>
                </c:pt>
                <c:pt idx="64">
                  <c:v>41977</c:v>
                </c:pt>
                <c:pt idx="65">
                  <c:v>41978</c:v>
                </c:pt>
                <c:pt idx="66">
                  <c:v>41981</c:v>
                </c:pt>
              </c:numCache>
            </c:numRef>
          </c:cat>
          <c:val>
            <c:numRef>
              <c:f>SynthDepo!$AD$30:$AD$128</c:f>
              <c:numCache>
                <c:formatCode>0.0000%</c:formatCode>
                <c:ptCount val="99"/>
                <c:pt idx="0">
                  <c:v>1.8671002603762071E-3</c:v>
                </c:pt>
                <c:pt idx="1">
                  <c:v>1.8567079920992903E-3</c:v>
                </c:pt>
                <c:pt idx="2">
                  <c:v>1.8532439026736512E-3</c:v>
                </c:pt>
                <c:pt idx="3">
                  <c:v>1.8497798132480123E-3</c:v>
                </c:pt>
                <c:pt idx="4">
                  <c:v>1.8463157238223732E-3</c:v>
                </c:pt>
                <c:pt idx="5">
                  <c:v>1.8428516343967343E-3</c:v>
                </c:pt>
                <c:pt idx="6">
                  <c:v>1.8324593661198174E-3</c:v>
                </c:pt>
                <c:pt idx="7">
                  <c:v>1.8289952766941783E-3</c:v>
                </c:pt>
                <c:pt idx="8">
                  <c:v>1.8255311872685395E-3</c:v>
                </c:pt>
                <c:pt idx="9">
                  <c:v>1.8220670978429004E-3</c:v>
                </c:pt>
                <c:pt idx="10">
                  <c:v>1.8186030084172615E-3</c:v>
                </c:pt>
                <c:pt idx="11">
                  <c:v>1.8082107401403446E-3</c:v>
                </c:pt>
                <c:pt idx="12">
                  <c:v>1.8047466507147055E-3</c:v>
                </c:pt>
                <c:pt idx="13">
                  <c:v>1.8012825612890666E-3</c:v>
                </c:pt>
                <c:pt idx="14">
                  <c:v>1.7978184718634275E-3</c:v>
                </c:pt>
                <c:pt idx="15">
                  <c:v>1.7943543824377886E-3</c:v>
                </c:pt>
                <c:pt idx="16">
                  <c:v>1.7839621141608716E-3</c:v>
                </c:pt>
                <c:pt idx="17">
                  <c:v>1.7804980247352327E-3</c:v>
                </c:pt>
                <c:pt idx="18">
                  <c:v>1.7770339353095936E-3</c:v>
                </c:pt>
                <c:pt idx="19">
                  <c:v>1.7735698458839547E-3</c:v>
                </c:pt>
                <c:pt idx="20">
                  <c:v>1.7701057564583158E-3</c:v>
                </c:pt>
                <c:pt idx="21">
                  <c:v>1.7597134881813987E-3</c:v>
                </c:pt>
                <c:pt idx="22">
                  <c:v>1.7562493987557598E-3</c:v>
                </c:pt>
                <c:pt idx="23">
                  <c:v>1.7527853093301207E-3</c:v>
                </c:pt>
                <c:pt idx="24">
                  <c:v>1.7493212199044819E-3</c:v>
                </c:pt>
                <c:pt idx="25">
                  <c:v>1.745857130478843E-3</c:v>
                </c:pt>
                <c:pt idx="26">
                  <c:v>1.7354648622019259E-3</c:v>
                </c:pt>
                <c:pt idx="27">
                  <c:v>1.732000772776287E-3</c:v>
                </c:pt>
                <c:pt idx="28">
                  <c:v>1.7285366833506479E-3</c:v>
                </c:pt>
                <c:pt idx="29">
                  <c:v>1.725072593925009E-3</c:v>
                </c:pt>
                <c:pt idx="30">
                  <c:v>1.7216085044993701E-3</c:v>
                </c:pt>
                <c:pt idx="31">
                  <c:v>1.7112162362224531E-3</c:v>
                </c:pt>
                <c:pt idx="32">
                  <c:v>1.7077521467968142E-3</c:v>
                </c:pt>
                <c:pt idx="33">
                  <c:v>1.7042880573711751E-3</c:v>
                </c:pt>
                <c:pt idx="34">
                  <c:v>1.7008239679455362E-3</c:v>
                </c:pt>
                <c:pt idx="35">
                  <c:v>1.6973598785198971E-3</c:v>
                </c:pt>
                <c:pt idx="36">
                  <c:v>1.6869676102429802E-3</c:v>
                </c:pt>
                <c:pt idx="37">
                  <c:v>1.6835035208173413E-3</c:v>
                </c:pt>
                <c:pt idx="38">
                  <c:v>1.6800394313917022E-3</c:v>
                </c:pt>
                <c:pt idx="39">
                  <c:v>1.6765753419660633E-3</c:v>
                </c:pt>
                <c:pt idx="40">
                  <c:v>1.6731112525404242E-3</c:v>
                </c:pt>
                <c:pt idx="41">
                  <c:v>1.6627189842635074E-3</c:v>
                </c:pt>
                <c:pt idx="42">
                  <c:v>1.6592548948378685E-3</c:v>
                </c:pt>
                <c:pt idx="43">
                  <c:v>1.6557908054122294E-3</c:v>
                </c:pt>
                <c:pt idx="44">
                  <c:v>1.6523267159865905E-3</c:v>
                </c:pt>
                <c:pt idx="45">
                  <c:v>1.6488626265609514E-3</c:v>
                </c:pt>
                <c:pt idx="46">
                  <c:v>1.6384703582840345E-3</c:v>
                </c:pt>
                <c:pt idx="47">
                  <c:v>1.6350062688583954E-3</c:v>
                </c:pt>
                <c:pt idx="48">
                  <c:v>1.6315421794327566E-3</c:v>
                </c:pt>
                <c:pt idx="49">
                  <c:v>1.6280780900071175E-3</c:v>
                </c:pt>
                <c:pt idx="50">
                  <c:v>1.6246140005814786E-3</c:v>
                </c:pt>
                <c:pt idx="51">
                  <c:v>1.6142217323045617E-3</c:v>
                </c:pt>
                <c:pt idx="52">
                  <c:v>1.6107576428789226E-3</c:v>
                </c:pt>
                <c:pt idx="53">
                  <c:v>1.6072935534532837E-3</c:v>
                </c:pt>
                <c:pt idx="54">
                  <c:v>1.6038294640276446E-3</c:v>
                </c:pt>
                <c:pt idx="55">
                  <c:v>1.6003653746020057E-3</c:v>
                </c:pt>
                <c:pt idx="56">
                  <c:v>1.5899731063250889E-3</c:v>
                </c:pt>
                <c:pt idx="57">
                  <c:v>1.5865090168994498E-3</c:v>
                </c:pt>
                <c:pt idx="58">
                  <c:v>1.5830449274738109E-3</c:v>
                </c:pt>
                <c:pt idx="59">
                  <c:v>1.5795808380481718E-3</c:v>
                </c:pt>
                <c:pt idx="60">
                  <c:v>1.5761167486225329E-3</c:v>
                </c:pt>
                <c:pt idx="61">
                  <c:v>1.5657244803456158E-3</c:v>
                </c:pt>
                <c:pt idx="62">
                  <c:v>1.5622603909199769E-3</c:v>
                </c:pt>
                <c:pt idx="63">
                  <c:v>1.5587963014943381E-3</c:v>
                </c:pt>
                <c:pt idx="64">
                  <c:v>1.555332212068699E-3</c:v>
                </c:pt>
                <c:pt idx="65">
                  <c:v>1.5518681226430601E-3</c:v>
                </c:pt>
                <c:pt idx="66">
                  <c:v>1.541475854366143E-3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SynthDepo!$AE$29</c:f>
              <c:strCache>
                <c:ptCount val="1"/>
                <c:pt idx="0">
                  <c:v>Quadratic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41887</c:v>
                </c:pt>
                <c:pt idx="1">
                  <c:v>41890</c:v>
                </c:pt>
                <c:pt idx="2">
                  <c:v>41891</c:v>
                </c:pt>
                <c:pt idx="3">
                  <c:v>41892</c:v>
                </c:pt>
                <c:pt idx="4">
                  <c:v>41893</c:v>
                </c:pt>
                <c:pt idx="5">
                  <c:v>41894</c:v>
                </c:pt>
                <c:pt idx="6">
                  <c:v>41897</c:v>
                </c:pt>
                <c:pt idx="7">
                  <c:v>41898</c:v>
                </c:pt>
                <c:pt idx="8">
                  <c:v>41899</c:v>
                </c:pt>
                <c:pt idx="9">
                  <c:v>41900</c:v>
                </c:pt>
                <c:pt idx="10">
                  <c:v>41901</c:v>
                </c:pt>
                <c:pt idx="11">
                  <c:v>41904</c:v>
                </c:pt>
                <c:pt idx="12">
                  <c:v>41905</c:v>
                </c:pt>
                <c:pt idx="13">
                  <c:v>41906</c:v>
                </c:pt>
                <c:pt idx="14">
                  <c:v>41907</c:v>
                </c:pt>
                <c:pt idx="15">
                  <c:v>41908</c:v>
                </c:pt>
                <c:pt idx="16">
                  <c:v>41911</c:v>
                </c:pt>
                <c:pt idx="17">
                  <c:v>41912</c:v>
                </c:pt>
                <c:pt idx="18">
                  <c:v>41913</c:v>
                </c:pt>
                <c:pt idx="19">
                  <c:v>41914</c:v>
                </c:pt>
                <c:pt idx="20">
                  <c:v>41915</c:v>
                </c:pt>
                <c:pt idx="21">
                  <c:v>41918</c:v>
                </c:pt>
                <c:pt idx="22">
                  <c:v>41919</c:v>
                </c:pt>
                <c:pt idx="23">
                  <c:v>41920</c:v>
                </c:pt>
                <c:pt idx="24">
                  <c:v>41921</c:v>
                </c:pt>
                <c:pt idx="25">
                  <c:v>41922</c:v>
                </c:pt>
                <c:pt idx="26">
                  <c:v>41925</c:v>
                </c:pt>
                <c:pt idx="27">
                  <c:v>41926</c:v>
                </c:pt>
                <c:pt idx="28">
                  <c:v>41927</c:v>
                </c:pt>
                <c:pt idx="29">
                  <c:v>41928</c:v>
                </c:pt>
                <c:pt idx="30">
                  <c:v>41929</c:v>
                </c:pt>
                <c:pt idx="31">
                  <c:v>41932</c:v>
                </c:pt>
                <c:pt idx="32">
                  <c:v>41933</c:v>
                </c:pt>
                <c:pt idx="33">
                  <c:v>41934</c:v>
                </c:pt>
                <c:pt idx="34">
                  <c:v>41935</c:v>
                </c:pt>
                <c:pt idx="35">
                  <c:v>41936</c:v>
                </c:pt>
                <c:pt idx="36">
                  <c:v>41939</c:v>
                </c:pt>
                <c:pt idx="37">
                  <c:v>41940</c:v>
                </c:pt>
                <c:pt idx="38">
                  <c:v>41941</c:v>
                </c:pt>
                <c:pt idx="39">
                  <c:v>41942</c:v>
                </c:pt>
                <c:pt idx="40">
                  <c:v>41943</c:v>
                </c:pt>
                <c:pt idx="41">
                  <c:v>41946</c:v>
                </c:pt>
                <c:pt idx="42">
                  <c:v>41947</c:v>
                </c:pt>
                <c:pt idx="43">
                  <c:v>41948</c:v>
                </c:pt>
                <c:pt idx="44">
                  <c:v>41949</c:v>
                </c:pt>
                <c:pt idx="45">
                  <c:v>41950</c:v>
                </c:pt>
                <c:pt idx="46">
                  <c:v>41953</c:v>
                </c:pt>
                <c:pt idx="47">
                  <c:v>41954</c:v>
                </c:pt>
                <c:pt idx="48">
                  <c:v>41955</c:v>
                </c:pt>
                <c:pt idx="49">
                  <c:v>41956</c:v>
                </c:pt>
                <c:pt idx="50">
                  <c:v>41957</c:v>
                </c:pt>
                <c:pt idx="51">
                  <c:v>41960</c:v>
                </c:pt>
                <c:pt idx="52">
                  <c:v>41961</c:v>
                </c:pt>
                <c:pt idx="53">
                  <c:v>41962</c:v>
                </c:pt>
                <c:pt idx="54">
                  <c:v>41963</c:v>
                </c:pt>
                <c:pt idx="55">
                  <c:v>41964</c:v>
                </c:pt>
                <c:pt idx="56">
                  <c:v>41967</c:v>
                </c:pt>
                <c:pt idx="57">
                  <c:v>41968</c:v>
                </c:pt>
                <c:pt idx="58">
                  <c:v>41969</c:v>
                </c:pt>
                <c:pt idx="59">
                  <c:v>41970</c:v>
                </c:pt>
                <c:pt idx="60">
                  <c:v>41971</c:v>
                </c:pt>
                <c:pt idx="61">
                  <c:v>41974</c:v>
                </c:pt>
                <c:pt idx="62">
                  <c:v>41975</c:v>
                </c:pt>
                <c:pt idx="63">
                  <c:v>41976</c:v>
                </c:pt>
                <c:pt idx="64">
                  <c:v>41977</c:v>
                </c:pt>
                <c:pt idx="65">
                  <c:v>41978</c:v>
                </c:pt>
                <c:pt idx="66">
                  <c:v>41981</c:v>
                </c:pt>
              </c:numCache>
            </c:numRef>
          </c:cat>
          <c:val>
            <c:numRef>
              <c:f>SynthDepo!$AE$30:$AE$128</c:f>
              <c:numCache>
                <c:formatCode>0.0000%</c:formatCode>
                <c:ptCount val="99"/>
                <c:pt idx="0">
                  <c:v>2.3060840436053068E-3</c:v>
                </c:pt>
                <c:pt idx="1">
                  <c:v>2.2269552044495672E-3</c:v>
                </c:pt>
                <c:pt idx="2">
                  <c:v>2.2012587008441546E-3</c:v>
                </c:pt>
                <c:pt idx="3">
                  <c:v>2.1759020852953254E-3</c:v>
                </c:pt>
                <c:pt idx="4">
                  <c:v>2.1508853578030805E-3</c:v>
                </c:pt>
                <c:pt idx="5">
                  <c:v>2.1262085183674194E-3</c:v>
                </c:pt>
                <c:pt idx="6">
                  <c:v>2.054217328399938E-3</c:v>
                </c:pt>
                <c:pt idx="7">
                  <c:v>2.0309000411906112E-3</c:v>
                </c:pt>
                <c:pt idx="8">
                  <c:v>2.0079226420378691E-3</c:v>
                </c:pt>
                <c:pt idx="9">
                  <c:v>1.98528513094171E-3</c:v>
                </c:pt>
                <c:pt idx="10">
                  <c:v>1.9629875079021347E-3</c:v>
                </c:pt>
                <c:pt idx="11">
                  <c:v>1.8981339671229119E-3</c:v>
                </c:pt>
                <c:pt idx="12">
                  <c:v>1.8771958963096716E-3</c:v>
                </c:pt>
                <c:pt idx="13">
                  <c:v>1.856597713553015E-3</c:v>
                </c:pt>
                <c:pt idx="14">
                  <c:v>1.8363394188529423E-3</c:v>
                </c:pt>
                <c:pt idx="15">
                  <c:v>1.8164210122094532E-3</c:v>
                </c:pt>
                <c:pt idx="16">
                  <c:v>1.7587051206184885E-3</c:v>
                </c:pt>
                <c:pt idx="17">
                  <c:v>1.7401462662013346E-3</c:v>
                </c:pt>
                <c:pt idx="18">
                  <c:v>1.7219272998407642E-3</c:v>
                </c:pt>
                <c:pt idx="19">
                  <c:v>1.7040482215367775E-3</c:v>
                </c:pt>
                <c:pt idx="20">
                  <c:v>1.6865090312893746E-3</c:v>
                </c:pt>
                <c:pt idx="21">
                  <c:v>1.6359307888866685E-3</c:v>
                </c:pt>
                <c:pt idx="22">
                  <c:v>1.6197511508656004E-3</c:v>
                </c:pt>
                <c:pt idx="23">
                  <c:v>1.6039114009011161E-3</c:v>
                </c:pt>
                <c:pt idx="24">
                  <c:v>1.5884115389932158E-3</c:v>
                </c:pt>
                <c:pt idx="25">
                  <c:v>1.5732515651418991E-3</c:v>
                </c:pt>
                <c:pt idx="26">
                  <c:v>1.5298109719274512E-3</c:v>
                </c:pt>
                <c:pt idx="27">
                  <c:v>1.5160105503024693E-3</c:v>
                </c:pt>
                <c:pt idx="28">
                  <c:v>1.5025500167340712E-3</c:v>
                </c:pt>
                <c:pt idx="29">
                  <c:v>1.4894293712222567E-3</c:v>
                </c:pt>
                <c:pt idx="30">
                  <c:v>1.476648613767026E-3</c:v>
                </c:pt>
                <c:pt idx="31">
                  <c:v>1.4403456697408368E-3</c:v>
                </c:pt>
                <c:pt idx="32">
                  <c:v>1.4289244645119409E-3</c:v>
                </c:pt>
                <c:pt idx="33">
                  <c:v>1.4178431473396292E-3</c:v>
                </c:pt>
                <c:pt idx="34">
                  <c:v>1.4071017182239009E-3</c:v>
                </c:pt>
                <c:pt idx="35">
                  <c:v>1.3967001771647562E-3</c:v>
                </c:pt>
                <c:pt idx="36">
                  <c:v>1.3675348823268254E-3</c:v>
                </c:pt>
                <c:pt idx="37">
                  <c:v>1.3584928934940157E-3</c:v>
                </c:pt>
                <c:pt idx="38">
                  <c:v>1.3497907927177899E-3</c:v>
                </c:pt>
                <c:pt idx="39">
                  <c:v>1.3414285799981478E-3</c:v>
                </c:pt>
                <c:pt idx="40">
                  <c:v>1.3334062553350893E-3</c:v>
                </c:pt>
                <c:pt idx="41">
                  <c:v>1.3113786096854169E-3</c:v>
                </c:pt>
                <c:pt idx="42">
                  <c:v>1.3047158372486932E-3</c:v>
                </c:pt>
                <c:pt idx="43">
                  <c:v>1.2983929528685538E-3</c:v>
                </c:pt>
                <c:pt idx="44">
                  <c:v>1.2924099565449977E-3</c:v>
                </c:pt>
                <c:pt idx="45">
                  <c:v>1.2867668482780255E-3</c:v>
                </c:pt>
                <c:pt idx="46">
                  <c:v>1.2718768518166113E-3</c:v>
                </c:pt>
                <c:pt idx="47">
                  <c:v>1.2675932957759738E-3</c:v>
                </c:pt>
                <c:pt idx="48">
                  <c:v>1.2636496277919204E-3</c:v>
                </c:pt>
                <c:pt idx="49">
                  <c:v>1.2600458478644505E-3</c:v>
                </c:pt>
                <c:pt idx="50">
                  <c:v>1.2567819559935645E-3</c:v>
                </c:pt>
                <c:pt idx="51">
                  <c:v>1.2490296087204087E-3</c:v>
                </c:pt>
                <c:pt idx="52">
                  <c:v>1.2471252690758575E-3</c:v>
                </c:pt>
                <c:pt idx="53">
                  <c:v>1.2455608174878898E-3</c:v>
                </c:pt>
                <c:pt idx="54">
                  <c:v>1.2443362539565066E-3</c:v>
                </c:pt>
                <c:pt idx="55">
                  <c:v>1.2434515784817066E-3</c:v>
                </c:pt>
                <c:pt idx="56">
                  <c:v>1.242836880396809E-3</c:v>
                </c:pt>
                <c:pt idx="57">
                  <c:v>1.243311757148344E-3</c:v>
                </c:pt>
                <c:pt idx="58">
                  <c:v>1.2441265219564626E-3</c:v>
                </c:pt>
                <c:pt idx="59">
                  <c:v>1.2452811748211649E-3</c:v>
                </c:pt>
                <c:pt idx="60">
                  <c:v>1.2467757157424511E-3</c:v>
                </c:pt>
                <c:pt idx="61">
                  <c:v>1.2532986668458122E-3</c:v>
                </c:pt>
                <c:pt idx="62">
                  <c:v>1.2561527599934332E-3</c:v>
                </c:pt>
                <c:pt idx="63">
                  <c:v>1.2593467411976379E-3</c:v>
                </c:pt>
                <c:pt idx="64">
                  <c:v>1.2628806104584269E-3</c:v>
                </c:pt>
                <c:pt idx="65">
                  <c:v>1.2667543677757991E-3</c:v>
                </c:pt>
                <c:pt idx="66">
                  <c:v>1.2804149680674187E-3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868544"/>
        <c:axId val="365870080"/>
      </c:lineChart>
      <c:dateAx>
        <c:axId val="3658685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65870080"/>
        <c:crosses val="autoZero"/>
        <c:auto val="1"/>
        <c:lblOffset val="100"/>
        <c:baseTimeUnit val="days"/>
        <c:majorUnit val="1"/>
        <c:majorTimeUnit val="months"/>
      </c:dateAx>
      <c:valAx>
        <c:axId val="365870080"/>
        <c:scaling>
          <c:orientation val="minMax"/>
          <c:min val="1.0000000000000002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65868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561067366579174"/>
          <c:y val="0.56886847477398661"/>
          <c:w val="0.19494488188976378"/>
          <c:h val="0.25115157480314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112532808398948E-2"/>
          <c:y val="4.4835137795275593E-2"/>
          <c:w val="0.87582112131816858"/>
          <c:h val="0.78842960797471506"/>
        </c:manualLayout>
      </c:layout>
      <c:lineChart>
        <c:grouping val="standard"/>
        <c:varyColors val="0"/>
        <c:ser>
          <c:idx val="0"/>
          <c:order val="0"/>
          <c:tx>
            <c:strRef>
              <c:f>FRACharts!$I$10</c:f>
              <c:strCache>
                <c:ptCount val="1"/>
                <c:pt idx="0">
                  <c:v>Synt FRA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(FRACharts!$D$12:$D$22,FRACharts!$D$24:$D$34,FRACharts!$D$36:$D$46,FRACharts!$D$48:$D$58)</c:f>
              <c:numCache>
                <c:formatCode>ddd\,\ dd\-mmm\-yyyy</c:formatCode>
                <c:ptCount val="44"/>
                <c:pt idx="0">
                  <c:v>41918</c:v>
                </c:pt>
                <c:pt idx="1">
                  <c:v>41948</c:v>
                </c:pt>
                <c:pt idx="2">
                  <c:v>41978</c:v>
                </c:pt>
                <c:pt idx="3">
                  <c:v>42009</c:v>
                </c:pt>
                <c:pt idx="4">
                  <c:v>42040</c:v>
                </c:pt>
                <c:pt idx="5">
                  <c:v>42068</c:v>
                </c:pt>
                <c:pt idx="6">
                  <c:v>42101</c:v>
                </c:pt>
                <c:pt idx="7">
                  <c:v>42129</c:v>
                </c:pt>
                <c:pt idx="8">
                  <c:v>42160</c:v>
                </c:pt>
                <c:pt idx="9">
                  <c:v>42191</c:v>
                </c:pt>
                <c:pt idx="10">
                  <c:v>42221</c:v>
                </c:pt>
                <c:pt idx="11">
                  <c:v>42282</c:v>
                </c:pt>
                <c:pt idx="12">
                  <c:v>42313</c:v>
                </c:pt>
                <c:pt idx="13">
                  <c:v>42345</c:v>
                </c:pt>
                <c:pt idx="14">
                  <c:v>42374</c:v>
                </c:pt>
                <c:pt idx="15">
                  <c:v>42405</c:v>
                </c:pt>
                <c:pt idx="16">
                  <c:v>42436</c:v>
                </c:pt>
                <c:pt idx="17">
                  <c:v>42465</c:v>
                </c:pt>
                <c:pt idx="18">
                  <c:v>42495</c:v>
                </c:pt>
                <c:pt idx="19">
                  <c:v>42527</c:v>
                </c:pt>
                <c:pt idx="20">
                  <c:v>42556</c:v>
                </c:pt>
                <c:pt idx="21">
                  <c:v>42587</c:v>
                </c:pt>
                <c:pt idx="22">
                  <c:v>42648</c:v>
                </c:pt>
                <c:pt idx="23">
                  <c:v>42681</c:v>
                </c:pt>
                <c:pt idx="24">
                  <c:v>42709</c:v>
                </c:pt>
                <c:pt idx="25">
                  <c:v>42740</c:v>
                </c:pt>
                <c:pt idx="26">
                  <c:v>42772</c:v>
                </c:pt>
                <c:pt idx="27">
                  <c:v>42800</c:v>
                </c:pt>
                <c:pt idx="28">
                  <c:v>42830</c:v>
                </c:pt>
                <c:pt idx="29">
                  <c:v>42860</c:v>
                </c:pt>
                <c:pt idx="30">
                  <c:v>42891</c:v>
                </c:pt>
                <c:pt idx="31">
                  <c:v>42921</c:v>
                </c:pt>
                <c:pt idx="32">
                  <c:v>42954</c:v>
                </c:pt>
                <c:pt idx="33">
                  <c:v>43013</c:v>
                </c:pt>
                <c:pt idx="34">
                  <c:v>43045</c:v>
                </c:pt>
                <c:pt idx="35">
                  <c:v>43074</c:v>
                </c:pt>
                <c:pt idx="36">
                  <c:v>43105</c:v>
                </c:pt>
                <c:pt idx="37">
                  <c:v>43136</c:v>
                </c:pt>
                <c:pt idx="38">
                  <c:v>43164</c:v>
                </c:pt>
                <c:pt idx="39">
                  <c:v>43195</c:v>
                </c:pt>
                <c:pt idx="40">
                  <c:v>43227</c:v>
                </c:pt>
                <c:pt idx="41">
                  <c:v>43256</c:v>
                </c:pt>
                <c:pt idx="42">
                  <c:v>43286</c:v>
                </c:pt>
                <c:pt idx="43">
                  <c:v>43318</c:v>
                </c:pt>
              </c:numCache>
            </c:numRef>
          </c:cat>
          <c:val>
            <c:numRef>
              <c:f>(FRACharts!$I$12:$I$22,FRACharts!$I$24:$I$34,FRACharts!$I$36:$I$46,FRACharts!$I$48:$I$58)</c:f>
              <c:numCache>
                <c:formatCode>0.0000%</c:formatCode>
                <c:ptCount val="44"/>
                <c:pt idx="0">
                  <c:v>4.1531565876606613E-3</c:v>
                </c:pt>
                <c:pt idx="1">
                  <c:v>4.1282265750599489E-3</c:v>
                </c:pt>
                <c:pt idx="2">
                  <c:v>4.0984142072371188E-3</c:v>
                </c:pt>
                <c:pt idx="3">
                  <c:v>4.0849367798920302E-3</c:v>
                </c:pt>
                <c:pt idx="4">
                  <c:v>4.0716998614389877E-3</c:v>
                </c:pt>
                <c:pt idx="5">
                  <c:v>4.0543368459254299E-3</c:v>
                </c:pt>
                <c:pt idx="6">
                  <c:v>4.0608427287548293E-3</c:v>
                </c:pt>
                <c:pt idx="7">
                  <c:v>4.0756617209791483E-3</c:v>
                </c:pt>
                <c:pt idx="8">
                  <c:v>4.0986037901901548E-3</c:v>
                </c:pt>
                <c:pt idx="9">
                  <c:v>4.1403908984315469E-3</c:v>
                </c:pt>
                <c:pt idx="10">
                  <c:v>4.1875834092777444E-3</c:v>
                </c:pt>
                <c:pt idx="11">
                  <c:v>4.3733632001283686E-3</c:v>
                </c:pt>
                <c:pt idx="12">
                  <c:v>4.5082974823148266E-3</c:v>
                </c:pt>
                <c:pt idx="13">
                  <c:v>4.6419775835891868E-3</c:v>
                </c:pt>
                <c:pt idx="14">
                  <c:v>4.7592133435601916E-3</c:v>
                </c:pt>
                <c:pt idx="15">
                  <c:v>4.8887305868352895E-3</c:v>
                </c:pt>
                <c:pt idx="16">
                  <c:v>5.01617902643515E-3</c:v>
                </c:pt>
                <c:pt idx="17">
                  <c:v>5.1326860733009001E-3</c:v>
                </c:pt>
                <c:pt idx="18">
                  <c:v>5.2543771566206602E-3</c:v>
                </c:pt>
                <c:pt idx="19">
                  <c:v>5.3849747942784215E-3</c:v>
                </c:pt>
                <c:pt idx="20">
                  <c:v>5.4812307713576749E-3</c:v>
                </c:pt>
                <c:pt idx="21">
                  <c:v>5.5842654347200878E-3</c:v>
                </c:pt>
                <c:pt idx="22">
                  <c:v>5.8799976816308018E-3</c:v>
                </c:pt>
                <c:pt idx="23">
                  <c:v>6.0923758379521449E-3</c:v>
                </c:pt>
                <c:pt idx="24">
                  <c:v>6.2716737100671303E-3</c:v>
                </c:pt>
                <c:pt idx="25">
                  <c:v>6.4693133242574594E-3</c:v>
                </c:pt>
                <c:pt idx="26">
                  <c:v>6.6724765075402157E-3</c:v>
                </c:pt>
                <c:pt idx="27">
                  <c:v>6.8496224274211112E-3</c:v>
                </c:pt>
                <c:pt idx="28">
                  <c:v>7.0388677480204363E-3</c:v>
                </c:pt>
                <c:pt idx="29">
                  <c:v>7.231261344493525E-3</c:v>
                </c:pt>
                <c:pt idx="30">
                  <c:v>7.4222800272232339E-3</c:v>
                </c:pt>
                <c:pt idx="31">
                  <c:v>7.6103517962654178E-3</c:v>
                </c:pt>
                <c:pt idx="32">
                  <c:v>7.8170048149304311E-3</c:v>
                </c:pt>
                <c:pt idx="33">
                  <c:v>8.2365044845720096E-3</c:v>
                </c:pt>
                <c:pt idx="34">
                  <c:v>8.4903839364709917E-3</c:v>
                </c:pt>
                <c:pt idx="35">
                  <c:v>8.7204804101664903E-3</c:v>
                </c:pt>
                <c:pt idx="36">
                  <c:v>8.9758814362552158E-3</c:v>
                </c:pt>
                <c:pt idx="37">
                  <c:v>9.2124803552396696E-3</c:v>
                </c:pt>
                <c:pt idx="38">
                  <c:v>9.4347098887912761E-3</c:v>
                </c:pt>
                <c:pt idx="39">
                  <c:v>9.680779514025354E-3</c:v>
                </c:pt>
                <c:pt idx="40">
                  <c:v>9.9348227234712372E-3</c:v>
                </c:pt>
                <c:pt idx="41">
                  <c:v>1.0165083526747493E-2</c:v>
                </c:pt>
                <c:pt idx="42">
                  <c:v>1.0403321177298594E-2</c:v>
                </c:pt>
                <c:pt idx="43">
                  <c:v>1.065748558572276E-2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654464"/>
        <c:axId val="458656384"/>
      </c:lineChart>
      <c:scatterChart>
        <c:scatterStyle val="lineMarker"/>
        <c:varyColors val="0"/>
        <c:ser>
          <c:idx val="1"/>
          <c:order val="1"/>
          <c:tx>
            <c:v>Swap Implied FRA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(FRACharts!$D$35,FRACharts!$D$47,FRACharts!$D$59)</c:f>
              <c:numCache>
                <c:formatCode>ddd\,\ dd\-mmm\-yyyy</c:formatCode>
                <c:ptCount val="3"/>
                <c:pt idx="0">
                  <c:v>42618</c:v>
                </c:pt>
                <c:pt idx="1">
                  <c:v>42983</c:v>
                </c:pt>
                <c:pt idx="2">
                  <c:v>43348</c:v>
                </c:pt>
              </c:numCache>
            </c:numRef>
          </c:xVal>
          <c:yVal>
            <c:numRef>
              <c:f>(FRACharts!$I$35,FRACharts!$I$47,FRACharts!$I$59)</c:f>
              <c:numCache>
                <c:formatCode>0.0000%</c:formatCode>
                <c:ptCount val="3"/>
                <c:pt idx="0">
                  <c:v>5.6858297041493117E-3</c:v>
                </c:pt>
                <c:pt idx="1">
                  <c:v>7.9985088655425765E-3</c:v>
                </c:pt>
                <c:pt idx="2">
                  <c:v>1.0895809022223655E-2</c:v>
                </c:pt>
              </c:numCache>
            </c:numRef>
          </c:yVal>
          <c:smooth val="0"/>
        </c:ser>
        <c:ser>
          <c:idx val="2"/>
          <c:order val="2"/>
          <c:tx>
            <c:v>Market 12x24 FRA</c:v>
          </c:tx>
          <c:spPr>
            <a:ln w="28575">
              <a:noFill/>
            </a:ln>
          </c:spPr>
          <c:marker>
            <c:symbol val="diamond"/>
            <c:size val="7"/>
            <c:spPr>
              <a:blipFill>
                <a:blip xmlns:r="http://schemas.openxmlformats.org/officeDocument/2006/relationships" r:embed="rId1"/>
                <a:tile tx="0" ty="0" sx="100000" sy="100000" flip="none" algn="tl"/>
              </a:blipFill>
            </c:spPr>
          </c:marker>
          <c:dPt>
            <c:idx val="0"/>
            <c:marker>
              <c:spPr>
                <a:blipFill>
                  <a:blip xmlns:r="http://schemas.openxmlformats.org/officeDocument/2006/relationships" r:embed="rId1"/>
                  <a:tile tx="0" ty="0" sx="100000" sy="100000" flip="none" algn="tl"/>
                </a:blipFill>
                <a:ln>
                  <a:solidFill>
                    <a:schemeClr val="tx1"/>
                  </a:solidFill>
                </a:ln>
              </c:spPr>
            </c:marker>
            <c:bubble3D val="0"/>
          </c:dPt>
          <c:xVal>
            <c:numRef>
              <c:f>FRACharts!$D$23</c:f>
              <c:numCache>
                <c:formatCode>ddd\,\ dd\-mmm\-yyyy</c:formatCode>
                <c:ptCount val="1"/>
                <c:pt idx="0">
                  <c:v>42254</c:v>
                </c:pt>
              </c:numCache>
            </c:numRef>
          </c:xVal>
          <c:yVal>
            <c:numRef>
              <c:f>FRACharts!$I$23</c:f>
              <c:numCache>
                <c:formatCode>0.0000%</c:formatCode>
                <c:ptCount val="1"/>
                <c:pt idx="0">
                  <c:v>4.259397822130198E-3</c:v>
                </c:pt>
              </c:numCache>
            </c:numRef>
          </c:yVal>
          <c:smooth val="0"/>
        </c:ser>
        <c:ser>
          <c:idx val="3"/>
          <c:order val="3"/>
          <c:tx>
            <c:v>12M Libor Fixing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3"/>
              </a:solidFill>
            </c:spPr>
          </c:marker>
          <c:xVal>
            <c:numRef>
              <c:f>FRACharts!$D$11</c:f>
              <c:numCache>
                <c:formatCode>ddd\,\ dd\-mmm\-yyyy</c:formatCode>
                <c:ptCount val="1"/>
                <c:pt idx="0">
                  <c:v>41887</c:v>
                </c:pt>
              </c:numCache>
            </c:numRef>
          </c:xVal>
          <c:yVal>
            <c:numRef>
              <c:f>FRACharts!$I$11</c:f>
              <c:numCache>
                <c:formatCode>0.0000%</c:formatCode>
                <c:ptCount val="1"/>
                <c:pt idx="0">
                  <c:v>4.1899999999999967E-3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663808"/>
        <c:axId val="458662272"/>
      </c:scatterChart>
      <c:dateAx>
        <c:axId val="458654464"/>
        <c:scaling>
          <c:orientation val="minMax"/>
          <c:min val="41852"/>
        </c:scaling>
        <c:delete val="0"/>
        <c:axPos val="b"/>
        <c:numFmt formatCode="[$-409]mmm\-yy;@" sourceLinked="0"/>
        <c:majorTickMark val="none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458656384"/>
        <c:crosses val="autoZero"/>
        <c:auto val="1"/>
        <c:lblOffset val="100"/>
        <c:baseTimeUnit val="months"/>
      </c:dateAx>
      <c:valAx>
        <c:axId val="458656384"/>
        <c:scaling>
          <c:orientation val="minMax"/>
        </c:scaling>
        <c:delete val="0"/>
        <c:axPos val="l"/>
        <c:majorGridlines/>
        <c:numFmt formatCode="0.00%" sourceLinked="0"/>
        <c:majorTickMark val="none"/>
        <c:minorTickMark val="none"/>
        <c:tickLblPos val="nextTo"/>
        <c:crossAx val="458654464"/>
        <c:crosses val="autoZero"/>
        <c:crossBetween val="between"/>
      </c:valAx>
      <c:valAx>
        <c:axId val="458662272"/>
        <c:scaling>
          <c:orientation val="minMax"/>
        </c:scaling>
        <c:delete val="1"/>
        <c:axPos val="r"/>
        <c:numFmt formatCode="0.0000%" sourceLinked="1"/>
        <c:majorTickMark val="out"/>
        <c:minorTickMark val="none"/>
        <c:tickLblPos val="nextTo"/>
        <c:crossAx val="458663808"/>
        <c:crosses val="max"/>
        <c:crossBetween val="midCat"/>
      </c:valAx>
      <c:valAx>
        <c:axId val="458663808"/>
        <c:scaling>
          <c:orientation val="minMax"/>
        </c:scaling>
        <c:delete val="1"/>
        <c:axPos val="t"/>
        <c:numFmt formatCode="ddd\,\ dd\-mmm\-yyyy" sourceLinked="1"/>
        <c:majorTickMark val="out"/>
        <c:minorTickMark val="none"/>
        <c:tickLblPos val="nextTo"/>
        <c:crossAx val="458662272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76359026305245292"/>
          <c:y val="0.55533154509532467"/>
          <c:w val="0.21208260425780112"/>
          <c:h val="0.254464920117175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392900524458038E-2"/>
          <c:y val="4.7069497962520523E-2"/>
          <c:w val="0.87339211455192423"/>
          <c:h val="0.76875183810458825"/>
        </c:manualLayout>
      </c:layout>
      <c:lineChart>
        <c:grouping val="standard"/>
        <c:varyColors val="0"/>
        <c:ser>
          <c:idx val="2"/>
          <c:order val="0"/>
          <c:tx>
            <c:v>Interpolated Basis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FRACharts!$D$11:$D$59</c:f>
              <c:numCache>
                <c:formatCode>ddd\,\ dd\-mmm\-yyyy</c:formatCode>
                <c:ptCount val="49"/>
                <c:pt idx="0">
                  <c:v>41887</c:v>
                </c:pt>
                <c:pt idx="1">
                  <c:v>41918</c:v>
                </c:pt>
                <c:pt idx="2">
                  <c:v>41948</c:v>
                </c:pt>
                <c:pt idx="3">
                  <c:v>41978</c:v>
                </c:pt>
                <c:pt idx="4">
                  <c:v>42009</c:v>
                </c:pt>
                <c:pt idx="5">
                  <c:v>42040</c:v>
                </c:pt>
                <c:pt idx="6">
                  <c:v>42068</c:v>
                </c:pt>
                <c:pt idx="7">
                  <c:v>42101</c:v>
                </c:pt>
                <c:pt idx="8">
                  <c:v>42129</c:v>
                </c:pt>
                <c:pt idx="9">
                  <c:v>42160</c:v>
                </c:pt>
                <c:pt idx="10">
                  <c:v>42191</c:v>
                </c:pt>
                <c:pt idx="11">
                  <c:v>42221</c:v>
                </c:pt>
                <c:pt idx="12">
                  <c:v>42254</c:v>
                </c:pt>
                <c:pt idx="13">
                  <c:v>42282</c:v>
                </c:pt>
                <c:pt idx="14">
                  <c:v>42313</c:v>
                </c:pt>
                <c:pt idx="15">
                  <c:v>42345</c:v>
                </c:pt>
                <c:pt idx="16">
                  <c:v>42374</c:v>
                </c:pt>
                <c:pt idx="17">
                  <c:v>42405</c:v>
                </c:pt>
                <c:pt idx="18">
                  <c:v>42436</c:v>
                </c:pt>
                <c:pt idx="19">
                  <c:v>42465</c:v>
                </c:pt>
                <c:pt idx="20">
                  <c:v>42495</c:v>
                </c:pt>
                <c:pt idx="21">
                  <c:v>42527</c:v>
                </c:pt>
                <c:pt idx="22">
                  <c:v>42556</c:v>
                </c:pt>
                <c:pt idx="23">
                  <c:v>42587</c:v>
                </c:pt>
                <c:pt idx="24">
                  <c:v>42618</c:v>
                </c:pt>
                <c:pt idx="25">
                  <c:v>42648</c:v>
                </c:pt>
                <c:pt idx="26">
                  <c:v>42681</c:v>
                </c:pt>
                <c:pt idx="27">
                  <c:v>42709</c:v>
                </c:pt>
                <c:pt idx="28">
                  <c:v>42740</c:v>
                </c:pt>
                <c:pt idx="29">
                  <c:v>42772</c:v>
                </c:pt>
                <c:pt idx="30">
                  <c:v>42800</c:v>
                </c:pt>
                <c:pt idx="31">
                  <c:v>42830</c:v>
                </c:pt>
                <c:pt idx="32">
                  <c:v>42860</c:v>
                </c:pt>
                <c:pt idx="33">
                  <c:v>42891</c:v>
                </c:pt>
                <c:pt idx="34">
                  <c:v>42921</c:v>
                </c:pt>
                <c:pt idx="35">
                  <c:v>42954</c:v>
                </c:pt>
                <c:pt idx="36">
                  <c:v>42983</c:v>
                </c:pt>
                <c:pt idx="37">
                  <c:v>43013</c:v>
                </c:pt>
                <c:pt idx="38">
                  <c:v>43045</c:v>
                </c:pt>
                <c:pt idx="39">
                  <c:v>43074</c:v>
                </c:pt>
                <c:pt idx="40">
                  <c:v>43105</c:v>
                </c:pt>
                <c:pt idx="41">
                  <c:v>43136</c:v>
                </c:pt>
                <c:pt idx="42">
                  <c:v>43164</c:v>
                </c:pt>
                <c:pt idx="43">
                  <c:v>43195</c:v>
                </c:pt>
                <c:pt idx="44">
                  <c:v>43227</c:v>
                </c:pt>
                <c:pt idx="45">
                  <c:v>43256</c:v>
                </c:pt>
                <c:pt idx="46">
                  <c:v>43286</c:v>
                </c:pt>
                <c:pt idx="47">
                  <c:v>43318</c:v>
                </c:pt>
                <c:pt idx="48">
                  <c:v>43348</c:v>
                </c:pt>
              </c:numCache>
            </c:numRef>
          </c:cat>
          <c:val>
            <c:numRef>
              <c:f>FRACharts!$H$11:$H$59</c:f>
              <c:numCache>
                <c:formatCode>0.0000%</c:formatCode>
                <c:ptCount val="49"/>
                <c:pt idx="0">
                  <c:v>4.3499999999999997E-3</c:v>
                </c:pt>
                <c:pt idx="1">
                  <c:v>4.3359268788529162E-3</c:v>
                </c:pt>
                <c:pt idx="2">
                  <c:v>4.3226837322206573E-3</c:v>
                </c:pt>
                <c:pt idx="3">
                  <c:v>4.3101762433675863E-3</c:v>
                </c:pt>
                <c:pt idx="4">
                  <c:v>4.2984090006594937E-3</c:v>
                </c:pt>
                <c:pt idx="5">
                  <c:v>4.2882127960087351E-3</c:v>
                </c:pt>
                <c:pt idx="6">
                  <c:v>4.2806857125614866E-3</c:v>
                </c:pt>
                <c:pt idx="7">
                  <c:v>4.2742781432328365E-3</c:v>
                </c:pt>
                <c:pt idx="8">
                  <c:v>4.2712712681399374E-3</c:v>
                </c:pt>
                <c:pt idx="9">
                  <c:v>4.2709200137691422E-3</c:v>
                </c:pt>
                <c:pt idx="10">
                  <c:v>4.274084278985661E-3</c:v>
                </c:pt>
                <c:pt idx="11">
                  <c:v>4.2808697168909074E-3</c:v>
                </c:pt>
                <c:pt idx="12">
                  <c:v>4.2929999999999999E-3</c:v>
                </c:pt>
                <c:pt idx="13">
                  <c:v>4.3073615820470841E-3</c:v>
                </c:pt>
                <c:pt idx="14">
                  <c:v>4.3273063996085263E-3</c:v>
                </c:pt>
                <c:pt idx="15">
                  <c:v>4.3518305438960663E-3</c:v>
                </c:pt>
                <c:pt idx="16">
                  <c:v>4.3770461280636871E-3</c:v>
                </c:pt>
                <c:pt idx="17">
                  <c:v>4.4066581761806429E-3</c:v>
                </c:pt>
                <c:pt idx="18">
                  <c:v>4.4385185417782792E-3</c:v>
                </c:pt>
                <c:pt idx="19">
                  <c:v>4.4699082256665192E-3</c:v>
                </c:pt>
                <c:pt idx="20">
                  <c:v>4.5035391391421951E-3</c:v>
                </c:pt>
                <c:pt idx="21">
                  <c:v>4.5401972687713534E-3</c:v>
                </c:pt>
                <c:pt idx="22">
                  <c:v>4.573660667529845E-3</c:v>
                </c:pt>
                <c:pt idx="23">
                  <c:v>4.6091993428310253E-3</c:v>
                </c:pt>
                <c:pt idx="24">
                  <c:v>4.6439999999999997E-3</c:v>
                </c:pt>
                <c:pt idx="25">
                  <c:v>4.6765886426546732E-3</c:v>
                </c:pt>
                <c:pt idx="26">
                  <c:v>4.7111989893434923E-3</c:v>
                </c:pt>
                <c:pt idx="27">
                  <c:v>4.7396384730973764E-3</c:v>
                </c:pt>
                <c:pt idx="28">
                  <c:v>4.7702294225069148E-3</c:v>
                </c:pt>
                <c:pt idx="29">
                  <c:v>4.8009256438167041E-3</c:v>
                </c:pt>
                <c:pt idx="30">
                  <c:v>4.8271382757304193E-3</c:v>
                </c:pt>
                <c:pt idx="31">
                  <c:v>4.8546437767865627E-3</c:v>
                </c:pt>
                <c:pt idx="32">
                  <c:v>4.881641062894241E-3</c:v>
                </c:pt>
                <c:pt idx="33">
                  <c:v>4.9091034580745069E-3</c:v>
                </c:pt>
                <c:pt idx="34">
                  <c:v>4.9353551054510782E-3</c:v>
                </c:pt>
                <c:pt idx="35">
                  <c:v>4.9639754034482139E-3</c:v>
                </c:pt>
                <c:pt idx="36">
                  <c:v>4.9890000000000004E-3</c:v>
                </c:pt>
                <c:pt idx="37">
                  <c:v>5.0148415889956326E-3</c:v>
                </c:pt>
                <c:pt idx="38">
                  <c:v>5.0423732623132477E-3</c:v>
                </c:pt>
                <c:pt idx="39">
                  <c:v>5.0672973396564298E-3</c:v>
                </c:pt>
                <c:pt idx="40">
                  <c:v>5.0939152649337009E-3</c:v>
                </c:pt>
                <c:pt idx="41">
                  <c:v>5.1205101741844169E-3</c:v>
                </c:pt>
                <c:pt idx="42">
                  <c:v>5.1445140420908666E-3</c:v>
                </c:pt>
                <c:pt idx="43">
                  <c:v>5.1710732586265646E-3</c:v>
                </c:pt>
                <c:pt idx="44">
                  <c:v>5.1984740568817031E-3</c:v>
                </c:pt>
                <c:pt idx="45">
                  <c:v>5.2232953947895329E-3</c:v>
                </c:pt>
                <c:pt idx="46">
                  <c:v>5.2489646452211925E-3</c:v>
                </c:pt>
                <c:pt idx="47">
                  <c:v>5.2763391823618215E-3</c:v>
                </c:pt>
                <c:pt idx="48">
                  <c:v>5.3020000000000003E-3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672384"/>
        <c:axId val="366420352"/>
      </c:lineChart>
      <c:scatterChart>
        <c:scatterStyle val="lineMarker"/>
        <c:varyColors val="0"/>
        <c:ser>
          <c:idx val="0"/>
          <c:order val="1"/>
          <c:tx>
            <c:v>Basis Value</c:v>
          </c:tx>
          <c:spPr>
            <a:ln w="28575">
              <a:noFill/>
            </a:ln>
          </c:spPr>
          <c:marker>
            <c:spPr>
              <a:solidFill>
                <a:schemeClr val="accent2"/>
              </a:solidFill>
            </c:spPr>
          </c:marker>
          <c:xVal>
            <c:numRef>
              <c:f>(SynthFra!$I$2,SynthFra!$I$3,SynthFra!$I$4,SynthFra!$I$5,SynthFra!$I$6)</c:f>
              <c:numCache>
                <c:formatCode>ddd\,\ dd\-mmm\-yyyy</c:formatCode>
                <c:ptCount val="5"/>
                <c:pt idx="0">
                  <c:v>41887</c:v>
                </c:pt>
                <c:pt idx="1">
                  <c:v>42254</c:v>
                </c:pt>
                <c:pt idx="2">
                  <c:v>42618</c:v>
                </c:pt>
                <c:pt idx="3">
                  <c:v>42983</c:v>
                </c:pt>
                <c:pt idx="4">
                  <c:v>43348</c:v>
                </c:pt>
              </c:numCache>
            </c:numRef>
          </c:xVal>
          <c:yVal>
            <c:numRef>
              <c:f>(SynthFra!$M$2,SynthFra!$M$3,SynthFra!$M$4,SynthFra!$M$5,SynthFra!$M$6)</c:f>
              <c:numCache>
                <c:formatCode>0.0000%</c:formatCode>
                <c:ptCount val="5"/>
                <c:pt idx="0">
                  <c:v>4.3499999999999997E-3</c:v>
                </c:pt>
                <c:pt idx="1">
                  <c:v>4.274E-3</c:v>
                </c:pt>
                <c:pt idx="2">
                  <c:v>4.6639999999999997E-3</c:v>
                </c:pt>
                <c:pt idx="3">
                  <c:v>4.9890000000000004E-3</c:v>
                </c:pt>
                <c:pt idx="4">
                  <c:v>5.3020000000000003E-3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672384"/>
        <c:axId val="366420352"/>
      </c:scatterChart>
      <c:dateAx>
        <c:axId val="4586723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66420352"/>
        <c:crosses val="autoZero"/>
        <c:auto val="1"/>
        <c:lblOffset val="100"/>
        <c:baseTimeUnit val="months"/>
      </c:dateAx>
      <c:valAx>
        <c:axId val="3664203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5867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960538786818316"/>
          <c:y val="0.64554543963254596"/>
          <c:w val="0.23931794983960339"/>
          <c:h val="0.12557578740157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 Depo Charts'!$D$16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 Depo Charts'!$B$17:$B$83</c:f>
              <c:numCache>
                <c:formatCode>ddd\,\ dd\-mmm\-yyyy</c:formatCode>
                <c:ptCount val="67"/>
                <c:pt idx="0">
                  <c:v>41887</c:v>
                </c:pt>
                <c:pt idx="1">
                  <c:v>41890</c:v>
                </c:pt>
                <c:pt idx="2">
                  <c:v>41891</c:v>
                </c:pt>
                <c:pt idx="3">
                  <c:v>41892</c:v>
                </c:pt>
                <c:pt idx="4">
                  <c:v>41893</c:v>
                </c:pt>
                <c:pt idx="5">
                  <c:v>41894</c:v>
                </c:pt>
                <c:pt idx="6">
                  <c:v>41897</c:v>
                </c:pt>
                <c:pt idx="7">
                  <c:v>41898</c:v>
                </c:pt>
                <c:pt idx="8">
                  <c:v>41899</c:v>
                </c:pt>
                <c:pt idx="9">
                  <c:v>41900</c:v>
                </c:pt>
                <c:pt idx="10">
                  <c:v>41901</c:v>
                </c:pt>
                <c:pt idx="11">
                  <c:v>41904</c:v>
                </c:pt>
                <c:pt idx="12">
                  <c:v>41905</c:v>
                </c:pt>
                <c:pt idx="13">
                  <c:v>41906</c:v>
                </c:pt>
                <c:pt idx="14">
                  <c:v>41907</c:v>
                </c:pt>
                <c:pt idx="15">
                  <c:v>41908</c:v>
                </c:pt>
                <c:pt idx="16">
                  <c:v>41911</c:v>
                </c:pt>
                <c:pt idx="17">
                  <c:v>41912</c:v>
                </c:pt>
                <c:pt idx="18">
                  <c:v>41913</c:v>
                </c:pt>
                <c:pt idx="19">
                  <c:v>41914</c:v>
                </c:pt>
                <c:pt idx="20">
                  <c:v>41915</c:v>
                </c:pt>
                <c:pt idx="21">
                  <c:v>41918</c:v>
                </c:pt>
                <c:pt idx="22">
                  <c:v>41919</c:v>
                </c:pt>
                <c:pt idx="23">
                  <c:v>41920</c:v>
                </c:pt>
                <c:pt idx="24">
                  <c:v>41921</c:v>
                </c:pt>
                <c:pt idx="25">
                  <c:v>41922</c:v>
                </c:pt>
                <c:pt idx="26">
                  <c:v>41925</c:v>
                </c:pt>
                <c:pt idx="27">
                  <c:v>41926</c:v>
                </c:pt>
                <c:pt idx="28">
                  <c:v>41927</c:v>
                </c:pt>
                <c:pt idx="29">
                  <c:v>41928</c:v>
                </c:pt>
                <c:pt idx="30">
                  <c:v>41929</c:v>
                </c:pt>
                <c:pt idx="31">
                  <c:v>41932</c:v>
                </c:pt>
                <c:pt idx="32">
                  <c:v>41933</c:v>
                </c:pt>
                <c:pt idx="33">
                  <c:v>41934</c:v>
                </c:pt>
                <c:pt idx="34">
                  <c:v>41935</c:v>
                </c:pt>
                <c:pt idx="35">
                  <c:v>41936</c:v>
                </c:pt>
                <c:pt idx="36">
                  <c:v>41939</c:v>
                </c:pt>
                <c:pt idx="37">
                  <c:v>41940</c:v>
                </c:pt>
                <c:pt idx="38">
                  <c:v>41941</c:v>
                </c:pt>
                <c:pt idx="39">
                  <c:v>41942</c:v>
                </c:pt>
                <c:pt idx="40">
                  <c:v>41943</c:v>
                </c:pt>
                <c:pt idx="41">
                  <c:v>41946</c:v>
                </c:pt>
                <c:pt idx="42">
                  <c:v>41947</c:v>
                </c:pt>
                <c:pt idx="43">
                  <c:v>41948</c:v>
                </c:pt>
                <c:pt idx="44">
                  <c:v>41949</c:v>
                </c:pt>
                <c:pt idx="45">
                  <c:v>41950</c:v>
                </c:pt>
                <c:pt idx="46">
                  <c:v>41953</c:v>
                </c:pt>
                <c:pt idx="47">
                  <c:v>41954</c:v>
                </c:pt>
                <c:pt idx="48">
                  <c:v>41955</c:v>
                </c:pt>
                <c:pt idx="49">
                  <c:v>41956</c:v>
                </c:pt>
                <c:pt idx="50">
                  <c:v>41957</c:v>
                </c:pt>
                <c:pt idx="51">
                  <c:v>41960</c:v>
                </c:pt>
                <c:pt idx="52">
                  <c:v>41961</c:v>
                </c:pt>
                <c:pt idx="53">
                  <c:v>41962</c:v>
                </c:pt>
                <c:pt idx="54">
                  <c:v>41963</c:v>
                </c:pt>
                <c:pt idx="55">
                  <c:v>41964</c:v>
                </c:pt>
                <c:pt idx="56">
                  <c:v>41967</c:v>
                </c:pt>
                <c:pt idx="57">
                  <c:v>41968</c:v>
                </c:pt>
                <c:pt idx="58">
                  <c:v>41969</c:v>
                </c:pt>
                <c:pt idx="59">
                  <c:v>41970</c:v>
                </c:pt>
                <c:pt idx="60">
                  <c:v>41971</c:v>
                </c:pt>
                <c:pt idx="61">
                  <c:v>41974</c:v>
                </c:pt>
                <c:pt idx="62">
                  <c:v>41975</c:v>
                </c:pt>
                <c:pt idx="63">
                  <c:v>41976</c:v>
                </c:pt>
                <c:pt idx="64">
                  <c:v>41977</c:v>
                </c:pt>
                <c:pt idx="65">
                  <c:v>41978</c:v>
                </c:pt>
                <c:pt idx="66">
                  <c:v>41981</c:v>
                </c:pt>
              </c:numCache>
            </c:numRef>
          </c:cat>
          <c:val>
            <c:numRef>
              <c:f>'3M Depo Charts'!$D$17:$D$114</c:f>
              <c:numCache>
                <c:formatCode>0.0000%</c:formatCode>
                <c:ptCount val="98"/>
                <c:pt idx="0">
                  <c:v>1.573421846568658E-3</c:v>
                </c:pt>
                <c:pt idx="1">
                  <c:v>1.573421846568658E-3</c:v>
                </c:pt>
                <c:pt idx="2">
                  <c:v>1.573421846568658E-3</c:v>
                </c:pt>
                <c:pt idx="3">
                  <c:v>1.573421846568658E-3</c:v>
                </c:pt>
                <c:pt idx="4">
                  <c:v>1.573421846568658E-3</c:v>
                </c:pt>
                <c:pt idx="5">
                  <c:v>1.573421846568658E-3</c:v>
                </c:pt>
                <c:pt idx="6">
                  <c:v>1.573421846568658E-3</c:v>
                </c:pt>
                <c:pt idx="7">
                  <c:v>1.573421846568658E-3</c:v>
                </c:pt>
                <c:pt idx="8">
                  <c:v>1.573421846568658E-3</c:v>
                </c:pt>
                <c:pt idx="9">
                  <c:v>1.573421846568658E-3</c:v>
                </c:pt>
                <c:pt idx="10">
                  <c:v>1.573421846568658E-3</c:v>
                </c:pt>
                <c:pt idx="11">
                  <c:v>1.573421846568658E-3</c:v>
                </c:pt>
                <c:pt idx="12">
                  <c:v>1.573421846568658E-3</c:v>
                </c:pt>
                <c:pt idx="13">
                  <c:v>1.573421846568658E-3</c:v>
                </c:pt>
                <c:pt idx="14">
                  <c:v>1.573421846568658E-3</c:v>
                </c:pt>
                <c:pt idx="15">
                  <c:v>1.573421846568658E-3</c:v>
                </c:pt>
                <c:pt idx="16">
                  <c:v>1.573421846568658E-3</c:v>
                </c:pt>
                <c:pt idx="17">
                  <c:v>1.573421846568658E-3</c:v>
                </c:pt>
                <c:pt idx="18">
                  <c:v>1.573421846568658E-3</c:v>
                </c:pt>
                <c:pt idx="19">
                  <c:v>1.573421846568658E-3</c:v>
                </c:pt>
                <c:pt idx="20">
                  <c:v>1.573421846568658E-3</c:v>
                </c:pt>
                <c:pt idx="21">
                  <c:v>1.573421846568658E-3</c:v>
                </c:pt>
                <c:pt idx="22">
                  <c:v>1.573421846568658E-3</c:v>
                </c:pt>
                <c:pt idx="23">
                  <c:v>1.573421846568658E-3</c:v>
                </c:pt>
                <c:pt idx="24">
                  <c:v>1.573421846568658E-3</c:v>
                </c:pt>
                <c:pt idx="25">
                  <c:v>1.573421846568658E-3</c:v>
                </c:pt>
                <c:pt idx="26">
                  <c:v>1.573421846568658E-3</c:v>
                </c:pt>
                <c:pt idx="27">
                  <c:v>1.573421846568658E-3</c:v>
                </c:pt>
                <c:pt idx="28">
                  <c:v>1.573421846568658E-3</c:v>
                </c:pt>
                <c:pt idx="29">
                  <c:v>1.573421846568658E-3</c:v>
                </c:pt>
                <c:pt idx="30">
                  <c:v>1.573421846568658E-3</c:v>
                </c:pt>
                <c:pt idx="31">
                  <c:v>1.573421846568658E-3</c:v>
                </c:pt>
                <c:pt idx="32">
                  <c:v>1.573421846568658E-3</c:v>
                </c:pt>
                <c:pt idx="33">
                  <c:v>1.573421846568658E-3</c:v>
                </c:pt>
                <c:pt idx="34">
                  <c:v>1.573421846568658E-3</c:v>
                </c:pt>
                <c:pt idx="35">
                  <c:v>1.573421846568658E-3</c:v>
                </c:pt>
                <c:pt idx="36">
                  <c:v>1.573421846568658E-3</c:v>
                </c:pt>
                <c:pt idx="37">
                  <c:v>1.573421846568658E-3</c:v>
                </c:pt>
                <c:pt idx="38">
                  <c:v>1.573421846568658E-3</c:v>
                </c:pt>
                <c:pt idx="39">
                  <c:v>1.573421846568658E-3</c:v>
                </c:pt>
                <c:pt idx="40">
                  <c:v>1.573421846568658E-3</c:v>
                </c:pt>
                <c:pt idx="41">
                  <c:v>1.573421846568658E-3</c:v>
                </c:pt>
                <c:pt idx="42">
                  <c:v>1.573421846568658E-3</c:v>
                </c:pt>
                <c:pt idx="43">
                  <c:v>1.573421846568658E-3</c:v>
                </c:pt>
                <c:pt idx="44">
                  <c:v>1.573421846568658E-3</c:v>
                </c:pt>
                <c:pt idx="45">
                  <c:v>1.573421846568658E-3</c:v>
                </c:pt>
                <c:pt idx="46">
                  <c:v>1.573421846568658E-3</c:v>
                </c:pt>
                <c:pt idx="47">
                  <c:v>1.573421846568658E-3</c:v>
                </c:pt>
                <c:pt idx="48">
                  <c:v>1.573421846568658E-3</c:v>
                </c:pt>
                <c:pt idx="49">
                  <c:v>1.573421846568658E-3</c:v>
                </c:pt>
                <c:pt idx="50">
                  <c:v>1.573421846568658E-3</c:v>
                </c:pt>
                <c:pt idx="51">
                  <c:v>1.573421846568658E-3</c:v>
                </c:pt>
                <c:pt idx="52">
                  <c:v>1.573421846568658E-3</c:v>
                </c:pt>
                <c:pt idx="53">
                  <c:v>1.573421846568658E-3</c:v>
                </c:pt>
                <c:pt idx="54">
                  <c:v>1.573421846568658E-3</c:v>
                </c:pt>
                <c:pt idx="55">
                  <c:v>1.573421846568658E-3</c:v>
                </c:pt>
                <c:pt idx="56">
                  <c:v>1.573421846568658E-3</c:v>
                </c:pt>
                <c:pt idx="57">
                  <c:v>1.573421846568658E-3</c:v>
                </c:pt>
                <c:pt idx="58">
                  <c:v>1.573421846568658E-3</c:v>
                </c:pt>
                <c:pt idx="59">
                  <c:v>1.573421846568658E-3</c:v>
                </c:pt>
                <c:pt idx="60">
                  <c:v>1.573421846568658E-3</c:v>
                </c:pt>
                <c:pt idx="61">
                  <c:v>1.573421846568658E-3</c:v>
                </c:pt>
                <c:pt idx="62">
                  <c:v>1.573421846568658E-3</c:v>
                </c:pt>
                <c:pt idx="63">
                  <c:v>1.573421846568658E-3</c:v>
                </c:pt>
                <c:pt idx="64">
                  <c:v>1.573421846568658E-3</c:v>
                </c:pt>
                <c:pt idx="65">
                  <c:v>1.573421846568658E-3</c:v>
                </c:pt>
                <c:pt idx="66">
                  <c:v>1.573421846568658E-3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 Depo Charts'!$E$16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 Depo Charts'!$B$17:$B$83</c:f>
              <c:numCache>
                <c:formatCode>ddd\,\ dd\-mmm\-yyyy</c:formatCode>
                <c:ptCount val="67"/>
                <c:pt idx="0">
                  <c:v>41887</c:v>
                </c:pt>
                <c:pt idx="1">
                  <c:v>41890</c:v>
                </c:pt>
                <c:pt idx="2">
                  <c:v>41891</c:v>
                </c:pt>
                <c:pt idx="3">
                  <c:v>41892</c:v>
                </c:pt>
                <c:pt idx="4">
                  <c:v>41893</c:v>
                </c:pt>
                <c:pt idx="5">
                  <c:v>41894</c:v>
                </c:pt>
                <c:pt idx="6">
                  <c:v>41897</c:v>
                </c:pt>
                <c:pt idx="7">
                  <c:v>41898</c:v>
                </c:pt>
                <c:pt idx="8">
                  <c:v>41899</c:v>
                </c:pt>
                <c:pt idx="9">
                  <c:v>41900</c:v>
                </c:pt>
                <c:pt idx="10">
                  <c:v>41901</c:v>
                </c:pt>
                <c:pt idx="11">
                  <c:v>41904</c:v>
                </c:pt>
                <c:pt idx="12">
                  <c:v>41905</c:v>
                </c:pt>
                <c:pt idx="13">
                  <c:v>41906</c:v>
                </c:pt>
                <c:pt idx="14">
                  <c:v>41907</c:v>
                </c:pt>
                <c:pt idx="15">
                  <c:v>41908</c:v>
                </c:pt>
                <c:pt idx="16">
                  <c:v>41911</c:v>
                </c:pt>
                <c:pt idx="17">
                  <c:v>41912</c:v>
                </c:pt>
                <c:pt idx="18">
                  <c:v>41913</c:v>
                </c:pt>
                <c:pt idx="19">
                  <c:v>41914</c:v>
                </c:pt>
                <c:pt idx="20">
                  <c:v>41915</c:v>
                </c:pt>
                <c:pt idx="21">
                  <c:v>41918</c:v>
                </c:pt>
                <c:pt idx="22">
                  <c:v>41919</c:v>
                </c:pt>
                <c:pt idx="23">
                  <c:v>41920</c:v>
                </c:pt>
                <c:pt idx="24">
                  <c:v>41921</c:v>
                </c:pt>
                <c:pt idx="25">
                  <c:v>41922</c:v>
                </c:pt>
                <c:pt idx="26">
                  <c:v>41925</c:v>
                </c:pt>
                <c:pt idx="27">
                  <c:v>41926</c:v>
                </c:pt>
                <c:pt idx="28">
                  <c:v>41927</c:v>
                </c:pt>
                <c:pt idx="29">
                  <c:v>41928</c:v>
                </c:pt>
                <c:pt idx="30">
                  <c:v>41929</c:v>
                </c:pt>
                <c:pt idx="31">
                  <c:v>41932</c:v>
                </c:pt>
                <c:pt idx="32">
                  <c:v>41933</c:v>
                </c:pt>
                <c:pt idx="33">
                  <c:v>41934</c:v>
                </c:pt>
                <c:pt idx="34">
                  <c:v>41935</c:v>
                </c:pt>
                <c:pt idx="35">
                  <c:v>41936</c:v>
                </c:pt>
                <c:pt idx="36">
                  <c:v>41939</c:v>
                </c:pt>
                <c:pt idx="37">
                  <c:v>41940</c:v>
                </c:pt>
                <c:pt idx="38">
                  <c:v>41941</c:v>
                </c:pt>
                <c:pt idx="39">
                  <c:v>41942</c:v>
                </c:pt>
                <c:pt idx="40">
                  <c:v>41943</c:v>
                </c:pt>
                <c:pt idx="41">
                  <c:v>41946</c:v>
                </c:pt>
                <c:pt idx="42">
                  <c:v>41947</c:v>
                </c:pt>
                <c:pt idx="43">
                  <c:v>41948</c:v>
                </c:pt>
                <c:pt idx="44">
                  <c:v>41949</c:v>
                </c:pt>
                <c:pt idx="45">
                  <c:v>41950</c:v>
                </c:pt>
                <c:pt idx="46">
                  <c:v>41953</c:v>
                </c:pt>
                <c:pt idx="47">
                  <c:v>41954</c:v>
                </c:pt>
                <c:pt idx="48">
                  <c:v>41955</c:v>
                </c:pt>
                <c:pt idx="49">
                  <c:v>41956</c:v>
                </c:pt>
                <c:pt idx="50">
                  <c:v>41957</c:v>
                </c:pt>
                <c:pt idx="51">
                  <c:v>41960</c:v>
                </c:pt>
                <c:pt idx="52">
                  <c:v>41961</c:v>
                </c:pt>
                <c:pt idx="53">
                  <c:v>41962</c:v>
                </c:pt>
                <c:pt idx="54">
                  <c:v>41963</c:v>
                </c:pt>
                <c:pt idx="55">
                  <c:v>41964</c:v>
                </c:pt>
                <c:pt idx="56">
                  <c:v>41967</c:v>
                </c:pt>
                <c:pt idx="57">
                  <c:v>41968</c:v>
                </c:pt>
                <c:pt idx="58">
                  <c:v>41969</c:v>
                </c:pt>
                <c:pt idx="59">
                  <c:v>41970</c:v>
                </c:pt>
                <c:pt idx="60">
                  <c:v>41971</c:v>
                </c:pt>
                <c:pt idx="61">
                  <c:v>41974</c:v>
                </c:pt>
                <c:pt idx="62">
                  <c:v>41975</c:v>
                </c:pt>
                <c:pt idx="63">
                  <c:v>41976</c:v>
                </c:pt>
                <c:pt idx="64">
                  <c:v>41977</c:v>
                </c:pt>
                <c:pt idx="65">
                  <c:v>41978</c:v>
                </c:pt>
                <c:pt idx="66">
                  <c:v>41981</c:v>
                </c:pt>
              </c:numCache>
            </c:numRef>
          </c:cat>
          <c:val>
            <c:numRef>
              <c:f>'3M Depo Charts'!$E$17:$E$114</c:f>
              <c:numCache>
                <c:formatCode>0.0000%</c:formatCode>
                <c:ptCount val="98"/>
                <c:pt idx="0">
                  <c:v>2.0062260700147638E-3</c:v>
                </c:pt>
                <c:pt idx="1">
                  <c:v>1.977689527809526E-3</c:v>
                </c:pt>
                <c:pt idx="2">
                  <c:v>1.9681773470744466E-3</c:v>
                </c:pt>
                <c:pt idx="3">
                  <c:v>1.9586651663393677E-3</c:v>
                </c:pt>
                <c:pt idx="4">
                  <c:v>1.9491529856042883E-3</c:v>
                </c:pt>
                <c:pt idx="5">
                  <c:v>1.9396408048692091E-3</c:v>
                </c:pt>
                <c:pt idx="6">
                  <c:v>1.9111042626639716E-3</c:v>
                </c:pt>
                <c:pt idx="7">
                  <c:v>1.9015920819288922E-3</c:v>
                </c:pt>
                <c:pt idx="8">
                  <c:v>1.892079901193813E-3</c:v>
                </c:pt>
                <c:pt idx="9">
                  <c:v>1.8825677204587338E-3</c:v>
                </c:pt>
                <c:pt idx="10">
                  <c:v>1.8730555397236544E-3</c:v>
                </c:pt>
                <c:pt idx="11">
                  <c:v>1.8445189975184169E-3</c:v>
                </c:pt>
                <c:pt idx="12">
                  <c:v>1.8350068167833375E-3</c:v>
                </c:pt>
                <c:pt idx="13">
                  <c:v>1.8254946360482583E-3</c:v>
                </c:pt>
                <c:pt idx="14">
                  <c:v>1.8159824553131791E-3</c:v>
                </c:pt>
                <c:pt idx="15">
                  <c:v>1.8064702745781E-3</c:v>
                </c:pt>
                <c:pt idx="16">
                  <c:v>1.7779337323728622E-3</c:v>
                </c:pt>
                <c:pt idx="17">
                  <c:v>1.768421551637783E-3</c:v>
                </c:pt>
                <c:pt idx="18">
                  <c:v>1.7589093709027039E-3</c:v>
                </c:pt>
                <c:pt idx="19">
                  <c:v>1.7493971901676245E-3</c:v>
                </c:pt>
                <c:pt idx="20">
                  <c:v>1.7398850094325453E-3</c:v>
                </c:pt>
                <c:pt idx="21">
                  <c:v>1.7113484672273075E-3</c:v>
                </c:pt>
                <c:pt idx="22">
                  <c:v>1.7018362864922284E-3</c:v>
                </c:pt>
                <c:pt idx="23">
                  <c:v>1.692324105757149E-3</c:v>
                </c:pt>
                <c:pt idx="24">
                  <c:v>1.6828119250220698E-3</c:v>
                </c:pt>
                <c:pt idx="25">
                  <c:v>1.6732997442869906E-3</c:v>
                </c:pt>
                <c:pt idx="26">
                  <c:v>1.6447632020817528E-3</c:v>
                </c:pt>
                <c:pt idx="27">
                  <c:v>1.6352510213466737E-3</c:v>
                </c:pt>
                <c:pt idx="28">
                  <c:v>1.6257388406115945E-3</c:v>
                </c:pt>
                <c:pt idx="29">
                  <c:v>1.6162266598765151E-3</c:v>
                </c:pt>
                <c:pt idx="30">
                  <c:v>1.6067144791414359E-3</c:v>
                </c:pt>
                <c:pt idx="31">
                  <c:v>1.5781779369361984E-3</c:v>
                </c:pt>
                <c:pt idx="32">
                  <c:v>1.568665756201119E-3</c:v>
                </c:pt>
                <c:pt idx="33">
                  <c:v>1.5591535754660398E-3</c:v>
                </c:pt>
                <c:pt idx="34">
                  <c:v>1.5496413947309606E-3</c:v>
                </c:pt>
                <c:pt idx="35">
                  <c:v>1.5401292139958812E-3</c:v>
                </c:pt>
                <c:pt idx="36">
                  <c:v>1.5115926717906437E-3</c:v>
                </c:pt>
                <c:pt idx="37">
                  <c:v>1.5020804910555645E-3</c:v>
                </c:pt>
                <c:pt idx="38">
                  <c:v>1.4925683103204851E-3</c:v>
                </c:pt>
                <c:pt idx="39">
                  <c:v>1.4830561295854059E-3</c:v>
                </c:pt>
                <c:pt idx="40">
                  <c:v>1.4735439488503268E-3</c:v>
                </c:pt>
                <c:pt idx="41">
                  <c:v>1.445007406645089E-3</c:v>
                </c:pt>
                <c:pt idx="42">
                  <c:v>1.4354952259100098E-3</c:v>
                </c:pt>
                <c:pt idx="43">
                  <c:v>1.4259830451749307E-3</c:v>
                </c:pt>
                <c:pt idx="44">
                  <c:v>1.4164708644398513E-3</c:v>
                </c:pt>
                <c:pt idx="45">
                  <c:v>1.4069586837047719E-3</c:v>
                </c:pt>
                <c:pt idx="46">
                  <c:v>1.3784221414995343E-3</c:v>
                </c:pt>
                <c:pt idx="47">
                  <c:v>1.3689099607644552E-3</c:v>
                </c:pt>
                <c:pt idx="48">
                  <c:v>1.3593977800293758E-3</c:v>
                </c:pt>
                <c:pt idx="49">
                  <c:v>1.3498855992942968E-3</c:v>
                </c:pt>
                <c:pt idx="50">
                  <c:v>1.3403734185592174E-3</c:v>
                </c:pt>
                <c:pt idx="51">
                  <c:v>1.3118368763539797E-3</c:v>
                </c:pt>
                <c:pt idx="52">
                  <c:v>1.3023246956189005E-3</c:v>
                </c:pt>
                <c:pt idx="53">
                  <c:v>1.2928125148838213E-3</c:v>
                </c:pt>
                <c:pt idx="54">
                  <c:v>1.2833003341487419E-3</c:v>
                </c:pt>
                <c:pt idx="55">
                  <c:v>1.2737881534136629E-3</c:v>
                </c:pt>
                <c:pt idx="56">
                  <c:v>1.2452516112084252E-3</c:v>
                </c:pt>
                <c:pt idx="57">
                  <c:v>1.2357394304733458E-3</c:v>
                </c:pt>
                <c:pt idx="58">
                  <c:v>1.2262272497382666E-3</c:v>
                </c:pt>
                <c:pt idx="59">
                  <c:v>1.2167150690031874E-3</c:v>
                </c:pt>
                <c:pt idx="60">
                  <c:v>1.207202888268108E-3</c:v>
                </c:pt>
                <c:pt idx="61">
                  <c:v>1.1786663460628705E-3</c:v>
                </c:pt>
                <c:pt idx="62">
                  <c:v>1.1691541653277913E-3</c:v>
                </c:pt>
                <c:pt idx="63">
                  <c:v>1.1596419845927119E-3</c:v>
                </c:pt>
                <c:pt idx="64">
                  <c:v>1.150129803857633E-3</c:v>
                </c:pt>
                <c:pt idx="65">
                  <c:v>1.1406176231225536E-3</c:v>
                </c:pt>
                <c:pt idx="66">
                  <c:v>1.1120810809173158E-3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 Depo Charts'!$F$16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 Depo Charts'!$B$17:$B$83</c:f>
              <c:numCache>
                <c:formatCode>ddd\,\ dd\-mmm\-yyyy</c:formatCode>
                <c:ptCount val="67"/>
                <c:pt idx="0">
                  <c:v>41887</c:v>
                </c:pt>
                <c:pt idx="1">
                  <c:v>41890</c:v>
                </c:pt>
                <c:pt idx="2">
                  <c:v>41891</c:v>
                </c:pt>
                <c:pt idx="3">
                  <c:v>41892</c:v>
                </c:pt>
                <c:pt idx="4">
                  <c:v>41893</c:v>
                </c:pt>
                <c:pt idx="5">
                  <c:v>41894</c:v>
                </c:pt>
                <c:pt idx="6">
                  <c:v>41897</c:v>
                </c:pt>
                <c:pt idx="7">
                  <c:v>41898</c:v>
                </c:pt>
                <c:pt idx="8">
                  <c:v>41899</c:v>
                </c:pt>
                <c:pt idx="9">
                  <c:v>41900</c:v>
                </c:pt>
                <c:pt idx="10">
                  <c:v>41901</c:v>
                </c:pt>
                <c:pt idx="11">
                  <c:v>41904</c:v>
                </c:pt>
                <c:pt idx="12">
                  <c:v>41905</c:v>
                </c:pt>
                <c:pt idx="13">
                  <c:v>41906</c:v>
                </c:pt>
                <c:pt idx="14">
                  <c:v>41907</c:v>
                </c:pt>
                <c:pt idx="15">
                  <c:v>41908</c:v>
                </c:pt>
                <c:pt idx="16">
                  <c:v>41911</c:v>
                </c:pt>
                <c:pt idx="17">
                  <c:v>41912</c:v>
                </c:pt>
                <c:pt idx="18">
                  <c:v>41913</c:v>
                </c:pt>
                <c:pt idx="19">
                  <c:v>41914</c:v>
                </c:pt>
                <c:pt idx="20">
                  <c:v>41915</c:v>
                </c:pt>
                <c:pt idx="21">
                  <c:v>41918</c:v>
                </c:pt>
                <c:pt idx="22">
                  <c:v>41919</c:v>
                </c:pt>
                <c:pt idx="23">
                  <c:v>41920</c:v>
                </c:pt>
                <c:pt idx="24">
                  <c:v>41921</c:v>
                </c:pt>
                <c:pt idx="25">
                  <c:v>41922</c:v>
                </c:pt>
                <c:pt idx="26">
                  <c:v>41925</c:v>
                </c:pt>
                <c:pt idx="27">
                  <c:v>41926</c:v>
                </c:pt>
                <c:pt idx="28">
                  <c:v>41927</c:v>
                </c:pt>
                <c:pt idx="29">
                  <c:v>41928</c:v>
                </c:pt>
                <c:pt idx="30">
                  <c:v>41929</c:v>
                </c:pt>
                <c:pt idx="31">
                  <c:v>41932</c:v>
                </c:pt>
                <c:pt idx="32">
                  <c:v>41933</c:v>
                </c:pt>
                <c:pt idx="33">
                  <c:v>41934</c:v>
                </c:pt>
                <c:pt idx="34">
                  <c:v>41935</c:v>
                </c:pt>
                <c:pt idx="35">
                  <c:v>41936</c:v>
                </c:pt>
                <c:pt idx="36">
                  <c:v>41939</c:v>
                </c:pt>
                <c:pt idx="37">
                  <c:v>41940</c:v>
                </c:pt>
                <c:pt idx="38">
                  <c:v>41941</c:v>
                </c:pt>
                <c:pt idx="39">
                  <c:v>41942</c:v>
                </c:pt>
                <c:pt idx="40">
                  <c:v>41943</c:v>
                </c:pt>
                <c:pt idx="41">
                  <c:v>41946</c:v>
                </c:pt>
                <c:pt idx="42">
                  <c:v>41947</c:v>
                </c:pt>
                <c:pt idx="43">
                  <c:v>41948</c:v>
                </c:pt>
                <c:pt idx="44">
                  <c:v>41949</c:v>
                </c:pt>
                <c:pt idx="45">
                  <c:v>41950</c:v>
                </c:pt>
                <c:pt idx="46">
                  <c:v>41953</c:v>
                </c:pt>
                <c:pt idx="47">
                  <c:v>41954</c:v>
                </c:pt>
                <c:pt idx="48">
                  <c:v>41955</c:v>
                </c:pt>
                <c:pt idx="49">
                  <c:v>41956</c:v>
                </c:pt>
                <c:pt idx="50">
                  <c:v>41957</c:v>
                </c:pt>
                <c:pt idx="51">
                  <c:v>41960</c:v>
                </c:pt>
                <c:pt idx="52">
                  <c:v>41961</c:v>
                </c:pt>
                <c:pt idx="53">
                  <c:v>41962</c:v>
                </c:pt>
                <c:pt idx="54">
                  <c:v>41963</c:v>
                </c:pt>
                <c:pt idx="55">
                  <c:v>41964</c:v>
                </c:pt>
                <c:pt idx="56">
                  <c:v>41967</c:v>
                </c:pt>
                <c:pt idx="57">
                  <c:v>41968</c:v>
                </c:pt>
                <c:pt idx="58">
                  <c:v>41969</c:v>
                </c:pt>
                <c:pt idx="59">
                  <c:v>41970</c:v>
                </c:pt>
                <c:pt idx="60">
                  <c:v>41971</c:v>
                </c:pt>
                <c:pt idx="61">
                  <c:v>41974</c:v>
                </c:pt>
                <c:pt idx="62">
                  <c:v>41975</c:v>
                </c:pt>
                <c:pt idx="63">
                  <c:v>41976</c:v>
                </c:pt>
                <c:pt idx="64">
                  <c:v>41977</c:v>
                </c:pt>
                <c:pt idx="65">
                  <c:v>41978</c:v>
                </c:pt>
                <c:pt idx="66">
                  <c:v>41981</c:v>
                </c:pt>
              </c:numCache>
            </c:numRef>
          </c:cat>
          <c:val>
            <c:numRef>
              <c:f>'3M Depo Charts'!$F$17:$F$114</c:f>
              <c:numCache>
                <c:formatCode>0.0000%</c:formatCode>
                <c:ptCount val="98"/>
                <c:pt idx="0">
                  <c:v>2.3381129886553805E-3</c:v>
                </c:pt>
                <c:pt idx="1">
                  <c:v>2.2578851378446995E-3</c:v>
                </c:pt>
                <c:pt idx="2">
                  <c:v>2.2318317383558783E-3</c:v>
                </c:pt>
                <c:pt idx="3">
                  <c:v>2.2061229475910937E-3</c:v>
                </c:pt>
                <c:pt idx="4">
                  <c:v>2.180758765550345E-3</c:v>
                </c:pt>
                <c:pt idx="5">
                  <c:v>2.1557391922336325E-3</c:v>
                </c:pt>
                <c:pt idx="6">
                  <c:v>2.0827481246277137E-3</c:v>
                </c:pt>
                <c:pt idx="7">
                  <c:v>2.0591069862071465E-3</c:v>
                </c:pt>
                <c:pt idx="8">
                  <c:v>2.0358104565106161E-3</c:v>
                </c:pt>
                <c:pt idx="9">
                  <c:v>2.0128585355381214E-3</c:v>
                </c:pt>
                <c:pt idx="10">
                  <c:v>1.990251223289663E-3</c:v>
                </c:pt>
                <c:pt idx="11">
                  <c:v>1.9244969388885059E-3</c:v>
                </c:pt>
                <c:pt idx="12">
                  <c:v>1.9032680615361931E-3</c:v>
                </c:pt>
                <c:pt idx="13">
                  <c:v>1.8823837929079163E-3</c:v>
                </c:pt>
                <c:pt idx="14">
                  <c:v>1.8618441330036757E-3</c:v>
                </c:pt>
                <c:pt idx="15">
                  <c:v>1.8416490818234715E-3</c:v>
                </c:pt>
                <c:pt idx="16">
                  <c:v>1.7831315806270767E-3</c:v>
                </c:pt>
                <c:pt idx="17">
                  <c:v>1.7643149643430174E-3</c:v>
                </c:pt>
                <c:pt idx="18">
                  <c:v>1.7458429567829945E-3</c:v>
                </c:pt>
                <c:pt idx="19">
                  <c:v>1.7277155579470081E-3</c:v>
                </c:pt>
                <c:pt idx="20">
                  <c:v>1.7099327678350579E-3</c:v>
                </c:pt>
                <c:pt idx="21">
                  <c:v>1.658652049843425E-3</c:v>
                </c:pt>
                <c:pt idx="22">
                  <c:v>1.6422476946276196E-3</c:v>
                </c:pt>
                <c:pt idx="23">
                  <c:v>1.6261879481358509E-3</c:v>
                </c:pt>
                <c:pt idx="24">
                  <c:v>1.6104728103681185E-3</c:v>
                </c:pt>
                <c:pt idx="25">
                  <c:v>1.5951022813244222E-3</c:v>
                </c:pt>
                <c:pt idx="26">
                  <c:v>1.5510583465375514E-3</c:v>
                </c:pt>
                <c:pt idx="27">
                  <c:v>1.5370662523900001E-3</c:v>
                </c:pt>
                <c:pt idx="28">
                  <c:v>1.5234187669664855E-3</c:v>
                </c:pt>
                <c:pt idx="29">
                  <c:v>1.5101158902670071E-3</c:v>
                </c:pt>
                <c:pt idx="30">
                  <c:v>1.4971576222915645E-3</c:v>
                </c:pt>
                <c:pt idx="31">
                  <c:v>1.4603504707094556E-3</c:v>
                </c:pt>
                <c:pt idx="32">
                  <c:v>1.4487706376301586E-3</c:v>
                </c:pt>
                <c:pt idx="33">
                  <c:v>1.4375354132748976E-3</c:v>
                </c:pt>
                <c:pt idx="34">
                  <c:v>1.4266447976436735E-3</c:v>
                </c:pt>
                <c:pt idx="35">
                  <c:v>1.4160987907364849E-3</c:v>
                </c:pt>
                <c:pt idx="36">
                  <c:v>1.3865284223591383E-3</c:v>
                </c:pt>
                <c:pt idx="37">
                  <c:v>1.3773608503480951E-3</c:v>
                </c:pt>
                <c:pt idx="38">
                  <c:v>1.3685378870610882E-3</c:v>
                </c:pt>
                <c:pt idx="39">
                  <c:v>1.3600595324981179E-3</c:v>
                </c:pt>
                <c:pt idx="40">
                  <c:v>1.3519257866591835E-3</c:v>
                </c:pt>
                <c:pt idx="41">
                  <c:v>1.3295922014865988E-3</c:v>
                </c:pt>
                <c:pt idx="42">
                  <c:v>1.3228368905438097E-3</c:v>
                </c:pt>
                <c:pt idx="43">
                  <c:v>1.3164261883250568E-3</c:v>
                </c:pt>
                <c:pt idx="44">
                  <c:v>1.3103600948303402E-3</c:v>
                </c:pt>
                <c:pt idx="45">
                  <c:v>1.30463861005966E-3</c:v>
                </c:pt>
                <c:pt idx="46">
                  <c:v>1.2895418080918371E-3</c:v>
                </c:pt>
                <c:pt idx="47">
                  <c:v>1.2851987582173021E-3</c:v>
                </c:pt>
                <c:pt idx="48">
                  <c:v>1.2812003170668033E-3</c:v>
                </c:pt>
                <c:pt idx="49">
                  <c:v>1.2775464846403407E-3</c:v>
                </c:pt>
                <c:pt idx="50">
                  <c:v>1.2742372609379146E-3</c:v>
                </c:pt>
                <c:pt idx="51">
                  <c:v>1.2663772421748539E-3</c:v>
                </c:pt>
                <c:pt idx="52">
                  <c:v>1.2644464533685725E-3</c:v>
                </c:pt>
                <c:pt idx="53">
                  <c:v>1.2628602732863278E-3</c:v>
                </c:pt>
                <c:pt idx="54">
                  <c:v>1.2616187019281193E-3</c:v>
                </c:pt>
                <c:pt idx="55">
                  <c:v>1.260721739293947E-3</c:v>
                </c:pt>
                <c:pt idx="56">
                  <c:v>1.2600985037356481E-3</c:v>
                </c:pt>
                <c:pt idx="57">
                  <c:v>1.260579975997621E-3</c:v>
                </c:pt>
                <c:pt idx="58">
                  <c:v>1.2614060569836306E-3</c:v>
                </c:pt>
                <c:pt idx="59">
                  <c:v>1.2625767466936759E-3</c:v>
                </c:pt>
                <c:pt idx="60">
                  <c:v>1.2640920451277575E-3</c:v>
                </c:pt>
                <c:pt idx="61">
                  <c:v>1.2707055927742206E-3</c:v>
                </c:pt>
                <c:pt idx="62">
                  <c:v>1.2735993261044475E-3</c:v>
                </c:pt>
                <c:pt idx="63">
                  <c:v>1.2768376681587109E-3</c:v>
                </c:pt>
                <c:pt idx="64">
                  <c:v>1.2804206189370101E-3</c:v>
                </c:pt>
                <c:pt idx="65">
                  <c:v>1.284348178439346E-3</c:v>
                </c:pt>
                <c:pt idx="66">
                  <c:v>1.2981985092905711E-3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'3M Depo Charts'!$G$16</c:f>
              <c:strCache>
                <c:ptCount val="1"/>
                <c:pt idx="0">
                  <c:v>cubic</c:v>
                </c:pt>
              </c:strCache>
            </c:strRef>
          </c:tx>
          <c:marker>
            <c:symbol val="none"/>
          </c:marker>
          <c:cat>
            <c:numRef>
              <c:f>'3M Depo Charts'!$B$17:$B$83</c:f>
              <c:numCache>
                <c:formatCode>ddd\,\ dd\-mmm\-yyyy</c:formatCode>
                <c:ptCount val="67"/>
                <c:pt idx="0">
                  <c:v>41887</c:v>
                </c:pt>
                <c:pt idx="1">
                  <c:v>41890</c:v>
                </c:pt>
                <c:pt idx="2">
                  <c:v>41891</c:v>
                </c:pt>
                <c:pt idx="3">
                  <c:v>41892</c:v>
                </c:pt>
                <c:pt idx="4">
                  <c:v>41893</c:v>
                </c:pt>
                <c:pt idx="5">
                  <c:v>41894</c:v>
                </c:pt>
                <c:pt idx="6">
                  <c:v>41897</c:v>
                </c:pt>
                <c:pt idx="7">
                  <c:v>41898</c:v>
                </c:pt>
                <c:pt idx="8">
                  <c:v>41899</c:v>
                </c:pt>
                <c:pt idx="9">
                  <c:v>41900</c:v>
                </c:pt>
                <c:pt idx="10">
                  <c:v>41901</c:v>
                </c:pt>
                <c:pt idx="11">
                  <c:v>41904</c:v>
                </c:pt>
                <c:pt idx="12">
                  <c:v>41905</c:v>
                </c:pt>
                <c:pt idx="13">
                  <c:v>41906</c:v>
                </c:pt>
                <c:pt idx="14">
                  <c:v>41907</c:v>
                </c:pt>
                <c:pt idx="15">
                  <c:v>41908</c:v>
                </c:pt>
                <c:pt idx="16">
                  <c:v>41911</c:v>
                </c:pt>
                <c:pt idx="17">
                  <c:v>41912</c:v>
                </c:pt>
                <c:pt idx="18">
                  <c:v>41913</c:v>
                </c:pt>
                <c:pt idx="19">
                  <c:v>41914</c:v>
                </c:pt>
                <c:pt idx="20">
                  <c:v>41915</c:v>
                </c:pt>
                <c:pt idx="21">
                  <c:v>41918</c:v>
                </c:pt>
                <c:pt idx="22">
                  <c:v>41919</c:v>
                </c:pt>
                <c:pt idx="23">
                  <c:v>41920</c:v>
                </c:pt>
                <c:pt idx="24">
                  <c:v>41921</c:v>
                </c:pt>
                <c:pt idx="25">
                  <c:v>41922</c:v>
                </c:pt>
                <c:pt idx="26">
                  <c:v>41925</c:v>
                </c:pt>
                <c:pt idx="27">
                  <c:v>41926</c:v>
                </c:pt>
                <c:pt idx="28">
                  <c:v>41927</c:v>
                </c:pt>
                <c:pt idx="29">
                  <c:v>41928</c:v>
                </c:pt>
                <c:pt idx="30">
                  <c:v>41929</c:v>
                </c:pt>
                <c:pt idx="31">
                  <c:v>41932</c:v>
                </c:pt>
                <c:pt idx="32">
                  <c:v>41933</c:v>
                </c:pt>
                <c:pt idx="33">
                  <c:v>41934</c:v>
                </c:pt>
                <c:pt idx="34">
                  <c:v>41935</c:v>
                </c:pt>
                <c:pt idx="35">
                  <c:v>41936</c:v>
                </c:pt>
                <c:pt idx="36">
                  <c:v>41939</c:v>
                </c:pt>
                <c:pt idx="37">
                  <c:v>41940</c:v>
                </c:pt>
                <c:pt idx="38">
                  <c:v>41941</c:v>
                </c:pt>
                <c:pt idx="39">
                  <c:v>41942</c:v>
                </c:pt>
                <c:pt idx="40">
                  <c:v>41943</c:v>
                </c:pt>
                <c:pt idx="41">
                  <c:v>41946</c:v>
                </c:pt>
                <c:pt idx="42">
                  <c:v>41947</c:v>
                </c:pt>
                <c:pt idx="43">
                  <c:v>41948</c:v>
                </c:pt>
                <c:pt idx="44">
                  <c:v>41949</c:v>
                </c:pt>
                <c:pt idx="45">
                  <c:v>41950</c:v>
                </c:pt>
                <c:pt idx="46">
                  <c:v>41953</c:v>
                </c:pt>
                <c:pt idx="47">
                  <c:v>41954</c:v>
                </c:pt>
                <c:pt idx="48">
                  <c:v>41955</c:v>
                </c:pt>
                <c:pt idx="49">
                  <c:v>41956</c:v>
                </c:pt>
                <c:pt idx="50">
                  <c:v>41957</c:v>
                </c:pt>
                <c:pt idx="51">
                  <c:v>41960</c:v>
                </c:pt>
                <c:pt idx="52">
                  <c:v>41961</c:v>
                </c:pt>
                <c:pt idx="53">
                  <c:v>41962</c:v>
                </c:pt>
                <c:pt idx="54">
                  <c:v>41963</c:v>
                </c:pt>
                <c:pt idx="55">
                  <c:v>41964</c:v>
                </c:pt>
                <c:pt idx="56">
                  <c:v>41967</c:v>
                </c:pt>
                <c:pt idx="57">
                  <c:v>41968</c:v>
                </c:pt>
                <c:pt idx="58">
                  <c:v>41969</c:v>
                </c:pt>
                <c:pt idx="59">
                  <c:v>41970</c:v>
                </c:pt>
                <c:pt idx="60">
                  <c:v>41971</c:v>
                </c:pt>
                <c:pt idx="61">
                  <c:v>41974</c:v>
                </c:pt>
                <c:pt idx="62">
                  <c:v>41975</c:v>
                </c:pt>
                <c:pt idx="63">
                  <c:v>41976</c:v>
                </c:pt>
                <c:pt idx="64">
                  <c:v>41977</c:v>
                </c:pt>
                <c:pt idx="65">
                  <c:v>41978</c:v>
                </c:pt>
                <c:pt idx="66">
                  <c:v>41981</c:v>
                </c:pt>
              </c:numCache>
            </c:numRef>
          </c:cat>
          <c:val>
            <c:numRef>
              <c:f>'3M Depo Charts'!$G$17:$G$83</c:f>
              <c:numCache>
                <c:formatCode>0.0000%</c:formatCode>
                <c:ptCount val="67"/>
                <c:pt idx="0">
                  <c:v>2.49824692004336E-3</c:v>
                </c:pt>
                <c:pt idx="1">
                  <c:v>2.3734433279779029E-3</c:v>
                </c:pt>
                <c:pt idx="2">
                  <c:v>2.3337478379313087E-3</c:v>
                </c:pt>
                <c:pt idx="3">
                  <c:v>2.2949885737155009E-3</c:v>
                </c:pt>
                <c:pt idx="4">
                  <c:v>2.2571555586363874E-3</c:v>
                </c:pt>
                <c:pt idx="5">
                  <c:v>2.2202388159998704E-3</c:v>
                </c:pt>
                <c:pt idx="6">
                  <c:v>2.1148864558049587E-3</c:v>
                </c:pt>
                <c:pt idx="7">
                  <c:v>2.081535035997885E-3</c:v>
                </c:pt>
                <c:pt idx="8">
                  <c:v>2.0490500051629345E-3</c:v>
                </c:pt>
                <c:pt idx="9">
                  <c:v>2.0174213866060121E-3</c:v>
                </c:pt>
                <c:pt idx="10">
                  <c:v>1.9866392036330246E-3</c:v>
                </c:pt>
                <c:pt idx="11">
                  <c:v>1.8992715012767151E-3</c:v>
                </c:pt>
                <c:pt idx="12">
                  <c:v>1.8717752936985143E-3</c:v>
                </c:pt>
                <c:pt idx="13">
                  <c:v>1.8450756382337725E-3</c:v>
                </c:pt>
                <c:pt idx="14">
                  <c:v>1.8191625581883957E-3</c:v>
                </c:pt>
                <c:pt idx="15">
                  <c:v>1.7940260768682886E-3</c:v>
                </c:pt>
                <c:pt idx="16">
                  <c:v>1.723176458318639E-3</c:v>
                </c:pt>
                <c:pt idx="17">
                  <c:v>1.7010466049586629E-3</c:v>
                </c:pt>
                <c:pt idx="18">
                  <c:v>1.6796434668534825E-3</c:v>
                </c:pt>
                <c:pt idx="19">
                  <c:v>1.658957067309003E-3</c:v>
                </c:pt>
                <c:pt idx="20">
                  <c:v>1.6389774296311295E-3</c:v>
                </c:pt>
                <c:pt idx="21">
                  <c:v>1.5831793208561957E-3</c:v>
                </c:pt>
                <c:pt idx="22">
                  <c:v>1.5659269637037969E-3</c:v>
                </c:pt>
                <c:pt idx="23">
                  <c:v>1.5493314849475306E-3</c:v>
                </c:pt>
                <c:pt idx="24">
                  <c:v>1.5333829078933005E-3</c:v>
                </c:pt>
                <c:pt idx="25">
                  <c:v>1.5180712558470124E-3</c:v>
                </c:pt>
                <c:pt idx="26">
                  <c:v>1.4758580828148516E-3</c:v>
                </c:pt>
                <c:pt idx="27">
                  <c:v>1.462994363859383E-3</c:v>
                </c:pt>
                <c:pt idx="28">
                  <c:v>1.4507176864413823E-3</c:v>
                </c:pt>
                <c:pt idx="29">
                  <c:v>1.4390180738667539E-3</c:v>
                </c:pt>
                <c:pt idx="30">
                  <c:v>1.4278855494414039E-3</c:v>
                </c:pt>
                <c:pt idx="31">
                  <c:v>1.3977907381200732E-3</c:v>
                </c:pt>
                <c:pt idx="32">
                  <c:v>1.3888267993508868E-3</c:v>
                </c:pt>
                <c:pt idx="33">
                  <c:v>1.3803800652605041E-3</c:v>
                </c:pt>
                <c:pt idx="34">
                  <c:v>1.3724405591548307E-3</c:v>
                </c:pt>
                <c:pt idx="35">
                  <c:v>1.3649983043397703E-3</c:v>
                </c:pt>
                <c:pt idx="36">
                  <c:v>1.3455552806973267E-3</c:v>
                </c:pt>
                <c:pt idx="37">
                  <c:v>1.3400022641037747E-3</c:v>
                </c:pt>
                <c:pt idx="38">
                  <c:v>1.3348966153303625E-3</c:v>
                </c:pt>
                <c:pt idx="39">
                  <c:v>1.3302283576829949E-3</c:v>
                </c:pt>
                <c:pt idx="40">
                  <c:v>1.325987514467578E-3</c:v>
                </c:pt>
                <c:pt idx="41">
                  <c:v>1.3157297044720782E-3</c:v>
                </c:pt>
                <c:pt idx="42">
                  <c:v>1.3130987520435129E-3</c:v>
                </c:pt>
                <c:pt idx="43">
                  <c:v>1.3108453305764229E-3</c:v>
                </c:pt>
                <c:pt idx="44">
                  <c:v>1.3089594633767148E-3</c:v>
                </c:pt>
                <c:pt idx="45">
                  <c:v>1.3074311737502923E-3</c:v>
                </c:pt>
                <c:pt idx="46">
                  <c:v>1.3048920033697938E-3</c:v>
                </c:pt>
                <c:pt idx="47">
                  <c:v>1.3046942570955674E-3</c:v>
                </c:pt>
                <c:pt idx="48">
                  <c:v>1.3048042049241526E-3</c:v>
                </c:pt>
                <c:pt idx="49">
                  <c:v>1.3052118701614556E-3</c:v>
                </c:pt>
                <c:pt idx="50">
                  <c:v>1.3059072761133802E-3</c:v>
                </c:pt>
                <c:pt idx="51">
                  <c:v>1.3096201713159394E-3</c:v>
                </c:pt>
                <c:pt idx="52">
                  <c:v>1.3113667731854042E-3</c:v>
                </c:pt>
                <c:pt idx="53">
                  <c:v>1.3133512322990172E-3</c:v>
                </c:pt>
                <c:pt idx="54">
                  <c:v>1.315563571962683E-3</c:v>
                </c:pt>
                <c:pt idx="55">
                  <c:v>1.3179938154823077E-3</c:v>
                </c:pt>
                <c:pt idx="56">
                  <c:v>1.3264922022359811E-3</c:v>
                </c:pt>
                <c:pt idx="57">
                  <c:v>1.3296942942384899E-3</c:v>
                </c:pt>
                <c:pt idx="58">
                  <c:v>1.3330644066264824E-3</c:v>
                </c:pt>
                <c:pt idx="59">
                  <c:v>1.3365925627058643E-3</c:v>
                </c:pt>
                <c:pt idx="60">
                  <c:v>1.3402687857825401E-3</c:v>
                </c:pt>
                <c:pt idx="61">
                  <c:v>1.3520860900553854E-3</c:v>
                </c:pt>
                <c:pt idx="62">
                  <c:v>1.3562548141802906E-3</c:v>
                </c:pt>
                <c:pt idx="63">
                  <c:v>1.3605217218320149E-3</c:v>
                </c:pt>
                <c:pt idx="64">
                  <c:v>1.3648768363164645E-3</c:v>
                </c:pt>
                <c:pt idx="65">
                  <c:v>1.3693101809395449E-3</c:v>
                </c:pt>
                <c:pt idx="66">
                  <c:v>1.382979828699619E-3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326016"/>
        <c:axId val="458327552"/>
      </c:lineChart>
      <c:dateAx>
        <c:axId val="45832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58327552"/>
        <c:crosses val="autoZero"/>
        <c:auto val="1"/>
        <c:lblOffset val="100"/>
        <c:baseTimeUnit val="days"/>
      </c:dateAx>
      <c:valAx>
        <c:axId val="458327552"/>
        <c:scaling>
          <c:orientation val="minMax"/>
          <c:max val="2.9000000000000007E-3"/>
          <c:min val="7.0000000000000021E-4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58326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695957276173811"/>
          <c:y val="3.776090488688914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94685039370078"/>
          <c:y val="5.1400554097404488E-2"/>
          <c:w val="0.84861067366579179"/>
          <c:h val="0.71120151647710705"/>
        </c:manualLayout>
      </c:layout>
      <c:lineChart>
        <c:grouping val="standard"/>
        <c:varyColors val="0"/>
        <c:ser>
          <c:idx val="0"/>
          <c:order val="0"/>
          <c:tx>
            <c:strRef>
              <c:f>'3M Depo Charts'!$L$54</c:f>
              <c:strCache>
                <c:ptCount val="1"/>
              </c:strCache>
            </c:strRef>
          </c:tx>
          <c:cat>
            <c:numRef>
              <c:f>'3M Depo Charts'!$K$55:$K$61</c:f>
              <c:numCache>
                <c:formatCode>ddd\,\ dd\-mmm\-yyyy</c:formatCode>
                <c:ptCount val="7"/>
                <c:pt idx="0">
                  <c:v>41890</c:v>
                </c:pt>
                <c:pt idx="1">
                  <c:v>41894</c:v>
                </c:pt>
                <c:pt idx="2">
                  <c:v>41901</c:v>
                </c:pt>
                <c:pt idx="3">
                  <c:v>41908</c:v>
                </c:pt>
                <c:pt idx="4">
                  <c:v>41918</c:v>
                </c:pt>
                <c:pt idx="5">
                  <c:v>41948</c:v>
                </c:pt>
                <c:pt idx="6">
                  <c:v>41978</c:v>
                </c:pt>
              </c:numCache>
            </c:numRef>
          </c:cat>
          <c:val>
            <c:numRef>
              <c:f>'3M Depo Charts'!$L$55:$L$61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1"/>
          <c:order val="1"/>
          <c:tx>
            <c:strRef>
              <c:f>'3M Depo Charts'!$N$54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'3M Depo Charts'!$K$55:$K$61</c:f>
              <c:numCache>
                <c:formatCode>ddd\,\ dd\-mmm\-yyyy</c:formatCode>
                <c:ptCount val="7"/>
                <c:pt idx="0">
                  <c:v>41890</c:v>
                </c:pt>
                <c:pt idx="1">
                  <c:v>41894</c:v>
                </c:pt>
                <c:pt idx="2">
                  <c:v>41901</c:v>
                </c:pt>
                <c:pt idx="3">
                  <c:v>41908</c:v>
                </c:pt>
                <c:pt idx="4">
                  <c:v>41918</c:v>
                </c:pt>
                <c:pt idx="5">
                  <c:v>41948</c:v>
                </c:pt>
                <c:pt idx="6">
                  <c:v>41978</c:v>
                </c:pt>
              </c:numCache>
            </c:numRef>
          </c:cat>
          <c:val>
            <c:numRef>
              <c:f>'3M Depo Charts'!$N$55:$N$61</c:f>
              <c:numCache>
                <c:formatCode>0.0000%</c:formatCode>
                <c:ptCount val="7"/>
                <c:pt idx="0">
                  <c:v>1.8518681205800106E-3</c:v>
                </c:pt>
                <c:pt idx="1">
                  <c:v>1.5718681315948877E-3</c:v>
                </c:pt>
                <c:pt idx="2">
                  <c:v>1.5618681213692873E-3</c:v>
                </c:pt>
                <c:pt idx="3">
                  <c:v>1.5518681220930237E-3</c:v>
                </c:pt>
                <c:pt idx="4">
                  <c:v>1.5658466108938406E-3</c:v>
                </c:pt>
                <c:pt idx="5">
                  <c:v>1.5007204172244883E-3</c:v>
                </c:pt>
                <c:pt idx="6">
                  <c:v>1.5E-3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 Depo Charts'!$O$54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  <a:prstDash val="dash"/>
            </a:ln>
          </c:spPr>
          <c:marker>
            <c:symbol val="triangle"/>
            <c:size val="5"/>
          </c:marker>
          <c:cat>
            <c:numRef>
              <c:f>'3M Depo Charts'!$K$55:$K$61</c:f>
              <c:numCache>
                <c:formatCode>ddd\,\ dd\-mmm\-yyyy</c:formatCode>
                <c:ptCount val="7"/>
                <c:pt idx="0">
                  <c:v>41890</c:v>
                </c:pt>
                <c:pt idx="1">
                  <c:v>41894</c:v>
                </c:pt>
                <c:pt idx="2">
                  <c:v>41901</c:v>
                </c:pt>
                <c:pt idx="3">
                  <c:v>41908</c:v>
                </c:pt>
                <c:pt idx="4">
                  <c:v>41918</c:v>
                </c:pt>
                <c:pt idx="5">
                  <c:v>41948</c:v>
                </c:pt>
                <c:pt idx="6">
                  <c:v>41978</c:v>
                </c:pt>
              </c:numCache>
            </c:numRef>
          </c:cat>
          <c:val>
            <c:numRef>
              <c:f>'3M Depo Charts'!$O$55:$O$61</c:f>
              <c:numCache>
                <c:formatCode>0.0000%</c:formatCode>
                <c:ptCount val="7"/>
                <c:pt idx="0">
                  <c:v>2.2646707037133128E-3</c:v>
                </c:pt>
                <c:pt idx="1">
                  <c:v>1.9659069609494033E-3</c:v>
                </c:pt>
                <c:pt idx="2">
                  <c:v>1.9230703816109265E-3</c:v>
                </c:pt>
                <c:pt idx="3">
                  <c:v>1.8802338132217868E-3</c:v>
                </c:pt>
                <c:pt idx="4">
                  <c:v>1.8473029175756382E-3</c:v>
                </c:pt>
                <c:pt idx="5">
                  <c:v>1.6414485705653875E-3</c:v>
                </c:pt>
                <c:pt idx="6">
                  <c:v>1.5000000000000009E-3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'3M Depo Charts'!$P$54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  <a:prstDash val="sysDash"/>
            </a:ln>
          </c:spPr>
          <c:marker>
            <c:symbol val="square"/>
            <c:size val="5"/>
            <c:spPr>
              <a:solidFill>
                <a:schemeClr val="accent1"/>
              </a:solidFill>
            </c:spPr>
          </c:marker>
          <c:cat>
            <c:numRef>
              <c:f>'3M Depo Charts'!$K$55:$K$61</c:f>
              <c:numCache>
                <c:formatCode>ddd\,\ dd\-mmm\-yyyy</c:formatCode>
                <c:ptCount val="7"/>
                <c:pt idx="0">
                  <c:v>41890</c:v>
                </c:pt>
                <c:pt idx="1">
                  <c:v>41894</c:v>
                </c:pt>
                <c:pt idx="2">
                  <c:v>41901</c:v>
                </c:pt>
                <c:pt idx="3">
                  <c:v>41908</c:v>
                </c:pt>
                <c:pt idx="4">
                  <c:v>41918</c:v>
                </c:pt>
                <c:pt idx="5">
                  <c:v>41948</c:v>
                </c:pt>
                <c:pt idx="6">
                  <c:v>41978</c:v>
                </c:pt>
              </c:numCache>
            </c:numRef>
          </c:cat>
          <c:val>
            <c:numRef>
              <c:f>'3M Depo Charts'!$P$55:$P$61</c:f>
              <c:numCache>
                <c:formatCode>0.0000%</c:formatCode>
                <c:ptCount val="7"/>
                <c:pt idx="0">
                  <c:v>2.5662647059219489E-3</c:v>
                </c:pt>
                <c:pt idx="1">
                  <c:v>2.23475841370714E-3</c:v>
                </c:pt>
                <c:pt idx="2">
                  <c:v>2.1389842695557467E-3</c:v>
                </c:pt>
                <c:pt idx="3">
                  <c:v>2.0487616412778902E-3</c:v>
                </c:pt>
                <c:pt idx="4">
                  <c:v>1.9577665359653525E-3</c:v>
                </c:pt>
                <c:pt idx="5">
                  <c:v>1.6456971712726838E-3</c:v>
                </c:pt>
                <c:pt idx="6">
                  <c:v>1.4999999999999985E-3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'3M Depo Charts'!$Q$54</c:f>
              <c:strCache>
                <c:ptCount val="1"/>
                <c:pt idx="0">
                  <c:v>cubic</c:v>
                </c:pt>
              </c:strCache>
            </c:strRef>
          </c:tx>
          <c:spPr>
            <a:ln>
              <a:noFill/>
            </a:ln>
          </c:spPr>
          <c:cat>
            <c:numRef>
              <c:f>'3M Depo Charts'!$K$55:$K$61</c:f>
              <c:numCache>
                <c:formatCode>ddd\,\ dd\-mmm\-yyyy</c:formatCode>
                <c:ptCount val="7"/>
                <c:pt idx="0">
                  <c:v>41890</c:v>
                </c:pt>
                <c:pt idx="1">
                  <c:v>41894</c:v>
                </c:pt>
                <c:pt idx="2">
                  <c:v>41901</c:v>
                </c:pt>
                <c:pt idx="3">
                  <c:v>41908</c:v>
                </c:pt>
                <c:pt idx="4">
                  <c:v>41918</c:v>
                </c:pt>
                <c:pt idx="5">
                  <c:v>41948</c:v>
                </c:pt>
                <c:pt idx="6">
                  <c:v>41978</c:v>
                </c:pt>
              </c:numCache>
            </c:numRef>
          </c:cat>
          <c:val>
            <c:numRef>
              <c:f>'3M Depo Charts'!$Q$55:$Q$61</c:f>
              <c:numCache>
                <c:formatCode>0.0000%</c:formatCode>
                <c:ptCount val="7"/>
                <c:pt idx="0">
                  <c:v>2.7017663798575E-3</c:v>
                </c:pt>
                <c:pt idx="1">
                  <c:v>2.3431338381199487E-3</c:v>
                </c:pt>
                <c:pt idx="2">
                  <c:v>2.2071246103989727E-3</c:v>
                </c:pt>
                <c:pt idx="3">
                  <c:v>2.0851529241389093E-3</c:v>
                </c:pt>
                <c:pt idx="4">
                  <c:v>1.9618498737411752E-3</c:v>
                </c:pt>
                <c:pt idx="5">
                  <c:v>1.6218350951531289E-3</c:v>
                </c:pt>
                <c:pt idx="6">
                  <c:v>1.4999999999999922E-3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649408"/>
        <c:axId val="459650944"/>
      </c:lineChart>
      <c:dateAx>
        <c:axId val="4596494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459650944"/>
        <c:crosses val="autoZero"/>
        <c:auto val="1"/>
        <c:lblOffset val="100"/>
        <c:baseTimeUnit val="days"/>
        <c:majorUnit val="7"/>
        <c:majorTimeUnit val="days"/>
      </c:dateAx>
      <c:valAx>
        <c:axId val="4596509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59649408"/>
        <c:crosses val="autoZero"/>
        <c:crossBetween val="between"/>
      </c:valAx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4216097987751515"/>
          <c:y val="0.46040276215473064"/>
          <c:w val="0.12891130796150482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 Depo Charts'!$AE$2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 Depo Charts'!$AC$3:$AC$132</c:f>
              <c:numCache>
                <c:formatCode>ddd\,\ dd\-mmm\-yyyy</c:formatCode>
                <c:ptCount val="130"/>
                <c:pt idx="0">
                  <c:v>41887</c:v>
                </c:pt>
                <c:pt idx="1">
                  <c:v>41890</c:v>
                </c:pt>
                <c:pt idx="2">
                  <c:v>41891</c:v>
                </c:pt>
                <c:pt idx="3">
                  <c:v>41892</c:v>
                </c:pt>
                <c:pt idx="4">
                  <c:v>41893</c:v>
                </c:pt>
                <c:pt idx="5">
                  <c:v>41894</c:v>
                </c:pt>
                <c:pt idx="6">
                  <c:v>41897</c:v>
                </c:pt>
                <c:pt idx="7">
                  <c:v>41898</c:v>
                </c:pt>
                <c:pt idx="8">
                  <c:v>41899</c:v>
                </c:pt>
                <c:pt idx="9">
                  <c:v>41900</c:v>
                </c:pt>
                <c:pt idx="10">
                  <c:v>41901</c:v>
                </c:pt>
                <c:pt idx="11">
                  <c:v>41904</c:v>
                </c:pt>
                <c:pt idx="12">
                  <c:v>41905</c:v>
                </c:pt>
                <c:pt idx="13">
                  <c:v>41906</c:v>
                </c:pt>
                <c:pt idx="14">
                  <c:v>41907</c:v>
                </c:pt>
                <c:pt idx="15">
                  <c:v>41908</c:v>
                </c:pt>
                <c:pt idx="16">
                  <c:v>41911</c:v>
                </c:pt>
                <c:pt idx="17">
                  <c:v>41912</c:v>
                </c:pt>
                <c:pt idx="18">
                  <c:v>41913</c:v>
                </c:pt>
                <c:pt idx="19">
                  <c:v>41914</c:v>
                </c:pt>
                <c:pt idx="20">
                  <c:v>41915</c:v>
                </c:pt>
                <c:pt idx="21">
                  <c:v>41918</c:v>
                </c:pt>
                <c:pt idx="22">
                  <c:v>41919</c:v>
                </c:pt>
                <c:pt idx="23">
                  <c:v>41920</c:v>
                </c:pt>
                <c:pt idx="24">
                  <c:v>41921</c:v>
                </c:pt>
                <c:pt idx="25">
                  <c:v>41922</c:v>
                </c:pt>
                <c:pt idx="26">
                  <c:v>41925</c:v>
                </c:pt>
                <c:pt idx="27">
                  <c:v>41926</c:v>
                </c:pt>
                <c:pt idx="28">
                  <c:v>41927</c:v>
                </c:pt>
                <c:pt idx="29">
                  <c:v>41928</c:v>
                </c:pt>
                <c:pt idx="30">
                  <c:v>41929</c:v>
                </c:pt>
                <c:pt idx="31">
                  <c:v>41932</c:v>
                </c:pt>
                <c:pt idx="32">
                  <c:v>41933</c:v>
                </c:pt>
                <c:pt idx="33">
                  <c:v>41934</c:v>
                </c:pt>
                <c:pt idx="34">
                  <c:v>41935</c:v>
                </c:pt>
                <c:pt idx="35">
                  <c:v>41936</c:v>
                </c:pt>
                <c:pt idx="36">
                  <c:v>41939</c:v>
                </c:pt>
                <c:pt idx="37">
                  <c:v>41940</c:v>
                </c:pt>
                <c:pt idx="38">
                  <c:v>41941</c:v>
                </c:pt>
                <c:pt idx="39">
                  <c:v>41942</c:v>
                </c:pt>
                <c:pt idx="40">
                  <c:v>41943</c:v>
                </c:pt>
                <c:pt idx="41">
                  <c:v>41946</c:v>
                </c:pt>
                <c:pt idx="42">
                  <c:v>41947</c:v>
                </c:pt>
                <c:pt idx="43">
                  <c:v>41948</c:v>
                </c:pt>
                <c:pt idx="44">
                  <c:v>41949</c:v>
                </c:pt>
                <c:pt idx="45">
                  <c:v>41950</c:v>
                </c:pt>
                <c:pt idx="46">
                  <c:v>41953</c:v>
                </c:pt>
                <c:pt idx="47">
                  <c:v>41954</c:v>
                </c:pt>
                <c:pt idx="48">
                  <c:v>41955</c:v>
                </c:pt>
                <c:pt idx="49">
                  <c:v>41956</c:v>
                </c:pt>
                <c:pt idx="50">
                  <c:v>41957</c:v>
                </c:pt>
                <c:pt idx="51">
                  <c:v>41960</c:v>
                </c:pt>
                <c:pt idx="52">
                  <c:v>41961</c:v>
                </c:pt>
                <c:pt idx="53">
                  <c:v>41962</c:v>
                </c:pt>
                <c:pt idx="54">
                  <c:v>41963</c:v>
                </c:pt>
                <c:pt idx="55">
                  <c:v>41964</c:v>
                </c:pt>
                <c:pt idx="56">
                  <c:v>41967</c:v>
                </c:pt>
                <c:pt idx="57">
                  <c:v>41968</c:v>
                </c:pt>
                <c:pt idx="58">
                  <c:v>41969</c:v>
                </c:pt>
                <c:pt idx="59">
                  <c:v>41970</c:v>
                </c:pt>
                <c:pt idx="60">
                  <c:v>41971</c:v>
                </c:pt>
                <c:pt idx="61">
                  <c:v>41974</c:v>
                </c:pt>
                <c:pt idx="62">
                  <c:v>41975</c:v>
                </c:pt>
                <c:pt idx="63">
                  <c:v>41976</c:v>
                </c:pt>
                <c:pt idx="64">
                  <c:v>41977</c:v>
                </c:pt>
                <c:pt idx="65">
                  <c:v>41978</c:v>
                </c:pt>
                <c:pt idx="66">
                  <c:v>41981</c:v>
                </c:pt>
                <c:pt idx="67">
                  <c:v>41982</c:v>
                </c:pt>
                <c:pt idx="68">
                  <c:v>41983</c:v>
                </c:pt>
                <c:pt idx="69">
                  <c:v>41984</c:v>
                </c:pt>
                <c:pt idx="70">
                  <c:v>41985</c:v>
                </c:pt>
                <c:pt idx="71">
                  <c:v>41988</c:v>
                </c:pt>
                <c:pt idx="72">
                  <c:v>41989</c:v>
                </c:pt>
                <c:pt idx="73">
                  <c:v>41990</c:v>
                </c:pt>
                <c:pt idx="74">
                  <c:v>41991</c:v>
                </c:pt>
                <c:pt idx="75">
                  <c:v>41992</c:v>
                </c:pt>
                <c:pt idx="76">
                  <c:v>41995</c:v>
                </c:pt>
                <c:pt idx="77">
                  <c:v>41996</c:v>
                </c:pt>
                <c:pt idx="78">
                  <c:v>41997</c:v>
                </c:pt>
                <c:pt idx="79">
                  <c:v>42002</c:v>
                </c:pt>
                <c:pt idx="80">
                  <c:v>42003</c:v>
                </c:pt>
                <c:pt idx="81">
                  <c:v>42004</c:v>
                </c:pt>
                <c:pt idx="82">
                  <c:v>42006</c:v>
                </c:pt>
                <c:pt idx="83">
                  <c:v>42009</c:v>
                </c:pt>
                <c:pt idx="84">
                  <c:v>42010</c:v>
                </c:pt>
                <c:pt idx="85">
                  <c:v>42011</c:v>
                </c:pt>
                <c:pt idx="86">
                  <c:v>42012</c:v>
                </c:pt>
                <c:pt idx="87">
                  <c:v>42013</c:v>
                </c:pt>
                <c:pt idx="88">
                  <c:v>42016</c:v>
                </c:pt>
                <c:pt idx="89">
                  <c:v>42017</c:v>
                </c:pt>
                <c:pt idx="90">
                  <c:v>42018</c:v>
                </c:pt>
                <c:pt idx="91">
                  <c:v>42019</c:v>
                </c:pt>
                <c:pt idx="92">
                  <c:v>42020</c:v>
                </c:pt>
                <c:pt idx="93">
                  <c:v>42023</c:v>
                </c:pt>
                <c:pt idx="94">
                  <c:v>42024</c:v>
                </c:pt>
                <c:pt idx="95">
                  <c:v>42025</c:v>
                </c:pt>
                <c:pt idx="96">
                  <c:v>42026</c:v>
                </c:pt>
                <c:pt idx="97">
                  <c:v>42027</c:v>
                </c:pt>
                <c:pt idx="98">
                  <c:v>42030</c:v>
                </c:pt>
                <c:pt idx="99">
                  <c:v>42031</c:v>
                </c:pt>
                <c:pt idx="100">
                  <c:v>42032</c:v>
                </c:pt>
                <c:pt idx="101">
                  <c:v>42033</c:v>
                </c:pt>
                <c:pt idx="102">
                  <c:v>42034</c:v>
                </c:pt>
                <c:pt idx="103">
                  <c:v>42037</c:v>
                </c:pt>
                <c:pt idx="104">
                  <c:v>42038</c:v>
                </c:pt>
                <c:pt idx="105">
                  <c:v>42039</c:v>
                </c:pt>
                <c:pt idx="106">
                  <c:v>42040</c:v>
                </c:pt>
                <c:pt idx="107">
                  <c:v>42041</c:v>
                </c:pt>
                <c:pt idx="108">
                  <c:v>42044</c:v>
                </c:pt>
                <c:pt idx="109">
                  <c:v>42045</c:v>
                </c:pt>
                <c:pt idx="110">
                  <c:v>42046</c:v>
                </c:pt>
                <c:pt idx="111">
                  <c:v>42047</c:v>
                </c:pt>
                <c:pt idx="112">
                  <c:v>42048</c:v>
                </c:pt>
                <c:pt idx="113">
                  <c:v>42051</c:v>
                </c:pt>
                <c:pt idx="114">
                  <c:v>42052</c:v>
                </c:pt>
                <c:pt idx="115">
                  <c:v>42053</c:v>
                </c:pt>
                <c:pt idx="116">
                  <c:v>42054</c:v>
                </c:pt>
                <c:pt idx="117">
                  <c:v>42055</c:v>
                </c:pt>
                <c:pt idx="118">
                  <c:v>42058</c:v>
                </c:pt>
                <c:pt idx="119">
                  <c:v>42059</c:v>
                </c:pt>
                <c:pt idx="120">
                  <c:v>42060</c:v>
                </c:pt>
                <c:pt idx="121">
                  <c:v>42061</c:v>
                </c:pt>
                <c:pt idx="122">
                  <c:v>42062</c:v>
                </c:pt>
                <c:pt idx="123">
                  <c:v>42065</c:v>
                </c:pt>
                <c:pt idx="124">
                  <c:v>42066</c:v>
                </c:pt>
                <c:pt idx="125">
                  <c:v>42067</c:v>
                </c:pt>
                <c:pt idx="126">
                  <c:v>42068</c:v>
                </c:pt>
                <c:pt idx="127">
                  <c:v>42069</c:v>
                </c:pt>
                <c:pt idx="128">
                  <c:v>42072</c:v>
                </c:pt>
                <c:pt idx="129">
                  <c:v>42073</c:v>
                </c:pt>
              </c:numCache>
            </c:numRef>
          </c:cat>
          <c:val>
            <c:numRef>
              <c:f>'6M Depo Charts'!$AE$3:$AE$132</c:f>
              <c:numCache>
                <c:formatCode>0.0000%</c:formatCode>
                <c:ptCount val="130"/>
                <c:pt idx="0">
                  <c:v>2.5383654918563901E-3</c:v>
                </c:pt>
                <c:pt idx="1">
                  <c:v>2.5383654918563901E-3</c:v>
                </c:pt>
                <c:pt idx="2">
                  <c:v>2.5383654918563901E-3</c:v>
                </c:pt>
                <c:pt idx="3">
                  <c:v>2.5383654918563901E-3</c:v>
                </c:pt>
                <c:pt idx="4">
                  <c:v>2.5383654918563901E-3</c:v>
                </c:pt>
                <c:pt idx="5">
                  <c:v>2.5383654918563901E-3</c:v>
                </c:pt>
                <c:pt idx="6">
                  <c:v>2.5383654918563901E-3</c:v>
                </c:pt>
                <c:pt idx="7">
                  <c:v>2.5383654918563901E-3</c:v>
                </c:pt>
                <c:pt idx="8">
                  <c:v>2.5383654918563901E-3</c:v>
                </c:pt>
                <c:pt idx="9">
                  <c:v>2.5383654918563901E-3</c:v>
                </c:pt>
                <c:pt idx="10">
                  <c:v>2.5383654918563901E-3</c:v>
                </c:pt>
                <c:pt idx="11">
                  <c:v>2.5383654918563901E-3</c:v>
                </c:pt>
                <c:pt idx="12">
                  <c:v>2.5383654918563901E-3</c:v>
                </c:pt>
                <c:pt idx="13">
                  <c:v>2.5383654918563901E-3</c:v>
                </c:pt>
                <c:pt idx="14">
                  <c:v>2.5383654918563901E-3</c:v>
                </c:pt>
                <c:pt idx="15">
                  <c:v>2.5383654918563901E-3</c:v>
                </c:pt>
                <c:pt idx="16">
                  <c:v>2.5383654918563901E-3</c:v>
                </c:pt>
                <c:pt idx="17">
                  <c:v>2.5383654918563901E-3</c:v>
                </c:pt>
                <c:pt idx="18">
                  <c:v>2.5383654918563901E-3</c:v>
                </c:pt>
                <c:pt idx="19">
                  <c:v>2.5383654918563901E-3</c:v>
                </c:pt>
                <c:pt idx="20">
                  <c:v>2.5383654918563901E-3</c:v>
                </c:pt>
                <c:pt idx="21">
                  <c:v>2.5383654918563901E-3</c:v>
                </c:pt>
                <c:pt idx="22">
                  <c:v>2.5383654918563901E-3</c:v>
                </c:pt>
                <c:pt idx="23">
                  <c:v>2.5383654918563901E-3</c:v>
                </c:pt>
                <c:pt idx="24">
                  <c:v>2.5383654918563901E-3</c:v>
                </c:pt>
                <c:pt idx="25">
                  <c:v>2.5383654918563901E-3</c:v>
                </c:pt>
                <c:pt idx="26">
                  <c:v>2.5383654918563901E-3</c:v>
                </c:pt>
                <c:pt idx="27">
                  <c:v>2.5383654918563901E-3</c:v>
                </c:pt>
                <c:pt idx="28">
                  <c:v>2.5383654918563901E-3</c:v>
                </c:pt>
                <c:pt idx="29">
                  <c:v>2.5383654918563901E-3</c:v>
                </c:pt>
                <c:pt idx="30">
                  <c:v>2.5383654918563901E-3</c:v>
                </c:pt>
                <c:pt idx="31">
                  <c:v>2.5383654918563901E-3</c:v>
                </c:pt>
                <c:pt idx="32">
                  <c:v>2.5383654918563901E-3</c:v>
                </c:pt>
                <c:pt idx="33">
                  <c:v>2.5383654918563901E-3</c:v>
                </c:pt>
                <c:pt idx="34">
                  <c:v>2.5383654918563901E-3</c:v>
                </c:pt>
                <c:pt idx="35">
                  <c:v>2.5383654918563901E-3</c:v>
                </c:pt>
                <c:pt idx="36">
                  <c:v>2.5383654918563901E-3</c:v>
                </c:pt>
                <c:pt idx="37">
                  <c:v>2.5383654918563901E-3</c:v>
                </c:pt>
                <c:pt idx="38">
                  <c:v>2.5383654918563901E-3</c:v>
                </c:pt>
                <c:pt idx="39">
                  <c:v>2.5383654918563901E-3</c:v>
                </c:pt>
                <c:pt idx="40">
                  <c:v>2.5383654918563901E-3</c:v>
                </c:pt>
                <c:pt idx="41">
                  <c:v>2.5383654918563901E-3</c:v>
                </c:pt>
                <c:pt idx="42">
                  <c:v>2.5383654918563901E-3</c:v>
                </c:pt>
                <c:pt idx="43">
                  <c:v>2.5383654918563901E-3</c:v>
                </c:pt>
                <c:pt idx="44">
                  <c:v>2.5383654918563901E-3</c:v>
                </c:pt>
                <c:pt idx="45">
                  <c:v>2.5383654918563901E-3</c:v>
                </c:pt>
                <c:pt idx="46">
                  <c:v>2.5383654918563901E-3</c:v>
                </c:pt>
                <c:pt idx="47">
                  <c:v>2.5383654918563901E-3</c:v>
                </c:pt>
                <c:pt idx="48">
                  <c:v>2.5383654918563901E-3</c:v>
                </c:pt>
                <c:pt idx="49">
                  <c:v>2.5383654918563901E-3</c:v>
                </c:pt>
                <c:pt idx="50">
                  <c:v>2.5383654918563901E-3</c:v>
                </c:pt>
                <c:pt idx="51">
                  <c:v>2.5383654918563901E-3</c:v>
                </c:pt>
                <c:pt idx="52">
                  <c:v>2.5383654918563901E-3</c:v>
                </c:pt>
                <c:pt idx="53">
                  <c:v>2.5383654918563901E-3</c:v>
                </c:pt>
                <c:pt idx="54">
                  <c:v>2.5383654918563901E-3</c:v>
                </c:pt>
                <c:pt idx="55">
                  <c:v>2.5383654918563901E-3</c:v>
                </c:pt>
                <c:pt idx="56">
                  <c:v>2.5383654918563901E-3</c:v>
                </c:pt>
                <c:pt idx="57">
                  <c:v>2.5383654918563901E-3</c:v>
                </c:pt>
                <c:pt idx="58">
                  <c:v>2.5383654918563901E-3</c:v>
                </c:pt>
                <c:pt idx="59">
                  <c:v>2.5383654918563901E-3</c:v>
                </c:pt>
                <c:pt idx="60">
                  <c:v>2.5383654918563901E-3</c:v>
                </c:pt>
                <c:pt idx="61">
                  <c:v>2.5383654918563901E-3</c:v>
                </c:pt>
                <c:pt idx="62">
                  <c:v>2.5383654918563901E-3</c:v>
                </c:pt>
                <c:pt idx="63">
                  <c:v>2.5383654918563901E-3</c:v>
                </c:pt>
                <c:pt idx="64">
                  <c:v>2.5383654918563901E-3</c:v>
                </c:pt>
                <c:pt idx="65">
                  <c:v>2.5383654918563901E-3</c:v>
                </c:pt>
                <c:pt idx="66">
                  <c:v>2.5383654918563901E-3</c:v>
                </c:pt>
                <c:pt idx="67">
                  <c:v>2.5383654918563901E-3</c:v>
                </c:pt>
                <c:pt idx="68">
                  <c:v>2.5383654918563901E-3</c:v>
                </c:pt>
                <c:pt idx="69">
                  <c:v>2.5383654918563901E-3</c:v>
                </c:pt>
                <c:pt idx="70">
                  <c:v>2.5383654918563901E-3</c:v>
                </c:pt>
                <c:pt idx="71">
                  <c:v>2.5383654918563901E-3</c:v>
                </c:pt>
                <c:pt idx="72">
                  <c:v>2.5383654918563901E-3</c:v>
                </c:pt>
                <c:pt idx="73">
                  <c:v>2.5383654918563901E-3</c:v>
                </c:pt>
                <c:pt idx="74">
                  <c:v>2.5383654918563901E-3</c:v>
                </c:pt>
                <c:pt idx="75">
                  <c:v>2.5383654918563901E-3</c:v>
                </c:pt>
                <c:pt idx="76">
                  <c:v>2.5383654918563901E-3</c:v>
                </c:pt>
                <c:pt idx="77">
                  <c:v>2.5383654918563901E-3</c:v>
                </c:pt>
                <c:pt idx="78">
                  <c:v>2.5383654918563901E-3</c:v>
                </c:pt>
                <c:pt idx="79">
                  <c:v>2.5383654918563901E-3</c:v>
                </c:pt>
                <c:pt idx="80">
                  <c:v>2.5383654918563901E-3</c:v>
                </c:pt>
                <c:pt idx="81">
                  <c:v>2.5383654918563901E-3</c:v>
                </c:pt>
                <c:pt idx="82">
                  <c:v>2.5383654918563901E-3</c:v>
                </c:pt>
                <c:pt idx="83">
                  <c:v>2.5383654918563901E-3</c:v>
                </c:pt>
                <c:pt idx="84">
                  <c:v>2.5383654918563901E-3</c:v>
                </c:pt>
                <c:pt idx="85">
                  <c:v>2.5383654918563901E-3</c:v>
                </c:pt>
                <c:pt idx="86">
                  <c:v>2.5383654918563901E-3</c:v>
                </c:pt>
                <c:pt idx="87">
                  <c:v>2.5383654918563901E-3</c:v>
                </c:pt>
                <c:pt idx="88">
                  <c:v>2.5383654918563901E-3</c:v>
                </c:pt>
                <c:pt idx="89">
                  <c:v>2.5383654918563901E-3</c:v>
                </c:pt>
                <c:pt idx="90">
                  <c:v>2.5383654918563901E-3</c:v>
                </c:pt>
                <c:pt idx="91">
                  <c:v>2.5383654918563901E-3</c:v>
                </c:pt>
                <c:pt idx="92">
                  <c:v>2.5383654918563901E-3</c:v>
                </c:pt>
                <c:pt idx="93">
                  <c:v>2.5383654918563901E-3</c:v>
                </c:pt>
                <c:pt idx="94">
                  <c:v>2.5383654918563901E-3</c:v>
                </c:pt>
                <c:pt idx="95">
                  <c:v>2.5383654918563901E-3</c:v>
                </c:pt>
                <c:pt idx="96">
                  <c:v>2.5383654918563901E-3</c:v>
                </c:pt>
                <c:pt idx="97">
                  <c:v>2.5383654918563901E-3</c:v>
                </c:pt>
                <c:pt idx="98">
                  <c:v>2.5383654918563901E-3</c:v>
                </c:pt>
                <c:pt idx="99">
                  <c:v>2.5383654918563901E-3</c:v>
                </c:pt>
                <c:pt idx="100">
                  <c:v>2.5383654918563901E-3</c:v>
                </c:pt>
                <c:pt idx="101">
                  <c:v>2.5383654918563901E-3</c:v>
                </c:pt>
                <c:pt idx="102">
                  <c:v>2.5383654918563901E-3</c:v>
                </c:pt>
                <c:pt idx="103">
                  <c:v>2.5383654918563901E-3</c:v>
                </c:pt>
                <c:pt idx="104">
                  <c:v>2.5383654918563901E-3</c:v>
                </c:pt>
                <c:pt idx="105">
                  <c:v>2.5383654918563901E-3</c:v>
                </c:pt>
                <c:pt idx="106">
                  <c:v>2.5383654918563901E-3</c:v>
                </c:pt>
                <c:pt idx="107">
                  <c:v>2.5383654918563901E-3</c:v>
                </c:pt>
                <c:pt idx="108">
                  <c:v>2.5383654918563901E-3</c:v>
                </c:pt>
                <c:pt idx="109">
                  <c:v>2.5383654918563901E-3</c:v>
                </c:pt>
                <c:pt idx="110">
                  <c:v>2.5383654918563901E-3</c:v>
                </c:pt>
                <c:pt idx="111">
                  <c:v>2.5383654918563901E-3</c:v>
                </c:pt>
                <c:pt idx="112">
                  <c:v>2.5383654918563901E-3</c:v>
                </c:pt>
                <c:pt idx="113">
                  <c:v>2.5383654918563901E-3</c:v>
                </c:pt>
                <c:pt idx="114">
                  <c:v>2.5383654918563901E-3</c:v>
                </c:pt>
                <c:pt idx="115">
                  <c:v>2.5383654918563901E-3</c:v>
                </c:pt>
                <c:pt idx="116">
                  <c:v>2.5383654918563901E-3</c:v>
                </c:pt>
                <c:pt idx="117">
                  <c:v>2.5383654918563901E-3</c:v>
                </c:pt>
                <c:pt idx="118">
                  <c:v>2.5383654918563901E-3</c:v>
                </c:pt>
                <c:pt idx="119">
                  <c:v>2.5383654918563901E-3</c:v>
                </c:pt>
                <c:pt idx="120">
                  <c:v>2.5383654918563901E-3</c:v>
                </c:pt>
                <c:pt idx="121">
                  <c:v>2.5383654918563901E-3</c:v>
                </c:pt>
                <c:pt idx="122">
                  <c:v>2.5383654918563901E-3</c:v>
                </c:pt>
                <c:pt idx="123">
                  <c:v>2.5383654918563901E-3</c:v>
                </c:pt>
                <c:pt idx="124">
                  <c:v>2.5383654918563901E-3</c:v>
                </c:pt>
                <c:pt idx="125">
                  <c:v>2.5383654918563901E-3</c:v>
                </c:pt>
                <c:pt idx="126">
                  <c:v>2.5383654918563901E-3</c:v>
                </c:pt>
                <c:pt idx="127">
                  <c:v>2.5383654918563901E-3</c:v>
                </c:pt>
                <c:pt idx="128">
                  <c:v>2.5383654918563901E-3</c:v>
                </c:pt>
                <c:pt idx="129">
                  <c:v>2.5383654918563901E-3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 Depo Charts'!$AF$2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 Depo Charts'!$AC$3:$AC$132</c:f>
              <c:numCache>
                <c:formatCode>ddd\,\ dd\-mmm\-yyyy</c:formatCode>
                <c:ptCount val="130"/>
                <c:pt idx="0">
                  <c:v>41887</c:v>
                </c:pt>
                <c:pt idx="1">
                  <c:v>41890</c:v>
                </c:pt>
                <c:pt idx="2">
                  <c:v>41891</c:v>
                </c:pt>
                <c:pt idx="3">
                  <c:v>41892</c:v>
                </c:pt>
                <c:pt idx="4">
                  <c:v>41893</c:v>
                </c:pt>
                <c:pt idx="5">
                  <c:v>41894</c:v>
                </c:pt>
                <c:pt idx="6">
                  <c:v>41897</c:v>
                </c:pt>
                <c:pt idx="7">
                  <c:v>41898</c:v>
                </c:pt>
                <c:pt idx="8">
                  <c:v>41899</c:v>
                </c:pt>
                <c:pt idx="9">
                  <c:v>41900</c:v>
                </c:pt>
                <c:pt idx="10">
                  <c:v>41901</c:v>
                </c:pt>
                <c:pt idx="11">
                  <c:v>41904</c:v>
                </c:pt>
                <c:pt idx="12">
                  <c:v>41905</c:v>
                </c:pt>
                <c:pt idx="13">
                  <c:v>41906</c:v>
                </c:pt>
                <c:pt idx="14">
                  <c:v>41907</c:v>
                </c:pt>
                <c:pt idx="15">
                  <c:v>41908</c:v>
                </c:pt>
                <c:pt idx="16">
                  <c:v>41911</c:v>
                </c:pt>
                <c:pt idx="17">
                  <c:v>41912</c:v>
                </c:pt>
                <c:pt idx="18">
                  <c:v>41913</c:v>
                </c:pt>
                <c:pt idx="19">
                  <c:v>41914</c:v>
                </c:pt>
                <c:pt idx="20">
                  <c:v>41915</c:v>
                </c:pt>
                <c:pt idx="21">
                  <c:v>41918</c:v>
                </c:pt>
                <c:pt idx="22">
                  <c:v>41919</c:v>
                </c:pt>
                <c:pt idx="23">
                  <c:v>41920</c:v>
                </c:pt>
                <c:pt idx="24">
                  <c:v>41921</c:v>
                </c:pt>
                <c:pt idx="25">
                  <c:v>41922</c:v>
                </c:pt>
                <c:pt idx="26">
                  <c:v>41925</c:v>
                </c:pt>
                <c:pt idx="27">
                  <c:v>41926</c:v>
                </c:pt>
                <c:pt idx="28">
                  <c:v>41927</c:v>
                </c:pt>
                <c:pt idx="29">
                  <c:v>41928</c:v>
                </c:pt>
                <c:pt idx="30">
                  <c:v>41929</c:v>
                </c:pt>
                <c:pt idx="31">
                  <c:v>41932</c:v>
                </c:pt>
                <c:pt idx="32">
                  <c:v>41933</c:v>
                </c:pt>
                <c:pt idx="33">
                  <c:v>41934</c:v>
                </c:pt>
                <c:pt idx="34">
                  <c:v>41935</c:v>
                </c:pt>
                <c:pt idx="35">
                  <c:v>41936</c:v>
                </c:pt>
                <c:pt idx="36">
                  <c:v>41939</c:v>
                </c:pt>
                <c:pt idx="37">
                  <c:v>41940</c:v>
                </c:pt>
                <c:pt idx="38">
                  <c:v>41941</c:v>
                </c:pt>
                <c:pt idx="39">
                  <c:v>41942</c:v>
                </c:pt>
                <c:pt idx="40">
                  <c:v>41943</c:v>
                </c:pt>
                <c:pt idx="41">
                  <c:v>41946</c:v>
                </c:pt>
                <c:pt idx="42">
                  <c:v>41947</c:v>
                </c:pt>
                <c:pt idx="43">
                  <c:v>41948</c:v>
                </c:pt>
                <c:pt idx="44">
                  <c:v>41949</c:v>
                </c:pt>
                <c:pt idx="45">
                  <c:v>41950</c:v>
                </c:pt>
                <c:pt idx="46">
                  <c:v>41953</c:v>
                </c:pt>
                <c:pt idx="47">
                  <c:v>41954</c:v>
                </c:pt>
                <c:pt idx="48">
                  <c:v>41955</c:v>
                </c:pt>
                <c:pt idx="49">
                  <c:v>41956</c:v>
                </c:pt>
                <c:pt idx="50">
                  <c:v>41957</c:v>
                </c:pt>
                <c:pt idx="51">
                  <c:v>41960</c:v>
                </c:pt>
                <c:pt idx="52">
                  <c:v>41961</c:v>
                </c:pt>
                <c:pt idx="53">
                  <c:v>41962</c:v>
                </c:pt>
                <c:pt idx="54">
                  <c:v>41963</c:v>
                </c:pt>
                <c:pt idx="55">
                  <c:v>41964</c:v>
                </c:pt>
                <c:pt idx="56">
                  <c:v>41967</c:v>
                </c:pt>
                <c:pt idx="57">
                  <c:v>41968</c:v>
                </c:pt>
                <c:pt idx="58">
                  <c:v>41969</c:v>
                </c:pt>
                <c:pt idx="59">
                  <c:v>41970</c:v>
                </c:pt>
                <c:pt idx="60">
                  <c:v>41971</c:v>
                </c:pt>
                <c:pt idx="61">
                  <c:v>41974</c:v>
                </c:pt>
                <c:pt idx="62">
                  <c:v>41975</c:v>
                </c:pt>
                <c:pt idx="63">
                  <c:v>41976</c:v>
                </c:pt>
                <c:pt idx="64">
                  <c:v>41977</c:v>
                </c:pt>
                <c:pt idx="65">
                  <c:v>41978</c:v>
                </c:pt>
                <c:pt idx="66">
                  <c:v>41981</c:v>
                </c:pt>
                <c:pt idx="67">
                  <c:v>41982</c:v>
                </c:pt>
                <c:pt idx="68">
                  <c:v>41983</c:v>
                </c:pt>
                <c:pt idx="69">
                  <c:v>41984</c:v>
                </c:pt>
                <c:pt idx="70">
                  <c:v>41985</c:v>
                </c:pt>
                <c:pt idx="71">
                  <c:v>41988</c:v>
                </c:pt>
                <c:pt idx="72">
                  <c:v>41989</c:v>
                </c:pt>
                <c:pt idx="73">
                  <c:v>41990</c:v>
                </c:pt>
                <c:pt idx="74">
                  <c:v>41991</c:v>
                </c:pt>
                <c:pt idx="75">
                  <c:v>41992</c:v>
                </c:pt>
                <c:pt idx="76">
                  <c:v>41995</c:v>
                </c:pt>
                <c:pt idx="77">
                  <c:v>41996</c:v>
                </c:pt>
                <c:pt idx="78">
                  <c:v>41997</c:v>
                </c:pt>
                <c:pt idx="79">
                  <c:v>42002</c:v>
                </c:pt>
                <c:pt idx="80">
                  <c:v>42003</c:v>
                </c:pt>
                <c:pt idx="81">
                  <c:v>42004</c:v>
                </c:pt>
                <c:pt idx="82">
                  <c:v>42006</c:v>
                </c:pt>
                <c:pt idx="83">
                  <c:v>42009</c:v>
                </c:pt>
                <c:pt idx="84">
                  <c:v>42010</c:v>
                </c:pt>
                <c:pt idx="85">
                  <c:v>42011</c:v>
                </c:pt>
                <c:pt idx="86">
                  <c:v>42012</c:v>
                </c:pt>
                <c:pt idx="87">
                  <c:v>42013</c:v>
                </c:pt>
                <c:pt idx="88">
                  <c:v>42016</c:v>
                </c:pt>
                <c:pt idx="89">
                  <c:v>42017</c:v>
                </c:pt>
                <c:pt idx="90">
                  <c:v>42018</c:v>
                </c:pt>
                <c:pt idx="91">
                  <c:v>42019</c:v>
                </c:pt>
                <c:pt idx="92">
                  <c:v>42020</c:v>
                </c:pt>
                <c:pt idx="93">
                  <c:v>42023</c:v>
                </c:pt>
                <c:pt idx="94">
                  <c:v>42024</c:v>
                </c:pt>
                <c:pt idx="95">
                  <c:v>42025</c:v>
                </c:pt>
                <c:pt idx="96">
                  <c:v>42026</c:v>
                </c:pt>
                <c:pt idx="97">
                  <c:v>42027</c:v>
                </c:pt>
                <c:pt idx="98">
                  <c:v>42030</c:v>
                </c:pt>
                <c:pt idx="99">
                  <c:v>42031</c:v>
                </c:pt>
                <c:pt idx="100">
                  <c:v>42032</c:v>
                </c:pt>
                <c:pt idx="101">
                  <c:v>42033</c:v>
                </c:pt>
                <c:pt idx="102">
                  <c:v>42034</c:v>
                </c:pt>
                <c:pt idx="103">
                  <c:v>42037</c:v>
                </c:pt>
                <c:pt idx="104">
                  <c:v>42038</c:v>
                </c:pt>
                <c:pt idx="105">
                  <c:v>42039</c:v>
                </c:pt>
                <c:pt idx="106">
                  <c:v>42040</c:v>
                </c:pt>
                <c:pt idx="107">
                  <c:v>42041</c:v>
                </c:pt>
                <c:pt idx="108">
                  <c:v>42044</c:v>
                </c:pt>
                <c:pt idx="109">
                  <c:v>42045</c:v>
                </c:pt>
                <c:pt idx="110">
                  <c:v>42046</c:v>
                </c:pt>
                <c:pt idx="111">
                  <c:v>42047</c:v>
                </c:pt>
                <c:pt idx="112">
                  <c:v>42048</c:v>
                </c:pt>
                <c:pt idx="113">
                  <c:v>42051</c:v>
                </c:pt>
                <c:pt idx="114">
                  <c:v>42052</c:v>
                </c:pt>
                <c:pt idx="115">
                  <c:v>42053</c:v>
                </c:pt>
                <c:pt idx="116">
                  <c:v>42054</c:v>
                </c:pt>
                <c:pt idx="117">
                  <c:v>42055</c:v>
                </c:pt>
                <c:pt idx="118">
                  <c:v>42058</c:v>
                </c:pt>
                <c:pt idx="119">
                  <c:v>42059</c:v>
                </c:pt>
                <c:pt idx="120">
                  <c:v>42060</c:v>
                </c:pt>
                <c:pt idx="121">
                  <c:v>42061</c:v>
                </c:pt>
                <c:pt idx="122">
                  <c:v>42062</c:v>
                </c:pt>
                <c:pt idx="123">
                  <c:v>42065</c:v>
                </c:pt>
                <c:pt idx="124">
                  <c:v>42066</c:v>
                </c:pt>
                <c:pt idx="125">
                  <c:v>42067</c:v>
                </c:pt>
                <c:pt idx="126">
                  <c:v>42068</c:v>
                </c:pt>
                <c:pt idx="127">
                  <c:v>42069</c:v>
                </c:pt>
                <c:pt idx="128">
                  <c:v>42072</c:v>
                </c:pt>
                <c:pt idx="129">
                  <c:v>42073</c:v>
                </c:pt>
              </c:numCache>
            </c:numRef>
          </c:cat>
          <c:val>
            <c:numRef>
              <c:f>'6M Depo Charts'!$AF$3:$AF$132</c:f>
              <c:numCache>
                <c:formatCode>0.0000%</c:formatCode>
                <c:ptCount val="130"/>
                <c:pt idx="0">
                  <c:v>2.7194110616238741E-3</c:v>
                </c:pt>
                <c:pt idx="1">
                  <c:v>2.7134095510238472E-3</c:v>
                </c:pt>
                <c:pt idx="2">
                  <c:v>2.7114090474905047E-3</c:v>
                </c:pt>
                <c:pt idx="3">
                  <c:v>2.7094085439571623E-3</c:v>
                </c:pt>
                <c:pt idx="4">
                  <c:v>2.7074080404238198E-3</c:v>
                </c:pt>
                <c:pt idx="5">
                  <c:v>2.7054075368904773E-3</c:v>
                </c:pt>
                <c:pt idx="6">
                  <c:v>2.6994060262904504E-3</c:v>
                </c:pt>
                <c:pt idx="7">
                  <c:v>2.6974055227571079E-3</c:v>
                </c:pt>
                <c:pt idx="8">
                  <c:v>2.6954050192237655E-3</c:v>
                </c:pt>
                <c:pt idx="9">
                  <c:v>2.693404515690423E-3</c:v>
                </c:pt>
                <c:pt idx="10">
                  <c:v>2.6914040121570806E-3</c:v>
                </c:pt>
                <c:pt idx="11">
                  <c:v>2.6854025015570536E-3</c:v>
                </c:pt>
                <c:pt idx="12">
                  <c:v>2.6834019980237112E-3</c:v>
                </c:pt>
                <c:pt idx="13">
                  <c:v>2.6814014944903687E-3</c:v>
                </c:pt>
                <c:pt idx="14">
                  <c:v>2.6794009909570263E-3</c:v>
                </c:pt>
                <c:pt idx="15">
                  <c:v>2.6774004874236842E-3</c:v>
                </c:pt>
                <c:pt idx="16">
                  <c:v>2.6713989768236569E-3</c:v>
                </c:pt>
                <c:pt idx="17">
                  <c:v>2.6693984732903144E-3</c:v>
                </c:pt>
                <c:pt idx="18">
                  <c:v>2.6673979697569719E-3</c:v>
                </c:pt>
                <c:pt idx="19">
                  <c:v>2.6653974662236299E-3</c:v>
                </c:pt>
                <c:pt idx="20">
                  <c:v>2.6633969626902875E-3</c:v>
                </c:pt>
                <c:pt idx="21">
                  <c:v>2.6573954520902601E-3</c:v>
                </c:pt>
                <c:pt idx="22">
                  <c:v>2.6553949485569176E-3</c:v>
                </c:pt>
                <c:pt idx="23">
                  <c:v>2.6533944450235752E-3</c:v>
                </c:pt>
                <c:pt idx="24">
                  <c:v>2.6513939414902331E-3</c:v>
                </c:pt>
                <c:pt idx="25">
                  <c:v>2.6493934379568907E-3</c:v>
                </c:pt>
                <c:pt idx="26">
                  <c:v>2.6433919273568633E-3</c:v>
                </c:pt>
                <c:pt idx="27">
                  <c:v>2.6413914238235213E-3</c:v>
                </c:pt>
                <c:pt idx="28">
                  <c:v>2.6393909202901788E-3</c:v>
                </c:pt>
                <c:pt idx="29">
                  <c:v>2.6373904167568364E-3</c:v>
                </c:pt>
                <c:pt idx="30">
                  <c:v>2.6353899132234939E-3</c:v>
                </c:pt>
                <c:pt idx="31">
                  <c:v>2.629388402623467E-3</c:v>
                </c:pt>
                <c:pt idx="32">
                  <c:v>2.6273878990901245E-3</c:v>
                </c:pt>
                <c:pt idx="33">
                  <c:v>2.6253873955567821E-3</c:v>
                </c:pt>
                <c:pt idx="34">
                  <c:v>2.6233868920234396E-3</c:v>
                </c:pt>
                <c:pt idx="35">
                  <c:v>2.6213863884900972E-3</c:v>
                </c:pt>
                <c:pt idx="36">
                  <c:v>2.6153848778900702E-3</c:v>
                </c:pt>
                <c:pt idx="37">
                  <c:v>2.6133843743567278E-3</c:v>
                </c:pt>
                <c:pt idx="38">
                  <c:v>2.6113838708233853E-3</c:v>
                </c:pt>
                <c:pt idx="39">
                  <c:v>2.6093833672900428E-3</c:v>
                </c:pt>
                <c:pt idx="40">
                  <c:v>2.6073828637567004E-3</c:v>
                </c:pt>
                <c:pt idx="41">
                  <c:v>2.6013813531566734E-3</c:v>
                </c:pt>
                <c:pt idx="42">
                  <c:v>2.599380849623331E-3</c:v>
                </c:pt>
                <c:pt idx="43">
                  <c:v>2.5973803460899885E-3</c:v>
                </c:pt>
                <c:pt idx="44">
                  <c:v>2.5953798425566461E-3</c:v>
                </c:pt>
                <c:pt idx="45">
                  <c:v>2.593379339023304E-3</c:v>
                </c:pt>
                <c:pt idx="46">
                  <c:v>2.5873778284232767E-3</c:v>
                </c:pt>
                <c:pt idx="47">
                  <c:v>2.5853773248899342E-3</c:v>
                </c:pt>
                <c:pt idx="48">
                  <c:v>2.5833768213565918E-3</c:v>
                </c:pt>
                <c:pt idx="49">
                  <c:v>2.5813763178232493E-3</c:v>
                </c:pt>
                <c:pt idx="50">
                  <c:v>2.5793758142899073E-3</c:v>
                </c:pt>
                <c:pt idx="51">
                  <c:v>2.5733743036898799E-3</c:v>
                </c:pt>
                <c:pt idx="52">
                  <c:v>2.5713738001565374E-3</c:v>
                </c:pt>
                <c:pt idx="53">
                  <c:v>2.5693732966231954E-3</c:v>
                </c:pt>
                <c:pt idx="54">
                  <c:v>2.567372793089853E-3</c:v>
                </c:pt>
                <c:pt idx="55">
                  <c:v>2.5653722895565105E-3</c:v>
                </c:pt>
                <c:pt idx="56">
                  <c:v>2.5593707789564831E-3</c:v>
                </c:pt>
                <c:pt idx="57">
                  <c:v>2.5573702754231407E-3</c:v>
                </c:pt>
                <c:pt idx="58">
                  <c:v>2.5553697718897986E-3</c:v>
                </c:pt>
                <c:pt idx="59">
                  <c:v>2.5533692683564562E-3</c:v>
                </c:pt>
                <c:pt idx="60">
                  <c:v>2.5513687648231137E-3</c:v>
                </c:pt>
                <c:pt idx="61">
                  <c:v>2.5453672542230868E-3</c:v>
                </c:pt>
                <c:pt idx="62">
                  <c:v>2.5433667506897443E-3</c:v>
                </c:pt>
                <c:pt idx="63">
                  <c:v>2.5413662471564019E-3</c:v>
                </c:pt>
                <c:pt idx="64">
                  <c:v>2.5393657436230594E-3</c:v>
                </c:pt>
                <c:pt idx="65">
                  <c:v>2.537365240089717E-3</c:v>
                </c:pt>
                <c:pt idx="66">
                  <c:v>2.53136372948969E-3</c:v>
                </c:pt>
                <c:pt idx="67">
                  <c:v>2.5293632259563476E-3</c:v>
                </c:pt>
                <c:pt idx="68">
                  <c:v>2.5273627224230051E-3</c:v>
                </c:pt>
                <c:pt idx="69">
                  <c:v>2.5253622188896627E-3</c:v>
                </c:pt>
                <c:pt idx="70">
                  <c:v>2.5233617153563202E-3</c:v>
                </c:pt>
                <c:pt idx="71">
                  <c:v>2.5173602047562933E-3</c:v>
                </c:pt>
                <c:pt idx="72">
                  <c:v>2.5153597012229508E-3</c:v>
                </c:pt>
                <c:pt idx="73">
                  <c:v>2.5133591976896083E-3</c:v>
                </c:pt>
                <c:pt idx="74">
                  <c:v>2.5113586941562659E-3</c:v>
                </c:pt>
                <c:pt idx="75">
                  <c:v>2.5093581906229239E-3</c:v>
                </c:pt>
                <c:pt idx="76">
                  <c:v>2.5033566800228965E-3</c:v>
                </c:pt>
                <c:pt idx="77">
                  <c:v>2.501356176489554E-3</c:v>
                </c:pt>
                <c:pt idx="78">
                  <c:v>2.4993556729562116E-3</c:v>
                </c:pt>
                <c:pt idx="79">
                  <c:v>2.4893531552894997E-3</c:v>
                </c:pt>
                <c:pt idx="80">
                  <c:v>2.4873526517561573E-3</c:v>
                </c:pt>
                <c:pt idx="81">
                  <c:v>2.4853521482228148E-3</c:v>
                </c:pt>
                <c:pt idx="82">
                  <c:v>2.4813511411561303E-3</c:v>
                </c:pt>
                <c:pt idx="83">
                  <c:v>2.4753496305561029E-3</c:v>
                </c:pt>
                <c:pt idx="84">
                  <c:v>2.4733491270227609E-3</c:v>
                </c:pt>
                <c:pt idx="85">
                  <c:v>2.4713486234894185E-3</c:v>
                </c:pt>
                <c:pt idx="86">
                  <c:v>2.469348119956076E-3</c:v>
                </c:pt>
                <c:pt idx="87">
                  <c:v>2.4673476164227335E-3</c:v>
                </c:pt>
                <c:pt idx="88">
                  <c:v>2.4613461058227066E-3</c:v>
                </c:pt>
                <c:pt idx="89">
                  <c:v>2.4593456022893641E-3</c:v>
                </c:pt>
                <c:pt idx="90">
                  <c:v>2.4573450987560217E-3</c:v>
                </c:pt>
                <c:pt idx="91">
                  <c:v>2.4553445952226792E-3</c:v>
                </c:pt>
                <c:pt idx="92">
                  <c:v>2.4533440916893368E-3</c:v>
                </c:pt>
                <c:pt idx="93">
                  <c:v>2.4473425810893098E-3</c:v>
                </c:pt>
                <c:pt idx="94">
                  <c:v>2.4453420775559674E-3</c:v>
                </c:pt>
                <c:pt idx="95">
                  <c:v>2.4433415740226249E-3</c:v>
                </c:pt>
                <c:pt idx="96">
                  <c:v>2.4413410704892825E-3</c:v>
                </c:pt>
                <c:pt idx="97">
                  <c:v>2.43934056695594E-3</c:v>
                </c:pt>
                <c:pt idx="98">
                  <c:v>2.4333390563559131E-3</c:v>
                </c:pt>
                <c:pt idx="99">
                  <c:v>2.4313385528225706E-3</c:v>
                </c:pt>
                <c:pt idx="100">
                  <c:v>2.4293380492892282E-3</c:v>
                </c:pt>
                <c:pt idx="101">
                  <c:v>2.4273375457558857E-3</c:v>
                </c:pt>
                <c:pt idx="102">
                  <c:v>2.4253370422225437E-3</c:v>
                </c:pt>
                <c:pt idx="103">
                  <c:v>2.4193355316225163E-3</c:v>
                </c:pt>
                <c:pt idx="104">
                  <c:v>2.4173350280891738E-3</c:v>
                </c:pt>
                <c:pt idx="105">
                  <c:v>2.4153345245558314E-3</c:v>
                </c:pt>
                <c:pt idx="106">
                  <c:v>2.4133340210224894E-3</c:v>
                </c:pt>
                <c:pt idx="107">
                  <c:v>2.4113335174891469E-3</c:v>
                </c:pt>
                <c:pt idx="108">
                  <c:v>2.4053320068891195E-3</c:v>
                </c:pt>
                <c:pt idx="109">
                  <c:v>2.4033315033557771E-3</c:v>
                </c:pt>
                <c:pt idx="110">
                  <c:v>2.401330999822435E-3</c:v>
                </c:pt>
                <c:pt idx="111">
                  <c:v>2.3993304962890926E-3</c:v>
                </c:pt>
                <c:pt idx="112">
                  <c:v>2.3973299927557501E-3</c:v>
                </c:pt>
                <c:pt idx="113">
                  <c:v>2.3913284821557228E-3</c:v>
                </c:pt>
                <c:pt idx="114">
                  <c:v>2.3893279786223807E-3</c:v>
                </c:pt>
                <c:pt idx="115">
                  <c:v>2.3873274750890383E-3</c:v>
                </c:pt>
                <c:pt idx="116">
                  <c:v>2.3853269715556958E-3</c:v>
                </c:pt>
                <c:pt idx="117">
                  <c:v>2.3833264680223534E-3</c:v>
                </c:pt>
                <c:pt idx="118">
                  <c:v>2.3773249574223264E-3</c:v>
                </c:pt>
                <c:pt idx="119">
                  <c:v>2.375324453888984E-3</c:v>
                </c:pt>
                <c:pt idx="120">
                  <c:v>2.3733239503556415E-3</c:v>
                </c:pt>
                <c:pt idx="121">
                  <c:v>2.371323446822299E-3</c:v>
                </c:pt>
                <c:pt idx="122">
                  <c:v>2.3693229432889566E-3</c:v>
                </c:pt>
                <c:pt idx="123">
                  <c:v>2.3633214326889296E-3</c:v>
                </c:pt>
                <c:pt idx="124">
                  <c:v>2.3613209291555872E-3</c:v>
                </c:pt>
                <c:pt idx="125">
                  <c:v>2.3593204256222447E-3</c:v>
                </c:pt>
                <c:pt idx="126">
                  <c:v>2.3573199220889023E-3</c:v>
                </c:pt>
                <c:pt idx="127">
                  <c:v>2.3553194185555598E-3</c:v>
                </c:pt>
                <c:pt idx="128">
                  <c:v>2.3493179079555329E-3</c:v>
                </c:pt>
                <c:pt idx="129">
                  <c:v>2.3473174044221904E-3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 Depo Charts'!$AG$2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 Depo Charts'!$AC$3:$AC$132</c:f>
              <c:numCache>
                <c:formatCode>ddd\,\ dd\-mmm\-yyyy</c:formatCode>
                <c:ptCount val="130"/>
                <c:pt idx="0">
                  <c:v>41887</c:v>
                </c:pt>
                <c:pt idx="1">
                  <c:v>41890</c:v>
                </c:pt>
                <c:pt idx="2">
                  <c:v>41891</c:v>
                </c:pt>
                <c:pt idx="3">
                  <c:v>41892</c:v>
                </c:pt>
                <c:pt idx="4">
                  <c:v>41893</c:v>
                </c:pt>
                <c:pt idx="5">
                  <c:v>41894</c:v>
                </c:pt>
                <c:pt idx="6">
                  <c:v>41897</c:v>
                </c:pt>
                <c:pt idx="7">
                  <c:v>41898</c:v>
                </c:pt>
                <c:pt idx="8">
                  <c:v>41899</c:v>
                </c:pt>
                <c:pt idx="9">
                  <c:v>41900</c:v>
                </c:pt>
                <c:pt idx="10">
                  <c:v>41901</c:v>
                </c:pt>
                <c:pt idx="11">
                  <c:v>41904</c:v>
                </c:pt>
                <c:pt idx="12">
                  <c:v>41905</c:v>
                </c:pt>
                <c:pt idx="13">
                  <c:v>41906</c:v>
                </c:pt>
                <c:pt idx="14">
                  <c:v>41907</c:v>
                </c:pt>
                <c:pt idx="15">
                  <c:v>41908</c:v>
                </c:pt>
                <c:pt idx="16">
                  <c:v>41911</c:v>
                </c:pt>
                <c:pt idx="17">
                  <c:v>41912</c:v>
                </c:pt>
                <c:pt idx="18">
                  <c:v>41913</c:v>
                </c:pt>
                <c:pt idx="19">
                  <c:v>41914</c:v>
                </c:pt>
                <c:pt idx="20">
                  <c:v>41915</c:v>
                </c:pt>
                <c:pt idx="21">
                  <c:v>41918</c:v>
                </c:pt>
                <c:pt idx="22">
                  <c:v>41919</c:v>
                </c:pt>
                <c:pt idx="23">
                  <c:v>41920</c:v>
                </c:pt>
                <c:pt idx="24">
                  <c:v>41921</c:v>
                </c:pt>
                <c:pt idx="25">
                  <c:v>41922</c:v>
                </c:pt>
                <c:pt idx="26">
                  <c:v>41925</c:v>
                </c:pt>
                <c:pt idx="27">
                  <c:v>41926</c:v>
                </c:pt>
                <c:pt idx="28">
                  <c:v>41927</c:v>
                </c:pt>
                <c:pt idx="29">
                  <c:v>41928</c:v>
                </c:pt>
                <c:pt idx="30">
                  <c:v>41929</c:v>
                </c:pt>
                <c:pt idx="31">
                  <c:v>41932</c:v>
                </c:pt>
                <c:pt idx="32">
                  <c:v>41933</c:v>
                </c:pt>
                <c:pt idx="33">
                  <c:v>41934</c:v>
                </c:pt>
                <c:pt idx="34">
                  <c:v>41935</c:v>
                </c:pt>
                <c:pt idx="35">
                  <c:v>41936</c:v>
                </c:pt>
                <c:pt idx="36">
                  <c:v>41939</c:v>
                </c:pt>
                <c:pt idx="37">
                  <c:v>41940</c:v>
                </c:pt>
                <c:pt idx="38">
                  <c:v>41941</c:v>
                </c:pt>
                <c:pt idx="39">
                  <c:v>41942</c:v>
                </c:pt>
                <c:pt idx="40">
                  <c:v>41943</c:v>
                </c:pt>
                <c:pt idx="41">
                  <c:v>41946</c:v>
                </c:pt>
                <c:pt idx="42">
                  <c:v>41947</c:v>
                </c:pt>
                <c:pt idx="43">
                  <c:v>41948</c:v>
                </c:pt>
                <c:pt idx="44">
                  <c:v>41949</c:v>
                </c:pt>
                <c:pt idx="45">
                  <c:v>41950</c:v>
                </c:pt>
                <c:pt idx="46">
                  <c:v>41953</c:v>
                </c:pt>
                <c:pt idx="47">
                  <c:v>41954</c:v>
                </c:pt>
                <c:pt idx="48">
                  <c:v>41955</c:v>
                </c:pt>
                <c:pt idx="49">
                  <c:v>41956</c:v>
                </c:pt>
                <c:pt idx="50">
                  <c:v>41957</c:v>
                </c:pt>
                <c:pt idx="51">
                  <c:v>41960</c:v>
                </c:pt>
                <c:pt idx="52">
                  <c:v>41961</c:v>
                </c:pt>
                <c:pt idx="53">
                  <c:v>41962</c:v>
                </c:pt>
                <c:pt idx="54">
                  <c:v>41963</c:v>
                </c:pt>
                <c:pt idx="55">
                  <c:v>41964</c:v>
                </c:pt>
                <c:pt idx="56">
                  <c:v>41967</c:v>
                </c:pt>
                <c:pt idx="57">
                  <c:v>41968</c:v>
                </c:pt>
                <c:pt idx="58">
                  <c:v>41969</c:v>
                </c:pt>
                <c:pt idx="59">
                  <c:v>41970</c:v>
                </c:pt>
                <c:pt idx="60">
                  <c:v>41971</c:v>
                </c:pt>
                <c:pt idx="61">
                  <c:v>41974</c:v>
                </c:pt>
                <c:pt idx="62">
                  <c:v>41975</c:v>
                </c:pt>
                <c:pt idx="63">
                  <c:v>41976</c:v>
                </c:pt>
                <c:pt idx="64">
                  <c:v>41977</c:v>
                </c:pt>
                <c:pt idx="65">
                  <c:v>41978</c:v>
                </c:pt>
                <c:pt idx="66">
                  <c:v>41981</c:v>
                </c:pt>
                <c:pt idx="67">
                  <c:v>41982</c:v>
                </c:pt>
                <c:pt idx="68">
                  <c:v>41983</c:v>
                </c:pt>
                <c:pt idx="69">
                  <c:v>41984</c:v>
                </c:pt>
                <c:pt idx="70">
                  <c:v>41985</c:v>
                </c:pt>
                <c:pt idx="71">
                  <c:v>41988</c:v>
                </c:pt>
                <c:pt idx="72">
                  <c:v>41989</c:v>
                </c:pt>
                <c:pt idx="73">
                  <c:v>41990</c:v>
                </c:pt>
                <c:pt idx="74">
                  <c:v>41991</c:v>
                </c:pt>
                <c:pt idx="75">
                  <c:v>41992</c:v>
                </c:pt>
                <c:pt idx="76">
                  <c:v>41995</c:v>
                </c:pt>
                <c:pt idx="77">
                  <c:v>41996</c:v>
                </c:pt>
                <c:pt idx="78">
                  <c:v>41997</c:v>
                </c:pt>
                <c:pt idx="79">
                  <c:v>42002</c:v>
                </c:pt>
                <c:pt idx="80">
                  <c:v>42003</c:v>
                </c:pt>
                <c:pt idx="81">
                  <c:v>42004</c:v>
                </c:pt>
                <c:pt idx="82">
                  <c:v>42006</c:v>
                </c:pt>
                <c:pt idx="83">
                  <c:v>42009</c:v>
                </c:pt>
                <c:pt idx="84">
                  <c:v>42010</c:v>
                </c:pt>
                <c:pt idx="85">
                  <c:v>42011</c:v>
                </c:pt>
                <c:pt idx="86">
                  <c:v>42012</c:v>
                </c:pt>
                <c:pt idx="87">
                  <c:v>42013</c:v>
                </c:pt>
                <c:pt idx="88">
                  <c:v>42016</c:v>
                </c:pt>
                <c:pt idx="89">
                  <c:v>42017</c:v>
                </c:pt>
                <c:pt idx="90">
                  <c:v>42018</c:v>
                </c:pt>
                <c:pt idx="91">
                  <c:v>42019</c:v>
                </c:pt>
                <c:pt idx="92">
                  <c:v>42020</c:v>
                </c:pt>
                <c:pt idx="93">
                  <c:v>42023</c:v>
                </c:pt>
                <c:pt idx="94">
                  <c:v>42024</c:v>
                </c:pt>
                <c:pt idx="95">
                  <c:v>42025</c:v>
                </c:pt>
                <c:pt idx="96">
                  <c:v>42026</c:v>
                </c:pt>
                <c:pt idx="97">
                  <c:v>42027</c:v>
                </c:pt>
                <c:pt idx="98">
                  <c:v>42030</c:v>
                </c:pt>
                <c:pt idx="99">
                  <c:v>42031</c:v>
                </c:pt>
                <c:pt idx="100">
                  <c:v>42032</c:v>
                </c:pt>
                <c:pt idx="101">
                  <c:v>42033</c:v>
                </c:pt>
                <c:pt idx="102">
                  <c:v>42034</c:v>
                </c:pt>
                <c:pt idx="103">
                  <c:v>42037</c:v>
                </c:pt>
                <c:pt idx="104">
                  <c:v>42038</c:v>
                </c:pt>
                <c:pt idx="105">
                  <c:v>42039</c:v>
                </c:pt>
                <c:pt idx="106">
                  <c:v>42040</c:v>
                </c:pt>
                <c:pt idx="107">
                  <c:v>42041</c:v>
                </c:pt>
                <c:pt idx="108">
                  <c:v>42044</c:v>
                </c:pt>
                <c:pt idx="109">
                  <c:v>42045</c:v>
                </c:pt>
                <c:pt idx="110">
                  <c:v>42046</c:v>
                </c:pt>
                <c:pt idx="111">
                  <c:v>42047</c:v>
                </c:pt>
                <c:pt idx="112">
                  <c:v>42048</c:v>
                </c:pt>
                <c:pt idx="113">
                  <c:v>42051</c:v>
                </c:pt>
                <c:pt idx="114">
                  <c:v>42052</c:v>
                </c:pt>
                <c:pt idx="115">
                  <c:v>42053</c:v>
                </c:pt>
                <c:pt idx="116">
                  <c:v>42054</c:v>
                </c:pt>
                <c:pt idx="117">
                  <c:v>42055</c:v>
                </c:pt>
                <c:pt idx="118">
                  <c:v>42058</c:v>
                </c:pt>
                <c:pt idx="119">
                  <c:v>42059</c:v>
                </c:pt>
                <c:pt idx="120">
                  <c:v>42060</c:v>
                </c:pt>
                <c:pt idx="121">
                  <c:v>42061</c:v>
                </c:pt>
                <c:pt idx="122">
                  <c:v>42062</c:v>
                </c:pt>
                <c:pt idx="123">
                  <c:v>42065</c:v>
                </c:pt>
                <c:pt idx="124">
                  <c:v>42066</c:v>
                </c:pt>
                <c:pt idx="125">
                  <c:v>42067</c:v>
                </c:pt>
                <c:pt idx="126">
                  <c:v>42068</c:v>
                </c:pt>
                <c:pt idx="127">
                  <c:v>42069</c:v>
                </c:pt>
                <c:pt idx="128">
                  <c:v>42072</c:v>
                </c:pt>
                <c:pt idx="129">
                  <c:v>42073</c:v>
                </c:pt>
              </c:numCache>
            </c:numRef>
          </c:cat>
          <c:val>
            <c:numRef>
              <c:f>'6M Depo Charts'!$AG$3:$AG$132</c:f>
              <c:numCache>
                <c:formatCode>0.0000%</c:formatCode>
                <c:ptCount val="130"/>
                <c:pt idx="0">
                  <c:v>2.9765981665358793E-3</c:v>
                </c:pt>
                <c:pt idx="1">
                  <c:v>2.9514250306585887E-3</c:v>
                </c:pt>
                <c:pt idx="2">
                  <c:v>2.943154620900299E-3</c:v>
                </c:pt>
                <c:pt idx="3">
                  <c:v>2.9349445289090803E-3</c:v>
                </c:pt>
                <c:pt idx="4">
                  <c:v>2.9267947546849312E-3</c:v>
                </c:pt>
                <c:pt idx="5">
                  <c:v>2.9187052982278527E-3</c:v>
                </c:pt>
                <c:pt idx="6">
                  <c:v>2.8947988354590393E-3</c:v>
                </c:pt>
                <c:pt idx="7">
                  <c:v>2.8869506500702425E-3</c:v>
                </c:pt>
                <c:pt idx="8">
                  <c:v>2.8791627824485155E-3</c:v>
                </c:pt>
                <c:pt idx="9">
                  <c:v>2.871435232593859E-3</c:v>
                </c:pt>
                <c:pt idx="10">
                  <c:v>2.8637680005062726E-3</c:v>
                </c:pt>
                <c:pt idx="11">
                  <c:v>2.8411282108459367E-3</c:v>
                </c:pt>
                <c:pt idx="12">
                  <c:v>2.833702249826632E-3</c:v>
                </c:pt>
                <c:pt idx="13">
                  <c:v>2.8263366065743975E-3</c:v>
                </c:pt>
                <c:pt idx="14">
                  <c:v>2.8190312810892335E-3</c:v>
                </c:pt>
                <c:pt idx="15">
                  <c:v>2.8117862733711401E-3</c:v>
                </c:pt>
                <c:pt idx="16">
                  <c:v>2.7904131568192805E-3</c:v>
                </c:pt>
                <c:pt idx="17">
                  <c:v>2.7834094201694684E-3</c:v>
                </c:pt>
                <c:pt idx="18">
                  <c:v>2.7764660012867264E-3</c:v>
                </c:pt>
                <c:pt idx="19">
                  <c:v>2.7695829001710545E-3</c:v>
                </c:pt>
                <c:pt idx="20">
                  <c:v>2.7627601168224536E-3</c:v>
                </c:pt>
                <c:pt idx="21">
                  <c:v>2.7426536733790711E-3</c:v>
                </c:pt>
                <c:pt idx="22">
                  <c:v>2.7360721610987511E-3</c:v>
                </c:pt>
                <c:pt idx="23">
                  <c:v>2.7295509665855016E-3</c:v>
                </c:pt>
                <c:pt idx="24">
                  <c:v>2.7230900898393222E-3</c:v>
                </c:pt>
                <c:pt idx="25">
                  <c:v>2.7166895308602134E-3</c:v>
                </c:pt>
                <c:pt idx="26">
                  <c:v>2.697849760525309E-3</c:v>
                </c:pt>
                <c:pt idx="27">
                  <c:v>2.691690472614481E-3</c:v>
                </c:pt>
                <c:pt idx="28">
                  <c:v>2.6855915024707236E-3</c:v>
                </c:pt>
                <c:pt idx="29">
                  <c:v>2.6795528500940368E-3</c:v>
                </c:pt>
                <c:pt idx="30">
                  <c:v>2.6735745154844201E-3</c:v>
                </c:pt>
                <c:pt idx="31">
                  <c:v>2.6560014182579928E-3</c:v>
                </c:pt>
                <c:pt idx="32">
                  <c:v>2.6502643547166574E-3</c:v>
                </c:pt>
                <c:pt idx="33">
                  <c:v>2.6445876089423925E-3</c:v>
                </c:pt>
                <c:pt idx="34">
                  <c:v>2.6389711809351982E-3</c:v>
                </c:pt>
                <c:pt idx="35">
                  <c:v>2.6334150706950736E-3</c:v>
                </c:pt>
                <c:pt idx="36">
                  <c:v>2.6171086465771234E-3</c:v>
                </c:pt>
                <c:pt idx="37">
                  <c:v>2.6117938074052805E-3</c:v>
                </c:pt>
                <c:pt idx="38">
                  <c:v>2.6065392860005077E-3</c:v>
                </c:pt>
                <c:pt idx="39">
                  <c:v>2.6013450823628059E-3</c:v>
                </c:pt>
                <c:pt idx="40">
                  <c:v>2.5962111964921738E-3</c:v>
                </c:pt>
                <c:pt idx="41">
                  <c:v>2.5811714454827004E-3</c:v>
                </c:pt>
                <c:pt idx="42">
                  <c:v>2.5762788306803504E-3</c:v>
                </c:pt>
                <c:pt idx="43">
                  <c:v>2.5714465336450698E-3</c:v>
                </c:pt>
                <c:pt idx="44">
                  <c:v>2.5666745543768605E-3</c:v>
                </c:pt>
                <c:pt idx="45">
                  <c:v>2.5619628928757209E-3</c:v>
                </c:pt>
                <c:pt idx="46">
                  <c:v>2.5481898149747246E-3</c:v>
                </c:pt>
                <c:pt idx="47">
                  <c:v>2.5437194245418668E-3</c:v>
                </c:pt>
                <c:pt idx="48">
                  <c:v>2.5393093518760786E-3</c:v>
                </c:pt>
                <c:pt idx="49">
                  <c:v>2.5349595969773615E-3</c:v>
                </c:pt>
                <c:pt idx="50">
                  <c:v>2.5306701598457144E-3</c:v>
                </c:pt>
                <c:pt idx="51">
                  <c:v>2.5181637550531957E-3</c:v>
                </c:pt>
                <c:pt idx="52">
                  <c:v>2.5141155889898295E-3</c:v>
                </c:pt>
                <c:pt idx="53">
                  <c:v>2.5101277406935343E-3</c:v>
                </c:pt>
                <c:pt idx="54">
                  <c:v>2.5062002101643092E-3</c:v>
                </c:pt>
                <c:pt idx="55">
                  <c:v>2.5023329974021547E-3</c:v>
                </c:pt>
                <c:pt idx="56">
                  <c:v>2.4910932657181131E-3</c:v>
                </c:pt>
                <c:pt idx="57">
                  <c:v>2.4874673240242394E-3</c:v>
                </c:pt>
                <c:pt idx="58">
                  <c:v>2.4839017000974368E-3</c:v>
                </c:pt>
                <c:pt idx="59">
                  <c:v>2.4803963939377042E-3</c:v>
                </c:pt>
                <c:pt idx="60">
                  <c:v>2.4769514055450418E-3</c:v>
                </c:pt>
                <c:pt idx="61">
                  <c:v>2.4669783469694769E-3</c:v>
                </c:pt>
                <c:pt idx="62">
                  <c:v>2.4637746296450958E-3</c:v>
                </c:pt>
                <c:pt idx="63">
                  <c:v>2.4606312300877852E-3</c:v>
                </c:pt>
                <c:pt idx="64">
                  <c:v>2.4575481482975452E-3</c:v>
                </c:pt>
                <c:pt idx="65">
                  <c:v>2.4545253842743753E-3</c:v>
                </c:pt>
                <c:pt idx="66">
                  <c:v>2.4458189988072875E-3</c:v>
                </c:pt>
                <c:pt idx="67">
                  <c:v>2.4430375058523994E-3</c:v>
                </c:pt>
                <c:pt idx="68">
                  <c:v>2.4403163306645813E-3</c:v>
                </c:pt>
                <c:pt idx="69">
                  <c:v>2.4376554732438334E-3</c:v>
                </c:pt>
                <c:pt idx="70">
                  <c:v>2.4350549335901556E-3</c:v>
                </c:pt>
                <c:pt idx="71">
                  <c:v>2.427615221231545E-3</c:v>
                </c:pt>
                <c:pt idx="72">
                  <c:v>2.4252559526461489E-3</c:v>
                </c:pt>
                <c:pt idx="73">
                  <c:v>2.4229570018278234E-3</c:v>
                </c:pt>
                <c:pt idx="74">
                  <c:v>2.4207183687765675E-3</c:v>
                </c:pt>
                <c:pt idx="75">
                  <c:v>2.4185400534923827E-3</c:v>
                </c:pt>
                <c:pt idx="76">
                  <c:v>2.4123670142422492E-3</c:v>
                </c:pt>
                <c:pt idx="77">
                  <c:v>2.4104299700263452E-3</c:v>
                </c:pt>
                <c:pt idx="78">
                  <c:v>2.4085532435775122E-3</c:v>
                </c:pt>
                <c:pt idx="79">
                  <c:v>2.4000743778394003E-3</c:v>
                </c:pt>
                <c:pt idx="80">
                  <c:v>2.3985595579929884E-3</c:v>
                </c:pt>
                <c:pt idx="81">
                  <c:v>2.3971050559136479E-3</c:v>
                </c:pt>
                <c:pt idx="82">
                  <c:v>2.3943770050561764E-3</c:v>
                </c:pt>
                <c:pt idx="83">
                  <c:v>2.3907373120229977E-3</c:v>
                </c:pt>
                <c:pt idx="84">
                  <c:v>2.3896447165460783E-3</c:v>
                </c:pt>
                <c:pt idx="85">
                  <c:v>2.3886124388362295E-3</c:v>
                </c:pt>
                <c:pt idx="86">
                  <c:v>2.3876404788934517E-3</c:v>
                </c:pt>
                <c:pt idx="87">
                  <c:v>2.3867288367177436E-3</c:v>
                </c:pt>
                <c:pt idx="88">
                  <c:v>2.3843558167930415E-3</c:v>
                </c:pt>
                <c:pt idx="89">
                  <c:v>2.3836854456856151E-3</c:v>
                </c:pt>
                <c:pt idx="90">
                  <c:v>2.3830753923452588E-3</c:v>
                </c:pt>
                <c:pt idx="91">
                  <c:v>2.3825256567719727E-3</c:v>
                </c:pt>
                <c:pt idx="92">
                  <c:v>2.382036238965757E-3</c:v>
                </c:pt>
                <c:pt idx="93">
                  <c:v>2.3809298921495326E-3</c:v>
                </c:pt>
                <c:pt idx="94">
                  <c:v>2.3806817454115978E-3</c:v>
                </c:pt>
                <c:pt idx="95">
                  <c:v>2.3804939164407345E-3</c:v>
                </c:pt>
                <c:pt idx="96">
                  <c:v>2.3803664052369409E-3</c:v>
                </c:pt>
                <c:pt idx="97">
                  <c:v>2.3802992118002178E-3</c:v>
                </c:pt>
                <c:pt idx="98">
                  <c:v>2.38045953809247E-3</c:v>
                </c:pt>
                <c:pt idx="99">
                  <c:v>2.3806336157240282E-3</c:v>
                </c:pt>
                <c:pt idx="100">
                  <c:v>2.3808680111226566E-3</c:v>
                </c:pt>
                <c:pt idx="101">
                  <c:v>2.3811627242883555E-3</c:v>
                </c:pt>
                <c:pt idx="102">
                  <c:v>2.3815177552211244E-3</c:v>
                </c:pt>
                <c:pt idx="103">
                  <c:v>2.3829447546218543E-3</c:v>
                </c:pt>
                <c:pt idx="104">
                  <c:v>2.3835410566229046E-3</c:v>
                </c:pt>
                <c:pt idx="105">
                  <c:v>2.3841976763910254E-3</c:v>
                </c:pt>
                <c:pt idx="106">
                  <c:v>2.3849146139262169E-3</c:v>
                </c:pt>
                <c:pt idx="107">
                  <c:v>2.3856918692284784E-3</c:v>
                </c:pt>
                <c:pt idx="108">
                  <c:v>2.3883855417376849E-3</c:v>
                </c:pt>
                <c:pt idx="109">
                  <c:v>2.3894040681082277E-3</c:v>
                </c:pt>
                <c:pt idx="110">
                  <c:v>2.3904829122458411E-3</c:v>
                </c:pt>
                <c:pt idx="111">
                  <c:v>2.3916220741505246E-3</c:v>
                </c:pt>
                <c:pt idx="112">
                  <c:v>2.3928215538222787E-3</c:v>
                </c:pt>
                <c:pt idx="113">
                  <c:v>2.3967818994399624E-3</c:v>
                </c:pt>
                <c:pt idx="114">
                  <c:v>2.3982226501799977E-3</c:v>
                </c:pt>
                <c:pt idx="115">
                  <c:v>2.3997237186871032E-3</c:v>
                </c:pt>
                <c:pt idx="116">
                  <c:v>2.4012851049612792E-3</c:v>
                </c:pt>
                <c:pt idx="117">
                  <c:v>2.4029068090025258E-3</c:v>
                </c:pt>
                <c:pt idx="118">
                  <c:v>2.4081338277286866E-3</c:v>
                </c:pt>
                <c:pt idx="119">
                  <c:v>2.4099968028382145E-3</c:v>
                </c:pt>
                <c:pt idx="120">
                  <c:v>2.4119200957148125E-3</c:v>
                </c:pt>
                <c:pt idx="121">
                  <c:v>2.4139037063584806E-3</c:v>
                </c:pt>
                <c:pt idx="122">
                  <c:v>2.4159476347692193E-3</c:v>
                </c:pt>
                <c:pt idx="123">
                  <c:v>2.4224413266038577E-3</c:v>
                </c:pt>
                <c:pt idx="124">
                  <c:v>2.4247265260828777E-3</c:v>
                </c:pt>
                <c:pt idx="125">
                  <c:v>2.4270720433289678E-3</c:v>
                </c:pt>
                <c:pt idx="126">
                  <c:v>2.4294778783421288E-3</c:v>
                </c:pt>
                <c:pt idx="127">
                  <c:v>2.43194403112236E-3</c:v>
                </c:pt>
                <c:pt idx="128">
                  <c:v>2.4397043960654751E-3</c:v>
                </c:pt>
                <c:pt idx="129">
                  <c:v>2.4424118199139876E-3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288576"/>
        <c:axId val="459290112"/>
      </c:lineChart>
      <c:dateAx>
        <c:axId val="4592885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59290112"/>
        <c:crosses val="autoZero"/>
        <c:auto val="1"/>
        <c:lblOffset val="100"/>
        <c:baseTimeUnit val="days"/>
      </c:dateAx>
      <c:valAx>
        <c:axId val="459290112"/>
        <c:scaling>
          <c:orientation val="minMax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59288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94685039370078"/>
          <c:y val="5.1400554097404488E-2"/>
          <c:w val="0.85324037620297466"/>
          <c:h val="0.73897919010123736"/>
        </c:manualLayout>
      </c:layout>
      <c:lineChart>
        <c:grouping val="standard"/>
        <c:varyColors val="0"/>
        <c:ser>
          <c:idx val="1"/>
          <c:order val="0"/>
          <c:tx>
            <c:strRef>
              <c:f>'6M Depo Charts'!$G$28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'6M Depo Charts'!$D$29:$D$38</c:f>
              <c:numCache>
                <c:formatCode>ddd\,\ dd\-mmm\-yyyy</c:formatCode>
                <c:ptCount val="10"/>
                <c:pt idx="0">
                  <c:v>41890</c:v>
                </c:pt>
                <c:pt idx="1">
                  <c:v>41894</c:v>
                </c:pt>
                <c:pt idx="2">
                  <c:v>41901</c:v>
                </c:pt>
                <c:pt idx="3">
                  <c:v>41908</c:v>
                </c:pt>
                <c:pt idx="4">
                  <c:v>41918</c:v>
                </c:pt>
                <c:pt idx="5">
                  <c:v>41948</c:v>
                </c:pt>
                <c:pt idx="6">
                  <c:v>41978</c:v>
                </c:pt>
                <c:pt idx="7">
                  <c:v>42009</c:v>
                </c:pt>
                <c:pt idx="8">
                  <c:v>42040</c:v>
                </c:pt>
                <c:pt idx="9">
                  <c:v>42068</c:v>
                </c:pt>
              </c:numCache>
            </c:numRef>
          </c:cat>
          <c:val>
            <c:numRef>
              <c:f>'6M Depo Charts'!$G$29:$G$38</c:f>
              <c:numCache>
                <c:formatCode>0.0000%</c:formatCode>
                <c:ptCount val="10"/>
                <c:pt idx="0">
                  <c:v>2.8035933597679104E-3</c:v>
                </c:pt>
                <c:pt idx="1">
                  <c:v>2.5235933707827875E-3</c:v>
                </c:pt>
                <c:pt idx="2">
                  <c:v>2.5135933605571876E-3</c:v>
                </c:pt>
                <c:pt idx="3">
                  <c:v>2.5035933612809237E-3</c:v>
                </c:pt>
                <c:pt idx="4">
                  <c:v>2.5175718500817412E-3</c:v>
                </c:pt>
                <c:pt idx="5">
                  <c:v>2.4524456564123886E-3</c:v>
                </c:pt>
                <c:pt idx="6">
                  <c:v>2.4517252391879005E-3</c:v>
                </c:pt>
                <c:pt idx="7">
                  <c:v>2.4381018278890835E-3</c:v>
                </c:pt>
                <c:pt idx="8">
                  <c:v>2.4343781796635237E-3</c:v>
                </c:pt>
                <c:pt idx="9">
                  <c:v>2.4481793300650759E-3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'6M Depo Charts'!$H$28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  <a:prstDash val="dash"/>
            </a:ln>
          </c:spPr>
          <c:marker>
            <c:symbol val="triangle"/>
            <c:size val="5"/>
          </c:marker>
          <c:cat>
            <c:numRef>
              <c:f>'6M Depo Charts'!$D$29:$D$38</c:f>
              <c:numCache>
                <c:formatCode>ddd\,\ dd\-mmm\-yyyy</c:formatCode>
                <c:ptCount val="10"/>
                <c:pt idx="0">
                  <c:v>41890</c:v>
                </c:pt>
                <c:pt idx="1">
                  <c:v>41894</c:v>
                </c:pt>
                <c:pt idx="2">
                  <c:v>41901</c:v>
                </c:pt>
                <c:pt idx="3">
                  <c:v>41908</c:v>
                </c:pt>
                <c:pt idx="4">
                  <c:v>41918</c:v>
                </c:pt>
                <c:pt idx="5">
                  <c:v>41948</c:v>
                </c:pt>
                <c:pt idx="6">
                  <c:v>41978</c:v>
                </c:pt>
                <c:pt idx="7">
                  <c:v>42009</c:v>
                </c:pt>
                <c:pt idx="8">
                  <c:v>42040</c:v>
                </c:pt>
                <c:pt idx="9">
                  <c:v>42068</c:v>
                </c:pt>
              </c:numCache>
            </c:numRef>
          </c:cat>
          <c:val>
            <c:numRef>
              <c:f>'6M Depo Charts'!$H$29:$H$38</c:f>
              <c:numCache>
                <c:formatCode>0.0000%</c:formatCode>
                <c:ptCount val="10"/>
                <c:pt idx="0">
                  <c:v>2.9791992041741824E-3</c:v>
                </c:pt>
                <c:pt idx="1">
                  <c:v>2.6952530164383571E-3</c:v>
                </c:pt>
                <c:pt idx="2">
                  <c:v>2.6783471583990272E-3</c:v>
                </c:pt>
                <c:pt idx="3">
                  <c:v>2.6614413113090333E-3</c:v>
                </c:pt>
                <c:pt idx="4">
                  <c:v>2.6655543032330937E-3</c:v>
                </c:pt>
                <c:pt idx="5">
                  <c:v>2.5708316189334704E-3</c:v>
                </c:pt>
                <c:pt idx="6">
                  <c:v>2.5405147110787109E-3</c:v>
                </c:pt>
                <c:pt idx="7">
                  <c:v>2.4963082594619481E-3</c:v>
                </c:pt>
                <c:pt idx="8">
                  <c:v>2.4620015709184415E-3</c:v>
                </c:pt>
                <c:pt idx="9">
                  <c:v>2.4481793300650738E-3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'6M Depo Charts'!$I$28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  <a:prstDash val="sysDash"/>
            </a:ln>
          </c:spPr>
          <c:marker>
            <c:symbol val="square"/>
            <c:size val="5"/>
            <c:spPr>
              <a:solidFill>
                <a:schemeClr val="accent1"/>
              </a:solidFill>
            </c:spPr>
          </c:marker>
          <c:cat>
            <c:numRef>
              <c:f>'6M Depo Charts'!$D$29:$D$38</c:f>
              <c:numCache>
                <c:formatCode>ddd\,\ dd\-mmm\-yyyy</c:formatCode>
                <c:ptCount val="10"/>
                <c:pt idx="0">
                  <c:v>41890</c:v>
                </c:pt>
                <c:pt idx="1">
                  <c:v>41894</c:v>
                </c:pt>
                <c:pt idx="2">
                  <c:v>41901</c:v>
                </c:pt>
                <c:pt idx="3">
                  <c:v>41908</c:v>
                </c:pt>
                <c:pt idx="4">
                  <c:v>41918</c:v>
                </c:pt>
                <c:pt idx="5">
                  <c:v>41948</c:v>
                </c:pt>
                <c:pt idx="6">
                  <c:v>41978</c:v>
                </c:pt>
                <c:pt idx="7">
                  <c:v>42009</c:v>
                </c:pt>
                <c:pt idx="8">
                  <c:v>42040</c:v>
                </c:pt>
                <c:pt idx="9">
                  <c:v>42068</c:v>
                </c:pt>
              </c:numCache>
            </c:numRef>
          </c:cat>
          <c:val>
            <c:numRef>
              <c:f>'6M Depo Charts'!$I$29:$I$38</c:f>
              <c:numCache>
                <c:formatCode>0.0000%</c:formatCode>
                <c:ptCount val="10"/>
                <c:pt idx="0">
                  <c:v>3.2233640793010465E-3</c:v>
                </c:pt>
                <c:pt idx="1">
                  <c:v>2.9270300268693025E-3</c:v>
                </c:pt>
                <c:pt idx="2">
                  <c:v>2.8892088798144846E-3</c:v>
                </c:pt>
                <c:pt idx="3">
                  <c:v>2.8523594381483822E-3</c:v>
                </c:pt>
                <c:pt idx="4">
                  <c:v>2.8296671730728444E-3</c:v>
                </c:pt>
                <c:pt idx="5">
                  <c:v>2.6664270170321373E-3</c:v>
                </c:pt>
                <c:pt idx="6">
                  <c:v>2.5854400863228612E-3</c:v>
                </c:pt>
                <c:pt idx="7">
                  <c:v>2.5076243476700394E-3</c:v>
                </c:pt>
                <c:pt idx="8">
                  <c:v>2.4587654814015756E-3</c:v>
                </c:pt>
                <c:pt idx="9">
                  <c:v>2.4481793300650712E-3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495296"/>
        <c:axId val="459505664"/>
      </c:lineChart>
      <c:dateAx>
        <c:axId val="45949529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459505664"/>
        <c:crosses val="autoZero"/>
        <c:auto val="1"/>
        <c:lblOffset val="100"/>
        <c:baseTimeUnit val="days"/>
        <c:majorUnit val="14"/>
        <c:majorTimeUnit val="days"/>
      </c:dateAx>
      <c:valAx>
        <c:axId val="4595056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59495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216097987751515"/>
          <c:y val="0.50008530183727029"/>
          <c:w val="0.12891130796150482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Market Quotes</c:v>
          </c:tx>
          <c:spPr>
            <a:ln w="28575">
              <a:noFill/>
            </a:ln>
          </c:spPr>
          <c:xVal>
            <c:numRef>
              <c:f>'basis 3M'!$C$2:$C$11</c:f>
              <c:numCache>
                <c:formatCode>ddd\,\ dd\-mmm\-yyyy</c:formatCode>
                <c:ptCount val="10"/>
                <c:pt idx="0">
                  <c:v>41887</c:v>
                </c:pt>
                <c:pt idx="1">
                  <c:v>41899</c:v>
                </c:pt>
                <c:pt idx="2">
                  <c:v>41927</c:v>
                </c:pt>
                <c:pt idx="3">
                  <c:v>41990</c:v>
                </c:pt>
                <c:pt idx="4">
                  <c:v>42081</c:v>
                </c:pt>
                <c:pt idx="5">
                  <c:v>42172</c:v>
                </c:pt>
                <c:pt idx="6">
                  <c:v>42263</c:v>
                </c:pt>
                <c:pt idx="7">
                  <c:v>42354</c:v>
                </c:pt>
                <c:pt idx="8">
                  <c:v>42445</c:v>
                </c:pt>
                <c:pt idx="9">
                  <c:v>42536</c:v>
                </c:pt>
              </c:numCache>
            </c:numRef>
          </c:xVal>
          <c:yVal>
            <c:numRef>
              <c:f>'basis 3M'!$E$2:$E$11</c:f>
              <c:numCache>
                <c:formatCode>0.0000%</c:formatCode>
                <c:ptCount val="10"/>
                <c:pt idx="0">
                  <c:v>1.5199999999999999E-3</c:v>
                </c:pt>
                <c:pt idx="1">
                  <c:v>1.3750000000000151E-3</c:v>
                </c:pt>
                <c:pt idx="2">
                  <c:v>1.2750000000000261E-3</c:v>
                </c:pt>
                <c:pt idx="3">
                  <c:v>1.2750000000000261E-3</c:v>
                </c:pt>
                <c:pt idx="4">
                  <c:v>1.1249999999999316E-3</c:v>
                </c:pt>
                <c:pt idx="5">
                  <c:v>1.1249999999999316E-3</c:v>
                </c:pt>
                <c:pt idx="6">
                  <c:v>1.2250000000000316E-3</c:v>
                </c:pt>
                <c:pt idx="7">
                  <c:v>1.4250000000000096E-3</c:v>
                </c:pt>
                <c:pt idx="8">
                  <c:v>1.6249999999999876E-3</c:v>
                </c:pt>
                <c:pt idx="9">
                  <c:v>1.9249999999999545E-3</c:v>
                </c:pt>
              </c:numCache>
            </c:numRef>
          </c:yVal>
          <c:smooth val="0"/>
        </c:ser>
        <c:ser>
          <c:idx val="1"/>
          <c:order val="1"/>
          <c:tx>
            <c:v>OIS 3M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'basis 3M'!$C$2:$C$11</c:f>
              <c:numCache>
                <c:formatCode>ddd\,\ dd\-mmm\-yyyy</c:formatCode>
                <c:ptCount val="10"/>
                <c:pt idx="0">
                  <c:v>41887</c:v>
                </c:pt>
                <c:pt idx="1">
                  <c:v>41899</c:v>
                </c:pt>
                <c:pt idx="2">
                  <c:v>41927</c:v>
                </c:pt>
                <c:pt idx="3">
                  <c:v>41990</c:v>
                </c:pt>
                <c:pt idx="4">
                  <c:v>42081</c:v>
                </c:pt>
                <c:pt idx="5">
                  <c:v>42172</c:v>
                </c:pt>
                <c:pt idx="6">
                  <c:v>42263</c:v>
                </c:pt>
                <c:pt idx="7">
                  <c:v>42354</c:v>
                </c:pt>
                <c:pt idx="8">
                  <c:v>42445</c:v>
                </c:pt>
                <c:pt idx="9">
                  <c:v>42536</c:v>
                </c:pt>
              </c:numCache>
            </c:numRef>
          </c:xVal>
          <c:yVal>
            <c:numRef>
              <c:f>'basis 3M'!$G$2:$G$11</c:f>
              <c:numCache>
                <c:formatCode>0.0000%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Diff </c:v>
          </c:tx>
          <c:spPr>
            <a:ln w="28575">
              <a:noFill/>
            </a:ln>
          </c:spPr>
          <c:xVal>
            <c:numRef>
              <c:f>'basis 3M'!$C$2:$C$11</c:f>
              <c:numCache>
                <c:formatCode>ddd\,\ dd\-mmm\-yyyy</c:formatCode>
                <c:ptCount val="10"/>
                <c:pt idx="0">
                  <c:v>41887</c:v>
                </c:pt>
                <c:pt idx="1">
                  <c:v>41899</c:v>
                </c:pt>
                <c:pt idx="2">
                  <c:v>41927</c:v>
                </c:pt>
                <c:pt idx="3">
                  <c:v>41990</c:v>
                </c:pt>
                <c:pt idx="4">
                  <c:v>42081</c:v>
                </c:pt>
                <c:pt idx="5">
                  <c:v>42172</c:v>
                </c:pt>
                <c:pt idx="6">
                  <c:v>42263</c:v>
                </c:pt>
                <c:pt idx="7">
                  <c:v>42354</c:v>
                </c:pt>
                <c:pt idx="8">
                  <c:v>42445</c:v>
                </c:pt>
                <c:pt idx="9">
                  <c:v>42536</c:v>
                </c:pt>
              </c:numCache>
            </c:numRef>
          </c:xVal>
          <c:yVal>
            <c:numRef>
              <c:f>'basis 3M'!$H$2:$H$11</c:f>
              <c:numCache>
                <c:formatCode>0.0000%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915264"/>
        <c:axId val="461916800"/>
      </c:scatterChart>
      <c:valAx>
        <c:axId val="4619152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61916800"/>
        <c:crosses val="autoZero"/>
        <c:crossBetween val="midCat"/>
      </c:valAx>
      <c:valAx>
        <c:axId val="4619168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619152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30793785911896"/>
          <c:y val="0.32983544398746178"/>
          <c:w val="0.17144202056710126"/>
          <c:h val="0.1819663999780253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'basis 3M'!$J$2:$J$581</c:f>
              <c:numCache>
                <c:formatCode>ddd\,\ dd\-mmm\-yyyy</c:formatCode>
                <c:ptCount val="580"/>
                <c:pt idx="0">
                  <c:v>41887</c:v>
                </c:pt>
                <c:pt idx="1">
                  <c:v>41918</c:v>
                </c:pt>
                <c:pt idx="2">
                  <c:v>41949</c:v>
                </c:pt>
                <c:pt idx="3">
                  <c:v>41981</c:v>
                </c:pt>
                <c:pt idx="4">
                  <c:v>42012</c:v>
                </c:pt>
                <c:pt idx="5">
                  <c:v>42044</c:v>
                </c:pt>
                <c:pt idx="6">
                  <c:v>42072</c:v>
                </c:pt>
                <c:pt idx="7">
                  <c:v>42103</c:v>
                </c:pt>
                <c:pt idx="8">
                  <c:v>42135</c:v>
                </c:pt>
                <c:pt idx="9">
                  <c:v>42166</c:v>
                </c:pt>
                <c:pt idx="10">
                  <c:v>42198</c:v>
                </c:pt>
                <c:pt idx="11">
                  <c:v>42229</c:v>
                </c:pt>
                <c:pt idx="12">
                  <c:v>42261</c:v>
                </c:pt>
                <c:pt idx="13">
                  <c:v>42291</c:v>
                </c:pt>
                <c:pt idx="14">
                  <c:v>42324</c:v>
                </c:pt>
                <c:pt idx="15">
                  <c:v>42354</c:v>
                </c:pt>
                <c:pt idx="16">
                  <c:v>42387</c:v>
                </c:pt>
                <c:pt idx="17">
                  <c:v>42418</c:v>
                </c:pt>
                <c:pt idx="18">
                  <c:v>42447</c:v>
                </c:pt>
                <c:pt idx="19">
                  <c:v>42478</c:v>
                </c:pt>
                <c:pt idx="20">
                  <c:v>42508</c:v>
                </c:pt>
                <c:pt idx="21">
                  <c:v>42541</c:v>
                </c:pt>
                <c:pt idx="22">
                  <c:v>42571</c:v>
                </c:pt>
                <c:pt idx="23">
                  <c:v>42604</c:v>
                </c:pt>
                <c:pt idx="24">
                  <c:v>42635</c:v>
                </c:pt>
                <c:pt idx="25">
                  <c:v>42667</c:v>
                </c:pt>
                <c:pt idx="26">
                  <c:v>42698</c:v>
                </c:pt>
                <c:pt idx="27">
                  <c:v>42731</c:v>
                </c:pt>
                <c:pt idx="28">
                  <c:v>42762</c:v>
                </c:pt>
                <c:pt idx="29">
                  <c:v>42793</c:v>
                </c:pt>
                <c:pt idx="30">
                  <c:v>42821</c:v>
                </c:pt>
                <c:pt idx="31">
                  <c:v>42852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43010</c:v>
                </c:pt>
                <c:pt idx="37">
                  <c:v>43041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44725</c:v>
                </c:pt>
                <c:pt idx="92">
                  <c:v>44755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45509</c:v>
                </c:pt>
                <c:pt idx="117">
                  <c:v>45540</c:v>
                </c:pt>
                <c:pt idx="118">
                  <c:v>45572</c:v>
                </c:pt>
                <c:pt idx="119">
                  <c:v>45603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46384</c:v>
                </c:pt>
                <c:pt idx="145">
                  <c:v>46415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46916</c:v>
                </c:pt>
                <c:pt idx="162">
                  <c:v>46946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47511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48008</c:v>
                </c:pt>
                <c:pt idx="197">
                  <c:v>48038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48694</c:v>
                </c:pt>
                <c:pt idx="219">
                  <c:v>48724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49219</c:v>
                </c:pt>
                <c:pt idx="236">
                  <c:v>49250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50934</c:v>
                </c:pt>
                <c:pt idx="291">
                  <c:v>50964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51529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52026</c:v>
                </c:pt>
                <c:pt idx="326">
                  <c:v>52056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52712</c:v>
                </c:pt>
                <c:pt idx="348">
                  <c:v>52742</c:v>
                </c:pt>
                <c:pt idx="349">
                  <c:v>52775</c:v>
                </c:pt>
                <c:pt idx="350">
                  <c:v>52805</c:v>
                </c:pt>
                <c:pt idx="351">
                  <c:v>52838</c:v>
                </c:pt>
                <c:pt idx="352">
                  <c:v>52869</c:v>
                </c:pt>
                <c:pt idx="353">
                  <c:v>52901</c:v>
                </c:pt>
                <c:pt idx="354">
                  <c:v>52931</c:v>
                </c:pt>
                <c:pt idx="355">
                  <c:v>52961</c:v>
                </c:pt>
                <c:pt idx="356">
                  <c:v>52992</c:v>
                </c:pt>
                <c:pt idx="357">
                  <c:v>53021</c:v>
                </c:pt>
                <c:pt idx="358">
                  <c:v>53049</c:v>
                </c:pt>
                <c:pt idx="359">
                  <c:v>53080</c:v>
                </c:pt>
                <c:pt idx="360">
                  <c:v>53111</c:v>
                </c:pt>
                <c:pt idx="361">
                  <c:v>53142</c:v>
                </c:pt>
                <c:pt idx="362">
                  <c:v>53174</c:v>
                </c:pt>
                <c:pt idx="363">
                  <c:v>53205</c:v>
                </c:pt>
                <c:pt idx="364">
                  <c:v>53237</c:v>
                </c:pt>
                <c:pt idx="365">
                  <c:v>53268</c:v>
                </c:pt>
                <c:pt idx="366">
                  <c:v>53300</c:v>
                </c:pt>
                <c:pt idx="367">
                  <c:v>53331</c:v>
                </c:pt>
                <c:pt idx="368">
                  <c:v>53363</c:v>
                </c:pt>
                <c:pt idx="369">
                  <c:v>53391</c:v>
                </c:pt>
                <c:pt idx="370">
                  <c:v>53422</c:v>
                </c:pt>
                <c:pt idx="371">
                  <c:v>53454</c:v>
                </c:pt>
                <c:pt idx="372">
                  <c:v>53485</c:v>
                </c:pt>
                <c:pt idx="373">
                  <c:v>53517</c:v>
                </c:pt>
                <c:pt idx="374">
                  <c:v>53548</c:v>
                </c:pt>
                <c:pt idx="375">
                  <c:v>53580</c:v>
                </c:pt>
                <c:pt idx="376">
                  <c:v>53610</c:v>
                </c:pt>
                <c:pt idx="377">
                  <c:v>53643</c:v>
                </c:pt>
                <c:pt idx="378">
                  <c:v>53673</c:v>
                </c:pt>
                <c:pt idx="379">
                  <c:v>53706</c:v>
                </c:pt>
                <c:pt idx="380">
                  <c:v>53737</c:v>
                </c:pt>
                <c:pt idx="381">
                  <c:v>53765</c:v>
                </c:pt>
                <c:pt idx="382">
                  <c:v>53798</c:v>
                </c:pt>
                <c:pt idx="383">
                  <c:v>53828</c:v>
                </c:pt>
                <c:pt idx="384">
                  <c:v>53860</c:v>
                </c:pt>
                <c:pt idx="385">
                  <c:v>53890</c:v>
                </c:pt>
                <c:pt idx="386">
                  <c:v>53923</c:v>
                </c:pt>
                <c:pt idx="387">
                  <c:v>53954</c:v>
                </c:pt>
                <c:pt idx="388">
                  <c:v>53986</c:v>
                </c:pt>
                <c:pt idx="389">
                  <c:v>54017</c:v>
                </c:pt>
                <c:pt idx="390">
                  <c:v>54049</c:v>
                </c:pt>
                <c:pt idx="391">
                  <c:v>54080</c:v>
                </c:pt>
                <c:pt idx="392">
                  <c:v>54112</c:v>
                </c:pt>
                <c:pt idx="393">
                  <c:v>54141</c:v>
                </c:pt>
                <c:pt idx="394">
                  <c:v>54172</c:v>
                </c:pt>
                <c:pt idx="395">
                  <c:v>54203</c:v>
                </c:pt>
                <c:pt idx="396">
                  <c:v>54234</c:v>
                </c:pt>
                <c:pt idx="397">
                  <c:v>54266</c:v>
                </c:pt>
                <c:pt idx="398">
                  <c:v>54297</c:v>
                </c:pt>
                <c:pt idx="399">
                  <c:v>54329</c:v>
                </c:pt>
                <c:pt idx="400">
                  <c:v>54359</c:v>
                </c:pt>
                <c:pt idx="401">
                  <c:v>54392</c:v>
                </c:pt>
                <c:pt idx="402">
                  <c:v>54422</c:v>
                </c:pt>
                <c:pt idx="403">
                  <c:v>54455</c:v>
                </c:pt>
                <c:pt idx="404">
                  <c:v>54483</c:v>
                </c:pt>
                <c:pt idx="405">
                  <c:v>54514</c:v>
                </c:pt>
                <c:pt idx="406">
                  <c:v>54546</c:v>
                </c:pt>
                <c:pt idx="407">
                  <c:v>54577</c:v>
                </c:pt>
                <c:pt idx="408">
                  <c:v>54609</c:v>
                </c:pt>
                <c:pt idx="409">
                  <c:v>54640</c:v>
                </c:pt>
                <c:pt idx="410">
                  <c:v>54672</c:v>
                </c:pt>
                <c:pt idx="411">
                  <c:v>54702</c:v>
                </c:pt>
                <c:pt idx="412">
                  <c:v>54735</c:v>
                </c:pt>
                <c:pt idx="413">
                  <c:v>54765</c:v>
                </c:pt>
                <c:pt idx="414">
                  <c:v>54798</c:v>
                </c:pt>
                <c:pt idx="415">
                  <c:v>54829</c:v>
                </c:pt>
                <c:pt idx="416">
                  <c:v>54857</c:v>
                </c:pt>
                <c:pt idx="417">
                  <c:v>54890</c:v>
                </c:pt>
                <c:pt idx="418">
                  <c:v>54920</c:v>
                </c:pt>
                <c:pt idx="419">
                  <c:v>54952</c:v>
                </c:pt>
                <c:pt idx="420">
                  <c:v>54982</c:v>
                </c:pt>
                <c:pt idx="421">
                  <c:v>55015</c:v>
                </c:pt>
                <c:pt idx="422">
                  <c:v>55046</c:v>
                </c:pt>
                <c:pt idx="423">
                  <c:v>55078</c:v>
                </c:pt>
                <c:pt idx="424">
                  <c:v>55109</c:v>
                </c:pt>
                <c:pt idx="425">
                  <c:v>55141</c:v>
                </c:pt>
                <c:pt idx="426">
                  <c:v>55172</c:v>
                </c:pt>
                <c:pt idx="427">
                  <c:v>55204</c:v>
                </c:pt>
                <c:pt idx="428">
                  <c:v>55232</c:v>
                </c:pt>
                <c:pt idx="429">
                  <c:v>55263</c:v>
                </c:pt>
                <c:pt idx="430">
                  <c:v>55295</c:v>
                </c:pt>
                <c:pt idx="431">
                  <c:v>55326</c:v>
                </c:pt>
                <c:pt idx="432">
                  <c:v>55358</c:v>
                </c:pt>
                <c:pt idx="433">
                  <c:v>55389</c:v>
                </c:pt>
                <c:pt idx="434">
                  <c:v>55421</c:v>
                </c:pt>
                <c:pt idx="435">
                  <c:v>55451</c:v>
                </c:pt>
                <c:pt idx="436">
                  <c:v>55484</c:v>
                </c:pt>
                <c:pt idx="437">
                  <c:v>55514</c:v>
                </c:pt>
                <c:pt idx="438">
                  <c:v>55547</c:v>
                </c:pt>
                <c:pt idx="439">
                  <c:v>55578</c:v>
                </c:pt>
                <c:pt idx="440">
                  <c:v>55607</c:v>
                </c:pt>
                <c:pt idx="441">
                  <c:v>55638</c:v>
                </c:pt>
                <c:pt idx="442">
                  <c:v>55668</c:v>
                </c:pt>
                <c:pt idx="443">
                  <c:v>55701</c:v>
                </c:pt>
                <c:pt idx="444">
                  <c:v>55732</c:v>
                </c:pt>
                <c:pt idx="445">
                  <c:v>55764</c:v>
                </c:pt>
                <c:pt idx="446">
                  <c:v>55794</c:v>
                </c:pt>
                <c:pt idx="447">
                  <c:v>55827</c:v>
                </c:pt>
                <c:pt idx="448">
                  <c:v>55857</c:v>
                </c:pt>
                <c:pt idx="449">
                  <c:v>55890</c:v>
                </c:pt>
                <c:pt idx="450">
                  <c:v>55921</c:v>
                </c:pt>
                <c:pt idx="451">
                  <c:v>55949</c:v>
                </c:pt>
                <c:pt idx="452">
                  <c:v>55982</c:v>
                </c:pt>
                <c:pt idx="453">
                  <c:v>56012</c:v>
                </c:pt>
                <c:pt idx="454">
                  <c:v>56044</c:v>
                </c:pt>
                <c:pt idx="455">
                  <c:v>56074</c:v>
                </c:pt>
                <c:pt idx="456">
                  <c:v>56107</c:v>
                </c:pt>
                <c:pt idx="457">
                  <c:v>56138</c:v>
                </c:pt>
                <c:pt idx="458">
                  <c:v>56170</c:v>
                </c:pt>
                <c:pt idx="459">
                  <c:v>56201</c:v>
                </c:pt>
                <c:pt idx="460">
                  <c:v>56233</c:v>
                </c:pt>
                <c:pt idx="461">
                  <c:v>56264</c:v>
                </c:pt>
                <c:pt idx="462">
                  <c:v>56296</c:v>
                </c:pt>
                <c:pt idx="463">
                  <c:v>56324</c:v>
                </c:pt>
                <c:pt idx="464">
                  <c:v>56355</c:v>
                </c:pt>
                <c:pt idx="465">
                  <c:v>56387</c:v>
                </c:pt>
                <c:pt idx="466">
                  <c:v>56418</c:v>
                </c:pt>
                <c:pt idx="467">
                  <c:v>56450</c:v>
                </c:pt>
                <c:pt idx="468">
                  <c:v>56481</c:v>
                </c:pt>
                <c:pt idx="469">
                  <c:v>56513</c:v>
                </c:pt>
                <c:pt idx="470">
                  <c:v>56543</c:v>
                </c:pt>
                <c:pt idx="471">
                  <c:v>56576</c:v>
                </c:pt>
                <c:pt idx="472">
                  <c:v>56606</c:v>
                </c:pt>
                <c:pt idx="473">
                  <c:v>56639</c:v>
                </c:pt>
                <c:pt idx="474">
                  <c:v>56670</c:v>
                </c:pt>
                <c:pt idx="475">
                  <c:v>56698</c:v>
                </c:pt>
                <c:pt idx="476">
                  <c:v>56730</c:v>
                </c:pt>
                <c:pt idx="477">
                  <c:v>56760</c:v>
                </c:pt>
                <c:pt idx="478">
                  <c:v>56793</c:v>
                </c:pt>
                <c:pt idx="479">
                  <c:v>56823</c:v>
                </c:pt>
                <c:pt idx="480">
                  <c:v>56856</c:v>
                </c:pt>
                <c:pt idx="481">
                  <c:v>56887</c:v>
                </c:pt>
                <c:pt idx="482">
                  <c:v>56919</c:v>
                </c:pt>
                <c:pt idx="483">
                  <c:v>56949</c:v>
                </c:pt>
                <c:pt idx="484">
                  <c:v>56982</c:v>
                </c:pt>
                <c:pt idx="485">
                  <c:v>57013</c:v>
                </c:pt>
                <c:pt idx="486">
                  <c:v>57042</c:v>
                </c:pt>
                <c:pt idx="487">
                  <c:v>57074</c:v>
                </c:pt>
                <c:pt idx="488">
                  <c:v>57104</c:v>
                </c:pt>
                <c:pt idx="489">
                  <c:v>57136</c:v>
                </c:pt>
                <c:pt idx="490">
                  <c:v>57166</c:v>
                </c:pt>
                <c:pt idx="491">
                  <c:v>57199</c:v>
                </c:pt>
                <c:pt idx="492">
                  <c:v>57230</c:v>
                </c:pt>
                <c:pt idx="493">
                  <c:v>57262</c:v>
                </c:pt>
                <c:pt idx="494">
                  <c:v>57293</c:v>
                </c:pt>
                <c:pt idx="495">
                  <c:v>57325</c:v>
                </c:pt>
                <c:pt idx="496">
                  <c:v>57356</c:v>
                </c:pt>
                <c:pt idx="497">
                  <c:v>57388</c:v>
                </c:pt>
                <c:pt idx="498">
                  <c:v>57416</c:v>
                </c:pt>
                <c:pt idx="499">
                  <c:v>57447</c:v>
                </c:pt>
                <c:pt idx="500">
                  <c:v>57479</c:v>
                </c:pt>
                <c:pt idx="501">
                  <c:v>57510</c:v>
                </c:pt>
                <c:pt idx="502">
                  <c:v>57542</c:v>
                </c:pt>
                <c:pt idx="503">
                  <c:v>57573</c:v>
                </c:pt>
                <c:pt idx="504">
                  <c:v>57605</c:v>
                </c:pt>
                <c:pt idx="505">
                  <c:v>57635</c:v>
                </c:pt>
                <c:pt idx="506">
                  <c:v>57668</c:v>
                </c:pt>
                <c:pt idx="507">
                  <c:v>57698</c:v>
                </c:pt>
                <c:pt idx="508">
                  <c:v>57731</c:v>
                </c:pt>
                <c:pt idx="509">
                  <c:v>57762</c:v>
                </c:pt>
                <c:pt idx="510">
                  <c:v>57790</c:v>
                </c:pt>
                <c:pt idx="511">
                  <c:v>57822</c:v>
                </c:pt>
                <c:pt idx="512">
                  <c:v>57852</c:v>
                </c:pt>
                <c:pt idx="513">
                  <c:v>57885</c:v>
                </c:pt>
                <c:pt idx="514">
                  <c:v>57915</c:v>
                </c:pt>
                <c:pt idx="515">
                  <c:v>57948</c:v>
                </c:pt>
                <c:pt idx="516">
                  <c:v>57979</c:v>
                </c:pt>
                <c:pt idx="517">
                  <c:v>58011</c:v>
                </c:pt>
                <c:pt idx="518">
                  <c:v>58042</c:v>
                </c:pt>
                <c:pt idx="519">
                  <c:v>58074</c:v>
                </c:pt>
                <c:pt idx="520">
                  <c:v>58105</c:v>
                </c:pt>
                <c:pt idx="521">
                  <c:v>58134</c:v>
                </c:pt>
                <c:pt idx="522">
                  <c:v>58166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58322</c:v>
                </c:pt>
                <c:pt idx="528">
                  <c:v>58354</c:v>
                </c:pt>
                <c:pt idx="529">
                  <c:v>58385</c:v>
                </c:pt>
                <c:pt idx="530">
                  <c:v>58417</c:v>
                </c:pt>
                <c:pt idx="531">
                  <c:v>58448</c:v>
                </c:pt>
                <c:pt idx="532">
                  <c:v>58480</c:v>
                </c:pt>
                <c:pt idx="533">
                  <c:v>58509</c:v>
                </c:pt>
                <c:pt idx="534">
                  <c:v>58540</c:v>
                </c:pt>
                <c:pt idx="535">
                  <c:v>58571</c:v>
                </c:pt>
                <c:pt idx="536">
                  <c:v>58602</c:v>
                </c:pt>
                <c:pt idx="537">
                  <c:v>58634</c:v>
                </c:pt>
                <c:pt idx="538">
                  <c:v>58665</c:v>
                </c:pt>
                <c:pt idx="539">
                  <c:v>58697</c:v>
                </c:pt>
                <c:pt idx="540">
                  <c:v>58727</c:v>
                </c:pt>
                <c:pt idx="541">
                  <c:v>58760</c:v>
                </c:pt>
                <c:pt idx="542">
                  <c:v>58790</c:v>
                </c:pt>
                <c:pt idx="543">
                  <c:v>58823</c:v>
                </c:pt>
                <c:pt idx="544">
                  <c:v>58854</c:v>
                </c:pt>
                <c:pt idx="545">
                  <c:v>58882</c:v>
                </c:pt>
                <c:pt idx="546">
                  <c:v>58914</c:v>
                </c:pt>
                <c:pt idx="547">
                  <c:v>58944</c:v>
                </c:pt>
                <c:pt idx="548">
                  <c:v>58977</c:v>
                </c:pt>
                <c:pt idx="549">
                  <c:v>59007</c:v>
                </c:pt>
                <c:pt idx="550">
                  <c:v>59040</c:v>
                </c:pt>
                <c:pt idx="551">
                  <c:v>59071</c:v>
                </c:pt>
                <c:pt idx="552">
                  <c:v>59103</c:v>
                </c:pt>
                <c:pt idx="553">
                  <c:v>59134</c:v>
                </c:pt>
                <c:pt idx="554">
                  <c:v>59167</c:v>
                </c:pt>
                <c:pt idx="555">
                  <c:v>59198</c:v>
                </c:pt>
                <c:pt idx="556">
                  <c:v>59229</c:v>
                </c:pt>
                <c:pt idx="557">
                  <c:v>59258</c:v>
                </c:pt>
                <c:pt idx="558">
                  <c:v>59289</c:v>
                </c:pt>
                <c:pt idx="559">
                  <c:v>59320</c:v>
                </c:pt>
                <c:pt idx="560">
                  <c:v>59351</c:v>
                </c:pt>
                <c:pt idx="561">
                  <c:v>59383</c:v>
                </c:pt>
                <c:pt idx="562">
                  <c:v>59414</c:v>
                </c:pt>
                <c:pt idx="563">
                  <c:v>59446</c:v>
                </c:pt>
                <c:pt idx="564">
                  <c:v>59477</c:v>
                </c:pt>
                <c:pt idx="565">
                  <c:v>59509</c:v>
                </c:pt>
                <c:pt idx="566">
                  <c:v>59540</c:v>
                </c:pt>
                <c:pt idx="567">
                  <c:v>59572</c:v>
                </c:pt>
                <c:pt idx="568">
                  <c:v>59600</c:v>
                </c:pt>
                <c:pt idx="569">
                  <c:v>59631</c:v>
                </c:pt>
                <c:pt idx="570">
                  <c:v>59663</c:v>
                </c:pt>
                <c:pt idx="571">
                  <c:v>59694</c:v>
                </c:pt>
                <c:pt idx="572">
                  <c:v>59726</c:v>
                </c:pt>
                <c:pt idx="573">
                  <c:v>59757</c:v>
                </c:pt>
                <c:pt idx="574">
                  <c:v>59789</c:v>
                </c:pt>
                <c:pt idx="575">
                  <c:v>59819</c:v>
                </c:pt>
                <c:pt idx="576">
                  <c:v>59852</c:v>
                </c:pt>
                <c:pt idx="577">
                  <c:v>59882</c:v>
                </c:pt>
                <c:pt idx="578">
                  <c:v>59915</c:v>
                </c:pt>
                <c:pt idx="579">
                  <c:v>59946</c:v>
                </c:pt>
              </c:numCache>
            </c:numRef>
          </c:cat>
          <c:val>
            <c:numRef>
              <c:f>'basis 3M'!$O$2:$O$581</c:f>
              <c:numCache>
                <c:formatCode>0.0000%</c:formatCode>
                <c:ptCount val="5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924608"/>
        <c:axId val="461938688"/>
      </c:lineChart>
      <c:dateAx>
        <c:axId val="4619246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61938688"/>
        <c:crosses val="autoZero"/>
        <c:auto val="1"/>
        <c:lblOffset val="100"/>
        <c:baseTimeUnit val="months"/>
      </c:dateAx>
      <c:valAx>
        <c:axId val="46193868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61924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0540820555325"/>
          <c:y val="4.1292477203068834E-2"/>
          <c:w val="0.85705415112584615"/>
          <c:h val="0.79713381559919805"/>
        </c:manualLayout>
      </c:layout>
      <c:lineChart>
        <c:grouping val="standard"/>
        <c:varyColors val="0"/>
        <c:ser>
          <c:idx val="0"/>
          <c:order val="0"/>
          <c:tx>
            <c:v>3M Curve</c:v>
          </c:tx>
          <c:marker>
            <c:symbol val="none"/>
          </c:marker>
          <c:cat>
            <c:numRef>
              <c:f>'basis 3M'!$J$2:$J$581</c:f>
              <c:numCache>
                <c:formatCode>ddd\,\ dd\-mmm\-yyyy</c:formatCode>
                <c:ptCount val="580"/>
                <c:pt idx="0">
                  <c:v>41887</c:v>
                </c:pt>
                <c:pt idx="1">
                  <c:v>41918</c:v>
                </c:pt>
                <c:pt idx="2">
                  <c:v>41949</c:v>
                </c:pt>
                <c:pt idx="3">
                  <c:v>41981</c:v>
                </c:pt>
                <c:pt idx="4">
                  <c:v>42012</c:v>
                </c:pt>
                <c:pt idx="5">
                  <c:v>42044</c:v>
                </c:pt>
                <c:pt idx="6">
                  <c:v>42072</c:v>
                </c:pt>
                <c:pt idx="7">
                  <c:v>42103</c:v>
                </c:pt>
                <c:pt idx="8">
                  <c:v>42135</c:v>
                </c:pt>
                <c:pt idx="9">
                  <c:v>42166</c:v>
                </c:pt>
                <c:pt idx="10">
                  <c:v>42198</c:v>
                </c:pt>
                <c:pt idx="11">
                  <c:v>42229</c:v>
                </c:pt>
                <c:pt idx="12">
                  <c:v>42261</c:v>
                </c:pt>
                <c:pt idx="13">
                  <c:v>42291</c:v>
                </c:pt>
                <c:pt idx="14">
                  <c:v>42324</c:v>
                </c:pt>
                <c:pt idx="15">
                  <c:v>42354</c:v>
                </c:pt>
                <c:pt idx="16">
                  <c:v>42387</c:v>
                </c:pt>
                <c:pt idx="17">
                  <c:v>42418</c:v>
                </c:pt>
                <c:pt idx="18">
                  <c:v>42447</c:v>
                </c:pt>
                <c:pt idx="19">
                  <c:v>42478</c:v>
                </c:pt>
                <c:pt idx="20">
                  <c:v>42508</c:v>
                </c:pt>
                <c:pt idx="21">
                  <c:v>42541</c:v>
                </c:pt>
                <c:pt idx="22">
                  <c:v>42571</c:v>
                </c:pt>
                <c:pt idx="23">
                  <c:v>42604</c:v>
                </c:pt>
                <c:pt idx="24">
                  <c:v>42635</c:v>
                </c:pt>
                <c:pt idx="25">
                  <c:v>42667</c:v>
                </c:pt>
                <c:pt idx="26">
                  <c:v>42698</c:v>
                </c:pt>
                <c:pt idx="27">
                  <c:v>42731</c:v>
                </c:pt>
                <c:pt idx="28">
                  <c:v>42762</c:v>
                </c:pt>
                <c:pt idx="29">
                  <c:v>42793</c:v>
                </c:pt>
                <c:pt idx="30">
                  <c:v>42821</c:v>
                </c:pt>
                <c:pt idx="31">
                  <c:v>42852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43010</c:v>
                </c:pt>
                <c:pt idx="37">
                  <c:v>43041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44725</c:v>
                </c:pt>
                <c:pt idx="92">
                  <c:v>44755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45509</c:v>
                </c:pt>
                <c:pt idx="117">
                  <c:v>45540</c:v>
                </c:pt>
                <c:pt idx="118">
                  <c:v>45572</c:v>
                </c:pt>
                <c:pt idx="119">
                  <c:v>45603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46384</c:v>
                </c:pt>
                <c:pt idx="145">
                  <c:v>46415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46916</c:v>
                </c:pt>
                <c:pt idx="162">
                  <c:v>46946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47511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48008</c:v>
                </c:pt>
                <c:pt idx="197">
                  <c:v>48038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48694</c:v>
                </c:pt>
                <c:pt idx="219">
                  <c:v>48724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49219</c:v>
                </c:pt>
                <c:pt idx="236">
                  <c:v>49250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50934</c:v>
                </c:pt>
                <c:pt idx="291">
                  <c:v>50964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51529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52026</c:v>
                </c:pt>
                <c:pt idx="326">
                  <c:v>52056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52712</c:v>
                </c:pt>
                <c:pt idx="348">
                  <c:v>52742</c:v>
                </c:pt>
                <c:pt idx="349">
                  <c:v>52775</c:v>
                </c:pt>
                <c:pt idx="350">
                  <c:v>52805</c:v>
                </c:pt>
                <c:pt idx="351">
                  <c:v>52838</c:v>
                </c:pt>
                <c:pt idx="352">
                  <c:v>52869</c:v>
                </c:pt>
                <c:pt idx="353">
                  <c:v>52901</c:v>
                </c:pt>
                <c:pt idx="354">
                  <c:v>52931</c:v>
                </c:pt>
                <c:pt idx="355">
                  <c:v>52961</c:v>
                </c:pt>
                <c:pt idx="356">
                  <c:v>52992</c:v>
                </c:pt>
                <c:pt idx="357">
                  <c:v>53021</c:v>
                </c:pt>
                <c:pt idx="358">
                  <c:v>53049</c:v>
                </c:pt>
                <c:pt idx="359">
                  <c:v>53080</c:v>
                </c:pt>
                <c:pt idx="360">
                  <c:v>53111</c:v>
                </c:pt>
                <c:pt idx="361">
                  <c:v>53142</c:v>
                </c:pt>
                <c:pt idx="362">
                  <c:v>53174</c:v>
                </c:pt>
                <c:pt idx="363">
                  <c:v>53205</c:v>
                </c:pt>
                <c:pt idx="364">
                  <c:v>53237</c:v>
                </c:pt>
                <c:pt idx="365">
                  <c:v>53268</c:v>
                </c:pt>
                <c:pt idx="366">
                  <c:v>53300</c:v>
                </c:pt>
                <c:pt idx="367">
                  <c:v>53331</c:v>
                </c:pt>
                <c:pt idx="368">
                  <c:v>53363</c:v>
                </c:pt>
                <c:pt idx="369">
                  <c:v>53391</c:v>
                </c:pt>
                <c:pt idx="370">
                  <c:v>53422</c:v>
                </c:pt>
                <c:pt idx="371">
                  <c:v>53454</c:v>
                </c:pt>
                <c:pt idx="372">
                  <c:v>53485</c:v>
                </c:pt>
                <c:pt idx="373">
                  <c:v>53517</c:v>
                </c:pt>
                <c:pt idx="374">
                  <c:v>53548</c:v>
                </c:pt>
                <c:pt idx="375">
                  <c:v>53580</c:v>
                </c:pt>
                <c:pt idx="376">
                  <c:v>53610</c:v>
                </c:pt>
                <c:pt idx="377">
                  <c:v>53643</c:v>
                </c:pt>
                <c:pt idx="378">
                  <c:v>53673</c:v>
                </c:pt>
                <c:pt idx="379">
                  <c:v>53706</c:v>
                </c:pt>
                <c:pt idx="380">
                  <c:v>53737</c:v>
                </c:pt>
                <c:pt idx="381">
                  <c:v>53765</c:v>
                </c:pt>
                <c:pt idx="382">
                  <c:v>53798</c:v>
                </c:pt>
                <c:pt idx="383">
                  <c:v>53828</c:v>
                </c:pt>
                <c:pt idx="384">
                  <c:v>53860</c:v>
                </c:pt>
                <c:pt idx="385">
                  <c:v>53890</c:v>
                </c:pt>
                <c:pt idx="386">
                  <c:v>53923</c:v>
                </c:pt>
                <c:pt idx="387">
                  <c:v>53954</c:v>
                </c:pt>
                <c:pt idx="388">
                  <c:v>53986</c:v>
                </c:pt>
                <c:pt idx="389">
                  <c:v>54017</c:v>
                </c:pt>
                <c:pt idx="390">
                  <c:v>54049</c:v>
                </c:pt>
                <c:pt idx="391">
                  <c:v>54080</c:v>
                </c:pt>
                <c:pt idx="392">
                  <c:v>54112</c:v>
                </c:pt>
                <c:pt idx="393">
                  <c:v>54141</c:v>
                </c:pt>
                <c:pt idx="394">
                  <c:v>54172</c:v>
                </c:pt>
                <c:pt idx="395">
                  <c:v>54203</c:v>
                </c:pt>
                <c:pt idx="396">
                  <c:v>54234</c:v>
                </c:pt>
                <c:pt idx="397">
                  <c:v>54266</c:v>
                </c:pt>
                <c:pt idx="398">
                  <c:v>54297</c:v>
                </c:pt>
                <c:pt idx="399">
                  <c:v>54329</c:v>
                </c:pt>
                <c:pt idx="400">
                  <c:v>54359</c:v>
                </c:pt>
                <c:pt idx="401">
                  <c:v>54392</c:v>
                </c:pt>
                <c:pt idx="402">
                  <c:v>54422</c:v>
                </c:pt>
                <c:pt idx="403">
                  <c:v>54455</c:v>
                </c:pt>
                <c:pt idx="404">
                  <c:v>54483</c:v>
                </c:pt>
                <c:pt idx="405">
                  <c:v>54514</c:v>
                </c:pt>
                <c:pt idx="406">
                  <c:v>54546</c:v>
                </c:pt>
                <c:pt idx="407">
                  <c:v>54577</c:v>
                </c:pt>
                <c:pt idx="408">
                  <c:v>54609</c:v>
                </c:pt>
                <c:pt idx="409">
                  <c:v>54640</c:v>
                </c:pt>
                <c:pt idx="410">
                  <c:v>54672</c:v>
                </c:pt>
                <c:pt idx="411">
                  <c:v>54702</c:v>
                </c:pt>
                <c:pt idx="412">
                  <c:v>54735</c:v>
                </c:pt>
                <c:pt idx="413">
                  <c:v>54765</c:v>
                </c:pt>
                <c:pt idx="414">
                  <c:v>54798</c:v>
                </c:pt>
                <c:pt idx="415">
                  <c:v>54829</c:v>
                </c:pt>
                <c:pt idx="416">
                  <c:v>54857</c:v>
                </c:pt>
                <c:pt idx="417">
                  <c:v>54890</c:v>
                </c:pt>
                <c:pt idx="418">
                  <c:v>54920</c:v>
                </c:pt>
                <c:pt idx="419">
                  <c:v>54952</c:v>
                </c:pt>
                <c:pt idx="420">
                  <c:v>54982</c:v>
                </c:pt>
                <c:pt idx="421">
                  <c:v>55015</c:v>
                </c:pt>
                <c:pt idx="422">
                  <c:v>55046</c:v>
                </c:pt>
                <c:pt idx="423">
                  <c:v>55078</c:v>
                </c:pt>
                <c:pt idx="424">
                  <c:v>55109</c:v>
                </c:pt>
                <c:pt idx="425">
                  <c:v>55141</c:v>
                </c:pt>
                <c:pt idx="426">
                  <c:v>55172</c:v>
                </c:pt>
                <c:pt idx="427">
                  <c:v>55204</c:v>
                </c:pt>
                <c:pt idx="428">
                  <c:v>55232</c:v>
                </c:pt>
                <c:pt idx="429">
                  <c:v>55263</c:v>
                </c:pt>
                <c:pt idx="430">
                  <c:v>55295</c:v>
                </c:pt>
                <c:pt idx="431">
                  <c:v>55326</c:v>
                </c:pt>
                <c:pt idx="432">
                  <c:v>55358</c:v>
                </c:pt>
                <c:pt idx="433">
                  <c:v>55389</c:v>
                </c:pt>
                <c:pt idx="434">
                  <c:v>55421</c:v>
                </c:pt>
                <c:pt idx="435">
                  <c:v>55451</c:v>
                </c:pt>
                <c:pt idx="436">
                  <c:v>55484</c:v>
                </c:pt>
                <c:pt idx="437">
                  <c:v>55514</c:v>
                </c:pt>
                <c:pt idx="438">
                  <c:v>55547</c:v>
                </c:pt>
                <c:pt idx="439">
                  <c:v>55578</c:v>
                </c:pt>
                <c:pt idx="440">
                  <c:v>55607</c:v>
                </c:pt>
                <c:pt idx="441">
                  <c:v>55638</c:v>
                </c:pt>
                <c:pt idx="442">
                  <c:v>55668</c:v>
                </c:pt>
                <c:pt idx="443">
                  <c:v>55701</c:v>
                </c:pt>
                <c:pt idx="444">
                  <c:v>55732</c:v>
                </c:pt>
                <c:pt idx="445">
                  <c:v>55764</c:v>
                </c:pt>
                <c:pt idx="446">
                  <c:v>55794</c:v>
                </c:pt>
                <c:pt idx="447">
                  <c:v>55827</c:v>
                </c:pt>
                <c:pt idx="448">
                  <c:v>55857</c:v>
                </c:pt>
                <c:pt idx="449">
                  <c:v>55890</c:v>
                </c:pt>
                <c:pt idx="450">
                  <c:v>55921</c:v>
                </c:pt>
                <c:pt idx="451">
                  <c:v>55949</c:v>
                </c:pt>
                <c:pt idx="452">
                  <c:v>55982</c:v>
                </c:pt>
                <c:pt idx="453">
                  <c:v>56012</c:v>
                </c:pt>
                <c:pt idx="454">
                  <c:v>56044</c:v>
                </c:pt>
                <c:pt idx="455">
                  <c:v>56074</c:v>
                </c:pt>
                <c:pt idx="456">
                  <c:v>56107</c:v>
                </c:pt>
                <c:pt idx="457">
                  <c:v>56138</c:v>
                </c:pt>
                <c:pt idx="458">
                  <c:v>56170</c:v>
                </c:pt>
                <c:pt idx="459">
                  <c:v>56201</c:v>
                </c:pt>
                <c:pt idx="460">
                  <c:v>56233</c:v>
                </c:pt>
                <c:pt idx="461">
                  <c:v>56264</c:v>
                </c:pt>
                <c:pt idx="462">
                  <c:v>56296</c:v>
                </c:pt>
                <c:pt idx="463">
                  <c:v>56324</c:v>
                </c:pt>
                <c:pt idx="464">
                  <c:v>56355</c:v>
                </c:pt>
                <c:pt idx="465">
                  <c:v>56387</c:v>
                </c:pt>
                <c:pt idx="466">
                  <c:v>56418</c:v>
                </c:pt>
                <c:pt idx="467">
                  <c:v>56450</c:v>
                </c:pt>
                <c:pt idx="468">
                  <c:v>56481</c:v>
                </c:pt>
                <c:pt idx="469">
                  <c:v>56513</c:v>
                </c:pt>
                <c:pt idx="470">
                  <c:v>56543</c:v>
                </c:pt>
                <c:pt idx="471">
                  <c:v>56576</c:v>
                </c:pt>
                <c:pt idx="472">
                  <c:v>56606</c:v>
                </c:pt>
                <c:pt idx="473">
                  <c:v>56639</c:v>
                </c:pt>
                <c:pt idx="474">
                  <c:v>56670</c:v>
                </c:pt>
                <c:pt idx="475">
                  <c:v>56698</c:v>
                </c:pt>
                <c:pt idx="476">
                  <c:v>56730</c:v>
                </c:pt>
                <c:pt idx="477">
                  <c:v>56760</c:v>
                </c:pt>
                <c:pt idx="478">
                  <c:v>56793</c:v>
                </c:pt>
                <c:pt idx="479">
                  <c:v>56823</c:v>
                </c:pt>
                <c:pt idx="480">
                  <c:v>56856</c:v>
                </c:pt>
                <c:pt idx="481">
                  <c:v>56887</c:v>
                </c:pt>
                <c:pt idx="482">
                  <c:v>56919</c:v>
                </c:pt>
                <c:pt idx="483">
                  <c:v>56949</c:v>
                </c:pt>
                <c:pt idx="484">
                  <c:v>56982</c:v>
                </c:pt>
                <c:pt idx="485">
                  <c:v>57013</c:v>
                </c:pt>
                <c:pt idx="486">
                  <c:v>57042</c:v>
                </c:pt>
                <c:pt idx="487">
                  <c:v>57074</c:v>
                </c:pt>
                <c:pt idx="488">
                  <c:v>57104</c:v>
                </c:pt>
                <c:pt idx="489">
                  <c:v>57136</c:v>
                </c:pt>
                <c:pt idx="490">
                  <c:v>57166</c:v>
                </c:pt>
                <c:pt idx="491">
                  <c:v>57199</c:v>
                </c:pt>
                <c:pt idx="492">
                  <c:v>57230</c:v>
                </c:pt>
                <c:pt idx="493">
                  <c:v>57262</c:v>
                </c:pt>
                <c:pt idx="494">
                  <c:v>57293</c:v>
                </c:pt>
                <c:pt idx="495">
                  <c:v>57325</c:v>
                </c:pt>
                <c:pt idx="496">
                  <c:v>57356</c:v>
                </c:pt>
                <c:pt idx="497">
                  <c:v>57388</c:v>
                </c:pt>
                <c:pt idx="498">
                  <c:v>57416</c:v>
                </c:pt>
                <c:pt idx="499">
                  <c:v>57447</c:v>
                </c:pt>
                <c:pt idx="500">
                  <c:v>57479</c:v>
                </c:pt>
                <c:pt idx="501">
                  <c:v>57510</c:v>
                </c:pt>
                <c:pt idx="502">
                  <c:v>57542</c:v>
                </c:pt>
                <c:pt idx="503">
                  <c:v>57573</c:v>
                </c:pt>
                <c:pt idx="504">
                  <c:v>57605</c:v>
                </c:pt>
                <c:pt idx="505">
                  <c:v>57635</c:v>
                </c:pt>
                <c:pt idx="506">
                  <c:v>57668</c:v>
                </c:pt>
                <c:pt idx="507">
                  <c:v>57698</c:v>
                </c:pt>
                <c:pt idx="508">
                  <c:v>57731</c:v>
                </c:pt>
                <c:pt idx="509">
                  <c:v>57762</c:v>
                </c:pt>
                <c:pt idx="510">
                  <c:v>57790</c:v>
                </c:pt>
                <c:pt idx="511">
                  <c:v>57822</c:v>
                </c:pt>
                <c:pt idx="512">
                  <c:v>57852</c:v>
                </c:pt>
                <c:pt idx="513">
                  <c:v>57885</c:v>
                </c:pt>
                <c:pt idx="514">
                  <c:v>57915</c:v>
                </c:pt>
                <c:pt idx="515">
                  <c:v>57948</c:v>
                </c:pt>
                <c:pt idx="516">
                  <c:v>57979</c:v>
                </c:pt>
                <c:pt idx="517">
                  <c:v>58011</c:v>
                </c:pt>
                <c:pt idx="518">
                  <c:v>58042</c:v>
                </c:pt>
                <c:pt idx="519">
                  <c:v>58074</c:v>
                </c:pt>
                <c:pt idx="520">
                  <c:v>58105</c:v>
                </c:pt>
                <c:pt idx="521">
                  <c:v>58134</c:v>
                </c:pt>
                <c:pt idx="522">
                  <c:v>58166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58322</c:v>
                </c:pt>
                <c:pt idx="528">
                  <c:v>58354</c:v>
                </c:pt>
                <c:pt idx="529">
                  <c:v>58385</c:v>
                </c:pt>
                <c:pt idx="530">
                  <c:v>58417</c:v>
                </c:pt>
                <c:pt idx="531">
                  <c:v>58448</c:v>
                </c:pt>
                <c:pt idx="532">
                  <c:v>58480</c:v>
                </c:pt>
                <c:pt idx="533">
                  <c:v>58509</c:v>
                </c:pt>
                <c:pt idx="534">
                  <c:v>58540</c:v>
                </c:pt>
                <c:pt idx="535">
                  <c:v>58571</c:v>
                </c:pt>
                <c:pt idx="536">
                  <c:v>58602</c:v>
                </c:pt>
                <c:pt idx="537">
                  <c:v>58634</c:v>
                </c:pt>
                <c:pt idx="538">
                  <c:v>58665</c:v>
                </c:pt>
                <c:pt idx="539">
                  <c:v>58697</c:v>
                </c:pt>
                <c:pt idx="540">
                  <c:v>58727</c:v>
                </c:pt>
                <c:pt idx="541">
                  <c:v>58760</c:v>
                </c:pt>
                <c:pt idx="542">
                  <c:v>58790</c:v>
                </c:pt>
                <c:pt idx="543">
                  <c:v>58823</c:v>
                </c:pt>
                <c:pt idx="544">
                  <c:v>58854</c:v>
                </c:pt>
                <c:pt idx="545">
                  <c:v>58882</c:v>
                </c:pt>
                <c:pt idx="546">
                  <c:v>58914</c:v>
                </c:pt>
                <c:pt idx="547">
                  <c:v>58944</c:v>
                </c:pt>
                <c:pt idx="548">
                  <c:v>58977</c:v>
                </c:pt>
                <c:pt idx="549">
                  <c:v>59007</c:v>
                </c:pt>
                <c:pt idx="550">
                  <c:v>59040</c:v>
                </c:pt>
                <c:pt idx="551">
                  <c:v>59071</c:v>
                </c:pt>
                <c:pt idx="552">
                  <c:v>59103</c:v>
                </c:pt>
                <c:pt idx="553">
                  <c:v>59134</c:v>
                </c:pt>
                <c:pt idx="554">
                  <c:v>59167</c:v>
                </c:pt>
                <c:pt idx="555">
                  <c:v>59198</c:v>
                </c:pt>
                <c:pt idx="556">
                  <c:v>59229</c:v>
                </c:pt>
                <c:pt idx="557">
                  <c:v>59258</c:v>
                </c:pt>
                <c:pt idx="558">
                  <c:v>59289</c:v>
                </c:pt>
                <c:pt idx="559">
                  <c:v>59320</c:v>
                </c:pt>
                <c:pt idx="560">
                  <c:v>59351</c:v>
                </c:pt>
                <c:pt idx="561">
                  <c:v>59383</c:v>
                </c:pt>
                <c:pt idx="562">
                  <c:v>59414</c:v>
                </c:pt>
                <c:pt idx="563">
                  <c:v>59446</c:v>
                </c:pt>
                <c:pt idx="564">
                  <c:v>59477</c:v>
                </c:pt>
                <c:pt idx="565">
                  <c:v>59509</c:v>
                </c:pt>
                <c:pt idx="566">
                  <c:v>59540</c:v>
                </c:pt>
                <c:pt idx="567">
                  <c:v>59572</c:v>
                </c:pt>
                <c:pt idx="568">
                  <c:v>59600</c:v>
                </c:pt>
                <c:pt idx="569">
                  <c:v>59631</c:v>
                </c:pt>
                <c:pt idx="570">
                  <c:v>59663</c:v>
                </c:pt>
                <c:pt idx="571">
                  <c:v>59694</c:v>
                </c:pt>
                <c:pt idx="572">
                  <c:v>59726</c:v>
                </c:pt>
                <c:pt idx="573">
                  <c:v>59757</c:v>
                </c:pt>
                <c:pt idx="574">
                  <c:v>59789</c:v>
                </c:pt>
                <c:pt idx="575">
                  <c:v>59819</c:v>
                </c:pt>
                <c:pt idx="576">
                  <c:v>59852</c:v>
                </c:pt>
                <c:pt idx="577">
                  <c:v>59882</c:v>
                </c:pt>
                <c:pt idx="578">
                  <c:v>59915</c:v>
                </c:pt>
                <c:pt idx="579">
                  <c:v>59946</c:v>
                </c:pt>
              </c:numCache>
            </c:numRef>
          </c:cat>
          <c:val>
            <c:numRef>
              <c:f>'basis 3M'!$M$2:$M$581</c:f>
              <c:numCache>
                <c:formatCode>0.0000%</c:formatCode>
                <c:ptCount val="5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OIS 3M Curve</c:v>
          </c:tx>
          <c:marker>
            <c:symbol val="none"/>
          </c:marker>
          <c:cat>
            <c:numRef>
              <c:f>'basis 3M'!$J$2:$J$581</c:f>
              <c:numCache>
                <c:formatCode>ddd\,\ dd\-mmm\-yyyy</c:formatCode>
                <c:ptCount val="580"/>
                <c:pt idx="0">
                  <c:v>41887</c:v>
                </c:pt>
                <c:pt idx="1">
                  <c:v>41918</c:v>
                </c:pt>
                <c:pt idx="2">
                  <c:v>41949</c:v>
                </c:pt>
                <c:pt idx="3">
                  <c:v>41981</c:v>
                </c:pt>
                <c:pt idx="4">
                  <c:v>42012</c:v>
                </c:pt>
                <c:pt idx="5">
                  <c:v>42044</c:v>
                </c:pt>
                <c:pt idx="6">
                  <c:v>42072</c:v>
                </c:pt>
                <c:pt idx="7">
                  <c:v>42103</c:v>
                </c:pt>
                <c:pt idx="8">
                  <c:v>42135</c:v>
                </c:pt>
                <c:pt idx="9">
                  <c:v>42166</c:v>
                </c:pt>
                <c:pt idx="10">
                  <c:v>42198</c:v>
                </c:pt>
                <c:pt idx="11">
                  <c:v>42229</c:v>
                </c:pt>
                <c:pt idx="12">
                  <c:v>42261</c:v>
                </c:pt>
                <c:pt idx="13">
                  <c:v>42291</c:v>
                </c:pt>
                <c:pt idx="14">
                  <c:v>42324</c:v>
                </c:pt>
                <c:pt idx="15">
                  <c:v>42354</c:v>
                </c:pt>
                <c:pt idx="16">
                  <c:v>42387</c:v>
                </c:pt>
                <c:pt idx="17">
                  <c:v>42418</c:v>
                </c:pt>
                <c:pt idx="18">
                  <c:v>42447</c:v>
                </c:pt>
                <c:pt idx="19">
                  <c:v>42478</c:v>
                </c:pt>
                <c:pt idx="20">
                  <c:v>42508</c:v>
                </c:pt>
                <c:pt idx="21">
                  <c:v>42541</c:v>
                </c:pt>
                <c:pt idx="22">
                  <c:v>42571</c:v>
                </c:pt>
                <c:pt idx="23">
                  <c:v>42604</c:v>
                </c:pt>
                <c:pt idx="24">
                  <c:v>42635</c:v>
                </c:pt>
                <c:pt idx="25">
                  <c:v>42667</c:v>
                </c:pt>
                <c:pt idx="26">
                  <c:v>42698</c:v>
                </c:pt>
                <c:pt idx="27">
                  <c:v>42731</c:v>
                </c:pt>
                <c:pt idx="28">
                  <c:v>42762</c:v>
                </c:pt>
                <c:pt idx="29">
                  <c:v>42793</c:v>
                </c:pt>
                <c:pt idx="30">
                  <c:v>42821</c:v>
                </c:pt>
                <c:pt idx="31">
                  <c:v>42852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43010</c:v>
                </c:pt>
                <c:pt idx="37">
                  <c:v>43041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44725</c:v>
                </c:pt>
                <c:pt idx="92">
                  <c:v>44755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45509</c:v>
                </c:pt>
                <c:pt idx="117">
                  <c:v>45540</c:v>
                </c:pt>
                <c:pt idx="118">
                  <c:v>45572</c:v>
                </c:pt>
                <c:pt idx="119">
                  <c:v>45603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46384</c:v>
                </c:pt>
                <c:pt idx="145">
                  <c:v>46415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46916</c:v>
                </c:pt>
                <c:pt idx="162">
                  <c:v>46946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47511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48008</c:v>
                </c:pt>
                <c:pt idx="197">
                  <c:v>48038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48694</c:v>
                </c:pt>
                <c:pt idx="219">
                  <c:v>48724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49219</c:v>
                </c:pt>
                <c:pt idx="236">
                  <c:v>49250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50934</c:v>
                </c:pt>
                <c:pt idx="291">
                  <c:v>50964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51529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52026</c:v>
                </c:pt>
                <c:pt idx="326">
                  <c:v>52056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52712</c:v>
                </c:pt>
                <c:pt idx="348">
                  <c:v>52742</c:v>
                </c:pt>
                <c:pt idx="349">
                  <c:v>52775</c:v>
                </c:pt>
                <c:pt idx="350">
                  <c:v>52805</c:v>
                </c:pt>
                <c:pt idx="351">
                  <c:v>52838</c:v>
                </c:pt>
                <c:pt idx="352">
                  <c:v>52869</c:v>
                </c:pt>
                <c:pt idx="353">
                  <c:v>52901</c:v>
                </c:pt>
                <c:pt idx="354">
                  <c:v>52931</c:v>
                </c:pt>
                <c:pt idx="355">
                  <c:v>52961</c:v>
                </c:pt>
                <c:pt idx="356">
                  <c:v>52992</c:v>
                </c:pt>
                <c:pt idx="357">
                  <c:v>53021</c:v>
                </c:pt>
                <c:pt idx="358">
                  <c:v>53049</c:v>
                </c:pt>
                <c:pt idx="359">
                  <c:v>53080</c:v>
                </c:pt>
                <c:pt idx="360">
                  <c:v>53111</c:v>
                </c:pt>
                <c:pt idx="361">
                  <c:v>53142</c:v>
                </c:pt>
                <c:pt idx="362">
                  <c:v>53174</c:v>
                </c:pt>
                <c:pt idx="363">
                  <c:v>53205</c:v>
                </c:pt>
                <c:pt idx="364">
                  <c:v>53237</c:v>
                </c:pt>
                <c:pt idx="365">
                  <c:v>53268</c:v>
                </c:pt>
                <c:pt idx="366">
                  <c:v>53300</c:v>
                </c:pt>
                <c:pt idx="367">
                  <c:v>53331</c:v>
                </c:pt>
                <c:pt idx="368">
                  <c:v>53363</c:v>
                </c:pt>
                <c:pt idx="369">
                  <c:v>53391</c:v>
                </c:pt>
                <c:pt idx="370">
                  <c:v>53422</c:v>
                </c:pt>
                <c:pt idx="371">
                  <c:v>53454</c:v>
                </c:pt>
                <c:pt idx="372">
                  <c:v>53485</c:v>
                </c:pt>
                <c:pt idx="373">
                  <c:v>53517</c:v>
                </c:pt>
                <c:pt idx="374">
                  <c:v>53548</c:v>
                </c:pt>
                <c:pt idx="375">
                  <c:v>53580</c:v>
                </c:pt>
                <c:pt idx="376">
                  <c:v>53610</c:v>
                </c:pt>
                <c:pt idx="377">
                  <c:v>53643</c:v>
                </c:pt>
                <c:pt idx="378">
                  <c:v>53673</c:v>
                </c:pt>
                <c:pt idx="379">
                  <c:v>53706</c:v>
                </c:pt>
                <c:pt idx="380">
                  <c:v>53737</c:v>
                </c:pt>
                <c:pt idx="381">
                  <c:v>53765</c:v>
                </c:pt>
                <c:pt idx="382">
                  <c:v>53798</c:v>
                </c:pt>
                <c:pt idx="383">
                  <c:v>53828</c:v>
                </c:pt>
                <c:pt idx="384">
                  <c:v>53860</c:v>
                </c:pt>
                <c:pt idx="385">
                  <c:v>53890</c:v>
                </c:pt>
                <c:pt idx="386">
                  <c:v>53923</c:v>
                </c:pt>
                <c:pt idx="387">
                  <c:v>53954</c:v>
                </c:pt>
                <c:pt idx="388">
                  <c:v>53986</c:v>
                </c:pt>
                <c:pt idx="389">
                  <c:v>54017</c:v>
                </c:pt>
                <c:pt idx="390">
                  <c:v>54049</c:v>
                </c:pt>
                <c:pt idx="391">
                  <c:v>54080</c:v>
                </c:pt>
                <c:pt idx="392">
                  <c:v>54112</c:v>
                </c:pt>
                <c:pt idx="393">
                  <c:v>54141</c:v>
                </c:pt>
                <c:pt idx="394">
                  <c:v>54172</c:v>
                </c:pt>
                <c:pt idx="395">
                  <c:v>54203</c:v>
                </c:pt>
                <c:pt idx="396">
                  <c:v>54234</c:v>
                </c:pt>
                <c:pt idx="397">
                  <c:v>54266</c:v>
                </c:pt>
                <c:pt idx="398">
                  <c:v>54297</c:v>
                </c:pt>
                <c:pt idx="399">
                  <c:v>54329</c:v>
                </c:pt>
                <c:pt idx="400">
                  <c:v>54359</c:v>
                </c:pt>
                <c:pt idx="401">
                  <c:v>54392</c:v>
                </c:pt>
                <c:pt idx="402">
                  <c:v>54422</c:v>
                </c:pt>
                <c:pt idx="403">
                  <c:v>54455</c:v>
                </c:pt>
                <c:pt idx="404">
                  <c:v>54483</c:v>
                </c:pt>
                <c:pt idx="405">
                  <c:v>54514</c:v>
                </c:pt>
                <c:pt idx="406">
                  <c:v>54546</c:v>
                </c:pt>
                <c:pt idx="407">
                  <c:v>54577</c:v>
                </c:pt>
                <c:pt idx="408">
                  <c:v>54609</c:v>
                </c:pt>
                <c:pt idx="409">
                  <c:v>54640</c:v>
                </c:pt>
                <c:pt idx="410">
                  <c:v>54672</c:v>
                </c:pt>
                <c:pt idx="411">
                  <c:v>54702</c:v>
                </c:pt>
                <c:pt idx="412">
                  <c:v>54735</c:v>
                </c:pt>
                <c:pt idx="413">
                  <c:v>54765</c:v>
                </c:pt>
                <c:pt idx="414">
                  <c:v>54798</c:v>
                </c:pt>
                <c:pt idx="415">
                  <c:v>54829</c:v>
                </c:pt>
                <c:pt idx="416">
                  <c:v>54857</c:v>
                </c:pt>
                <c:pt idx="417">
                  <c:v>54890</c:v>
                </c:pt>
                <c:pt idx="418">
                  <c:v>54920</c:v>
                </c:pt>
                <c:pt idx="419">
                  <c:v>54952</c:v>
                </c:pt>
                <c:pt idx="420">
                  <c:v>54982</c:v>
                </c:pt>
                <c:pt idx="421">
                  <c:v>55015</c:v>
                </c:pt>
                <c:pt idx="422">
                  <c:v>55046</c:v>
                </c:pt>
                <c:pt idx="423">
                  <c:v>55078</c:v>
                </c:pt>
                <c:pt idx="424">
                  <c:v>55109</c:v>
                </c:pt>
                <c:pt idx="425">
                  <c:v>55141</c:v>
                </c:pt>
                <c:pt idx="426">
                  <c:v>55172</c:v>
                </c:pt>
                <c:pt idx="427">
                  <c:v>55204</c:v>
                </c:pt>
                <c:pt idx="428">
                  <c:v>55232</c:v>
                </c:pt>
                <c:pt idx="429">
                  <c:v>55263</c:v>
                </c:pt>
                <c:pt idx="430">
                  <c:v>55295</c:v>
                </c:pt>
                <c:pt idx="431">
                  <c:v>55326</c:v>
                </c:pt>
                <c:pt idx="432">
                  <c:v>55358</c:v>
                </c:pt>
                <c:pt idx="433">
                  <c:v>55389</c:v>
                </c:pt>
                <c:pt idx="434">
                  <c:v>55421</c:v>
                </c:pt>
                <c:pt idx="435">
                  <c:v>55451</c:v>
                </c:pt>
                <c:pt idx="436">
                  <c:v>55484</c:v>
                </c:pt>
                <c:pt idx="437">
                  <c:v>55514</c:v>
                </c:pt>
                <c:pt idx="438">
                  <c:v>55547</c:v>
                </c:pt>
                <c:pt idx="439">
                  <c:v>55578</c:v>
                </c:pt>
                <c:pt idx="440">
                  <c:v>55607</c:v>
                </c:pt>
                <c:pt idx="441">
                  <c:v>55638</c:v>
                </c:pt>
                <c:pt idx="442">
                  <c:v>55668</c:v>
                </c:pt>
                <c:pt idx="443">
                  <c:v>55701</c:v>
                </c:pt>
                <c:pt idx="444">
                  <c:v>55732</c:v>
                </c:pt>
                <c:pt idx="445">
                  <c:v>55764</c:v>
                </c:pt>
                <c:pt idx="446">
                  <c:v>55794</c:v>
                </c:pt>
                <c:pt idx="447">
                  <c:v>55827</c:v>
                </c:pt>
                <c:pt idx="448">
                  <c:v>55857</c:v>
                </c:pt>
                <c:pt idx="449">
                  <c:v>55890</c:v>
                </c:pt>
                <c:pt idx="450">
                  <c:v>55921</c:v>
                </c:pt>
                <c:pt idx="451">
                  <c:v>55949</c:v>
                </c:pt>
                <c:pt idx="452">
                  <c:v>55982</c:v>
                </c:pt>
                <c:pt idx="453">
                  <c:v>56012</c:v>
                </c:pt>
                <c:pt idx="454">
                  <c:v>56044</c:v>
                </c:pt>
                <c:pt idx="455">
                  <c:v>56074</c:v>
                </c:pt>
                <c:pt idx="456">
                  <c:v>56107</c:v>
                </c:pt>
                <c:pt idx="457">
                  <c:v>56138</c:v>
                </c:pt>
                <c:pt idx="458">
                  <c:v>56170</c:v>
                </c:pt>
                <c:pt idx="459">
                  <c:v>56201</c:v>
                </c:pt>
                <c:pt idx="460">
                  <c:v>56233</c:v>
                </c:pt>
                <c:pt idx="461">
                  <c:v>56264</c:v>
                </c:pt>
                <c:pt idx="462">
                  <c:v>56296</c:v>
                </c:pt>
                <c:pt idx="463">
                  <c:v>56324</c:v>
                </c:pt>
                <c:pt idx="464">
                  <c:v>56355</c:v>
                </c:pt>
                <c:pt idx="465">
                  <c:v>56387</c:v>
                </c:pt>
                <c:pt idx="466">
                  <c:v>56418</c:v>
                </c:pt>
                <c:pt idx="467">
                  <c:v>56450</c:v>
                </c:pt>
                <c:pt idx="468">
                  <c:v>56481</c:v>
                </c:pt>
                <c:pt idx="469">
                  <c:v>56513</c:v>
                </c:pt>
                <c:pt idx="470">
                  <c:v>56543</c:v>
                </c:pt>
                <c:pt idx="471">
                  <c:v>56576</c:v>
                </c:pt>
                <c:pt idx="472">
                  <c:v>56606</c:v>
                </c:pt>
                <c:pt idx="473">
                  <c:v>56639</c:v>
                </c:pt>
                <c:pt idx="474">
                  <c:v>56670</c:v>
                </c:pt>
                <c:pt idx="475">
                  <c:v>56698</c:v>
                </c:pt>
                <c:pt idx="476">
                  <c:v>56730</c:v>
                </c:pt>
                <c:pt idx="477">
                  <c:v>56760</c:v>
                </c:pt>
                <c:pt idx="478">
                  <c:v>56793</c:v>
                </c:pt>
                <c:pt idx="479">
                  <c:v>56823</c:v>
                </c:pt>
                <c:pt idx="480">
                  <c:v>56856</c:v>
                </c:pt>
                <c:pt idx="481">
                  <c:v>56887</c:v>
                </c:pt>
                <c:pt idx="482">
                  <c:v>56919</c:v>
                </c:pt>
                <c:pt idx="483">
                  <c:v>56949</c:v>
                </c:pt>
                <c:pt idx="484">
                  <c:v>56982</c:v>
                </c:pt>
                <c:pt idx="485">
                  <c:v>57013</c:v>
                </c:pt>
                <c:pt idx="486">
                  <c:v>57042</c:v>
                </c:pt>
                <c:pt idx="487">
                  <c:v>57074</c:v>
                </c:pt>
                <c:pt idx="488">
                  <c:v>57104</c:v>
                </c:pt>
                <c:pt idx="489">
                  <c:v>57136</c:v>
                </c:pt>
                <c:pt idx="490">
                  <c:v>57166</c:v>
                </c:pt>
                <c:pt idx="491">
                  <c:v>57199</c:v>
                </c:pt>
                <c:pt idx="492">
                  <c:v>57230</c:v>
                </c:pt>
                <c:pt idx="493">
                  <c:v>57262</c:v>
                </c:pt>
                <c:pt idx="494">
                  <c:v>57293</c:v>
                </c:pt>
                <c:pt idx="495">
                  <c:v>57325</c:v>
                </c:pt>
                <c:pt idx="496">
                  <c:v>57356</c:v>
                </c:pt>
                <c:pt idx="497">
                  <c:v>57388</c:v>
                </c:pt>
                <c:pt idx="498">
                  <c:v>57416</c:v>
                </c:pt>
                <c:pt idx="499">
                  <c:v>57447</c:v>
                </c:pt>
                <c:pt idx="500">
                  <c:v>57479</c:v>
                </c:pt>
                <c:pt idx="501">
                  <c:v>57510</c:v>
                </c:pt>
                <c:pt idx="502">
                  <c:v>57542</c:v>
                </c:pt>
                <c:pt idx="503">
                  <c:v>57573</c:v>
                </c:pt>
                <c:pt idx="504">
                  <c:v>57605</c:v>
                </c:pt>
                <c:pt idx="505">
                  <c:v>57635</c:v>
                </c:pt>
                <c:pt idx="506">
                  <c:v>57668</c:v>
                </c:pt>
                <c:pt idx="507">
                  <c:v>57698</c:v>
                </c:pt>
                <c:pt idx="508">
                  <c:v>57731</c:v>
                </c:pt>
                <c:pt idx="509">
                  <c:v>57762</c:v>
                </c:pt>
                <c:pt idx="510">
                  <c:v>57790</c:v>
                </c:pt>
                <c:pt idx="511">
                  <c:v>57822</c:v>
                </c:pt>
                <c:pt idx="512">
                  <c:v>57852</c:v>
                </c:pt>
                <c:pt idx="513">
                  <c:v>57885</c:v>
                </c:pt>
                <c:pt idx="514">
                  <c:v>57915</c:v>
                </c:pt>
                <c:pt idx="515">
                  <c:v>57948</c:v>
                </c:pt>
                <c:pt idx="516">
                  <c:v>57979</c:v>
                </c:pt>
                <c:pt idx="517">
                  <c:v>58011</c:v>
                </c:pt>
                <c:pt idx="518">
                  <c:v>58042</c:v>
                </c:pt>
                <c:pt idx="519">
                  <c:v>58074</c:v>
                </c:pt>
                <c:pt idx="520">
                  <c:v>58105</c:v>
                </c:pt>
                <c:pt idx="521">
                  <c:v>58134</c:v>
                </c:pt>
                <c:pt idx="522">
                  <c:v>58166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58322</c:v>
                </c:pt>
                <c:pt idx="528">
                  <c:v>58354</c:v>
                </c:pt>
                <c:pt idx="529">
                  <c:v>58385</c:v>
                </c:pt>
                <c:pt idx="530">
                  <c:v>58417</c:v>
                </c:pt>
                <c:pt idx="531">
                  <c:v>58448</c:v>
                </c:pt>
                <c:pt idx="532">
                  <c:v>58480</c:v>
                </c:pt>
                <c:pt idx="533">
                  <c:v>58509</c:v>
                </c:pt>
                <c:pt idx="534">
                  <c:v>58540</c:v>
                </c:pt>
                <c:pt idx="535">
                  <c:v>58571</c:v>
                </c:pt>
                <c:pt idx="536">
                  <c:v>58602</c:v>
                </c:pt>
                <c:pt idx="537">
                  <c:v>58634</c:v>
                </c:pt>
                <c:pt idx="538">
                  <c:v>58665</c:v>
                </c:pt>
                <c:pt idx="539">
                  <c:v>58697</c:v>
                </c:pt>
                <c:pt idx="540">
                  <c:v>58727</c:v>
                </c:pt>
                <c:pt idx="541">
                  <c:v>58760</c:v>
                </c:pt>
                <c:pt idx="542">
                  <c:v>58790</c:v>
                </c:pt>
                <c:pt idx="543">
                  <c:v>58823</c:v>
                </c:pt>
                <c:pt idx="544">
                  <c:v>58854</c:v>
                </c:pt>
                <c:pt idx="545">
                  <c:v>58882</c:v>
                </c:pt>
                <c:pt idx="546">
                  <c:v>58914</c:v>
                </c:pt>
                <c:pt idx="547">
                  <c:v>58944</c:v>
                </c:pt>
                <c:pt idx="548">
                  <c:v>58977</c:v>
                </c:pt>
                <c:pt idx="549">
                  <c:v>59007</c:v>
                </c:pt>
                <c:pt idx="550">
                  <c:v>59040</c:v>
                </c:pt>
                <c:pt idx="551">
                  <c:v>59071</c:v>
                </c:pt>
                <c:pt idx="552">
                  <c:v>59103</c:v>
                </c:pt>
                <c:pt idx="553">
                  <c:v>59134</c:v>
                </c:pt>
                <c:pt idx="554">
                  <c:v>59167</c:v>
                </c:pt>
                <c:pt idx="555">
                  <c:v>59198</c:v>
                </c:pt>
                <c:pt idx="556">
                  <c:v>59229</c:v>
                </c:pt>
                <c:pt idx="557">
                  <c:v>59258</c:v>
                </c:pt>
                <c:pt idx="558">
                  <c:v>59289</c:v>
                </c:pt>
                <c:pt idx="559">
                  <c:v>59320</c:v>
                </c:pt>
                <c:pt idx="560">
                  <c:v>59351</c:v>
                </c:pt>
                <c:pt idx="561">
                  <c:v>59383</c:v>
                </c:pt>
                <c:pt idx="562">
                  <c:v>59414</c:v>
                </c:pt>
                <c:pt idx="563">
                  <c:v>59446</c:v>
                </c:pt>
                <c:pt idx="564">
                  <c:v>59477</c:v>
                </c:pt>
                <c:pt idx="565">
                  <c:v>59509</c:v>
                </c:pt>
                <c:pt idx="566">
                  <c:v>59540</c:v>
                </c:pt>
                <c:pt idx="567">
                  <c:v>59572</c:v>
                </c:pt>
                <c:pt idx="568">
                  <c:v>59600</c:v>
                </c:pt>
                <c:pt idx="569">
                  <c:v>59631</c:v>
                </c:pt>
                <c:pt idx="570">
                  <c:v>59663</c:v>
                </c:pt>
                <c:pt idx="571">
                  <c:v>59694</c:v>
                </c:pt>
                <c:pt idx="572">
                  <c:v>59726</c:v>
                </c:pt>
                <c:pt idx="573">
                  <c:v>59757</c:v>
                </c:pt>
                <c:pt idx="574">
                  <c:v>59789</c:v>
                </c:pt>
                <c:pt idx="575">
                  <c:v>59819</c:v>
                </c:pt>
                <c:pt idx="576">
                  <c:v>59852</c:v>
                </c:pt>
                <c:pt idx="577">
                  <c:v>59882</c:v>
                </c:pt>
                <c:pt idx="578">
                  <c:v>59915</c:v>
                </c:pt>
                <c:pt idx="579">
                  <c:v>59946</c:v>
                </c:pt>
              </c:numCache>
            </c:numRef>
          </c:cat>
          <c:val>
            <c:numRef>
              <c:f>'basis 3M'!$N$2:$N$581</c:f>
              <c:numCache>
                <c:formatCode>0.0000%</c:formatCode>
                <c:ptCount val="5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975552"/>
        <c:axId val="461977088"/>
      </c:lineChart>
      <c:dateAx>
        <c:axId val="4619755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61977088"/>
        <c:crosses val="autoZero"/>
        <c:auto val="1"/>
        <c:lblOffset val="100"/>
        <c:baseTimeUnit val="months"/>
      </c:dateAx>
      <c:valAx>
        <c:axId val="46197708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61975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851930515264534"/>
          <c:y val="0.70796675797738839"/>
          <c:w val="0.18735788782981075"/>
          <c:h val="0.1345078972938875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71266091738528E-2"/>
          <c:y val="3.6213991769547323E-2"/>
          <c:w val="0.86725659292588431"/>
          <c:h val="0.83292829137098601"/>
        </c:manualLayout>
      </c:layout>
      <c:scatterChart>
        <c:scatterStyle val="lineMarker"/>
        <c:varyColors val="0"/>
        <c:ser>
          <c:idx val="0"/>
          <c:order val="0"/>
          <c:tx>
            <c:v>6M Instruments Quotations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41887</c:v>
                </c:pt>
                <c:pt idx="1">
                  <c:v>41918</c:v>
                </c:pt>
                <c:pt idx="2">
                  <c:v>41948</c:v>
                </c:pt>
                <c:pt idx="3">
                  <c:v>41978</c:v>
                </c:pt>
                <c:pt idx="4">
                  <c:v>42009</c:v>
                </c:pt>
                <c:pt idx="5">
                  <c:v>42040</c:v>
                </c:pt>
                <c:pt idx="6">
                  <c:v>42068</c:v>
                </c:pt>
                <c:pt idx="7">
                  <c:v>42101</c:v>
                </c:pt>
                <c:pt idx="8">
                  <c:v>42129</c:v>
                </c:pt>
                <c:pt idx="9">
                  <c:v>42160</c:v>
                </c:pt>
                <c:pt idx="10">
                  <c:v>42191</c:v>
                </c:pt>
                <c:pt idx="11">
                  <c:v>42221</c:v>
                </c:pt>
                <c:pt idx="12">
                  <c:v>42254</c:v>
                </c:pt>
                <c:pt idx="13">
                  <c:v>42282</c:v>
                </c:pt>
                <c:pt idx="14">
                  <c:v>42313</c:v>
                </c:pt>
                <c:pt idx="15">
                  <c:v>42345</c:v>
                </c:pt>
                <c:pt idx="16">
                  <c:v>42374</c:v>
                </c:pt>
                <c:pt idx="17">
                  <c:v>42405</c:v>
                </c:pt>
                <c:pt idx="18">
                  <c:v>42436</c:v>
                </c:pt>
              </c:numCache>
            </c:numRef>
          </c:xVal>
          <c:yVal>
            <c:numRef>
              <c:f>'basis 6M '!$G$2:$G$20</c:f>
              <c:numCache>
                <c:formatCode>0.0000%</c:formatCode>
                <c:ptCount val="19"/>
                <c:pt idx="0">
                  <c:v>2.5000000000000001E-3</c:v>
                </c:pt>
                <c:pt idx="1">
                  <c:v>2.3499999999999997E-3</c:v>
                </c:pt>
                <c:pt idx="2">
                  <c:v>2.32E-3</c:v>
                </c:pt>
                <c:pt idx="3">
                  <c:v>2.2899999999999999E-3</c:v>
                </c:pt>
                <c:pt idx="4">
                  <c:v>2.2699999999999999E-3</c:v>
                </c:pt>
                <c:pt idx="5">
                  <c:v>2.2599999999999999E-3</c:v>
                </c:pt>
                <c:pt idx="6">
                  <c:v>2.2400000000000002E-3</c:v>
                </c:pt>
                <c:pt idx="7">
                  <c:v>2.2599999999999999E-3</c:v>
                </c:pt>
                <c:pt idx="8">
                  <c:v>2.2899999999999999E-3</c:v>
                </c:pt>
                <c:pt idx="9">
                  <c:v>2.33E-3</c:v>
                </c:pt>
                <c:pt idx="10">
                  <c:v>2.3899999999999998E-3</c:v>
                </c:pt>
                <c:pt idx="11">
                  <c:v>2.4499999999999999E-3</c:v>
                </c:pt>
                <c:pt idx="12">
                  <c:v>2.5200000000000001E-3</c:v>
                </c:pt>
                <c:pt idx="13">
                  <c:v>2.5800000000000003E-3</c:v>
                </c:pt>
                <c:pt idx="14">
                  <c:v>2.66E-3</c:v>
                </c:pt>
                <c:pt idx="15">
                  <c:v>2.7400000000000002E-3</c:v>
                </c:pt>
                <c:pt idx="16">
                  <c:v>2.8100000000000004E-3</c:v>
                </c:pt>
                <c:pt idx="17">
                  <c:v>2.9100000000000003E-3</c:v>
                </c:pt>
                <c:pt idx="18">
                  <c:v>3.0100000000000005E-3</c:v>
                </c:pt>
              </c:numCache>
            </c:numRef>
          </c:yVal>
          <c:smooth val="0"/>
        </c:ser>
        <c:ser>
          <c:idx val="1"/>
          <c:order val="1"/>
          <c:tx>
            <c:v>OIS 6M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41887</c:v>
                </c:pt>
                <c:pt idx="1">
                  <c:v>41918</c:v>
                </c:pt>
                <c:pt idx="2">
                  <c:v>41948</c:v>
                </c:pt>
                <c:pt idx="3">
                  <c:v>41978</c:v>
                </c:pt>
                <c:pt idx="4">
                  <c:v>42009</c:v>
                </c:pt>
                <c:pt idx="5">
                  <c:v>42040</c:v>
                </c:pt>
                <c:pt idx="6">
                  <c:v>42068</c:v>
                </c:pt>
                <c:pt idx="7">
                  <c:v>42101</c:v>
                </c:pt>
                <c:pt idx="8">
                  <c:v>42129</c:v>
                </c:pt>
                <c:pt idx="9">
                  <c:v>42160</c:v>
                </c:pt>
                <c:pt idx="10">
                  <c:v>42191</c:v>
                </c:pt>
                <c:pt idx="11">
                  <c:v>42221</c:v>
                </c:pt>
                <c:pt idx="12">
                  <c:v>42254</c:v>
                </c:pt>
                <c:pt idx="13">
                  <c:v>42282</c:v>
                </c:pt>
                <c:pt idx="14">
                  <c:v>42313</c:v>
                </c:pt>
                <c:pt idx="15">
                  <c:v>42345</c:v>
                </c:pt>
                <c:pt idx="16">
                  <c:v>42374</c:v>
                </c:pt>
                <c:pt idx="17">
                  <c:v>42405</c:v>
                </c:pt>
                <c:pt idx="18">
                  <c:v>42436</c:v>
                </c:pt>
              </c:numCache>
            </c:numRef>
          </c:xVal>
          <c:yVal>
            <c:numRef>
              <c:f>'basis 6M '!$I$2:$I$20</c:f>
              <c:numCache>
                <c:formatCode>0.0000%</c:formatCode>
                <c:ptCount val="19"/>
                <c:pt idx="0">
                  <c:v>-5.5414031765884372E-5</c:v>
                </c:pt>
                <c:pt idx="1">
                  <c:v>-9.0454181819716223E-5</c:v>
                </c:pt>
                <c:pt idx="2">
                  <c:v>-1.124145565694841E-4</c:v>
                </c:pt>
                <c:pt idx="3">
                  <c:v>-1.5406795868012381E-4</c:v>
                </c:pt>
                <c:pt idx="4">
                  <c:v>-1.7324578386428987E-4</c:v>
                </c:pt>
                <c:pt idx="5">
                  <c:v>-1.998405588771394E-4</c:v>
                </c:pt>
                <c:pt idx="6">
                  <c:v>-2.6178181096353319E-4</c:v>
                </c:pt>
                <c:pt idx="7">
                  <c:v>-2.7552444605925754E-4</c:v>
                </c:pt>
                <c:pt idx="8">
                  <c:v>-2.7517765957037991E-4</c:v>
                </c:pt>
                <c:pt idx="9">
                  <c:v>-2.6854145061660763E-4</c:v>
                </c:pt>
                <c:pt idx="10">
                  <c:v>-2.5277367979813166E-4</c:v>
                </c:pt>
                <c:pt idx="11">
                  <c:v>-2.3293688247446066E-4</c:v>
                </c:pt>
                <c:pt idx="12">
                  <c:v>-1.9016289655959684E-4</c:v>
                </c:pt>
                <c:pt idx="13">
                  <c:v>-1.5389537577844249E-4</c:v>
                </c:pt>
                <c:pt idx="14">
                  <c:v>-1.1518325999586651E-4</c:v>
                </c:pt>
                <c:pt idx="15">
                  <c:v>-7.2732817987599104E-5</c:v>
                </c:pt>
                <c:pt idx="16">
                  <c:v>-1.5346553675107923E-5</c:v>
                </c:pt>
                <c:pt idx="17">
                  <c:v>4.7904592309230682E-5</c:v>
                </c:pt>
                <c:pt idx="18">
                  <c:v>1.2126845237296807E-4</c:v>
                </c:pt>
              </c:numCache>
            </c:numRef>
          </c:yVal>
          <c:smooth val="0"/>
        </c:ser>
        <c:ser>
          <c:idx val="2"/>
          <c:order val="2"/>
          <c:tx>
            <c:v>diff OIS 6M, 6M instruments quotations</c:v>
          </c:tx>
          <c:spPr>
            <a:ln w="28575">
              <a:noFill/>
            </a:ln>
          </c:spP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41887</c:v>
                </c:pt>
                <c:pt idx="1">
                  <c:v>41918</c:v>
                </c:pt>
                <c:pt idx="2">
                  <c:v>41948</c:v>
                </c:pt>
                <c:pt idx="3">
                  <c:v>41978</c:v>
                </c:pt>
                <c:pt idx="4">
                  <c:v>42009</c:v>
                </c:pt>
                <c:pt idx="5">
                  <c:v>42040</c:v>
                </c:pt>
                <c:pt idx="6">
                  <c:v>42068</c:v>
                </c:pt>
                <c:pt idx="7">
                  <c:v>42101</c:v>
                </c:pt>
                <c:pt idx="8">
                  <c:v>42129</c:v>
                </c:pt>
                <c:pt idx="9">
                  <c:v>42160</c:v>
                </c:pt>
                <c:pt idx="10">
                  <c:v>42191</c:v>
                </c:pt>
                <c:pt idx="11">
                  <c:v>42221</c:v>
                </c:pt>
                <c:pt idx="12">
                  <c:v>42254</c:v>
                </c:pt>
                <c:pt idx="13">
                  <c:v>42282</c:v>
                </c:pt>
                <c:pt idx="14">
                  <c:v>42313</c:v>
                </c:pt>
                <c:pt idx="15">
                  <c:v>42345</c:v>
                </c:pt>
                <c:pt idx="16">
                  <c:v>42374</c:v>
                </c:pt>
                <c:pt idx="17">
                  <c:v>42405</c:v>
                </c:pt>
                <c:pt idx="18">
                  <c:v>42436</c:v>
                </c:pt>
              </c:numCache>
            </c:numRef>
          </c:xVal>
          <c:yVal>
            <c:numRef>
              <c:f>'basis 6M '!$J$2:$J$20</c:f>
              <c:numCache>
                <c:formatCode>0.0000%</c:formatCode>
                <c:ptCount val="19"/>
                <c:pt idx="0">
                  <c:v>2.5554140317658844E-3</c:v>
                </c:pt>
                <c:pt idx="1">
                  <c:v>2.4404541818197159E-3</c:v>
                </c:pt>
                <c:pt idx="2">
                  <c:v>2.432414556569484E-3</c:v>
                </c:pt>
                <c:pt idx="3">
                  <c:v>2.4440679586801239E-3</c:v>
                </c:pt>
                <c:pt idx="4">
                  <c:v>2.4432457838642896E-3</c:v>
                </c:pt>
                <c:pt idx="5">
                  <c:v>2.4598405588771395E-3</c:v>
                </c:pt>
                <c:pt idx="6">
                  <c:v>2.5017818109635335E-3</c:v>
                </c:pt>
                <c:pt idx="7">
                  <c:v>2.5355244460592572E-3</c:v>
                </c:pt>
                <c:pt idx="8">
                  <c:v>2.5651776595703797E-3</c:v>
                </c:pt>
                <c:pt idx="9">
                  <c:v>2.5985414506166076E-3</c:v>
                </c:pt>
                <c:pt idx="10">
                  <c:v>2.6427736797981316E-3</c:v>
                </c:pt>
                <c:pt idx="11">
                  <c:v>2.6829368824744606E-3</c:v>
                </c:pt>
                <c:pt idx="12">
                  <c:v>2.7101628965595969E-3</c:v>
                </c:pt>
                <c:pt idx="13">
                  <c:v>2.7338953757784427E-3</c:v>
                </c:pt>
                <c:pt idx="14">
                  <c:v>2.7751832599958665E-3</c:v>
                </c:pt>
                <c:pt idx="15">
                  <c:v>2.8127328179875992E-3</c:v>
                </c:pt>
                <c:pt idx="16">
                  <c:v>2.8253465536751082E-3</c:v>
                </c:pt>
                <c:pt idx="17">
                  <c:v>2.8620954076907694E-3</c:v>
                </c:pt>
                <c:pt idx="18">
                  <c:v>2.8887315476270325E-3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63936"/>
        <c:axId val="461890304"/>
      </c:scatterChart>
      <c:valAx>
        <c:axId val="4618639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90304"/>
        <c:crosses val="autoZero"/>
        <c:crossBetween val="midCat"/>
      </c:valAx>
      <c:valAx>
        <c:axId val="46189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63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915443902845474"/>
          <c:y val="0.38120838598878842"/>
          <c:w val="0.27973519976669581"/>
          <c:h val="0.251843556592462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66741958863721"/>
          <c:y val="1.9925277594156087E-2"/>
          <c:w val="0.86686523609468946"/>
          <c:h val="0.83802344384104965"/>
        </c:manualLayout>
      </c:layout>
      <c:lineChart>
        <c:grouping val="standard"/>
        <c:varyColors val="0"/>
        <c:ser>
          <c:idx val="0"/>
          <c:order val="0"/>
          <c:tx>
            <c:v>6M Yield Curve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'basis 6M '!$L$2:$L$585</c:f>
              <c:numCache>
                <c:formatCode>ddd\,\ dd\-mmm\-yyyy</c:formatCode>
                <c:ptCount val="584"/>
                <c:pt idx="0">
                  <c:v>41887</c:v>
                </c:pt>
                <c:pt idx="1">
                  <c:v>41918</c:v>
                </c:pt>
                <c:pt idx="2">
                  <c:v>41949</c:v>
                </c:pt>
                <c:pt idx="3">
                  <c:v>41981</c:v>
                </c:pt>
                <c:pt idx="4">
                  <c:v>42012</c:v>
                </c:pt>
                <c:pt idx="5">
                  <c:v>42044</c:v>
                </c:pt>
                <c:pt idx="6">
                  <c:v>42072</c:v>
                </c:pt>
                <c:pt idx="7">
                  <c:v>42103</c:v>
                </c:pt>
                <c:pt idx="8">
                  <c:v>42135</c:v>
                </c:pt>
                <c:pt idx="9">
                  <c:v>42166</c:v>
                </c:pt>
                <c:pt idx="10">
                  <c:v>42198</c:v>
                </c:pt>
                <c:pt idx="11">
                  <c:v>42229</c:v>
                </c:pt>
                <c:pt idx="12">
                  <c:v>42261</c:v>
                </c:pt>
                <c:pt idx="13">
                  <c:v>42291</c:v>
                </c:pt>
                <c:pt idx="14">
                  <c:v>42324</c:v>
                </c:pt>
                <c:pt idx="15">
                  <c:v>42354</c:v>
                </c:pt>
                <c:pt idx="16">
                  <c:v>42387</c:v>
                </c:pt>
                <c:pt idx="17">
                  <c:v>42418</c:v>
                </c:pt>
                <c:pt idx="18">
                  <c:v>42447</c:v>
                </c:pt>
                <c:pt idx="19">
                  <c:v>42478</c:v>
                </c:pt>
                <c:pt idx="20">
                  <c:v>42508</c:v>
                </c:pt>
                <c:pt idx="21">
                  <c:v>42541</c:v>
                </c:pt>
                <c:pt idx="22">
                  <c:v>42571</c:v>
                </c:pt>
                <c:pt idx="23">
                  <c:v>42604</c:v>
                </c:pt>
                <c:pt idx="24">
                  <c:v>42635</c:v>
                </c:pt>
                <c:pt idx="25">
                  <c:v>42667</c:v>
                </c:pt>
                <c:pt idx="26">
                  <c:v>42698</c:v>
                </c:pt>
                <c:pt idx="27">
                  <c:v>42731</c:v>
                </c:pt>
                <c:pt idx="28">
                  <c:v>42762</c:v>
                </c:pt>
                <c:pt idx="29">
                  <c:v>42793</c:v>
                </c:pt>
                <c:pt idx="30">
                  <c:v>42821</c:v>
                </c:pt>
                <c:pt idx="31">
                  <c:v>42852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43010</c:v>
                </c:pt>
                <c:pt idx="37">
                  <c:v>43041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44725</c:v>
                </c:pt>
                <c:pt idx="92">
                  <c:v>44755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45509</c:v>
                </c:pt>
                <c:pt idx="117">
                  <c:v>45540</c:v>
                </c:pt>
                <c:pt idx="118">
                  <c:v>45572</c:v>
                </c:pt>
                <c:pt idx="119">
                  <c:v>45603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46384</c:v>
                </c:pt>
                <c:pt idx="145">
                  <c:v>46415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46916</c:v>
                </c:pt>
                <c:pt idx="162">
                  <c:v>46946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47511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48008</c:v>
                </c:pt>
                <c:pt idx="197">
                  <c:v>48038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48694</c:v>
                </c:pt>
                <c:pt idx="219">
                  <c:v>48724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49219</c:v>
                </c:pt>
                <c:pt idx="236">
                  <c:v>49250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50934</c:v>
                </c:pt>
                <c:pt idx="291">
                  <c:v>50964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51529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52026</c:v>
                </c:pt>
                <c:pt idx="326">
                  <c:v>52056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52712</c:v>
                </c:pt>
                <c:pt idx="348">
                  <c:v>52742</c:v>
                </c:pt>
                <c:pt idx="349">
                  <c:v>52775</c:v>
                </c:pt>
                <c:pt idx="350">
                  <c:v>52805</c:v>
                </c:pt>
                <c:pt idx="351">
                  <c:v>52838</c:v>
                </c:pt>
                <c:pt idx="352">
                  <c:v>52869</c:v>
                </c:pt>
                <c:pt idx="353">
                  <c:v>52901</c:v>
                </c:pt>
                <c:pt idx="354">
                  <c:v>52931</c:v>
                </c:pt>
                <c:pt idx="355">
                  <c:v>52961</c:v>
                </c:pt>
                <c:pt idx="356">
                  <c:v>52992</c:v>
                </c:pt>
                <c:pt idx="357">
                  <c:v>53021</c:v>
                </c:pt>
                <c:pt idx="358">
                  <c:v>53049</c:v>
                </c:pt>
                <c:pt idx="359">
                  <c:v>53080</c:v>
                </c:pt>
                <c:pt idx="360">
                  <c:v>53111</c:v>
                </c:pt>
                <c:pt idx="361">
                  <c:v>53142</c:v>
                </c:pt>
                <c:pt idx="362">
                  <c:v>53174</c:v>
                </c:pt>
                <c:pt idx="363">
                  <c:v>53205</c:v>
                </c:pt>
                <c:pt idx="364">
                  <c:v>53237</c:v>
                </c:pt>
                <c:pt idx="365">
                  <c:v>53268</c:v>
                </c:pt>
                <c:pt idx="366">
                  <c:v>53300</c:v>
                </c:pt>
                <c:pt idx="367">
                  <c:v>53331</c:v>
                </c:pt>
                <c:pt idx="368">
                  <c:v>53363</c:v>
                </c:pt>
                <c:pt idx="369">
                  <c:v>53391</c:v>
                </c:pt>
                <c:pt idx="370">
                  <c:v>53422</c:v>
                </c:pt>
                <c:pt idx="371">
                  <c:v>53454</c:v>
                </c:pt>
                <c:pt idx="372">
                  <c:v>53485</c:v>
                </c:pt>
                <c:pt idx="373">
                  <c:v>53517</c:v>
                </c:pt>
                <c:pt idx="374">
                  <c:v>53548</c:v>
                </c:pt>
                <c:pt idx="375">
                  <c:v>53580</c:v>
                </c:pt>
                <c:pt idx="376">
                  <c:v>53610</c:v>
                </c:pt>
                <c:pt idx="377">
                  <c:v>53643</c:v>
                </c:pt>
                <c:pt idx="378">
                  <c:v>53673</c:v>
                </c:pt>
                <c:pt idx="379">
                  <c:v>53706</c:v>
                </c:pt>
                <c:pt idx="380">
                  <c:v>53737</c:v>
                </c:pt>
                <c:pt idx="381">
                  <c:v>53765</c:v>
                </c:pt>
                <c:pt idx="382">
                  <c:v>53798</c:v>
                </c:pt>
                <c:pt idx="383">
                  <c:v>53828</c:v>
                </c:pt>
                <c:pt idx="384">
                  <c:v>53860</c:v>
                </c:pt>
                <c:pt idx="385">
                  <c:v>53890</c:v>
                </c:pt>
                <c:pt idx="386">
                  <c:v>53923</c:v>
                </c:pt>
                <c:pt idx="387">
                  <c:v>53954</c:v>
                </c:pt>
                <c:pt idx="388">
                  <c:v>53986</c:v>
                </c:pt>
                <c:pt idx="389">
                  <c:v>54017</c:v>
                </c:pt>
                <c:pt idx="390">
                  <c:v>54049</c:v>
                </c:pt>
                <c:pt idx="391">
                  <c:v>54080</c:v>
                </c:pt>
                <c:pt idx="392">
                  <c:v>54112</c:v>
                </c:pt>
                <c:pt idx="393">
                  <c:v>54141</c:v>
                </c:pt>
                <c:pt idx="394">
                  <c:v>54172</c:v>
                </c:pt>
                <c:pt idx="395">
                  <c:v>54203</c:v>
                </c:pt>
                <c:pt idx="396">
                  <c:v>54234</c:v>
                </c:pt>
                <c:pt idx="397">
                  <c:v>54266</c:v>
                </c:pt>
                <c:pt idx="398">
                  <c:v>54297</c:v>
                </c:pt>
                <c:pt idx="399">
                  <c:v>54329</c:v>
                </c:pt>
                <c:pt idx="400">
                  <c:v>54359</c:v>
                </c:pt>
                <c:pt idx="401">
                  <c:v>54392</c:v>
                </c:pt>
                <c:pt idx="402">
                  <c:v>54422</c:v>
                </c:pt>
                <c:pt idx="403">
                  <c:v>54455</c:v>
                </c:pt>
                <c:pt idx="404">
                  <c:v>54483</c:v>
                </c:pt>
                <c:pt idx="405">
                  <c:v>54514</c:v>
                </c:pt>
                <c:pt idx="406">
                  <c:v>54546</c:v>
                </c:pt>
                <c:pt idx="407">
                  <c:v>54577</c:v>
                </c:pt>
                <c:pt idx="408">
                  <c:v>54609</c:v>
                </c:pt>
                <c:pt idx="409">
                  <c:v>54640</c:v>
                </c:pt>
                <c:pt idx="410">
                  <c:v>54672</c:v>
                </c:pt>
                <c:pt idx="411">
                  <c:v>54702</c:v>
                </c:pt>
                <c:pt idx="412">
                  <c:v>54735</c:v>
                </c:pt>
                <c:pt idx="413">
                  <c:v>54765</c:v>
                </c:pt>
                <c:pt idx="414">
                  <c:v>54798</c:v>
                </c:pt>
                <c:pt idx="415">
                  <c:v>54829</c:v>
                </c:pt>
                <c:pt idx="416">
                  <c:v>54857</c:v>
                </c:pt>
                <c:pt idx="417">
                  <c:v>54890</c:v>
                </c:pt>
                <c:pt idx="418">
                  <c:v>54920</c:v>
                </c:pt>
                <c:pt idx="419">
                  <c:v>54952</c:v>
                </c:pt>
                <c:pt idx="420">
                  <c:v>54982</c:v>
                </c:pt>
                <c:pt idx="421">
                  <c:v>55015</c:v>
                </c:pt>
                <c:pt idx="422">
                  <c:v>55046</c:v>
                </c:pt>
                <c:pt idx="423">
                  <c:v>55078</c:v>
                </c:pt>
                <c:pt idx="424">
                  <c:v>55109</c:v>
                </c:pt>
                <c:pt idx="425">
                  <c:v>55141</c:v>
                </c:pt>
                <c:pt idx="426">
                  <c:v>55172</c:v>
                </c:pt>
                <c:pt idx="427">
                  <c:v>55204</c:v>
                </c:pt>
                <c:pt idx="428">
                  <c:v>55232</c:v>
                </c:pt>
                <c:pt idx="429">
                  <c:v>55263</c:v>
                </c:pt>
                <c:pt idx="430">
                  <c:v>55295</c:v>
                </c:pt>
                <c:pt idx="431">
                  <c:v>55326</c:v>
                </c:pt>
                <c:pt idx="432">
                  <c:v>55358</c:v>
                </c:pt>
                <c:pt idx="433">
                  <c:v>55389</c:v>
                </c:pt>
                <c:pt idx="434">
                  <c:v>55421</c:v>
                </c:pt>
                <c:pt idx="435">
                  <c:v>55451</c:v>
                </c:pt>
                <c:pt idx="436">
                  <c:v>55484</c:v>
                </c:pt>
                <c:pt idx="437">
                  <c:v>55514</c:v>
                </c:pt>
                <c:pt idx="438">
                  <c:v>55547</c:v>
                </c:pt>
                <c:pt idx="439">
                  <c:v>55578</c:v>
                </c:pt>
                <c:pt idx="440">
                  <c:v>55607</c:v>
                </c:pt>
                <c:pt idx="441">
                  <c:v>55638</c:v>
                </c:pt>
                <c:pt idx="442">
                  <c:v>55668</c:v>
                </c:pt>
                <c:pt idx="443">
                  <c:v>55701</c:v>
                </c:pt>
                <c:pt idx="444">
                  <c:v>55732</c:v>
                </c:pt>
                <c:pt idx="445">
                  <c:v>55764</c:v>
                </c:pt>
                <c:pt idx="446">
                  <c:v>55794</c:v>
                </c:pt>
                <c:pt idx="447">
                  <c:v>55827</c:v>
                </c:pt>
                <c:pt idx="448">
                  <c:v>55857</c:v>
                </c:pt>
                <c:pt idx="449">
                  <c:v>55890</c:v>
                </c:pt>
                <c:pt idx="450">
                  <c:v>55921</c:v>
                </c:pt>
                <c:pt idx="451">
                  <c:v>55949</c:v>
                </c:pt>
                <c:pt idx="452">
                  <c:v>55982</c:v>
                </c:pt>
                <c:pt idx="453">
                  <c:v>56012</c:v>
                </c:pt>
                <c:pt idx="454">
                  <c:v>56044</c:v>
                </c:pt>
                <c:pt idx="455">
                  <c:v>56074</c:v>
                </c:pt>
                <c:pt idx="456">
                  <c:v>56107</c:v>
                </c:pt>
                <c:pt idx="457">
                  <c:v>56138</c:v>
                </c:pt>
                <c:pt idx="458">
                  <c:v>56170</c:v>
                </c:pt>
                <c:pt idx="459">
                  <c:v>56201</c:v>
                </c:pt>
                <c:pt idx="460">
                  <c:v>56233</c:v>
                </c:pt>
                <c:pt idx="461">
                  <c:v>56264</c:v>
                </c:pt>
                <c:pt idx="462">
                  <c:v>56296</c:v>
                </c:pt>
                <c:pt idx="463">
                  <c:v>56324</c:v>
                </c:pt>
                <c:pt idx="464">
                  <c:v>56355</c:v>
                </c:pt>
                <c:pt idx="465">
                  <c:v>56387</c:v>
                </c:pt>
                <c:pt idx="466">
                  <c:v>56418</c:v>
                </c:pt>
                <c:pt idx="467">
                  <c:v>56450</c:v>
                </c:pt>
                <c:pt idx="468">
                  <c:v>56481</c:v>
                </c:pt>
                <c:pt idx="469">
                  <c:v>56513</c:v>
                </c:pt>
                <c:pt idx="470">
                  <c:v>56543</c:v>
                </c:pt>
                <c:pt idx="471">
                  <c:v>56576</c:v>
                </c:pt>
                <c:pt idx="472">
                  <c:v>56606</c:v>
                </c:pt>
                <c:pt idx="473">
                  <c:v>56639</c:v>
                </c:pt>
                <c:pt idx="474">
                  <c:v>56670</c:v>
                </c:pt>
                <c:pt idx="475">
                  <c:v>56698</c:v>
                </c:pt>
                <c:pt idx="476">
                  <c:v>56730</c:v>
                </c:pt>
                <c:pt idx="477">
                  <c:v>56760</c:v>
                </c:pt>
                <c:pt idx="478">
                  <c:v>56793</c:v>
                </c:pt>
                <c:pt idx="479">
                  <c:v>56823</c:v>
                </c:pt>
                <c:pt idx="480">
                  <c:v>56856</c:v>
                </c:pt>
                <c:pt idx="481">
                  <c:v>56887</c:v>
                </c:pt>
                <c:pt idx="482">
                  <c:v>56919</c:v>
                </c:pt>
                <c:pt idx="483">
                  <c:v>56949</c:v>
                </c:pt>
                <c:pt idx="484">
                  <c:v>56982</c:v>
                </c:pt>
                <c:pt idx="485">
                  <c:v>57013</c:v>
                </c:pt>
                <c:pt idx="486">
                  <c:v>57042</c:v>
                </c:pt>
                <c:pt idx="487">
                  <c:v>57074</c:v>
                </c:pt>
                <c:pt idx="488">
                  <c:v>57104</c:v>
                </c:pt>
                <c:pt idx="489">
                  <c:v>57136</c:v>
                </c:pt>
                <c:pt idx="490">
                  <c:v>57166</c:v>
                </c:pt>
                <c:pt idx="491">
                  <c:v>57199</c:v>
                </c:pt>
                <c:pt idx="492">
                  <c:v>57230</c:v>
                </c:pt>
                <c:pt idx="493">
                  <c:v>57262</c:v>
                </c:pt>
                <c:pt idx="494">
                  <c:v>57293</c:v>
                </c:pt>
                <c:pt idx="495">
                  <c:v>57325</c:v>
                </c:pt>
                <c:pt idx="496">
                  <c:v>57356</c:v>
                </c:pt>
                <c:pt idx="497">
                  <c:v>57388</c:v>
                </c:pt>
                <c:pt idx="498">
                  <c:v>57416</c:v>
                </c:pt>
                <c:pt idx="499">
                  <c:v>57447</c:v>
                </c:pt>
                <c:pt idx="500">
                  <c:v>57479</c:v>
                </c:pt>
                <c:pt idx="501">
                  <c:v>57510</c:v>
                </c:pt>
                <c:pt idx="502">
                  <c:v>57542</c:v>
                </c:pt>
                <c:pt idx="503">
                  <c:v>57573</c:v>
                </c:pt>
                <c:pt idx="504">
                  <c:v>57605</c:v>
                </c:pt>
                <c:pt idx="505">
                  <c:v>57635</c:v>
                </c:pt>
                <c:pt idx="506">
                  <c:v>57668</c:v>
                </c:pt>
                <c:pt idx="507">
                  <c:v>57698</c:v>
                </c:pt>
                <c:pt idx="508">
                  <c:v>57731</c:v>
                </c:pt>
                <c:pt idx="509">
                  <c:v>57762</c:v>
                </c:pt>
                <c:pt idx="510">
                  <c:v>57790</c:v>
                </c:pt>
                <c:pt idx="511">
                  <c:v>57822</c:v>
                </c:pt>
                <c:pt idx="512">
                  <c:v>57852</c:v>
                </c:pt>
                <c:pt idx="513">
                  <c:v>57885</c:v>
                </c:pt>
                <c:pt idx="514">
                  <c:v>57915</c:v>
                </c:pt>
                <c:pt idx="515">
                  <c:v>57948</c:v>
                </c:pt>
                <c:pt idx="516">
                  <c:v>57979</c:v>
                </c:pt>
                <c:pt idx="517">
                  <c:v>58011</c:v>
                </c:pt>
                <c:pt idx="518">
                  <c:v>58042</c:v>
                </c:pt>
                <c:pt idx="519">
                  <c:v>58074</c:v>
                </c:pt>
                <c:pt idx="520">
                  <c:v>58105</c:v>
                </c:pt>
                <c:pt idx="521">
                  <c:v>58134</c:v>
                </c:pt>
                <c:pt idx="522">
                  <c:v>58166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58322</c:v>
                </c:pt>
                <c:pt idx="528">
                  <c:v>58354</c:v>
                </c:pt>
                <c:pt idx="529">
                  <c:v>58385</c:v>
                </c:pt>
                <c:pt idx="530">
                  <c:v>58417</c:v>
                </c:pt>
                <c:pt idx="531">
                  <c:v>58448</c:v>
                </c:pt>
                <c:pt idx="532">
                  <c:v>58480</c:v>
                </c:pt>
                <c:pt idx="533">
                  <c:v>58509</c:v>
                </c:pt>
                <c:pt idx="534">
                  <c:v>58540</c:v>
                </c:pt>
                <c:pt idx="535">
                  <c:v>58571</c:v>
                </c:pt>
                <c:pt idx="536">
                  <c:v>58602</c:v>
                </c:pt>
                <c:pt idx="537">
                  <c:v>58634</c:v>
                </c:pt>
                <c:pt idx="538">
                  <c:v>58665</c:v>
                </c:pt>
                <c:pt idx="539">
                  <c:v>58697</c:v>
                </c:pt>
                <c:pt idx="540">
                  <c:v>58727</c:v>
                </c:pt>
                <c:pt idx="541">
                  <c:v>58760</c:v>
                </c:pt>
                <c:pt idx="542">
                  <c:v>58790</c:v>
                </c:pt>
                <c:pt idx="543">
                  <c:v>58823</c:v>
                </c:pt>
                <c:pt idx="544">
                  <c:v>58854</c:v>
                </c:pt>
                <c:pt idx="545">
                  <c:v>58882</c:v>
                </c:pt>
                <c:pt idx="546">
                  <c:v>58914</c:v>
                </c:pt>
                <c:pt idx="547">
                  <c:v>58944</c:v>
                </c:pt>
                <c:pt idx="548">
                  <c:v>58977</c:v>
                </c:pt>
                <c:pt idx="549">
                  <c:v>59007</c:v>
                </c:pt>
                <c:pt idx="550">
                  <c:v>59040</c:v>
                </c:pt>
                <c:pt idx="551">
                  <c:v>59071</c:v>
                </c:pt>
                <c:pt idx="552">
                  <c:v>59103</c:v>
                </c:pt>
                <c:pt idx="553">
                  <c:v>59134</c:v>
                </c:pt>
                <c:pt idx="554">
                  <c:v>59167</c:v>
                </c:pt>
                <c:pt idx="555">
                  <c:v>59198</c:v>
                </c:pt>
                <c:pt idx="556">
                  <c:v>59229</c:v>
                </c:pt>
                <c:pt idx="557">
                  <c:v>59258</c:v>
                </c:pt>
                <c:pt idx="558">
                  <c:v>59289</c:v>
                </c:pt>
                <c:pt idx="559">
                  <c:v>59320</c:v>
                </c:pt>
                <c:pt idx="560">
                  <c:v>59351</c:v>
                </c:pt>
                <c:pt idx="561">
                  <c:v>59383</c:v>
                </c:pt>
                <c:pt idx="562">
                  <c:v>59414</c:v>
                </c:pt>
                <c:pt idx="563">
                  <c:v>59446</c:v>
                </c:pt>
                <c:pt idx="564">
                  <c:v>59477</c:v>
                </c:pt>
                <c:pt idx="565">
                  <c:v>59509</c:v>
                </c:pt>
                <c:pt idx="566">
                  <c:v>59540</c:v>
                </c:pt>
                <c:pt idx="567">
                  <c:v>59572</c:v>
                </c:pt>
                <c:pt idx="568">
                  <c:v>59600</c:v>
                </c:pt>
                <c:pt idx="569">
                  <c:v>59631</c:v>
                </c:pt>
                <c:pt idx="570">
                  <c:v>59663</c:v>
                </c:pt>
                <c:pt idx="571">
                  <c:v>59694</c:v>
                </c:pt>
                <c:pt idx="572">
                  <c:v>59726</c:v>
                </c:pt>
                <c:pt idx="573">
                  <c:v>59757</c:v>
                </c:pt>
                <c:pt idx="574">
                  <c:v>59789</c:v>
                </c:pt>
                <c:pt idx="575">
                  <c:v>59819</c:v>
                </c:pt>
                <c:pt idx="576">
                  <c:v>59852</c:v>
                </c:pt>
                <c:pt idx="577">
                  <c:v>59882</c:v>
                </c:pt>
                <c:pt idx="578">
                  <c:v>59915</c:v>
                </c:pt>
                <c:pt idx="579">
                  <c:v>59946</c:v>
                </c:pt>
                <c:pt idx="580" formatCode="General">
                  <c:v>59975</c:v>
                </c:pt>
                <c:pt idx="581" formatCode="General">
                  <c:v>60006</c:v>
                </c:pt>
                <c:pt idx="582" formatCode="General">
                  <c:v>60036</c:v>
                </c:pt>
                <c:pt idx="583" formatCode="General">
                  <c:v>60069</c:v>
                </c:pt>
              </c:numCache>
            </c:numRef>
          </c:cat>
          <c:val>
            <c:numRef>
              <c:f>'basis 6M '!$O$2:$O$585</c:f>
              <c:numCache>
                <c:formatCode>0.0000%</c:formatCode>
                <c:ptCount val="584"/>
                <c:pt idx="0">
                  <c:v>2.4855821928571669E-3</c:v>
                </c:pt>
                <c:pt idx="1">
                  <c:v>2.3499999997846511E-3</c:v>
                </c:pt>
                <c:pt idx="2">
                  <c:v>2.3194728197481122E-3</c:v>
                </c:pt>
                <c:pt idx="3">
                  <c:v>2.2870417309151202E-3</c:v>
                </c:pt>
                <c:pt idx="4">
                  <c:v>2.2699246076787181E-3</c:v>
                </c:pt>
                <c:pt idx="5">
                  <c:v>2.2561477634723899E-3</c:v>
                </c:pt>
                <c:pt idx="6">
                  <c:v>2.2395854915804028E-3</c:v>
                </c:pt>
                <c:pt idx="7">
                  <c:v>2.262015294253311E-3</c:v>
                </c:pt>
                <c:pt idx="8">
                  <c:v>2.2963052824814087E-3</c:v>
                </c:pt>
                <c:pt idx="9">
                  <c:v>2.3391883501841381E-3</c:v>
                </c:pt>
                <c:pt idx="10">
                  <c:v>2.4040427158643295E-3</c:v>
                </c:pt>
                <c:pt idx="11">
                  <c:v>2.4670433966539158E-3</c:v>
                </c:pt>
                <c:pt idx="12">
                  <c:v>2.5337902097297351E-3</c:v>
                </c:pt>
                <c:pt idx="13">
                  <c:v>2.6027849603803394E-3</c:v>
                </c:pt>
                <c:pt idx="14">
                  <c:v>2.6887343031043237E-3</c:v>
                </c:pt>
                <c:pt idx="15">
                  <c:v>2.7606260005157719E-3</c:v>
                </c:pt>
                <c:pt idx="16">
                  <c:v>2.8493840303058524E-3</c:v>
                </c:pt>
                <c:pt idx="17">
                  <c:v>2.954249671643378E-3</c:v>
                </c:pt>
                <c:pt idx="18">
                  <c:v>3.0370626416361471E-3</c:v>
                </c:pt>
                <c:pt idx="19">
                  <c:v>3.0798439611043568E-3</c:v>
                </c:pt>
                <c:pt idx="20">
                  <c:v>3.1436537509495995E-3</c:v>
                </c:pt>
                <c:pt idx="21">
                  <c:v>3.2774394702972387E-3</c:v>
                </c:pt>
                <c:pt idx="22">
                  <c:v>3.4161823448425094E-3</c:v>
                </c:pt>
                <c:pt idx="23">
                  <c:v>3.5799852539478757E-3</c:v>
                </c:pt>
                <c:pt idx="24">
                  <c:v>3.7464094285553588E-3</c:v>
                </c:pt>
                <c:pt idx="25">
                  <c:v>3.9322380993514396E-3</c:v>
                </c:pt>
                <c:pt idx="26">
                  <c:v>4.1078345421528498E-3</c:v>
                </c:pt>
                <c:pt idx="27">
                  <c:v>4.3022266253013421E-3</c:v>
                </c:pt>
                <c:pt idx="28">
                  <c:v>4.4804280146912064E-3</c:v>
                </c:pt>
                <c:pt idx="29">
                  <c:v>4.6658751969652877E-3</c:v>
                </c:pt>
                <c:pt idx="30">
                  <c:v>4.8378728543858225E-3</c:v>
                </c:pt>
                <c:pt idx="31">
                  <c:v>5.0201998785104158E-3</c:v>
                </c:pt>
                <c:pt idx="32">
                  <c:v>5.2170265046524522E-3</c:v>
                </c:pt>
                <c:pt idx="33">
                  <c:v>5.4044126171390004E-3</c:v>
                </c:pt>
                <c:pt idx="34">
                  <c:v>5.6079270077351974E-3</c:v>
                </c:pt>
                <c:pt idx="35">
                  <c:v>5.7959963898507544E-3</c:v>
                </c:pt>
                <c:pt idx="36">
                  <c:v>6.0118549960803212E-3</c:v>
                </c:pt>
                <c:pt idx="37">
                  <c:v>6.212202925393249E-3</c:v>
                </c:pt>
                <c:pt idx="38">
                  <c:v>6.4345728694641955E-3</c:v>
                </c:pt>
                <c:pt idx="39">
                  <c:v>6.6476692380286837E-3</c:v>
                </c:pt>
                <c:pt idx="40">
                  <c:v>6.8799881095172139E-3</c:v>
                </c:pt>
                <c:pt idx="41">
                  <c:v>7.0917868624942801E-3</c:v>
                </c:pt>
                <c:pt idx="42">
                  <c:v>7.3184307092390042E-3</c:v>
                </c:pt>
                <c:pt idx="43">
                  <c:v>7.5646594696003305E-3</c:v>
                </c:pt>
                <c:pt idx="44">
                  <c:v>7.7991012969828516E-3</c:v>
                </c:pt>
                <c:pt idx="45">
                  <c:v>8.0525015180320184E-3</c:v>
                </c:pt>
                <c:pt idx="46">
                  <c:v>8.3048909431883092E-3</c:v>
                </c:pt>
                <c:pt idx="47">
                  <c:v>8.5427646049182591E-3</c:v>
                </c:pt>
                <c:pt idx="48">
                  <c:v>8.7826888946267636E-3</c:v>
                </c:pt>
                <c:pt idx="49">
                  <c:v>9.0483512263955374E-3</c:v>
                </c:pt>
                <c:pt idx="50">
                  <c:v>9.2914499484113879E-3</c:v>
                </c:pt>
                <c:pt idx="51">
                  <c:v>9.5606054798450732E-3</c:v>
                </c:pt>
                <c:pt idx="52">
                  <c:v>9.8108400769118444E-3</c:v>
                </c:pt>
                <c:pt idx="53">
                  <c:v>1.0063619171982299E-2</c:v>
                </c:pt>
                <c:pt idx="54">
                  <c:v>1.0316674137505468E-2</c:v>
                </c:pt>
                <c:pt idx="55">
                  <c:v>1.0572054512770865E-2</c:v>
                </c:pt>
                <c:pt idx="56">
                  <c:v>1.084568539389765E-2</c:v>
                </c:pt>
                <c:pt idx="57">
                  <c:v>1.1104679264369624E-2</c:v>
                </c:pt>
                <c:pt idx="58">
                  <c:v>1.1386762633856736E-2</c:v>
                </c:pt>
                <c:pt idx="59">
                  <c:v>1.164469199600905E-2</c:v>
                </c:pt>
                <c:pt idx="60">
                  <c:v>1.1926911185107211E-2</c:v>
                </c:pt>
                <c:pt idx="61">
                  <c:v>1.219331975531378E-2</c:v>
                </c:pt>
                <c:pt idx="62">
                  <c:v>1.2479818992268169E-2</c:v>
                </c:pt>
                <c:pt idx="63">
                  <c:v>1.2750209632967108E-2</c:v>
                </c:pt>
                <c:pt idx="64">
                  <c:v>1.3036240648770259E-2</c:v>
                </c:pt>
                <c:pt idx="65">
                  <c:v>1.3306863762081119E-2</c:v>
                </c:pt>
                <c:pt idx="66">
                  <c:v>1.3592277749303031E-2</c:v>
                </c:pt>
                <c:pt idx="67">
                  <c:v>1.3868817340811575E-2</c:v>
                </c:pt>
                <c:pt idx="68">
                  <c:v>1.4159672060436087E-2</c:v>
                </c:pt>
                <c:pt idx="69">
                  <c:v>1.4439497493812624E-2</c:v>
                </c:pt>
                <c:pt idx="70">
                  <c:v>1.4713377480323472E-2</c:v>
                </c:pt>
                <c:pt idx="71">
                  <c:v>1.4993674720905979E-2</c:v>
                </c:pt>
                <c:pt idx="72">
                  <c:v>1.5258146438001087E-2</c:v>
                </c:pt>
                <c:pt idx="73">
                  <c:v>1.5545992153662312E-2</c:v>
                </c:pt>
                <c:pt idx="74">
                  <c:v>1.5804875136302857E-2</c:v>
                </c:pt>
                <c:pt idx="75">
                  <c:v>1.6086570693932444E-2</c:v>
                </c:pt>
                <c:pt idx="76">
                  <c:v>1.6332107741351652E-2</c:v>
                </c:pt>
                <c:pt idx="77">
                  <c:v>1.6586638467709778E-2</c:v>
                </c:pt>
                <c:pt idx="78">
                  <c:v>1.6855243774755328E-2</c:v>
                </c:pt>
                <c:pt idx="79">
                  <c:v>1.7103253013406608E-2</c:v>
                </c:pt>
                <c:pt idx="80">
                  <c:v>1.73642753685345E-2</c:v>
                </c:pt>
                <c:pt idx="81">
                  <c:v>1.7617325249919134E-2</c:v>
                </c:pt>
                <c:pt idx="82">
                  <c:v>1.7848241209717248E-2</c:v>
                </c:pt>
                <c:pt idx="83">
                  <c:v>1.8076274792950917E-2</c:v>
                </c:pt>
                <c:pt idx="84">
                  <c:v>1.8322076950590703E-2</c:v>
                </c:pt>
                <c:pt idx="85">
                  <c:v>1.8540954786589722E-2</c:v>
                </c:pt>
                <c:pt idx="86">
                  <c:v>1.8776682094401261E-2</c:v>
                </c:pt>
                <c:pt idx="87">
                  <c:v>1.8989430584568222E-2</c:v>
                </c:pt>
                <c:pt idx="88">
                  <c:v>1.9200259728282182E-2</c:v>
                </c:pt>
                <c:pt idx="89">
                  <c:v>1.9403001280119278E-2</c:v>
                </c:pt>
                <c:pt idx="90">
                  <c:v>1.9602491649081219E-2</c:v>
                </c:pt>
                <c:pt idx="91">
                  <c:v>1.9808173368050547E-2</c:v>
                </c:pt>
                <c:pt idx="92">
                  <c:v>1.9996021531081171E-2</c:v>
                </c:pt>
                <c:pt idx="93">
                  <c:v>2.019171039595229E-2</c:v>
                </c:pt>
                <c:pt idx="94">
                  <c:v>2.0358628803684005E-2</c:v>
                </c:pt>
                <c:pt idx="95">
                  <c:v>2.0536921426931077E-2</c:v>
                </c:pt>
                <c:pt idx="96">
                  <c:v>2.0696100734224572E-2</c:v>
                </c:pt>
                <c:pt idx="97">
                  <c:v>2.0858999602797714E-2</c:v>
                </c:pt>
                <c:pt idx="98">
                  <c:v>2.1003693305858939E-2</c:v>
                </c:pt>
                <c:pt idx="99">
                  <c:v>2.1151189706007545E-2</c:v>
                </c:pt>
                <c:pt idx="100">
                  <c:v>2.1276681947786626E-2</c:v>
                </c:pt>
                <c:pt idx="101">
                  <c:v>2.1400710419370087E-2</c:v>
                </c:pt>
                <c:pt idx="102">
                  <c:v>2.152780236806482E-2</c:v>
                </c:pt>
                <c:pt idx="103">
                  <c:v>2.164117178742327E-2</c:v>
                </c:pt>
                <c:pt idx="104">
                  <c:v>2.1759135786719296E-2</c:v>
                </c:pt>
                <c:pt idx="105">
                  <c:v>2.1872953881874619E-2</c:v>
                </c:pt>
                <c:pt idx="106">
                  <c:v>2.1974094376265987E-2</c:v>
                </c:pt>
                <c:pt idx="107">
                  <c:v>2.2078758968145474E-2</c:v>
                </c:pt>
                <c:pt idx="108">
                  <c:v>2.2187387381116253E-2</c:v>
                </c:pt>
                <c:pt idx="109">
                  <c:v>2.2289147811413966E-2</c:v>
                </c:pt>
                <c:pt idx="110">
                  <c:v>2.2394654510880133E-2</c:v>
                </c:pt>
                <c:pt idx="111">
                  <c:v>2.2496704845788414E-2</c:v>
                </c:pt>
                <c:pt idx="112">
                  <c:v>2.2601271433552519E-2</c:v>
                </c:pt>
                <c:pt idx="113">
                  <c:v>2.270139827575627E-2</c:v>
                </c:pt>
                <c:pt idx="114">
                  <c:v>2.2792466228463308E-2</c:v>
                </c:pt>
                <c:pt idx="115">
                  <c:v>2.2884255630520253E-2</c:v>
                </c:pt>
                <c:pt idx="116">
                  <c:v>2.2980314337855197E-2</c:v>
                </c:pt>
                <c:pt idx="117">
                  <c:v>2.3061689263665159E-2</c:v>
                </c:pt>
                <c:pt idx="118">
                  <c:v>2.3151469688967363E-2</c:v>
                </c:pt>
                <c:pt idx="119">
                  <c:v>2.3231626185642562E-2</c:v>
                </c:pt>
                <c:pt idx="120">
                  <c:v>2.3315565819609765E-2</c:v>
                </c:pt>
                <c:pt idx="121">
                  <c:v>2.3390219883634225E-2</c:v>
                </c:pt>
                <c:pt idx="122">
                  <c:v>2.3468316656322354E-2</c:v>
                </c:pt>
                <c:pt idx="123">
                  <c:v>2.3536261878019167E-2</c:v>
                </c:pt>
                <c:pt idx="124">
                  <c:v>2.3602888754281882E-2</c:v>
                </c:pt>
                <c:pt idx="125">
                  <c:v>2.3672458113038659E-2</c:v>
                </c:pt>
                <c:pt idx="126">
                  <c:v>2.3733580566964039E-2</c:v>
                </c:pt>
                <c:pt idx="127">
                  <c:v>2.3797301614877656E-2</c:v>
                </c:pt>
                <c:pt idx="128">
                  <c:v>2.3857852065972934E-2</c:v>
                </c:pt>
                <c:pt idx="129">
                  <c:v>2.3907583430967796E-2</c:v>
                </c:pt>
                <c:pt idx="130">
                  <c:v>2.3957713333708774E-2</c:v>
                </c:pt>
                <c:pt idx="131">
                  <c:v>2.4009881967202325E-2</c:v>
                </c:pt>
                <c:pt idx="132">
                  <c:v>2.4054603926730502E-2</c:v>
                </c:pt>
                <c:pt idx="133">
                  <c:v>2.4100823391515619E-2</c:v>
                </c:pt>
                <c:pt idx="134">
                  <c:v>2.4140007220858163E-2</c:v>
                </c:pt>
                <c:pt idx="135">
                  <c:v>2.4181117129707615E-2</c:v>
                </c:pt>
                <c:pt idx="136">
                  <c:v>2.4213551421071171E-2</c:v>
                </c:pt>
                <c:pt idx="137">
                  <c:v>2.4246721368770312E-2</c:v>
                </c:pt>
                <c:pt idx="138">
                  <c:v>2.427814859735113E-2</c:v>
                </c:pt>
                <c:pt idx="139">
                  <c:v>2.4307238329339582E-2</c:v>
                </c:pt>
                <c:pt idx="140">
                  <c:v>2.4336033273603796E-2</c:v>
                </c:pt>
                <c:pt idx="141">
                  <c:v>2.4357991668945374E-2</c:v>
                </c:pt>
                <c:pt idx="142">
                  <c:v>2.4384237269226151E-2</c:v>
                </c:pt>
                <c:pt idx="143">
                  <c:v>2.4405996053300259E-2</c:v>
                </c:pt>
                <c:pt idx="144">
                  <c:v>2.4429436491754001E-2</c:v>
                </c:pt>
                <c:pt idx="145">
                  <c:v>2.4448556747783672E-2</c:v>
                </c:pt>
                <c:pt idx="146">
                  <c:v>2.4471393272692786E-2</c:v>
                </c:pt>
                <c:pt idx="147">
                  <c:v>2.448783581524324E-2</c:v>
                </c:pt>
                <c:pt idx="148">
                  <c:v>2.4505621902463758E-2</c:v>
                </c:pt>
                <c:pt idx="149">
                  <c:v>2.4519425991014674E-2</c:v>
                </c:pt>
                <c:pt idx="150">
                  <c:v>2.4534404957210345E-2</c:v>
                </c:pt>
                <c:pt idx="151">
                  <c:v>2.4548563923463915E-2</c:v>
                </c:pt>
                <c:pt idx="152">
                  <c:v>2.4555788004555063E-2</c:v>
                </c:pt>
                <c:pt idx="153">
                  <c:v>2.4565984113320779E-2</c:v>
                </c:pt>
                <c:pt idx="154">
                  <c:v>2.4573763250047138E-2</c:v>
                </c:pt>
                <c:pt idx="155">
                  <c:v>2.458132414344737E-2</c:v>
                </c:pt>
                <c:pt idx="156">
                  <c:v>2.4586293082558022E-2</c:v>
                </c:pt>
                <c:pt idx="157">
                  <c:v>2.4590459539006883E-2</c:v>
                </c:pt>
                <c:pt idx="158">
                  <c:v>2.4595718967081993E-2</c:v>
                </c:pt>
                <c:pt idx="159">
                  <c:v>2.4595609095774844E-2</c:v>
                </c:pt>
                <c:pt idx="160">
                  <c:v>2.4596705625083645E-2</c:v>
                </c:pt>
                <c:pt idx="161">
                  <c:v>2.4594784303565233E-2</c:v>
                </c:pt>
                <c:pt idx="162">
                  <c:v>2.4593244064187461E-2</c:v>
                </c:pt>
                <c:pt idx="163">
                  <c:v>2.4589257282906268E-2</c:v>
                </c:pt>
                <c:pt idx="164">
                  <c:v>2.4581983281399405E-2</c:v>
                </c:pt>
                <c:pt idx="165">
                  <c:v>2.457609679037075E-2</c:v>
                </c:pt>
                <c:pt idx="166">
                  <c:v>2.4567675334256307E-2</c:v>
                </c:pt>
                <c:pt idx="167">
                  <c:v>2.4558978735815806E-2</c:v>
                </c:pt>
                <c:pt idx="168">
                  <c:v>2.4547922385603643E-2</c:v>
                </c:pt>
                <c:pt idx="169">
                  <c:v>2.4536415388886495E-2</c:v>
                </c:pt>
                <c:pt idx="170">
                  <c:v>2.452582399206929E-2</c:v>
                </c:pt>
                <c:pt idx="171">
                  <c:v>2.4511010378503988E-2</c:v>
                </c:pt>
                <c:pt idx="172">
                  <c:v>2.449580559694358E-2</c:v>
                </c:pt>
                <c:pt idx="173">
                  <c:v>2.4479121488295764E-2</c:v>
                </c:pt>
                <c:pt idx="174">
                  <c:v>2.4462364465372737E-2</c:v>
                </c:pt>
                <c:pt idx="175">
                  <c:v>2.4446245381965975E-2</c:v>
                </c:pt>
                <c:pt idx="176">
                  <c:v>2.442606752598259E-2</c:v>
                </c:pt>
                <c:pt idx="177">
                  <c:v>2.4409045044609542E-2</c:v>
                </c:pt>
                <c:pt idx="178">
                  <c:v>2.4390160139333487E-2</c:v>
                </c:pt>
                <c:pt idx="179">
                  <c:v>2.4372266921354545E-2</c:v>
                </c:pt>
                <c:pt idx="180">
                  <c:v>2.4353641189317404E-2</c:v>
                </c:pt>
                <c:pt idx="181">
                  <c:v>2.433596920796488E-2</c:v>
                </c:pt>
                <c:pt idx="182">
                  <c:v>2.4320961583039827E-2</c:v>
                </c:pt>
                <c:pt idx="183">
                  <c:v>2.4300327126820911E-2</c:v>
                </c:pt>
                <c:pt idx="184">
                  <c:v>2.4282809647246748E-2</c:v>
                </c:pt>
                <c:pt idx="185">
                  <c:v>2.4263321288726131E-2</c:v>
                </c:pt>
                <c:pt idx="186">
                  <c:v>2.4244884597733132E-2</c:v>
                </c:pt>
                <c:pt idx="187">
                  <c:v>2.4223173062384126E-2</c:v>
                </c:pt>
                <c:pt idx="188">
                  <c:v>2.4204565219583887E-2</c:v>
                </c:pt>
                <c:pt idx="189">
                  <c:v>2.4183936465852304E-2</c:v>
                </c:pt>
                <c:pt idx="190">
                  <c:v>2.4165037487917165E-2</c:v>
                </c:pt>
                <c:pt idx="191">
                  <c:v>2.4144088495032141E-2</c:v>
                </c:pt>
                <c:pt idx="192">
                  <c:v>2.4123774679971021E-2</c:v>
                </c:pt>
                <c:pt idx="193">
                  <c:v>2.4108128835296654E-2</c:v>
                </c:pt>
                <c:pt idx="194">
                  <c:v>2.4085925449254999E-2</c:v>
                </c:pt>
                <c:pt idx="195">
                  <c:v>2.4066781993482993E-2</c:v>
                </c:pt>
                <c:pt idx="196">
                  <c:v>2.4044575564335615E-2</c:v>
                </c:pt>
                <c:pt idx="197">
                  <c:v>2.4025133401055984E-2</c:v>
                </c:pt>
                <c:pt idx="198">
                  <c:v>2.4003073504220662E-2</c:v>
                </c:pt>
                <c:pt idx="199">
                  <c:v>2.3981287055161914E-2</c:v>
                </c:pt>
                <c:pt idx="200">
                  <c:v>2.3960041988357338E-2</c:v>
                </c:pt>
                <c:pt idx="201">
                  <c:v>2.3938421576399777E-2</c:v>
                </c:pt>
                <c:pt idx="202">
                  <c:v>2.3916858375221686E-2</c:v>
                </c:pt>
                <c:pt idx="203">
                  <c:v>2.3894944948435623E-2</c:v>
                </c:pt>
                <c:pt idx="204">
                  <c:v>2.3872627543999936E-2</c:v>
                </c:pt>
                <c:pt idx="205">
                  <c:v>2.38531311102405E-2</c:v>
                </c:pt>
                <c:pt idx="206">
                  <c:v>2.3831643232516353E-2</c:v>
                </c:pt>
                <c:pt idx="207">
                  <c:v>2.3809150339480865E-2</c:v>
                </c:pt>
                <c:pt idx="208">
                  <c:v>2.3786517102686821E-2</c:v>
                </c:pt>
                <c:pt idx="209">
                  <c:v>2.3763853953168206E-2</c:v>
                </c:pt>
                <c:pt idx="210">
                  <c:v>2.3742166867219111E-2</c:v>
                </c:pt>
                <c:pt idx="211">
                  <c:v>2.3717128309786117E-2</c:v>
                </c:pt>
                <c:pt idx="212">
                  <c:v>2.3695060372161153E-2</c:v>
                </c:pt>
                <c:pt idx="213">
                  <c:v>2.3670625636484581E-2</c:v>
                </c:pt>
                <c:pt idx="214">
                  <c:v>2.3648266786979979E-2</c:v>
                </c:pt>
                <c:pt idx="215">
                  <c:v>2.3623512059473009E-2</c:v>
                </c:pt>
                <c:pt idx="216">
                  <c:v>2.3599715469259409E-2</c:v>
                </c:pt>
                <c:pt idx="217">
                  <c:v>2.3580378957441445E-2</c:v>
                </c:pt>
                <c:pt idx="218">
                  <c:v>2.3554762504418351E-2</c:v>
                </c:pt>
                <c:pt idx="219">
                  <c:v>2.3532066749594523E-2</c:v>
                </c:pt>
                <c:pt idx="220">
                  <c:v>2.350614778419689E-2</c:v>
                </c:pt>
                <c:pt idx="221">
                  <c:v>2.3483153151281935E-2</c:v>
                </c:pt>
                <c:pt idx="222">
                  <c:v>2.3456922278658896E-2</c:v>
                </c:pt>
                <c:pt idx="223">
                  <c:v>2.3431752334680724E-2</c:v>
                </c:pt>
                <c:pt idx="224">
                  <c:v>2.3405654830948652E-2</c:v>
                </c:pt>
                <c:pt idx="225">
                  <c:v>2.3382786001553559E-2</c:v>
                </c:pt>
                <c:pt idx="226">
                  <c:v>2.3358705197868392E-2</c:v>
                </c:pt>
                <c:pt idx="227">
                  <c:v>2.3333676238664735E-2</c:v>
                </c:pt>
                <c:pt idx="228">
                  <c:v>2.3310812602555207E-2</c:v>
                </c:pt>
                <c:pt idx="229">
                  <c:v>2.3287948176129981E-2</c:v>
                </c:pt>
                <c:pt idx="230">
                  <c:v>2.3263181736428374E-2</c:v>
                </c:pt>
                <c:pt idx="231">
                  <c:v>2.3236966768998439E-2</c:v>
                </c:pt>
                <c:pt idx="232">
                  <c:v>2.3211009210109209E-2</c:v>
                </c:pt>
                <c:pt idx="233">
                  <c:v>2.3184824470749314E-2</c:v>
                </c:pt>
                <c:pt idx="234">
                  <c:v>2.3158121451022699E-2</c:v>
                </c:pt>
                <c:pt idx="235">
                  <c:v>2.3131885900928215E-2</c:v>
                </c:pt>
                <c:pt idx="236">
                  <c:v>2.310582280629378E-2</c:v>
                </c:pt>
                <c:pt idx="237">
                  <c:v>2.3079568433057755E-2</c:v>
                </c:pt>
                <c:pt idx="238">
                  <c:v>2.305349416117506E-2</c:v>
                </c:pt>
                <c:pt idx="239">
                  <c:v>2.302722098848398E-2</c:v>
                </c:pt>
                <c:pt idx="240">
                  <c:v>2.3004578469835796E-2</c:v>
                </c:pt>
                <c:pt idx="241">
                  <c:v>2.2978484586467004E-2</c:v>
                </c:pt>
                <c:pt idx="242">
                  <c:v>2.2952180604526549E-2</c:v>
                </c:pt>
                <c:pt idx="243">
                  <c:v>2.2926075538840702E-2</c:v>
                </c:pt>
                <c:pt idx="244">
                  <c:v>2.2899752779765862E-2</c:v>
                </c:pt>
                <c:pt idx="245">
                  <c:v>2.2874558763508333E-2</c:v>
                </c:pt>
                <c:pt idx="246">
                  <c:v>2.284668370621331E-2</c:v>
                </c:pt>
                <c:pt idx="247">
                  <c:v>2.2822000629132241E-2</c:v>
                </c:pt>
                <c:pt idx="248">
                  <c:v>2.2794203061191499E-2</c:v>
                </c:pt>
                <c:pt idx="249">
                  <c:v>2.2769502172611224E-2</c:v>
                </c:pt>
                <c:pt idx="250">
                  <c:v>2.2741692452680855E-2</c:v>
                </c:pt>
                <c:pt idx="251">
                  <c:v>2.2715842900581141E-2</c:v>
                </c:pt>
                <c:pt idx="252">
                  <c:v>2.2692540039554159E-2</c:v>
                </c:pt>
                <c:pt idx="253">
                  <c:v>2.2665249885886085E-2</c:v>
                </c:pt>
                <c:pt idx="254">
                  <c:v>2.26410868420454E-2</c:v>
                </c:pt>
                <c:pt idx="255">
                  <c:v>2.2613497003838048E-2</c:v>
                </c:pt>
                <c:pt idx="256">
                  <c:v>2.2588733114922831E-2</c:v>
                </c:pt>
                <c:pt idx="257">
                  <c:v>2.2561166084586543E-2</c:v>
                </c:pt>
                <c:pt idx="258">
                  <c:v>2.2534408218942033E-2</c:v>
                </c:pt>
                <c:pt idx="259">
                  <c:v>2.2507949512400267E-2</c:v>
                </c:pt>
                <c:pt idx="260">
                  <c:v>2.2481753242508638E-2</c:v>
                </c:pt>
                <c:pt idx="261">
                  <c:v>2.2455275812024337E-2</c:v>
                </c:pt>
                <c:pt idx="262">
                  <c:v>2.2429068311259601E-2</c:v>
                </c:pt>
                <c:pt idx="263">
                  <c:v>2.2402572163851633E-2</c:v>
                </c:pt>
                <c:pt idx="264">
                  <c:v>2.2379687368141638E-2</c:v>
                </c:pt>
                <c:pt idx="265">
                  <c:v>2.2353460247957872E-2</c:v>
                </c:pt>
                <c:pt idx="266">
                  <c:v>2.2326933477367195E-2</c:v>
                </c:pt>
                <c:pt idx="267">
                  <c:v>2.2301502359176387E-2</c:v>
                </c:pt>
                <c:pt idx="268">
                  <c:v>2.2274149656403119E-2</c:v>
                </c:pt>
                <c:pt idx="269">
                  <c:v>2.2247900059247545E-2</c:v>
                </c:pt>
                <c:pt idx="270">
                  <c:v>2.2220808179556611E-2</c:v>
                </c:pt>
                <c:pt idx="271">
                  <c:v>2.2195651570204478E-2</c:v>
                </c:pt>
                <c:pt idx="272">
                  <c:v>2.2167971459604818E-2</c:v>
                </c:pt>
                <c:pt idx="273">
                  <c:v>2.2142800595425473E-2</c:v>
                </c:pt>
                <c:pt idx="274">
                  <c:v>2.2115104805156823E-2</c:v>
                </c:pt>
                <c:pt idx="275">
                  <c:v>2.2092109656576264E-2</c:v>
                </c:pt>
                <c:pt idx="276">
                  <c:v>2.2065821305658349E-2</c:v>
                </c:pt>
                <c:pt idx="277">
                  <c:v>2.2039192842453967E-2</c:v>
                </c:pt>
                <c:pt idx="278">
                  <c:v>2.2012893230090983E-2</c:v>
                </c:pt>
                <c:pt idx="279">
                  <c:v>2.1986246111606916E-2</c:v>
                </c:pt>
                <c:pt idx="280">
                  <c:v>2.196067538452523E-2</c:v>
                </c:pt>
                <c:pt idx="281">
                  <c:v>2.1932779456714988E-2</c:v>
                </c:pt>
                <c:pt idx="282">
                  <c:v>2.190754525185613E-2</c:v>
                </c:pt>
                <c:pt idx="283">
                  <c:v>2.1879779789691974E-2</c:v>
                </c:pt>
                <c:pt idx="284">
                  <c:v>2.1854531336358188E-2</c:v>
                </c:pt>
                <c:pt idx="285">
                  <c:v>2.1826750201513735E-2</c:v>
                </c:pt>
                <c:pt idx="286">
                  <c:v>2.1800408822762331E-2</c:v>
                </c:pt>
                <c:pt idx="287">
                  <c:v>2.1778000138063646E-2</c:v>
                </c:pt>
                <c:pt idx="288">
                  <c:v>2.1749516706263149E-2</c:v>
                </c:pt>
                <c:pt idx="289">
                  <c:v>2.1725079709741135E-2</c:v>
                </c:pt>
                <c:pt idx="290">
                  <c:v>2.1697746402131662E-2</c:v>
                </c:pt>
                <c:pt idx="291">
                  <c:v>2.1673326764061005E-2</c:v>
                </c:pt>
                <c:pt idx="292">
                  <c:v>2.1646626004150109E-2</c:v>
                </c:pt>
                <c:pt idx="293">
                  <c:v>2.1621523264182433E-2</c:v>
                </c:pt>
                <c:pt idx="294">
                  <c:v>2.1596991782634717E-2</c:v>
                </c:pt>
                <c:pt idx="295">
                  <c:v>2.1573259912317073E-2</c:v>
                </c:pt>
                <c:pt idx="296">
                  <c:v>2.1549915384277463E-2</c:v>
                </c:pt>
                <c:pt idx="297">
                  <c:v>2.1527302823830224E-2</c:v>
                </c:pt>
                <c:pt idx="298">
                  <c:v>2.1504842714660792E-2</c:v>
                </c:pt>
                <c:pt idx="299">
                  <c:v>2.1485622006764092E-2</c:v>
                </c:pt>
                <c:pt idx="300">
                  <c:v>2.1465286985713605E-2</c:v>
                </c:pt>
                <c:pt idx="301">
                  <c:v>2.1444874383312596E-2</c:v>
                </c:pt>
                <c:pt idx="302">
                  <c:v>2.1425004666239179E-2</c:v>
                </c:pt>
                <c:pt idx="303">
                  <c:v>2.1405757334033739E-2</c:v>
                </c:pt>
                <c:pt idx="304">
                  <c:v>2.1388055368594401E-2</c:v>
                </c:pt>
                <c:pt idx="305">
                  <c:v>2.1368230979513268E-2</c:v>
                </c:pt>
                <c:pt idx="306">
                  <c:v>2.1351496883525684E-2</c:v>
                </c:pt>
                <c:pt idx="307">
                  <c:v>2.1333693197778482E-2</c:v>
                </c:pt>
                <c:pt idx="308">
                  <c:v>2.1317544736944454E-2</c:v>
                </c:pt>
                <c:pt idx="309">
                  <c:v>2.1301460850797125E-2</c:v>
                </c:pt>
                <c:pt idx="310">
                  <c:v>2.1286845088551304E-2</c:v>
                </c:pt>
                <c:pt idx="311">
                  <c:v>2.1274989302588681E-2</c:v>
                </c:pt>
                <c:pt idx="312">
                  <c:v>2.1259387010629766E-2</c:v>
                </c:pt>
                <c:pt idx="313">
                  <c:v>2.1246864372898747E-2</c:v>
                </c:pt>
                <c:pt idx="314">
                  <c:v>2.1233668766790965E-2</c:v>
                </c:pt>
                <c:pt idx="315">
                  <c:v>2.122189199458924E-2</c:v>
                </c:pt>
                <c:pt idx="316">
                  <c:v>2.1208083379011079E-2</c:v>
                </c:pt>
                <c:pt idx="317">
                  <c:v>2.1197325812970479E-2</c:v>
                </c:pt>
                <c:pt idx="318">
                  <c:v>2.1186096170692434E-2</c:v>
                </c:pt>
                <c:pt idx="319">
                  <c:v>2.1176436196633092E-2</c:v>
                </c:pt>
                <c:pt idx="320">
                  <c:v>2.1166413886645013E-2</c:v>
                </c:pt>
                <c:pt idx="321">
                  <c:v>2.1157084892634553E-2</c:v>
                </c:pt>
                <c:pt idx="322">
                  <c:v>2.1152064725947592E-2</c:v>
                </c:pt>
                <c:pt idx="323">
                  <c:v>2.1142319141157041E-2</c:v>
                </c:pt>
                <c:pt idx="324">
                  <c:v>2.1136915387189079E-2</c:v>
                </c:pt>
                <c:pt idx="325">
                  <c:v>2.1128529032150858E-2</c:v>
                </c:pt>
                <c:pt idx="326">
                  <c:v>2.112319071866723E-2</c:v>
                </c:pt>
                <c:pt idx="327">
                  <c:v>2.1117345238403484E-2</c:v>
                </c:pt>
                <c:pt idx="328">
                  <c:v>2.11107780962142E-2</c:v>
                </c:pt>
                <c:pt idx="329">
                  <c:v>2.1106822215978396E-2</c:v>
                </c:pt>
                <c:pt idx="330">
                  <c:v>2.1102455439509837E-2</c:v>
                </c:pt>
                <c:pt idx="331">
                  <c:v>2.1099687977056573E-2</c:v>
                </c:pt>
                <c:pt idx="332">
                  <c:v>2.109643728543531E-2</c:v>
                </c:pt>
                <c:pt idx="333">
                  <c:v>2.1094858363563267E-2</c:v>
                </c:pt>
                <c:pt idx="334">
                  <c:v>2.1094659110803528E-2</c:v>
                </c:pt>
                <c:pt idx="335">
                  <c:v>2.109303773776396E-2</c:v>
                </c:pt>
                <c:pt idx="336">
                  <c:v>2.1093194783569708E-2</c:v>
                </c:pt>
                <c:pt idx="337">
                  <c:v>2.1092689279442963E-2</c:v>
                </c:pt>
                <c:pt idx="338">
                  <c:v>2.1094035323649857E-2</c:v>
                </c:pt>
                <c:pt idx="339">
                  <c:v>2.1096594641036429E-2</c:v>
                </c:pt>
                <c:pt idx="340">
                  <c:v>2.1095863206629165E-2</c:v>
                </c:pt>
                <c:pt idx="341">
                  <c:v>2.1098820933310891E-2</c:v>
                </c:pt>
                <c:pt idx="342">
                  <c:v>2.1101276281455344E-2</c:v>
                </c:pt>
                <c:pt idx="343">
                  <c:v>2.1105350120024801E-2</c:v>
                </c:pt>
                <c:pt idx="344">
                  <c:v>2.1108993987203232E-2</c:v>
                </c:pt>
                <c:pt idx="345">
                  <c:v>2.1113637614731444E-2</c:v>
                </c:pt>
                <c:pt idx="346">
                  <c:v>2.1120627638919958E-2</c:v>
                </c:pt>
                <c:pt idx="347">
                  <c:v>2.11249090910429E-2</c:v>
                </c:pt>
                <c:pt idx="348">
                  <c:v>2.1131641277721054E-2</c:v>
                </c:pt>
                <c:pt idx="349">
                  <c:v>2.1138018801396249E-2</c:v>
                </c:pt>
                <c:pt idx="350">
                  <c:v>2.1145645418260865E-2</c:v>
                </c:pt>
                <c:pt idx="351">
                  <c:v>2.1152901000590332E-2</c:v>
                </c:pt>
                <c:pt idx="352">
                  <c:v>2.115927671418312E-2</c:v>
                </c:pt>
                <c:pt idx="353">
                  <c:v>2.1166248687552559E-2</c:v>
                </c:pt>
                <c:pt idx="354">
                  <c:v>2.1176839369449103E-2</c:v>
                </c:pt>
                <c:pt idx="355">
                  <c:v>2.1185473715299712E-2</c:v>
                </c:pt>
                <c:pt idx="356">
                  <c:v>2.1194739556607563E-2</c:v>
                </c:pt>
                <c:pt idx="357">
                  <c:v>2.1205294718240234E-2</c:v>
                </c:pt>
                <c:pt idx="358">
                  <c:v>2.121427051109008E-2</c:v>
                </c:pt>
                <c:pt idx="359">
                  <c:v>2.1226135704261084E-2</c:v>
                </c:pt>
                <c:pt idx="360">
                  <c:v>2.1235159798323106E-2</c:v>
                </c:pt>
                <c:pt idx="361">
                  <c:v>2.1245318609679778E-2</c:v>
                </c:pt>
                <c:pt idx="362">
                  <c:v>2.1257817543463203E-2</c:v>
                </c:pt>
                <c:pt idx="363">
                  <c:v>2.1267028632710312E-2</c:v>
                </c:pt>
                <c:pt idx="364">
                  <c:v>2.1280259936393733E-2</c:v>
                </c:pt>
                <c:pt idx="365">
                  <c:v>2.1291800768367997E-2</c:v>
                </c:pt>
                <c:pt idx="366">
                  <c:v>2.1305777895925537E-2</c:v>
                </c:pt>
                <c:pt idx="367">
                  <c:v>2.1318015758042281E-2</c:v>
                </c:pt>
                <c:pt idx="368">
                  <c:v>2.1332738825038083E-2</c:v>
                </c:pt>
                <c:pt idx="369">
                  <c:v>2.1346906681067243E-2</c:v>
                </c:pt>
                <c:pt idx="370">
                  <c:v>2.1360163850316118E-2</c:v>
                </c:pt>
                <c:pt idx="371">
                  <c:v>2.1375978340894965E-2</c:v>
                </c:pt>
                <c:pt idx="372">
                  <c:v>2.138993248152515E-2</c:v>
                </c:pt>
                <c:pt idx="373">
                  <c:v>2.1406493294864281E-2</c:v>
                </c:pt>
                <c:pt idx="374">
                  <c:v>2.1423827136872669E-2</c:v>
                </c:pt>
                <c:pt idx="375">
                  <c:v>2.1436650037183667E-2</c:v>
                </c:pt>
                <c:pt idx="376">
                  <c:v>2.1452362833777626E-2</c:v>
                </c:pt>
                <c:pt idx="377">
                  <c:v>2.1470024913997084E-2</c:v>
                </c:pt>
                <c:pt idx="378">
                  <c:v>2.1486424999081776E-2</c:v>
                </c:pt>
                <c:pt idx="379">
                  <c:v>2.1504843115967912E-2</c:v>
                </c:pt>
                <c:pt idx="380">
                  <c:v>2.1521571582368521E-2</c:v>
                </c:pt>
                <c:pt idx="381">
                  <c:v>2.1542522174652246E-2</c:v>
                </c:pt>
                <c:pt idx="382">
                  <c:v>2.1559229286502675E-2</c:v>
                </c:pt>
                <c:pt idx="383">
                  <c:v>2.1580190403895125E-2</c:v>
                </c:pt>
                <c:pt idx="384">
                  <c:v>2.159699206423853E-2</c:v>
                </c:pt>
                <c:pt idx="385">
                  <c:v>2.1616734185783911E-2</c:v>
                </c:pt>
                <c:pt idx="386">
                  <c:v>2.1637771261361544E-2</c:v>
                </c:pt>
                <c:pt idx="387">
                  <c:v>2.1655930519988251E-2</c:v>
                </c:pt>
                <c:pt idx="388">
                  <c:v>2.1678044012578813E-2</c:v>
                </c:pt>
                <c:pt idx="389">
                  <c:v>2.1697874872696716E-2</c:v>
                </c:pt>
                <c:pt idx="390">
                  <c:v>2.1720735739977515E-2</c:v>
                </c:pt>
                <c:pt idx="391">
                  <c:v>2.1741263043869086E-2</c:v>
                </c:pt>
                <c:pt idx="392">
                  <c:v>2.1763854446243396E-2</c:v>
                </c:pt>
                <c:pt idx="393">
                  <c:v>2.1786696898182367E-2</c:v>
                </c:pt>
                <c:pt idx="394">
                  <c:v>2.1810309543145896E-2</c:v>
                </c:pt>
                <c:pt idx="395">
                  <c:v>2.1832210097320979E-2</c:v>
                </c:pt>
                <c:pt idx="396">
                  <c:v>2.1857581354833625E-2</c:v>
                </c:pt>
                <c:pt idx="397">
                  <c:v>2.1879890210973498E-2</c:v>
                </c:pt>
                <c:pt idx="398">
                  <c:v>2.1902822926556098E-2</c:v>
                </c:pt>
                <c:pt idx="399">
                  <c:v>2.1926881926117046E-2</c:v>
                </c:pt>
                <c:pt idx="400">
                  <c:v>2.1950768435088707E-2</c:v>
                </c:pt>
                <c:pt idx="401">
                  <c:v>2.1977421881702892E-2</c:v>
                </c:pt>
                <c:pt idx="402">
                  <c:v>2.2001996197664814E-2</c:v>
                </c:pt>
                <c:pt idx="403">
                  <c:v>2.2029406261032867E-2</c:v>
                </c:pt>
                <c:pt idx="404">
                  <c:v>2.205517827068899E-2</c:v>
                </c:pt>
                <c:pt idx="405">
                  <c:v>2.2080487493393218E-2</c:v>
                </c:pt>
                <c:pt idx="406">
                  <c:v>2.2109009753632409E-2</c:v>
                </c:pt>
                <c:pt idx="407">
                  <c:v>2.2134361116645761E-2</c:v>
                </c:pt>
                <c:pt idx="408">
                  <c:v>2.2162381509725326E-2</c:v>
                </c:pt>
                <c:pt idx="409">
                  <c:v>2.2189983093178316E-2</c:v>
                </c:pt>
                <c:pt idx="410">
                  <c:v>2.2211118409019893E-2</c:v>
                </c:pt>
                <c:pt idx="411">
                  <c:v>2.2233909965290299E-2</c:v>
                </c:pt>
                <c:pt idx="412">
                  <c:v>2.2257776763434704E-2</c:v>
                </c:pt>
                <c:pt idx="413">
                  <c:v>2.2278379348801232E-2</c:v>
                </c:pt>
                <c:pt idx="414">
                  <c:v>2.229983819877555E-2</c:v>
                </c:pt>
                <c:pt idx="415">
                  <c:v>2.2317878022953458E-2</c:v>
                </c:pt>
                <c:pt idx="416">
                  <c:v>2.2338874218089701E-2</c:v>
                </c:pt>
                <c:pt idx="417">
                  <c:v>2.2353938575111497E-2</c:v>
                </c:pt>
                <c:pt idx="418">
                  <c:v>2.2371895084848485E-2</c:v>
                </c:pt>
                <c:pt idx="419">
                  <c:v>2.2384202729746974E-2</c:v>
                </c:pt>
                <c:pt idx="420">
                  <c:v>2.2398132947806626E-2</c:v>
                </c:pt>
                <c:pt idx="421">
                  <c:v>2.2411260120207461E-2</c:v>
                </c:pt>
                <c:pt idx="422">
                  <c:v>2.2419893100523891E-2</c:v>
                </c:pt>
                <c:pt idx="423">
                  <c:v>2.2431154037282294E-2</c:v>
                </c:pt>
                <c:pt idx="424">
                  <c:v>2.2439293459185317E-2</c:v>
                </c:pt>
                <c:pt idx="425">
                  <c:v>2.2448183537855503E-2</c:v>
                </c:pt>
                <c:pt idx="426">
                  <c:v>2.2454095926558264E-2</c:v>
                </c:pt>
                <c:pt idx="427">
                  <c:v>2.2460614806382163E-2</c:v>
                </c:pt>
                <c:pt idx="428">
                  <c:v>2.2466152915828621E-2</c:v>
                </c:pt>
                <c:pt idx="429">
                  <c:v>2.2468814117512427E-2</c:v>
                </c:pt>
                <c:pt idx="430">
                  <c:v>2.2471869869976964E-2</c:v>
                </c:pt>
                <c:pt idx="431">
                  <c:v>2.2472304379042712E-2</c:v>
                </c:pt>
                <c:pt idx="432">
                  <c:v>2.2472987867465898E-2</c:v>
                </c:pt>
                <c:pt idx="433">
                  <c:v>2.2473156195176706E-2</c:v>
                </c:pt>
                <c:pt idx="434">
                  <c:v>2.2468236354507523E-2</c:v>
                </c:pt>
                <c:pt idx="435">
                  <c:v>2.2465615379250618E-2</c:v>
                </c:pt>
                <c:pt idx="436">
                  <c:v>2.2460230439484731E-2</c:v>
                </c:pt>
                <c:pt idx="437">
                  <c:v>2.2455382652247835E-2</c:v>
                </c:pt>
                <c:pt idx="438">
                  <c:v>2.2447626209342493E-2</c:v>
                </c:pt>
                <c:pt idx="439">
                  <c:v>2.2440278870925808E-2</c:v>
                </c:pt>
                <c:pt idx="440">
                  <c:v>2.2432922297137392E-2</c:v>
                </c:pt>
                <c:pt idx="441">
                  <c:v>2.2421809106247696E-2</c:v>
                </c:pt>
                <c:pt idx="442">
                  <c:v>2.2411498566233427E-2</c:v>
                </c:pt>
                <c:pt idx="443">
                  <c:v>2.2398863588492239E-2</c:v>
                </c:pt>
                <c:pt idx="444">
                  <c:v>2.2385835443556733E-2</c:v>
                </c:pt>
                <c:pt idx="445">
                  <c:v>2.2369016135463157E-2</c:v>
                </c:pt>
                <c:pt idx="446">
                  <c:v>2.2353856342077261E-2</c:v>
                </c:pt>
                <c:pt idx="447">
                  <c:v>2.2335976441266347E-2</c:v>
                </c:pt>
                <c:pt idx="448">
                  <c:v>2.2318627351664486E-2</c:v>
                </c:pt>
                <c:pt idx="449">
                  <c:v>2.2298339288770643E-2</c:v>
                </c:pt>
                <c:pt idx="450">
                  <c:v>2.227779731419224E-2</c:v>
                </c:pt>
                <c:pt idx="451">
                  <c:v>2.2260187458675217E-2</c:v>
                </c:pt>
                <c:pt idx="452">
                  <c:v>2.223541477382257E-2</c:v>
                </c:pt>
                <c:pt idx="453">
                  <c:v>2.2213490659822119E-2</c:v>
                </c:pt>
                <c:pt idx="454">
                  <c:v>2.2187241568862617E-2</c:v>
                </c:pt>
                <c:pt idx="455">
                  <c:v>2.2162571625161762E-2</c:v>
                </c:pt>
                <c:pt idx="456">
                  <c:v>2.2133948240139142E-2</c:v>
                </c:pt>
                <c:pt idx="457">
                  <c:v>2.2105317232480763E-2</c:v>
                </c:pt>
                <c:pt idx="458">
                  <c:v>2.2075446940355944E-2</c:v>
                </c:pt>
                <c:pt idx="459">
                  <c:v>2.2045029252421078E-2</c:v>
                </c:pt>
                <c:pt idx="460">
                  <c:v>2.2012784558223121E-2</c:v>
                </c:pt>
                <c:pt idx="461">
                  <c:v>2.1980146084731648E-2</c:v>
                </c:pt>
                <c:pt idx="462">
                  <c:v>2.1945526946265077E-2</c:v>
                </c:pt>
                <c:pt idx="463">
                  <c:v>2.1914317447730113E-2</c:v>
                </c:pt>
                <c:pt idx="464">
                  <c:v>2.1878517344000519E-2</c:v>
                </c:pt>
                <c:pt idx="465">
                  <c:v>2.1840876587736289E-2</c:v>
                </c:pt>
                <c:pt idx="466">
                  <c:v>2.1803768879272475E-2</c:v>
                </c:pt>
                <c:pt idx="467">
                  <c:v>2.1765305084611407E-2</c:v>
                </c:pt>
                <c:pt idx="468">
                  <c:v>2.1728112351275589E-2</c:v>
                </c:pt>
                <c:pt idx="469">
                  <c:v>2.1689628572085565E-2</c:v>
                </c:pt>
                <c:pt idx="470">
                  <c:v>2.1654161568500543E-2</c:v>
                </c:pt>
                <c:pt idx="471">
                  <c:v>2.1615593598789885E-2</c:v>
                </c:pt>
                <c:pt idx="472">
                  <c:v>2.1580936999079859E-2</c:v>
                </c:pt>
                <c:pt idx="473">
                  <c:v>2.1543260424737268E-2</c:v>
                </c:pt>
                <c:pt idx="474">
                  <c:v>2.1508206616813044E-2</c:v>
                </c:pt>
                <c:pt idx="475">
                  <c:v>2.1477424277884506E-2</c:v>
                </c:pt>
                <c:pt idx="476">
                  <c:v>2.1441878187895815E-2</c:v>
                </c:pt>
                <c:pt idx="477">
                  <c:v>2.1409306280170272E-2</c:v>
                </c:pt>
                <c:pt idx="478">
                  <c:v>2.1373713670147072E-2</c:v>
                </c:pt>
                <c:pt idx="479">
                  <c:v>2.1341961449005568E-2</c:v>
                </c:pt>
                <c:pt idx="480">
                  <c:v>2.1307250446045933E-2</c:v>
                </c:pt>
                <c:pt idx="481">
                  <c:v>2.127505201954695E-2</c:v>
                </c:pt>
                <c:pt idx="482">
                  <c:v>2.1242488345162167E-2</c:v>
                </c:pt>
                <c:pt idx="483">
                  <c:v>2.1212247101612177E-2</c:v>
                </c:pt>
                <c:pt idx="484">
                  <c:v>2.1179293677420902E-2</c:v>
                </c:pt>
                <c:pt idx="485">
                  <c:v>2.1148883090749186E-2</c:v>
                </c:pt>
                <c:pt idx="486">
                  <c:v>2.1121236466272168E-2</c:v>
                </c:pt>
                <c:pt idx="487">
                  <c:v>2.1090393215484112E-2</c:v>
                </c:pt>
                <c:pt idx="488">
                  <c:v>2.1062603627306709E-2</c:v>
                </c:pt>
                <c:pt idx="489">
                  <c:v>2.1032437559946045E-2</c:v>
                </c:pt>
                <c:pt idx="490">
                  <c:v>2.10051486241534E-2</c:v>
                </c:pt>
                <c:pt idx="491">
                  <c:v>2.0975402289709937E-2</c:v>
                </c:pt>
                <c:pt idx="492">
                  <c:v>2.0947364266243235E-2</c:v>
                </c:pt>
                <c:pt idx="493">
                  <c:v>2.0919552431746088E-2</c:v>
                </c:pt>
                <c:pt idx="494">
                  <c:v>2.0892676962769922E-2</c:v>
                </c:pt>
                <c:pt idx="495">
                  <c:v>2.0865738945864177E-2</c:v>
                </c:pt>
                <c:pt idx="496">
                  <c:v>2.0839689510417023E-2</c:v>
                </c:pt>
                <c:pt idx="497">
                  <c:v>2.0813625346973876E-2</c:v>
                </c:pt>
                <c:pt idx="498">
                  <c:v>2.0791417411821875E-2</c:v>
                </c:pt>
                <c:pt idx="499">
                  <c:v>2.0766571040139625E-2</c:v>
                </c:pt>
                <c:pt idx="500">
                  <c:v>2.0741780253612507E-2</c:v>
                </c:pt>
                <c:pt idx="501">
                  <c:v>2.071775960285192E-2</c:v>
                </c:pt>
                <c:pt idx="502">
                  <c:v>2.0693842871180229E-2</c:v>
                </c:pt>
                <c:pt idx="503">
                  <c:v>2.0671340547640114E-2</c:v>
                </c:pt>
                <c:pt idx="504">
                  <c:v>2.0647132622408599E-2</c:v>
                </c:pt>
                <c:pt idx="505">
                  <c:v>2.062570160302047E-2</c:v>
                </c:pt>
                <c:pt idx="506">
                  <c:v>2.0602572529352298E-2</c:v>
                </c:pt>
                <c:pt idx="507">
                  <c:v>2.0581950674336595E-2</c:v>
                </c:pt>
                <c:pt idx="508">
                  <c:v>2.0559711652281935E-2</c:v>
                </c:pt>
                <c:pt idx="509">
                  <c:v>2.053898158225852E-2</c:v>
                </c:pt>
                <c:pt idx="510">
                  <c:v>2.0522188110772999E-2</c:v>
                </c:pt>
                <c:pt idx="511">
                  <c:v>2.050107545482769E-2</c:v>
                </c:pt>
                <c:pt idx="512">
                  <c:v>2.0482716529473123E-2</c:v>
                </c:pt>
                <c:pt idx="513">
                  <c:v>2.0462379058691322E-2</c:v>
                </c:pt>
                <c:pt idx="514">
                  <c:v>2.0444840514518271E-2</c:v>
                </c:pt>
                <c:pt idx="515">
                  <c:v>2.0425678766267108E-2</c:v>
                </c:pt>
                <c:pt idx="516">
                  <c:v>2.0407195001688635E-2</c:v>
                </c:pt>
                <c:pt idx="517">
                  <c:v>2.0389774537789531E-2</c:v>
                </c:pt>
                <c:pt idx="518">
                  <c:v>2.0372709261812959E-2</c:v>
                </c:pt>
                <c:pt idx="519">
                  <c:v>2.035616314328453E-2</c:v>
                </c:pt>
                <c:pt idx="520">
                  <c:v>2.0339922054608699E-2</c:v>
                </c:pt>
                <c:pt idx="521">
                  <c:v>2.0325731478493345E-2</c:v>
                </c:pt>
                <c:pt idx="522">
                  <c:v>2.0310468389630101E-2</c:v>
                </c:pt>
                <c:pt idx="523">
                  <c:v>2.0296465723213648E-2</c:v>
                </c:pt>
                <c:pt idx="524">
                  <c:v>2.0281501472750093E-2</c:v>
                </c:pt>
                <c:pt idx="525">
                  <c:v>2.0268430425466819E-2</c:v>
                </c:pt>
                <c:pt idx="526">
                  <c:v>2.0254113261054967E-2</c:v>
                </c:pt>
                <c:pt idx="527">
                  <c:v>2.0240354858762463E-2</c:v>
                </c:pt>
                <c:pt idx="528">
                  <c:v>2.0227701670408028E-2</c:v>
                </c:pt>
                <c:pt idx="529">
                  <c:v>2.0215127806908827E-2</c:v>
                </c:pt>
                <c:pt idx="530">
                  <c:v>2.0203349335873113E-2</c:v>
                </c:pt>
                <c:pt idx="531">
                  <c:v>2.0191598983268191E-2</c:v>
                </c:pt>
                <c:pt idx="532">
                  <c:v>2.0180298182444278E-2</c:v>
                </c:pt>
                <c:pt idx="533">
                  <c:v>2.0171240943693439E-2</c:v>
                </c:pt>
                <c:pt idx="534">
                  <c:v>2.0161516979954698E-2</c:v>
                </c:pt>
                <c:pt idx="535">
                  <c:v>2.0151385963690278E-2</c:v>
                </c:pt>
                <c:pt idx="536">
                  <c:v>2.0141654082501462E-2</c:v>
                </c:pt>
                <c:pt idx="537">
                  <c:v>2.0132895517630776E-2</c:v>
                </c:pt>
                <c:pt idx="538">
                  <c:v>2.0125288252490919E-2</c:v>
                </c:pt>
                <c:pt idx="539">
                  <c:v>2.0115223307699184E-2</c:v>
                </c:pt>
                <c:pt idx="540">
                  <c:v>2.0107811853996998E-2</c:v>
                </c:pt>
                <c:pt idx="541">
                  <c:v>2.0100103957099109E-2</c:v>
                </c:pt>
                <c:pt idx="542">
                  <c:v>2.0093501048409408E-2</c:v>
                </c:pt>
                <c:pt idx="543">
                  <c:v>2.008668254148813E-2</c:v>
                </c:pt>
                <c:pt idx="544">
                  <c:v>2.0080230222961432E-2</c:v>
                </c:pt>
                <c:pt idx="545">
                  <c:v>2.0077562966076903E-2</c:v>
                </c:pt>
                <c:pt idx="546">
                  <c:v>2.0070777405860062E-2</c:v>
                </c:pt>
                <c:pt idx="547">
                  <c:v>2.0066647183457971E-2</c:v>
                </c:pt>
                <c:pt idx="548">
                  <c:v>2.0061519324268213E-2</c:v>
                </c:pt>
                <c:pt idx="549">
                  <c:v>2.0058210650284604E-2</c:v>
                </c:pt>
                <c:pt idx="550">
                  <c:v>2.005446918047368E-2</c:v>
                </c:pt>
                <c:pt idx="551">
                  <c:v>2.0049829933347162E-2</c:v>
                </c:pt>
                <c:pt idx="552">
                  <c:v>2.0047573930246806E-2</c:v>
                </c:pt>
                <c:pt idx="553">
                  <c:v>2.004477677457751E-2</c:v>
                </c:pt>
                <c:pt idx="554">
                  <c:v>2.0043343717096488E-2</c:v>
                </c:pt>
                <c:pt idx="555">
                  <c:v>2.0041381743486776E-2</c:v>
                </c:pt>
                <c:pt idx="556">
                  <c:v>2.0040916539439825E-2</c:v>
                </c:pt>
                <c:pt idx="557">
                  <c:v>2.0041457346929137E-2</c:v>
                </c:pt>
                <c:pt idx="558">
                  <c:v>2.0042383734707635E-2</c:v>
                </c:pt>
                <c:pt idx="559">
                  <c:v>2.0041470119478676E-2</c:v>
                </c:pt>
                <c:pt idx="560">
                  <c:v>2.0041517347760777E-2</c:v>
                </c:pt>
                <c:pt idx="561">
                  <c:v>2.0043167592840114E-2</c:v>
                </c:pt>
                <c:pt idx="562">
                  <c:v>2.0042858298982991E-2</c:v>
                </c:pt>
                <c:pt idx="563">
                  <c:v>2.0045370387323291E-2</c:v>
                </c:pt>
                <c:pt idx="564">
                  <c:v>2.0047048137335939E-2</c:v>
                </c:pt>
                <c:pt idx="565">
                  <c:v>2.0050436306026723E-2</c:v>
                </c:pt>
                <c:pt idx="566">
                  <c:v>2.0052935682718872E-2</c:v>
                </c:pt>
                <c:pt idx="567">
                  <c:v>2.0057200033107115E-2</c:v>
                </c:pt>
                <c:pt idx="568">
                  <c:v>2.0062011356633814E-2</c:v>
                </c:pt>
                <c:pt idx="569">
                  <c:v>2.0065710773228367E-2</c:v>
                </c:pt>
                <c:pt idx="570">
                  <c:v>2.0071255480401142E-2</c:v>
                </c:pt>
                <c:pt idx="571">
                  <c:v>2.0075776405988444E-2</c:v>
                </c:pt>
                <c:pt idx="572">
                  <c:v>2.0082197651684983E-2</c:v>
                </c:pt>
                <c:pt idx="573">
                  <c:v>2.0089536259421219E-2</c:v>
                </c:pt>
                <c:pt idx="574">
                  <c:v>2.0093493161822639E-2</c:v>
                </c:pt>
                <c:pt idx="575">
                  <c:v>2.0100774661351878E-2</c:v>
                </c:pt>
                <c:pt idx="576">
                  <c:v>2.0107802972642006E-2</c:v>
                </c:pt>
                <c:pt idx="577">
                  <c:v>2.011590733398904E-2</c:v>
                </c:pt>
                <c:pt idx="578">
                  <c:v>2.0123810738077844E-2</c:v>
                </c:pt>
                <c:pt idx="579">
                  <c:v>2.0132310897939536E-2</c:v>
                </c:pt>
                <c:pt idx="580">
                  <c:v>2.0142779009055683E-2</c:v>
                </c:pt>
                <c:pt idx="581">
                  <c:v>2.0150624630796903E-2</c:v>
                </c:pt>
                <c:pt idx="582">
                  <c:v>2.0160615092889845E-2</c:v>
                </c:pt>
                <c:pt idx="583">
                  <c:v>2.0170325118129735E-2</c:v>
                </c:pt>
              </c:numCache>
            </c:numRef>
          </c:val>
          <c:smooth val="0"/>
        </c:ser>
        <c:ser>
          <c:idx val="1"/>
          <c:order val="1"/>
          <c:tx>
            <c:v>OIS 6m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'basis 6M '!$L$2:$L$585</c:f>
              <c:numCache>
                <c:formatCode>ddd\,\ dd\-mmm\-yyyy</c:formatCode>
                <c:ptCount val="584"/>
                <c:pt idx="0">
                  <c:v>41887</c:v>
                </c:pt>
                <c:pt idx="1">
                  <c:v>41918</c:v>
                </c:pt>
                <c:pt idx="2">
                  <c:v>41949</c:v>
                </c:pt>
                <c:pt idx="3">
                  <c:v>41981</c:v>
                </c:pt>
                <c:pt idx="4">
                  <c:v>42012</c:v>
                </c:pt>
                <c:pt idx="5">
                  <c:v>42044</c:v>
                </c:pt>
                <c:pt idx="6">
                  <c:v>42072</c:v>
                </c:pt>
                <c:pt idx="7">
                  <c:v>42103</c:v>
                </c:pt>
                <c:pt idx="8">
                  <c:v>42135</c:v>
                </c:pt>
                <c:pt idx="9">
                  <c:v>42166</c:v>
                </c:pt>
                <c:pt idx="10">
                  <c:v>42198</c:v>
                </c:pt>
                <c:pt idx="11">
                  <c:v>42229</c:v>
                </c:pt>
                <c:pt idx="12">
                  <c:v>42261</c:v>
                </c:pt>
                <c:pt idx="13">
                  <c:v>42291</c:v>
                </c:pt>
                <c:pt idx="14">
                  <c:v>42324</c:v>
                </c:pt>
                <c:pt idx="15">
                  <c:v>42354</c:v>
                </c:pt>
                <c:pt idx="16">
                  <c:v>42387</c:v>
                </c:pt>
                <c:pt idx="17">
                  <c:v>42418</c:v>
                </c:pt>
                <c:pt idx="18">
                  <c:v>42447</c:v>
                </c:pt>
                <c:pt idx="19">
                  <c:v>42478</c:v>
                </c:pt>
                <c:pt idx="20">
                  <c:v>42508</c:v>
                </c:pt>
                <c:pt idx="21">
                  <c:v>42541</c:v>
                </c:pt>
                <c:pt idx="22">
                  <c:v>42571</c:v>
                </c:pt>
                <c:pt idx="23">
                  <c:v>42604</c:v>
                </c:pt>
                <c:pt idx="24">
                  <c:v>42635</c:v>
                </c:pt>
                <c:pt idx="25">
                  <c:v>42667</c:v>
                </c:pt>
                <c:pt idx="26">
                  <c:v>42698</c:v>
                </c:pt>
                <c:pt idx="27">
                  <c:v>42731</c:v>
                </c:pt>
                <c:pt idx="28">
                  <c:v>42762</c:v>
                </c:pt>
                <c:pt idx="29">
                  <c:v>42793</c:v>
                </c:pt>
                <c:pt idx="30">
                  <c:v>42821</c:v>
                </c:pt>
                <c:pt idx="31">
                  <c:v>42852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43010</c:v>
                </c:pt>
                <c:pt idx="37">
                  <c:v>43041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44725</c:v>
                </c:pt>
                <c:pt idx="92">
                  <c:v>44755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45509</c:v>
                </c:pt>
                <c:pt idx="117">
                  <c:v>45540</c:v>
                </c:pt>
                <c:pt idx="118">
                  <c:v>45572</c:v>
                </c:pt>
                <c:pt idx="119">
                  <c:v>45603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46384</c:v>
                </c:pt>
                <c:pt idx="145">
                  <c:v>46415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46916</c:v>
                </c:pt>
                <c:pt idx="162">
                  <c:v>46946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47511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48008</c:v>
                </c:pt>
                <c:pt idx="197">
                  <c:v>48038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48694</c:v>
                </c:pt>
                <c:pt idx="219">
                  <c:v>48724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49219</c:v>
                </c:pt>
                <c:pt idx="236">
                  <c:v>49250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50934</c:v>
                </c:pt>
                <c:pt idx="291">
                  <c:v>50964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51529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52026</c:v>
                </c:pt>
                <c:pt idx="326">
                  <c:v>52056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52712</c:v>
                </c:pt>
                <c:pt idx="348">
                  <c:v>52742</c:v>
                </c:pt>
                <c:pt idx="349">
                  <c:v>52775</c:v>
                </c:pt>
                <c:pt idx="350">
                  <c:v>52805</c:v>
                </c:pt>
                <c:pt idx="351">
                  <c:v>52838</c:v>
                </c:pt>
                <c:pt idx="352">
                  <c:v>52869</c:v>
                </c:pt>
                <c:pt idx="353">
                  <c:v>52901</c:v>
                </c:pt>
                <c:pt idx="354">
                  <c:v>52931</c:v>
                </c:pt>
                <c:pt idx="355">
                  <c:v>52961</c:v>
                </c:pt>
                <c:pt idx="356">
                  <c:v>52992</c:v>
                </c:pt>
                <c:pt idx="357">
                  <c:v>53021</c:v>
                </c:pt>
                <c:pt idx="358">
                  <c:v>53049</c:v>
                </c:pt>
                <c:pt idx="359">
                  <c:v>53080</c:v>
                </c:pt>
                <c:pt idx="360">
                  <c:v>53111</c:v>
                </c:pt>
                <c:pt idx="361">
                  <c:v>53142</c:v>
                </c:pt>
                <c:pt idx="362">
                  <c:v>53174</c:v>
                </c:pt>
                <c:pt idx="363">
                  <c:v>53205</c:v>
                </c:pt>
                <c:pt idx="364">
                  <c:v>53237</c:v>
                </c:pt>
                <c:pt idx="365">
                  <c:v>53268</c:v>
                </c:pt>
                <c:pt idx="366">
                  <c:v>53300</c:v>
                </c:pt>
                <c:pt idx="367">
                  <c:v>53331</c:v>
                </c:pt>
                <c:pt idx="368">
                  <c:v>53363</c:v>
                </c:pt>
                <c:pt idx="369">
                  <c:v>53391</c:v>
                </c:pt>
                <c:pt idx="370">
                  <c:v>53422</c:v>
                </c:pt>
                <c:pt idx="371">
                  <c:v>53454</c:v>
                </c:pt>
                <c:pt idx="372">
                  <c:v>53485</c:v>
                </c:pt>
                <c:pt idx="373">
                  <c:v>53517</c:v>
                </c:pt>
                <c:pt idx="374">
                  <c:v>53548</c:v>
                </c:pt>
                <c:pt idx="375">
                  <c:v>53580</c:v>
                </c:pt>
                <c:pt idx="376">
                  <c:v>53610</c:v>
                </c:pt>
                <c:pt idx="377">
                  <c:v>53643</c:v>
                </c:pt>
                <c:pt idx="378">
                  <c:v>53673</c:v>
                </c:pt>
                <c:pt idx="379">
                  <c:v>53706</c:v>
                </c:pt>
                <c:pt idx="380">
                  <c:v>53737</c:v>
                </c:pt>
                <c:pt idx="381">
                  <c:v>53765</c:v>
                </c:pt>
                <c:pt idx="382">
                  <c:v>53798</c:v>
                </c:pt>
                <c:pt idx="383">
                  <c:v>53828</c:v>
                </c:pt>
                <c:pt idx="384">
                  <c:v>53860</c:v>
                </c:pt>
                <c:pt idx="385">
                  <c:v>53890</c:v>
                </c:pt>
                <c:pt idx="386">
                  <c:v>53923</c:v>
                </c:pt>
                <c:pt idx="387">
                  <c:v>53954</c:v>
                </c:pt>
                <c:pt idx="388">
                  <c:v>53986</c:v>
                </c:pt>
                <c:pt idx="389">
                  <c:v>54017</c:v>
                </c:pt>
                <c:pt idx="390">
                  <c:v>54049</c:v>
                </c:pt>
                <c:pt idx="391">
                  <c:v>54080</c:v>
                </c:pt>
                <c:pt idx="392">
                  <c:v>54112</c:v>
                </c:pt>
                <c:pt idx="393">
                  <c:v>54141</c:v>
                </c:pt>
                <c:pt idx="394">
                  <c:v>54172</c:v>
                </c:pt>
                <c:pt idx="395">
                  <c:v>54203</c:v>
                </c:pt>
                <c:pt idx="396">
                  <c:v>54234</c:v>
                </c:pt>
                <c:pt idx="397">
                  <c:v>54266</c:v>
                </c:pt>
                <c:pt idx="398">
                  <c:v>54297</c:v>
                </c:pt>
                <c:pt idx="399">
                  <c:v>54329</c:v>
                </c:pt>
                <c:pt idx="400">
                  <c:v>54359</c:v>
                </c:pt>
                <c:pt idx="401">
                  <c:v>54392</c:v>
                </c:pt>
                <c:pt idx="402">
                  <c:v>54422</c:v>
                </c:pt>
                <c:pt idx="403">
                  <c:v>54455</c:v>
                </c:pt>
                <c:pt idx="404">
                  <c:v>54483</c:v>
                </c:pt>
                <c:pt idx="405">
                  <c:v>54514</c:v>
                </c:pt>
                <c:pt idx="406">
                  <c:v>54546</c:v>
                </c:pt>
                <c:pt idx="407">
                  <c:v>54577</c:v>
                </c:pt>
                <c:pt idx="408">
                  <c:v>54609</c:v>
                </c:pt>
                <c:pt idx="409">
                  <c:v>54640</c:v>
                </c:pt>
                <c:pt idx="410">
                  <c:v>54672</c:v>
                </c:pt>
                <c:pt idx="411">
                  <c:v>54702</c:v>
                </c:pt>
                <c:pt idx="412">
                  <c:v>54735</c:v>
                </c:pt>
                <c:pt idx="413">
                  <c:v>54765</c:v>
                </c:pt>
                <c:pt idx="414">
                  <c:v>54798</c:v>
                </c:pt>
                <c:pt idx="415">
                  <c:v>54829</c:v>
                </c:pt>
                <c:pt idx="416">
                  <c:v>54857</c:v>
                </c:pt>
                <c:pt idx="417">
                  <c:v>54890</c:v>
                </c:pt>
                <c:pt idx="418">
                  <c:v>54920</c:v>
                </c:pt>
                <c:pt idx="419">
                  <c:v>54952</c:v>
                </c:pt>
                <c:pt idx="420">
                  <c:v>54982</c:v>
                </c:pt>
                <c:pt idx="421">
                  <c:v>55015</c:v>
                </c:pt>
                <c:pt idx="422">
                  <c:v>55046</c:v>
                </c:pt>
                <c:pt idx="423">
                  <c:v>55078</c:v>
                </c:pt>
                <c:pt idx="424">
                  <c:v>55109</c:v>
                </c:pt>
                <c:pt idx="425">
                  <c:v>55141</c:v>
                </c:pt>
                <c:pt idx="426">
                  <c:v>55172</c:v>
                </c:pt>
                <c:pt idx="427">
                  <c:v>55204</c:v>
                </c:pt>
                <c:pt idx="428">
                  <c:v>55232</c:v>
                </c:pt>
                <c:pt idx="429">
                  <c:v>55263</c:v>
                </c:pt>
                <c:pt idx="430">
                  <c:v>55295</c:v>
                </c:pt>
                <c:pt idx="431">
                  <c:v>55326</c:v>
                </c:pt>
                <c:pt idx="432">
                  <c:v>55358</c:v>
                </c:pt>
                <c:pt idx="433">
                  <c:v>55389</c:v>
                </c:pt>
                <c:pt idx="434">
                  <c:v>55421</c:v>
                </c:pt>
                <c:pt idx="435">
                  <c:v>55451</c:v>
                </c:pt>
                <c:pt idx="436">
                  <c:v>55484</c:v>
                </c:pt>
                <c:pt idx="437">
                  <c:v>55514</c:v>
                </c:pt>
                <c:pt idx="438">
                  <c:v>55547</c:v>
                </c:pt>
                <c:pt idx="439">
                  <c:v>55578</c:v>
                </c:pt>
                <c:pt idx="440">
                  <c:v>55607</c:v>
                </c:pt>
                <c:pt idx="441">
                  <c:v>55638</c:v>
                </c:pt>
                <c:pt idx="442">
                  <c:v>55668</c:v>
                </c:pt>
                <c:pt idx="443">
                  <c:v>55701</c:v>
                </c:pt>
                <c:pt idx="444">
                  <c:v>55732</c:v>
                </c:pt>
                <c:pt idx="445">
                  <c:v>55764</c:v>
                </c:pt>
                <c:pt idx="446">
                  <c:v>55794</c:v>
                </c:pt>
                <c:pt idx="447">
                  <c:v>55827</c:v>
                </c:pt>
                <c:pt idx="448">
                  <c:v>55857</c:v>
                </c:pt>
                <c:pt idx="449">
                  <c:v>55890</c:v>
                </c:pt>
                <c:pt idx="450">
                  <c:v>55921</c:v>
                </c:pt>
                <c:pt idx="451">
                  <c:v>55949</c:v>
                </c:pt>
                <c:pt idx="452">
                  <c:v>55982</c:v>
                </c:pt>
                <c:pt idx="453">
                  <c:v>56012</c:v>
                </c:pt>
                <c:pt idx="454">
                  <c:v>56044</c:v>
                </c:pt>
                <c:pt idx="455">
                  <c:v>56074</c:v>
                </c:pt>
                <c:pt idx="456">
                  <c:v>56107</c:v>
                </c:pt>
                <c:pt idx="457">
                  <c:v>56138</c:v>
                </c:pt>
                <c:pt idx="458">
                  <c:v>56170</c:v>
                </c:pt>
                <c:pt idx="459">
                  <c:v>56201</c:v>
                </c:pt>
                <c:pt idx="460">
                  <c:v>56233</c:v>
                </c:pt>
                <c:pt idx="461">
                  <c:v>56264</c:v>
                </c:pt>
                <c:pt idx="462">
                  <c:v>56296</c:v>
                </c:pt>
                <c:pt idx="463">
                  <c:v>56324</c:v>
                </c:pt>
                <c:pt idx="464">
                  <c:v>56355</c:v>
                </c:pt>
                <c:pt idx="465">
                  <c:v>56387</c:v>
                </c:pt>
                <c:pt idx="466">
                  <c:v>56418</c:v>
                </c:pt>
                <c:pt idx="467">
                  <c:v>56450</c:v>
                </c:pt>
                <c:pt idx="468">
                  <c:v>56481</c:v>
                </c:pt>
                <c:pt idx="469">
                  <c:v>56513</c:v>
                </c:pt>
                <c:pt idx="470">
                  <c:v>56543</c:v>
                </c:pt>
                <c:pt idx="471">
                  <c:v>56576</c:v>
                </c:pt>
                <c:pt idx="472">
                  <c:v>56606</c:v>
                </c:pt>
                <c:pt idx="473">
                  <c:v>56639</c:v>
                </c:pt>
                <c:pt idx="474">
                  <c:v>56670</c:v>
                </c:pt>
                <c:pt idx="475">
                  <c:v>56698</c:v>
                </c:pt>
                <c:pt idx="476">
                  <c:v>56730</c:v>
                </c:pt>
                <c:pt idx="477">
                  <c:v>56760</c:v>
                </c:pt>
                <c:pt idx="478">
                  <c:v>56793</c:v>
                </c:pt>
                <c:pt idx="479">
                  <c:v>56823</c:v>
                </c:pt>
                <c:pt idx="480">
                  <c:v>56856</c:v>
                </c:pt>
                <c:pt idx="481">
                  <c:v>56887</c:v>
                </c:pt>
                <c:pt idx="482">
                  <c:v>56919</c:v>
                </c:pt>
                <c:pt idx="483">
                  <c:v>56949</c:v>
                </c:pt>
                <c:pt idx="484">
                  <c:v>56982</c:v>
                </c:pt>
                <c:pt idx="485">
                  <c:v>57013</c:v>
                </c:pt>
                <c:pt idx="486">
                  <c:v>57042</c:v>
                </c:pt>
                <c:pt idx="487">
                  <c:v>57074</c:v>
                </c:pt>
                <c:pt idx="488">
                  <c:v>57104</c:v>
                </c:pt>
                <c:pt idx="489">
                  <c:v>57136</c:v>
                </c:pt>
                <c:pt idx="490">
                  <c:v>57166</c:v>
                </c:pt>
                <c:pt idx="491">
                  <c:v>57199</c:v>
                </c:pt>
                <c:pt idx="492">
                  <c:v>57230</c:v>
                </c:pt>
                <c:pt idx="493">
                  <c:v>57262</c:v>
                </c:pt>
                <c:pt idx="494">
                  <c:v>57293</c:v>
                </c:pt>
                <c:pt idx="495">
                  <c:v>57325</c:v>
                </c:pt>
                <c:pt idx="496">
                  <c:v>57356</c:v>
                </c:pt>
                <c:pt idx="497">
                  <c:v>57388</c:v>
                </c:pt>
                <c:pt idx="498">
                  <c:v>57416</c:v>
                </c:pt>
                <c:pt idx="499">
                  <c:v>57447</c:v>
                </c:pt>
                <c:pt idx="500">
                  <c:v>57479</c:v>
                </c:pt>
                <c:pt idx="501">
                  <c:v>57510</c:v>
                </c:pt>
                <c:pt idx="502">
                  <c:v>57542</c:v>
                </c:pt>
                <c:pt idx="503">
                  <c:v>57573</c:v>
                </c:pt>
                <c:pt idx="504">
                  <c:v>57605</c:v>
                </c:pt>
                <c:pt idx="505">
                  <c:v>57635</c:v>
                </c:pt>
                <c:pt idx="506">
                  <c:v>57668</c:v>
                </c:pt>
                <c:pt idx="507">
                  <c:v>57698</c:v>
                </c:pt>
                <c:pt idx="508">
                  <c:v>57731</c:v>
                </c:pt>
                <c:pt idx="509">
                  <c:v>57762</c:v>
                </c:pt>
                <c:pt idx="510">
                  <c:v>57790</c:v>
                </c:pt>
                <c:pt idx="511">
                  <c:v>57822</c:v>
                </c:pt>
                <c:pt idx="512">
                  <c:v>57852</c:v>
                </c:pt>
                <c:pt idx="513">
                  <c:v>57885</c:v>
                </c:pt>
                <c:pt idx="514">
                  <c:v>57915</c:v>
                </c:pt>
                <c:pt idx="515">
                  <c:v>57948</c:v>
                </c:pt>
                <c:pt idx="516">
                  <c:v>57979</c:v>
                </c:pt>
                <c:pt idx="517">
                  <c:v>58011</c:v>
                </c:pt>
                <c:pt idx="518">
                  <c:v>58042</c:v>
                </c:pt>
                <c:pt idx="519">
                  <c:v>58074</c:v>
                </c:pt>
                <c:pt idx="520">
                  <c:v>58105</c:v>
                </c:pt>
                <c:pt idx="521">
                  <c:v>58134</c:v>
                </c:pt>
                <c:pt idx="522">
                  <c:v>58166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58322</c:v>
                </c:pt>
                <c:pt idx="528">
                  <c:v>58354</c:v>
                </c:pt>
                <c:pt idx="529">
                  <c:v>58385</c:v>
                </c:pt>
                <c:pt idx="530">
                  <c:v>58417</c:v>
                </c:pt>
                <c:pt idx="531">
                  <c:v>58448</c:v>
                </c:pt>
                <c:pt idx="532">
                  <c:v>58480</c:v>
                </c:pt>
                <c:pt idx="533">
                  <c:v>58509</c:v>
                </c:pt>
                <c:pt idx="534">
                  <c:v>58540</c:v>
                </c:pt>
                <c:pt idx="535">
                  <c:v>58571</c:v>
                </c:pt>
                <c:pt idx="536">
                  <c:v>58602</c:v>
                </c:pt>
                <c:pt idx="537">
                  <c:v>58634</c:v>
                </c:pt>
                <c:pt idx="538">
                  <c:v>58665</c:v>
                </c:pt>
                <c:pt idx="539">
                  <c:v>58697</c:v>
                </c:pt>
                <c:pt idx="540">
                  <c:v>58727</c:v>
                </c:pt>
                <c:pt idx="541">
                  <c:v>58760</c:v>
                </c:pt>
                <c:pt idx="542">
                  <c:v>58790</c:v>
                </c:pt>
                <c:pt idx="543">
                  <c:v>58823</c:v>
                </c:pt>
                <c:pt idx="544">
                  <c:v>58854</c:v>
                </c:pt>
                <c:pt idx="545">
                  <c:v>58882</c:v>
                </c:pt>
                <c:pt idx="546">
                  <c:v>58914</c:v>
                </c:pt>
                <c:pt idx="547">
                  <c:v>58944</c:v>
                </c:pt>
                <c:pt idx="548">
                  <c:v>58977</c:v>
                </c:pt>
                <c:pt idx="549">
                  <c:v>59007</c:v>
                </c:pt>
                <c:pt idx="550">
                  <c:v>59040</c:v>
                </c:pt>
                <c:pt idx="551">
                  <c:v>59071</c:v>
                </c:pt>
                <c:pt idx="552">
                  <c:v>59103</c:v>
                </c:pt>
                <c:pt idx="553">
                  <c:v>59134</c:v>
                </c:pt>
                <c:pt idx="554">
                  <c:v>59167</c:v>
                </c:pt>
                <c:pt idx="555">
                  <c:v>59198</c:v>
                </c:pt>
                <c:pt idx="556">
                  <c:v>59229</c:v>
                </c:pt>
                <c:pt idx="557">
                  <c:v>59258</c:v>
                </c:pt>
                <c:pt idx="558">
                  <c:v>59289</c:v>
                </c:pt>
                <c:pt idx="559">
                  <c:v>59320</c:v>
                </c:pt>
                <c:pt idx="560">
                  <c:v>59351</c:v>
                </c:pt>
                <c:pt idx="561">
                  <c:v>59383</c:v>
                </c:pt>
                <c:pt idx="562">
                  <c:v>59414</c:v>
                </c:pt>
                <c:pt idx="563">
                  <c:v>59446</c:v>
                </c:pt>
                <c:pt idx="564">
                  <c:v>59477</c:v>
                </c:pt>
                <c:pt idx="565">
                  <c:v>59509</c:v>
                </c:pt>
                <c:pt idx="566">
                  <c:v>59540</c:v>
                </c:pt>
                <c:pt idx="567">
                  <c:v>59572</c:v>
                </c:pt>
                <c:pt idx="568">
                  <c:v>59600</c:v>
                </c:pt>
                <c:pt idx="569">
                  <c:v>59631</c:v>
                </c:pt>
                <c:pt idx="570">
                  <c:v>59663</c:v>
                </c:pt>
                <c:pt idx="571">
                  <c:v>59694</c:v>
                </c:pt>
                <c:pt idx="572">
                  <c:v>59726</c:v>
                </c:pt>
                <c:pt idx="573">
                  <c:v>59757</c:v>
                </c:pt>
                <c:pt idx="574">
                  <c:v>59789</c:v>
                </c:pt>
                <c:pt idx="575">
                  <c:v>59819</c:v>
                </c:pt>
                <c:pt idx="576">
                  <c:v>59852</c:v>
                </c:pt>
                <c:pt idx="577">
                  <c:v>59882</c:v>
                </c:pt>
                <c:pt idx="578">
                  <c:v>59915</c:v>
                </c:pt>
                <c:pt idx="579">
                  <c:v>59946</c:v>
                </c:pt>
                <c:pt idx="580" formatCode="General">
                  <c:v>59975</c:v>
                </c:pt>
                <c:pt idx="581" formatCode="General">
                  <c:v>60006</c:v>
                </c:pt>
                <c:pt idx="582" formatCode="General">
                  <c:v>60036</c:v>
                </c:pt>
                <c:pt idx="583" formatCode="General">
                  <c:v>60069</c:v>
                </c:pt>
              </c:numCache>
            </c:numRef>
          </c:cat>
          <c:val>
            <c:numRef>
              <c:f>'basis 6M '!$P$2:$P$585</c:f>
              <c:numCache>
                <c:formatCode>0.0000%</c:formatCode>
                <c:ptCount val="584"/>
                <c:pt idx="0">
                  <c:v>-5.186812264306002E-5</c:v>
                </c:pt>
                <c:pt idx="1">
                  <c:v>-9.2861829257901121E-5</c:v>
                </c:pt>
                <c:pt idx="2">
                  <c:v>-7.9564998595713944E-5</c:v>
                </c:pt>
                <c:pt idx="3">
                  <c:v>-5.648365595728638E-5</c:v>
                </c:pt>
                <c:pt idx="4">
                  <c:v>-8.8889093489807891E-5</c:v>
                </c:pt>
                <c:pt idx="5">
                  <c:v>-1.6215454104034118E-4</c:v>
                </c:pt>
                <c:pt idx="6">
                  <c:v>-2.5742367038831789E-4</c:v>
                </c:pt>
                <c:pt idx="7">
                  <c:v>-2.6005834193132036E-4</c:v>
                </c:pt>
                <c:pt idx="8">
                  <c:v>-2.5728998362709152E-4</c:v>
                </c:pt>
                <c:pt idx="9">
                  <c:v>-2.7930993094741393E-4</c:v>
                </c:pt>
                <c:pt idx="10">
                  <c:v>-2.9234710462368855E-4</c:v>
                </c:pt>
                <c:pt idx="11">
                  <c:v>-2.8831903779099564E-4</c:v>
                </c:pt>
                <c:pt idx="12">
                  <c:v>-2.4981002196723499E-4</c:v>
                </c:pt>
                <c:pt idx="13">
                  <c:v>-2.024260325474691E-4</c:v>
                </c:pt>
                <c:pt idx="14">
                  <c:v>-1.5185899594989972E-4</c:v>
                </c:pt>
                <c:pt idx="15">
                  <c:v>-1.1074619412158732E-4</c:v>
                </c:pt>
                <c:pt idx="16">
                  <c:v>-7.7990008181209376E-5</c:v>
                </c:pt>
                <c:pt idx="17">
                  <c:v>-4.7417326383136782E-5</c:v>
                </c:pt>
                <c:pt idx="18">
                  <c:v>1.2501311625039471E-5</c:v>
                </c:pt>
                <c:pt idx="19">
                  <c:v>1.0034773485914548E-4</c:v>
                </c:pt>
                <c:pt idx="20">
                  <c:v>1.9363050641569944E-4</c:v>
                </c:pt>
                <c:pt idx="21">
                  <c:v>3.8042162674175066E-4</c:v>
                </c:pt>
                <c:pt idx="22">
                  <c:v>6.3793956530116375E-4</c:v>
                </c:pt>
                <c:pt idx="23">
                  <c:v>9.2122886997737395E-4</c:v>
                </c:pt>
                <c:pt idx="24">
                  <c:v>1.0414169001041957E-3</c:v>
                </c:pt>
                <c:pt idx="25">
                  <c:v>1.0414184062921079E-3</c:v>
                </c:pt>
                <c:pt idx="26">
                  <c:v>1.0414184062921081E-3</c:v>
                </c:pt>
                <c:pt idx="27">
                  <c:v>1.0414153939199977E-3</c:v>
                </c:pt>
                <c:pt idx="28">
                  <c:v>1.0414153939208859E-3</c:v>
                </c:pt>
                <c:pt idx="29">
                  <c:v>1.0414169001050743E-3</c:v>
                </c:pt>
                <c:pt idx="30">
                  <c:v>1.0414184062921079E-3</c:v>
                </c:pt>
                <c:pt idx="31">
                  <c:v>1.0414169001050743E-3</c:v>
                </c:pt>
                <c:pt idx="32">
                  <c:v>1.0414184062921081E-3</c:v>
                </c:pt>
                <c:pt idx="33">
                  <c:v>1.553843982461631E-3</c:v>
                </c:pt>
                <c:pt idx="34">
                  <c:v>2.2371824414089427E-3</c:v>
                </c:pt>
                <c:pt idx="35">
                  <c:v>2.8980950470337539E-3</c:v>
                </c:pt>
                <c:pt idx="36">
                  <c:v>3.0060807912180502E-3</c:v>
                </c:pt>
                <c:pt idx="37">
                  <c:v>3.0060807912180511E-3</c:v>
                </c:pt>
                <c:pt idx="38">
                  <c:v>3.006068243741672E-3</c:v>
                </c:pt>
                <c:pt idx="39">
                  <c:v>3.0060556963338314E-3</c:v>
                </c:pt>
                <c:pt idx="40">
                  <c:v>3.0060682437416716E-3</c:v>
                </c:pt>
                <c:pt idx="41">
                  <c:v>3.0060807912180507E-3</c:v>
                </c:pt>
                <c:pt idx="42">
                  <c:v>3.006068243741672E-3</c:v>
                </c:pt>
                <c:pt idx="43">
                  <c:v>3.0060807912180507E-3</c:v>
                </c:pt>
                <c:pt idx="44">
                  <c:v>3.0620606712408378E-3</c:v>
                </c:pt>
                <c:pt idx="45">
                  <c:v>3.9578475908804171E-3</c:v>
                </c:pt>
                <c:pt idx="46">
                  <c:v>4.8258365700652919E-3</c:v>
                </c:pt>
                <c:pt idx="47">
                  <c:v>5.5819404307373352E-3</c:v>
                </c:pt>
                <c:pt idx="48">
                  <c:v>5.581983685703242E-3</c:v>
                </c:pt>
                <c:pt idx="49">
                  <c:v>5.5819836857041102E-3</c:v>
                </c:pt>
                <c:pt idx="50">
                  <c:v>5.5818971762180425E-3</c:v>
                </c:pt>
                <c:pt idx="51">
                  <c:v>5.5819404307373352E-3</c:v>
                </c:pt>
                <c:pt idx="52">
                  <c:v>5.5818539221460482E-3</c:v>
                </c:pt>
                <c:pt idx="53">
                  <c:v>5.581983685703242E-3</c:v>
                </c:pt>
                <c:pt idx="54">
                  <c:v>5.5819404307373361E-3</c:v>
                </c:pt>
                <c:pt idx="55">
                  <c:v>5.5819836857032411E-3</c:v>
                </c:pt>
                <c:pt idx="56">
                  <c:v>6.0248085764168669E-3</c:v>
                </c:pt>
                <c:pt idx="57">
                  <c:v>7.1320897471182712E-3</c:v>
                </c:pt>
                <c:pt idx="58">
                  <c:v>8.3504603774135489E-3</c:v>
                </c:pt>
                <c:pt idx="59">
                  <c:v>8.9781417552263609E-3</c:v>
                </c:pt>
                <c:pt idx="60">
                  <c:v>8.9782536257663487E-3</c:v>
                </c:pt>
                <c:pt idx="61">
                  <c:v>8.978253625766347E-3</c:v>
                </c:pt>
                <c:pt idx="62">
                  <c:v>8.9781417552263591E-3</c:v>
                </c:pt>
                <c:pt idx="63">
                  <c:v>8.9781417552263591E-3</c:v>
                </c:pt>
                <c:pt idx="64">
                  <c:v>8.9781417552263626E-3</c:v>
                </c:pt>
                <c:pt idx="65">
                  <c:v>8.9782536257663487E-3</c:v>
                </c:pt>
                <c:pt idx="66">
                  <c:v>8.9781417552263609E-3</c:v>
                </c:pt>
                <c:pt idx="67">
                  <c:v>8.9782536257672178E-3</c:v>
                </c:pt>
                <c:pt idx="68">
                  <c:v>9.6362300643975975E-3</c:v>
                </c:pt>
                <c:pt idx="69">
                  <c:v>1.0806238523099356E-2</c:v>
                </c:pt>
                <c:pt idx="70">
                  <c:v>1.1940017004270017E-2</c:v>
                </c:pt>
                <c:pt idx="71">
                  <c:v>1.2342192887649867E-2</c:v>
                </c:pt>
                <c:pt idx="72">
                  <c:v>1.2342404239447395E-2</c:v>
                </c:pt>
                <c:pt idx="73">
                  <c:v>1.2342192887648989E-2</c:v>
                </c:pt>
                <c:pt idx="74">
                  <c:v>1.234198154067645E-2</c:v>
                </c:pt>
                <c:pt idx="75">
                  <c:v>1.2342192887649867E-2</c:v>
                </c:pt>
                <c:pt idx="76">
                  <c:v>1.2342404239447395E-2</c:v>
                </c:pt>
                <c:pt idx="77">
                  <c:v>1.2342192887649867E-2</c:v>
                </c:pt>
                <c:pt idx="78">
                  <c:v>1.2342404239447394E-2</c:v>
                </c:pt>
                <c:pt idx="79">
                  <c:v>1.2342404239447394E-2</c:v>
                </c:pt>
                <c:pt idx="80">
                  <c:v>1.3354501298454547E-2</c:v>
                </c:pt>
                <c:pt idx="81">
                  <c:v>1.4436686724845483E-2</c:v>
                </c:pt>
                <c:pt idx="82">
                  <c:v>1.5553758652167285E-2</c:v>
                </c:pt>
                <c:pt idx="83">
                  <c:v>1.5554094216691107E-2</c:v>
                </c:pt>
                <c:pt idx="84">
                  <c:v>1.5554094216691109E-2</c:v>
                </c:pt>
                <c:pt idx="85">
                  <c:v>1.5553423097293795E-2</c:v>
                </c:pt>
                <c:pt idx="86">
                  <c:v>1.5553758652168166E-2</c:v>
                </c:pt>
                <c:pt idx="87">
                  <c:v>1.5553087552069E-2</c:v>
                </c:pt>
                <c:pt idx="88">
                  <c:v>1.5554094216691107E-2</c:v>
                </c:pt>
                <c:pt idx="89">
                  <c:v>1.5553758652167283E-2</c:v>
                </c:pt>
                <c:pt idx="90">
                  <c:v>1.5554094216691105E-2</c:v>
                </c:pt>
                <c:pt idx="91">
                  <c:v>1.5762127702061521E-2</c:v>
                </c:pt>
                <c:pt idx="92">
                  <c:v>1.6542351389346285E-2</c:v>
                </c:pt>
                <c:pt idx="93">
                  <c:v>1.7400776408083216E-2</c:v>
                </c:pt>
                <c:pt idx="94">
                  <c:v>1.7946697837354364E-2</c:v>
                </c:pt>
                <c:pt idx="95">
                  <c:v>1.7947144508676037E-2</c:v>
                </c:pt>
                <c:pt idx="96">
                  <c:v>1.7947144508676034E-2</c:v>
                </c:pt>
                <c:pt idx="97">
                  <c:v>1.7946697837354367E-2</c:v>
                </c:pt>
                <c:pt idx="98">
                  <c:v>1.7946251180848808E-2</c:v>
                </c:pt>
                <c:pt idx="99">
                  <c:v>1.7946697837354364E-2</c:v>
                </c:pt>
                <c:pt idx="100">
                  <c:v>1.7947144508676037E-2</c:v>
                </c:pt>
                <c:pt idx="101">
                  <c:v>1.7946697837354364E-2</c:v>
                </c:pt>
                <c:pt idx="102">
                  <c:v>1.7947144508676034E-2</c:v>
                </c:pt>
                <c:pt idx="103">
                  <c:v>1.8211965806056635E-2</c:v>
                </c:pt>
                <c:pt idx="104">
                  <c:v>1.8710501352425898E-2</c:v>
                </c:pt>
                <c:pt idx="105">
                  <c:v>1.919351795122554E-2</c:v>
                </c:pt>
                <c:pt idx="106">
                  <c:v>1.9381028871333604E-2</c:v>
                </c:pt>
                <c:pt idx="107">
                  <c:v>1.9380508048775853E-2</c:v>
                </c:pt>
                <c:pt idx="108">
                  <c:v>1.9380508048774982E-2</c:v>
                </c:pt>
                <c:pt idx="109">
                  <c:v>1.9379987244871038E-2</c:v>
                </c:pt>
                <c:pt idx="110">
                  <c:v>1.9379987244870153E-2</c:v>
                </c:pt>
                <c:pt idx="111">
                  <c:v>1.9379466459619188E-2</c:v>
                </c:pt>
                <c:pt idx="112">
                  <c:v>1.9379987244871034E-2</c:v>
                </c:pt>
                <c:pt idx="113">
                  <c:v>1.9380508048774985E-2</c:v>
                </c:pt>
                <c:pt idx="114">
                  <c:v>1.9380508048774989E-2</c:v>
                </c:pt>
                <c:pt idx="115">
                  <c:v>1.9823246014434498E-2</c:v>
                </c:pt>
                <c:pt idx="116">
                  <c:v>2.0345108324301097E-2</c:v>
                </c:pt>
                <c:pt idx="117">
                  <c:v>2.0834803837042351E-2</c:v>
                </c:pt>
                <c:pt idx="118">
                  <c:v>2.0835405694456983E-2</c:v>
                </c:pt>
                <c:pt idx="119">
                  <c:v>2.0835405694456979E-2</c:v>
                </c:pt>
                <c:pt idx="120">
                  <c:v>2.0834803837042358E-2</c:v>
                </c:pt>
                <c:pt idx="121">
                  <c:v>2.0834202002798282E-2</c:v>
                </c:pt>
                <c:pt idx="122">
                  <c:v>2.0834803837042355E-2</c:v>
                </c:pt>
                <c:pt idx="123">
                  <c:v>2.0835405694456983E-2</c:v>
                </c:pt>
                <c:pt idx="124">
                  <c:v>2.0834803837042355E-2</c:v>
                </c:pt>
                <c:pt idx="125">
                  <c:v>2.0835405694456983E-2</c:v>
                </c:pt>
                <c:pt idx="126">
                  <c:v>2.0905692980985397E-2</c:v>
                </c:pt>
                <c:pt idx="127">
                  <c:v>2.122702228384259E-2</c:v>
                </c:pt>
                <c:pt idx="128">
                  <c:v>2.1538335075004918E-2</c:v>
                </c:pt>
                <c:pt idx="129">
                  <c:v>2.1758625313981258E-2</c:v>
                </c:pt>
                <c:pt idx="130">
                  <c:v>2.1759281677410997E-2</c:v>
                </c:pt>
                <c:pt idx="131">
                  <c:v>2.1759281677411001E-2</c:v>
                </c:pt>
                <c:pt idx="132">
                  <c:v>2.1757968976937825E-2</c:v>
                </c:pt>
                <c:pt idx="133">
                  <c:v>2.1758625313981254E-2</c:v>
                </c:pt>
                <c:pt idx="134">
                  <c:v>2.1757312666279161E-2</c:v>
                </c:pt>
                <c:pt idx="135">
                  <c:v>2.1759281677411001E-2</c:v>
                </c:pt>
                <c:pt idx="136">
                  <c:v>2.1758625313981254E-2</c:v>
                </c:pt>
                <c:pt idx="137">
                  <c:v>2.1759281677410997E-2</c:v>
                </c:pt>
                <c:pt idx="138">
                  <c:v>2.1935800624084498E-2</c:v>
                </c:pt>
                <c:pt idx="139">
                  <c:v>2.2288862274205439E-2</c:v>
                </c:pt>
                <c:pt idx="140">
                  <c:v>2.2677266677611232E-2</c:v>
                </c:pt>
                <c:pt idx="141">
                  <c:v>2.2841332639536079E-2</c:v>
                </c:pt>
                <c:pt idx="142">
                  <c:v>2.2842055884314975E-2</c:v>
                </c:pt>
                <c:pt idx="143">
                  <c:v>2.2842055884314975E-2</c:v>
                </c:pt>
                <c:pt idx="144">
                  <c:v>2.2842055884314972E-2</c:v>
                </c:pt>
                <c:pt idx="145">
                  <c:v>2.2840609425276878E-2</c:v>
                </c:pt>
                <c:pt idx="146">
                  <c:v>2.2842055884314972E-2</c:v>
                </c:pt>
                <c:pt idx="147">
                  <c:v>2.2841332639536076E-2</c:v>
                </c:pt>
                <c:pt idx="148">
                  <c:v>2.2842055884315843E-2</c:v>
                </c:pt>
                <c:pt idx="149">
                  <c:v>2.2842055884315843E-2</c:v>
                </c:pt>
                <c:pt idx="150">
                  <c:v>2.2842055884314972E-2</c:v>
                </c:pt>
                <c:pt idx="151">
                  <c:v>2.2842055884314975E-2</c:v>
                </c:pt>
                <c:pt idx="152">
                  <c:v>2.2841332639536079E-2</c:v>
                </c:pt>
                <c:pt idx="153">
                  <c:v>2.2842055884315843E-2</c:v>
                </c:pt>
                <c:pt idx="154">
                  <c:v>2.2842055884314972E-2</c:v>
                </c:pt>
                <c:pt idx="155">
                  <c:v>2.2841332639536083E-2</c:v>
                </c:pt>
                <c:pt idx="156">
                  <c:v>2.2841332639536076E-2</c:v>
                </c:pt>
                <c:pt idx="157">
                  <c:v>2.2840609425275105E-2</c:v>
                </c:pt>
                <c:pt idx="158">
                  <c:v>2.2843502465433894E-2</c:v>
                </c:pt>
                <c:pt idx="159">
                  <c:v>2.2841332639536076E-2</c:v>
                </c:pt>
                <c:pt idx="160">
                  <c:v>2.2842055884315843E-2</c:v>
                </c:pt>
                <c:pt idx="161">
                  <c:v>2.2842055884314975E-2</c:v>
                </c:pt>
                <c:pt idx="162">
                  <c:v>2.2842055884315843E-2</c:v>
                </c:pt>
                <c:pt idx="163">
                  <c:v>2.2842055884314975E-2</c:v>
                </c:pt>
                <c:pt idx="164">
                  <c:v>2.2841332639536954E-2</c:v>
                </c:pt>
                <c:pt idx="165">
                  <c:v>2.2842055884314975E-2</c:v>
                </c:pt>
                <c:pt idx="166">
                  <c:v>2.2842055884315846E-2</c:v>
                </c:pt>
                <c:pt idx="167">
                  <c:v>2.2841332639536076E-2</c:v>
                </c:pt>
                <c:pt idx="168">
                  <c:v>2.2840609425275993E-2</c:v>
                </c:pt>
                <c:pt idx="169">
                  <c:v>2.2841332639536079E-2</c:v>
                </c:pt>
                <c:pt idx="170">
                  <c:v>2.2842055884314975E-2</c:v>
                </c:pt>
                <c:pt idx="171">
                  <c:v>2.2841332639536076E-2</c:v>
                </c:pt>
                <c:pt idx="172">
                  <c:v>2.2842055884315843E-2</c:v>
                </c:pt>
                <c:pt idx="173">
                  <c:v>2.2835234360881029E-2</c:v>
                </c:pt>
                <c:pt idx="174">
                  <c:v>2.2821591349480419E-2</c:v>
                </c:pt>
                <c:pt idx="175">
                  <c:v>2.2808374727283757E-2</c:v>
                </c:pt>
                <c:pt idx="176">
                  <c:v>2.2802111520548774E-2</c:v>
                </c:pt>
                <c:pt idx="177">
                  <c:v>2.2802832286023027E-2</c:v>
                </c:pt>
                <c:pt idx="178">
                  <c:v>2.2802832286023027E-2</c:v>
                </c:pt>
                <c:pt idx="179">
                  <c:v>2.2801390785437192E-2</c:v>
                </c:pt>
                <c:pt idx="180">
                  <c:v>2.2802111520548778E-2</c:v>
                </c:pt>
                <c:pt idx="181">
                  <c:v>2.2800670080684246E-2</c:v>
                </c:pt>
                <c:pt idx="182">
                  <c:v>2.2802832286023027E-2</c:v>
                </c:pt>
                <c:pt idx="183">
                  <c:v>2.2802111520549652E-2</c:v>
                </c:pt>
                <c:pt idx="184">
                  <c:v>2.2802832286023034E-2</c:v>
                </c:pt>
                <c:pt idx="185">
                  <c:v>2.2802832286023898E-2</c:v>
                </c:pt>
                <c:pt idx="186">
                  <c:v>2.280283228602303E-2</c:v>
                </c:pt>
                <c:pt idx="187">
                  <c:v>2.2802111520548778E-2</c:v>
                </c:pt>
                <c:pt idx="188">
                  <c:v>2.280283228602303E-2</c:v>
                </c:pt>
                <c:pt idx="189">
                  <c:v>2.2802832286023027E-2</c:v>
                </c:pt>
                <c:pt idx="190">
                  <c:v>2.2801390785437196E-2</c:v>
                </c:pt>
                <c:pt idx="191">
                  <c:v>2.2802111520548778E-2</c:v>
                </c:pt>
                <c:pt idx="192">
                  <c:v>2.2800670080685145E-2</c:v>
                </c:pt>
                <c:pt idx="193">
                  <c:v>2.2802832286023027E-2</c:v>
                </c:pt>
                <c:pt idx="194">
                  <c:v>2.2802111520548774E-2</c:v>
                </c:pt>
                <c:pt idx="195">
                  <c:v>2.280283228602303E-2</c:v>
                </c:pt>
                <c:pt idx="196">
                  <c:v>2.280283228602303E-2</c:v>
                </c:pt>
                <c:pt idx="197">
                  <c:v>2.2802832286023898E-2</c:v>
                </c:pt>
                <c:pt idx="198">
                  <c:v>2.280283228602303E-2</c:v>
                </c:pt>
                <c:pt idx="199">
                  <c:v>2.2802111520548774E-2</c:v>
                </c:pt>
                <c:pt idx="200">
                  <c:v>2.2802832286023034E-2</c:v>
                </c:pt>
                <c:pt idx="201">
                  <c:v>2.280283228602303E-2</c:v>
                </c:pt>
                <c:pt idx="202">
                  <c:v>2.2802111520549655E-2</c:v>
                </c:pt>
                <c:pt idx="203">
                  <c:v>2.2802111520549655E-2</c:v>
                </c:pt>
                <c:pt idx="204">
                  <c:v>2.2802111520549655E-2</c:v>
                </c:pt>
                <c:pt idx="205">
                  <c:v>2.280283228602303E-2</c:v>
                </c:pt>
                <c:pt idx="206">
                  <c:v>2.2802111520548774E-2</c:v>
                </c:pt>
                <c:pt idx="207">
                  <c:v>2.280283228602303E-2</c:v>
                </c:pt>
                <c:pt idx="208">
                  <c:v>2.2802832286023027E-2</c:v>
                </c:pt>
                <c:pt idx="209">
                  <c:v>2.280283228602303E-2</c:v>
                </c:pt>
                <c:pt idx="210">
                  <c:v>2.2802832286023027E-2</c:v>
                </c:pt>
                <c:pt idx="211">
                  <c:v>2.2802111520548778E-2</c:v>
                </c:pt>
                <c:pt idx="212">
                  <c:v>2.2802832286023027E-2</c:v>
                </c:pt>
                <c:pt idx="213">
                  <c:v>2.280283228602303E-2</c:v>
                </c:pt>
                <c:pt idx="214">
                  <c:v>2.2801390785437189E-2</c:v>
                </c:pt>
                <c:pt idx="215">
                  <c:v>2.2802111520549655E-2</c:v>
                </c:pt>
                <c:pt idx="216">
                  <c:v>2.2800670080684243E-2</c:v>
                </c:pt>
                <c:pt idx="217">
                  <c:v>2.280283228602303E-2</c:v>
                </c:pt>
                <c:pt idx="218">
                  <c:v>2.2802111520549655E-2</c:v>
                </c:pt>
                <c:pt idx="219">
                  <c:v>2.2802832286022159E-2</c:v>
                </c:pt>
                <c:pt idx="220">
                  <c:v>2.280283228602303E-2</c:v>
                </c:pt>
                <c:pt idx="221">
                  <c:v>2.280283228602303E-2</c:v>
                </c:pt>
                <c:pt idx="222">
                  <c:v>2.2802832286023027E-2</c:v>
                </c:pt>
                <c:pt idx="223">
                  <c:v>2.2802111520549652E-2</c:v>
                </c:pt>
                <c:pt idx="224">
                  <c:v>2.2802832286023027E-2</c:v>
                </c:pt>
                <c:pt idx="225">
                  <c:v>2.2801390785437196E-2</c:v>
                </c:pt>
                <c:pt idx="226">
                  <c:v>2.2801390785437192E-2</c:v>
                </c:pt>
                <c:pt idx="227">
                  <c:v>2.2802832286023898E-2</c:v>
                </c:pt>
                <c:pt idx="228">
                  <c:v>2.2801390785436301E-2</c:v>
                </c:pt>
                <c:pt idx="229">
                  <c:v>2.280283228602303E-2</c:v>
                </c:pt>
                <c:pt idx="230">
                  <c:v>2.2802111520548774E-2</c:v>
                </c:pt>
                <c:pt idx="231">
                  <c:v>2.2802832286023027E-2</c:v>
                </c:pt>
                <c:pt idx="232">
                  <c:v>2.2498860320072745E-2</c:v>
                </c:pt>
                <c:pt idx="233">
                  <c:v>2.2093600883787111E-2</c:v>
                </c:pt>
                <c:pt idx="234">
                  <c:v>2.1701088439201044E-2</c:v>
                </c:pt>
                <c:pt idx="235">
                  <c:v>2.163773389966998E-2</c:v>
                </c:pt>
                <c:pt idx="236">
                  <c:v>2.1637733899669109E-2</c:v>
                </c:pt>
                <c:pt idx="237">
                  <c:v>2.163708484190863E-2</c:v>
                </c:pt>
                <c:pt idx="238">
                  <c:v>2.1636435810095556E-2</c:v>
                </c:pt>
                <c:pt idx="239">
                  <c:v>2.1637084841908634E-2</c:v>
                </c:pt>
                <c:pt idx="240">
                  <c:v>2.1637733899669109E-2</c:v>
                </c:pt>
                <c:pt idx="241">
                  <c:v>2.1637084841908634E-2</c:v>
                </c:pt>
                <c:pt idx="242">
                  <c:v>2.1637733899669109E-2</c:v>
                </c:pt>
                <c:pt idx="243">
                  <c:v>2.1637733899669977E-2</c:v>
                </c:pt>
                <c:pt idx="244">
                  <c:v>2.163773389966998E-2</c:v>
                </c:pt>
                <c:pt idx="245">
                  <c:v>2.1637733899669109E-2</c:v>
                </c:pt>
                <c:pt idx="246">
                  <c:v>2.1637084841908634E-2</c:v>
                </c:pt>
                <c:pt idx="247">
                  <c:v>2.163773389966998E-2</c:v>
                </c:pt>
                <c:pt idx="248">
                  <c:v>2.1637733899669106E-2</c:v>
                </c:pt>
                <c:pt idx="249">
                  <c:v>2.163708484190863E-2</c:v>
                </c:pt>
                <c:pt idx="250">
                  <c:v>2.1637733899669109E-2</c:v>
                </c:pt>
                <c:pt idx="251">
                  <c:v>2.1636435810094667E-2</c:v>
                </c:pt>
                <c:pt idx="252">
                  <c:v>2.1639032093037174E-2</c:v>
                </c:pt>
                <c:pt idx="253">
                  <c:v>2.163708484190863E-2</c:v>
                </c:pt>
                <c:pt idx="254">
                  <c:v>2.1637733899669106E-2</c:v>
                </c:pt>
                <c:pt idx="255">
                  <c:v>2.1637733899669106E-2</c:v>
                </c:pt>
                <c:pt idx="256">
                  <c:v>2.1637733899669109E-2</c:v>
                </c:pt>
                <c:pt idx="257">
                  <c:v>2.1637733899669113E-2</c:v>
                </c:pt>
                <c:pt idx="258">
                  <c:v>2.163708484190863E-2</c:v>
                </c:pt>
                <c:pt idx="259">
                  <c:v>2.1637733899669109E-2</c:v>
                </c:pt>
                <c:pt idx="260">
                  <c:v>2.1637733899669102E-2</c:v>
                </c:pt>
                <c:pt idx="261">
                  <c:v>2.163708484190863E-2</c:v>
                </c:pt>
                <c:pt idx="262">
                  <c:v>2.1636435810095556E-2</c:v>
                </c:pt>
                <c:pt idx="263">
                  <c:v>2.163708484190863E-2</c:v>
                </c:pt>
                <c:pt idx="264">
                  <c:v>2.1637733899669106E-2</c:v>
                </c:pt>
                <c:pt idx="265">
                  <c:v>2.1637084841908634E-2</c:v>
                </c:pt>
                <c:pt idx="266">
                  <c:v>2.1637733899669109E-2</c:v>
                </c:pt>
                <c:pt idx="267">
                  <c:v>2.163773389966998E-2</c:v>
                </c:pt>
                <c:pt idx="268">
                  <c:v>2.1637733899669109E-2</c:v>
                </c:pt>
                <c:pt idx="269">
                  <c:v>2.163773389966998E-2</c:v>
                </c:pt>
                <c:pt idx="270">
                  <c:v>2.1637084841908627E-2</c:v>
                </c:pt>
                <c:pt idx="271">
                  <c:v>2.1637733899669977E-2</c:v>
                </c:pt>
                <c:pt idx="272">
                  <c:v>2.1637084841908634E-2</c:v>
                </c:pt>
                <c:pt idx="273">
                  <c:v>2.1636435810095556E-2</c:v>
                </c:pt>
                <c:pt idx="274">
                  <c:v>2.163708484190863E-2</c:v>
                </c:pt>
                <c:pt idx="275">
                  <c:v>2.1637733899669109E-2</c:v>
                </c:pt>
                <c:pt idx="276">
                  <c:v>2.163708484190863E-2</c:v>
                </c:pt>
                <c:pt idx="277">
                  <c:v>2.1637733899669106E-2</c:v>
                </c:pt>
                <c:pt idx="278">
                  <c:v>2.1637733899669106E-2</c:v>
                </c:pt>
                <c:pt idx="279">
                  <c:v>2.1637733899669106E-2</c:v>
                </c:pt>
                <c:pt idx="280">
                  <c:v>2.1637733899669109E-2</c:v>
                </c:pt>
                <c:pt idx="281">
                  <c:v>2.1637084841908634E-2</c:v>
                </c:pt>
                <c:pt idx="282">
                  <c:v>2.1637733899669106E-2</c:v>
                </c:pt>
                <c:pt idx="283">
                  <c:v>2.1637733899669109E-2</c:v>
                </c:pt>
                <c:pt idx="284">
                  <c:v>2.1636435810094664E-2</c:v>
                </c:pt>
                <c:pt idx="285">
                  <c:v>2.1637733899669113E-2</c:v>
                </c:pt>
                <c:pt idx="286">
                  <c:v>2.1635786804227911E-2</c:v>
                </c:pt>
                <c:pt idx="287">
                  <c:v>2.1637733899669109E-2</c:v>
                </c:pt>
                <c:pt idx="288">
                  <c:v>2.1637084841908634E-2</c:v>
                </c:pt>
                <c:pt idx="289">
                  <c:v>2.1637733899669109E-2</c:v>
                </c:pt>
                <c:pt idx="290">
                  <c:v>2.1546146311812731E-2</c:v>
                </c:pt>
                <c:pt idx="291">
                  <c:v>2.1202711844039625E-2</c:v>
                </c:pt>
                <c:pt idx="292">
                  <c:v>2.0824968552835582E-2</c:v>
                </c:pt>
                <c:pt idx="293">
                  <c:v>2.0584017874473379E-2</c:v>
                </c:pt>
                <c:pt idx="294">
                  <c:v>2.0584605342356833E-2</c:v>
                </c:pt>
                <c:pt idx="295">
                  <c:v>2.0584605342356836E-2</c:v>
                </c:pt>
                <c:pt idx="296">
                  <c:v>2.058401787447426E-2</c:v>
                </c:pt>
                <c:pt idx="297">
                  <c:v>2.0584017874474253E-2</c:v>
                </c:pt>
                <c:pt idx="298">
                  <c:v>2.058401787447426E-2</c:v>
                </c:pt>
                <c:pt idx="299">
                  <c:v>2.0584605342356836E-2</c:v>
                </c:pt>
                <c:pt idx="300">
                  <c:v>2.0584017874474256E-2</c:v>
                </c:pt>
                <c:pt idx="301">
                  <c:v>2.0584605342356836E-2</c:v>
                </c:pt>
                <c:pt idx="302">
                  <c:v>2.05846053423577E-2</c:v>
                </c:pt>
                <c:pt idx="303">
                  <c:v>2.0584605342356836E-2</c:v>
                </c:pt>
                <c:pt idx="304">
                  <c:v>2.0584605342356836E-2</c:v>
                </c:pt>
                <c:pt idx="305">
                  <c:v>2.0584017874474256E-2</c:v>
                </c:pt>
                <c:pt idx="306">
                  <c:v>2.0584605342356833E-2</c:v>
                </c:pt>
                <c:pt idx="307">
                  <c:v>2.0584605342357704E-2</c:v>
                </c:pt>
                <c:pt idx="308">
                  <c:v>2.0583430428934513E-2</c:v>
                </c:pt>
                <c:pt idx="309">
                  <c:v>2.0584017874473379E-2</c:v>
                </c:pt>
                <c:pt idx="310">
                  <c:v>2.058284300573987E-2</c:v>
                </c:pt>
                <c:pt idx="311">
                  <c:v>2.0584605342356836E-2</c:v>
                </c:pt>
                <c:pt idx="312">
                  <c:v>2.0584017874474263E-2</c:v>
                </c:pt>
                <c:pt idx="313">
                  <c:v>2.0584605342356833E-2</c:v>
                </c:pt>
                <c:pt idx="314">
                  <c:v>2.0584605342357704E-2</c:v>
                </c:pt>
                <c:pt idx="315">
                  <c:v>2.0584605342356833E-2</c:v>
                </c:pt>
                <c:pt idx="316">
                  <c:v>2.0584017874473379E-2</c:v>
                </c:pt>
                <c:pt idx="317">
                  <c:v>2.0584605342356836E-2</c:v>
                </c:pt>
                <c:pt idx="318">
                  <c:v>2.0584605342357707E-2</c:v>
                </c:pt>
                <c:pt idx="319">
                  <c:v>2.0583430428934513E-2</c:v>
                </c:pt>
                <c:pt idx="320">
                  <c:v>2.0584605342357704E-2</c:v>
                </c:pt>
                <c:pt idx="321">
                  <c:v>2.058284300573987E-2</c:v>
                </c:pt>
                <c:pt idx="322">
                  <c:v>2.0584605342357704E-2</c:v>
                </c:pt>
                <c:pt idx="323">
                  <c:v>2.0584017874473379E-2</c:v>
                </c:pt>
                <c:pt idx="324">
                  <c:v>2.0584605342357704E-2</c:v>
                </c:pt>
                <c:pt idx="325">
                  <c:v>2.0584605342357704E-2</c:v>
                </c:pt>
                <c:pt idx="326">
                  <c:v>2.0584605342357704E-2</c:v>
                </c:pt>
                <c:pt idx="327">
                  <c:v>2.0584605342357704E-2</c:v>
                </c:pt>
                <c:pt idx="328">
                  <c:v>2.0584017874474256E-2</c:v>
                </c:pt>
                <c:pt idx="329">
                  <c:v>2.0584605342357707E-2</c:v>
                </c:pt>
                <c:pt idx="330">
                  <c:v>2.0584605342356833E-2</c:v>
                </c:pt>
                <c:pt idx="331">
                  <c:v>2.0584017874474256E-2</c:v>
                </c:pt>
                <c:pt idx="332">
                  <c:v>2.0583430428934513E-2</c:v>
                </c:pt>
                <c:pt idx="333">
                  <c:v>2.0584017874473379E-2</c:v>
                </c:pt>
                <c:pt idx="334">
                  <c:v>2.0584605342356836E-2</c:v>
                </c:pt>
                <c:pt idx="335">
                  <c:v>2.0584017874474256E-2</c:v>
                </c:pt>
                <c:pt idx="336">
                  <c:v>2.0584605342356836E-2</c:v>
                </c:pt>
                <c:pt idx="337">
                  <c:v>2.0584605342356836E-2</c:v>
                </c:pt>
                <c:pt idx="338">
                  <c:v>2.0584605342356836E-2</c:v>
                </c:pt>
                <c:pt idx="339">
                  <c:v>2.058460534235684E-2</c:v>
                </c:pt>
                <c:pt idx="340">
                  <c:v>2.0584017874473379E-2</c:v>
                </c:pt>
                <c:pt idx="341">
                  <c:v>2.0584605342357704E-2</c:v>
                </c:pt>
                <c:pt idx="342">
                  <c:v>2.0584605342356836E-2</c:v>
                </c:pt>
                <c:pt idx="343">
                  <c:v>2.0584017874473379E-2</c:v>
                </c:pt>
                <c:pt idx="344">
                  <c:v>2.0584017874474256E-2</c:v>
                </c:pt>
                <c:pt idx="345">
                  <c:v>2.0583430428935401E-2</c:v>
                </c:pt>
                <c:pt idx="346">
                  <c:v>2.0585780345161453E-2</c:v>
                </c:pt>
                <c:pt idx="347">
                  <c:v>2.0584017874473379E-2</c:v>
                </c:pt>
                <c:pt idx="348">
                  <c:v>2.0584605342356836E-2</c:v>
                </c:pt>
                <c:pt idx="349">
                  <c:v>2.0800500327658289E-2</c:v>
                </c:pt>
                <c:pt idx="350">
                  <c:v>2.1094921676408002E-2</c:v>
                </c:pt>
                <c:pt idx="351">
                  <c:v>2.1418810611016095E-2</c:v>
                </c:pt>
                <c:pt idx="352">
                  <c:v>2.1486877667003825E-2</c:v>
                </c:pt>
                <c:pt idx="353">
                  <c:v>2.1487517752359381E-2</c:v>
                </c:pt>
                <c:pt idx="354">
                  <c:v>2.1486237607061476E-2</c:v>
                </c:pt>
                <c:pt idx="355">
                  <c:v>2.1486237607062364E-2</c:v>
                </c:pt>
                <c:pt idx="356">
                  <c:v>2.148751775235851E-2</c:v>
                </c:pt>
                <c:pt idx="357">
                  <c:v>2.1486237607061476E-2</c:v>
                </c:pt>
                <c:pt idx="358">
                  <c:v>2.1487517752358513E-2</c:v>
                </c:pt>
                <c:pt idx="359">
                  <c:v>2.1486877667004699E-2</c:v>
                </c:pt>
                <c:pt idx="360">
                  <c:v>2.148751775235851E-2</c:v>
                </c:pt>
                <c:pt idx="361">
                  <c:v>2.148751775235851E-2</c:v>
                </c:pt>
                <c:pt idx="362">
                  <c:v>2.148751775235851E-2</c:v>
                </c:pt>
                <c:pt idx="363">
                  <c:v>2.1486877667004703E-2</c:v>
                </c:pt>
                <c:pt idx="364">
                  <c:v>2.148751775235851E-2</c:v>
                </c:pt>
                <c:pt idx="365">
                  <c:v>2.148751775235851E-2</c:v>
                </c:pt>
                <c:pt idx="366">
                  <c:v>2.1486877667004703E-2</c:v>
                </c:pt>
                <c:pt idx="367">
                  <c:v>2.1486237607061476E-2</c:v>
                </c:pt>
                <c:pt idx="368">
                  <c:v>2.1486877667004699E-2</c:v>
                </c:pt>
                <c:pt idx="369">
                  <c:v>2.148751775235851E-2</c:v>
                </c:pt>
                <c:pt idx="370">
                  <c:v>2.1486877667004703E-2</c:v>
                </c:pt>
                <c:pt idx="371">
                  <c:v>2.1487517752358506E-2</c:v>
                </c:pt>
                <c:pt idx="372">
                  <c:v>2.1487517752358513E-2</c:v>
                </c:pt>
                <c:pt idx="373">
                  <c:v>2.148751775235851E-2</c:v>
                </c:pt>
                <c:pt idx="374">
                  <c:v>2.148751775235851E-2</c:v>
                </c:pt>
                <c:pt idx="375">
                  <c:v>2.1486877667004699E-2</c:v>
                </c:pt>
                <c:pt idx="376">
                  <c:v>2.148751775235851E-2</c:v>
                </c:pt>
                <c:pt idx="377">
                  <c:v>2.148751775235851E-2</c:v>
                </c:pt>
                <c:pt idx="378">
                  <c:v>2.1486237607062364E-2</c:v>
                </c:pt>
                <c:pt idx="379">
                  <c:v>2.148751775235851E-2</c:v>
                </c:pt>
                <c:pt idx="380">
                  <c:v>2.148559757252853E-2</c:v>
                </c:pt>
                <c:pt idx="381">
                  <c:v>2.148751775235851E-2</c:v>
                </c:pt>
                <c:pt idx="382">
                  <c:v>2.1486877667004703E-2</c:v>
                </c:pt>
                <c:pt idx="383">
                  <c:v>2.148751775235851E-2</c:v>
                </c:pt>
                <c:pt idx="384">
                  <c:v>2.1487517752358506E-2</c:v>
                </c:pt>
                <c:pt idx="385">
                  <c:v>2.1487517752358513E-2</c:v>
                </c:pt>
                <c:pt idx="386">
                  <c:v>2.1487517752357639E-2</c:v>
                </c:pt>
                <c:pt idx="387">
                  <c:v>2.1486877667004703E-2</c:v>
                </c:pt>
                <c:pt idx="388">
                  <c:v>2.148751775235851E-2</c:v>
                </c:pt>
                <c:pt idx="389">
                  <c:v>2.1487517752357643E-2</c:v>
                </c:pt>
                <c:pt idx="390">
                  <c:v>2.1486877667003818E-2</c:v>
                </c:pt>
                <c:pt idx="391">
                  <c:v>2.1486877667004699E-2</c:v>
                </c:pt>
                <c:pt idx="392">
                  <c:v>2.1486877667004699E-2</c:v>
                </c:pt>
                <c:pt idx="393">
                  <c:v>2.1487517752357639E-2</c:v>
                </c:pt>
                <c:pt idx="394">
                  <c:v>2.1486877667003822E-2</c:v>
                </c:pt>
                <c:pt idx="395">
                  <c:v>2.1487517752359377E-2</c:v>
                </c:pt>
                <c:pt idx="396">
                  <c:v>2.1487517752358513E-2</c:v>
                </c:pt>
                <c:pt idx="397">
                  <c:v>2.148751775235851E-2</c:v>
                </c:pt>
                <c:pt idx="398">
                  <c:v>2.148751775235851E-2</c:v>
                </c:pt>
                <c:pt idx="399">
                  <c:v>2.1486877667004703E-2</c:v>
                </c:pt>
                <c:pt idx="400">
                  <c:v>2.148751775235851E-2</c:v>
                </c:pt>
                <c:pt idx="401">
                  <c:v>2.1486877667004699E-2</c:v>
                </c:pt>
                <c:pt idx="402">
                  <c:v>2.1486237607061476E-2</c:v>
                </c:pt>
                <c:pt idx="403">
                  <c:v>2.1486877667003825E-2</c:v>
                </c:pt>
                <c:pt idx="404">
                  <c:v>2.148751775235851E-2</c:v>
                </c:pt>
                <c:pt idx="405">
                  <c:v>2.1486877667003822E-2</c:v>
                </c:pt>
                <c:pt idx="406">
                  <c:v>2.1487517752359381E-2</c:v>
                </c:pt>
                <c:pt idx="407">
                  <c:v>2.1487517752357643E-2</c:v>
                </c:pt>
                <c:pt idx="408">
                  <c:v>2.148751775235851E-2</c:v>
                </c:pt>
                <c:pt idx="409">
                  <c:v>2.148751775235851E-2</c:v>
                </c:pt>
                <c:pt idx="410">
                  <c:v>2.1486877667004703E-2</c:v>
                </c:pt>
                <c:pt idx="411">
                  <c:v>2.148751775235851E-2</c:v>
                </c:pt>
                <c:pt idx="412">
                  <c:v>2.148751775235851E-2</c:v>
                </c:pt>
                <c:pt idx="413">
                  <c:v>2.1486237607062364E-2</c:v>
                </c:pt>
                <c:pt idx="414">
                  <c:v>2.1487517752359377E-2</c:v>
                </c:pt>
                <c:pt idx="415">
                  <c:v>2.1485597572529425E-2</c:v>
                </c:pt>
                <c:pt idx="416">
                  <c:v>2.1487517752359381E-2</c:v>
                </c:pt>
                <c:pt idx="417">
                  <c:v>2.1486877667003822E-2</c:v>
                </c:pt>
                <c:pt idx="418">
                  <c:v>2.148751775235851E-2</c:v>
                </c:pt>
                <c:pt idx="419">
                  <c:v>2.1487517752359377E-2</c:v>
                </c:pt>
                <c:pt idx="420">
                  <c:v>2.148751775235851E-2</c:v>
                </c:pt>
                <c:pt idx="421">
                  <c:v>2.148751775235851E-2</c:v>
                </c:pt>
                <c:pt idx="422">
                  <c:v>2.1486877667003822E-2</c:v>
                </c:pt>
                <c:pt idx="423">
                  <c:v>2.1487517752359377E-2</c:v>
                </c:pt>
                <c:pt idx="424">
                  <c:v>2.1487517752359381E-2</c:v>
                </c:pt>
                <c:pt idx="425">
                  <c:v>2.1486877667003822E-2</c:v>
                </c:pt>
                <c:pt idx="426">
                  <c:v>2.1486237607061476E-2</c:v>
                </c:pt>
                <c:pt idx="427">
                  <c:v>2.1486877667004703E-2</c:v>
                </c:pt>
                <c:pt idx="428">
                  <c:v>2.1487517752359381E-2</c:v>
                </c:pt>
                <c:pt idx="429">
                  <c:v>2.1486877667005581E-2</c:v>
                </c:pt>
                <c:pt idx="430">
                  <c:v>2.1487517752358506E-2</c:v>
                </c:pt>
                <c:pt idx="431">
                  <c:v>2.148751775235851E-2</c:v>
                </c:pt>
                <c:pt idx="432">
                  <c:v>2.1487517752359381E-2</c:v>
                </c:pt>
                <c:pt idx="433">
                  <c:v>2.1487517752358513E-2</c:v>
                </c:pt>
                <c:pt idx="434">
                  <c:v>2.1488157863124909E-2</c:v>
                </c:pt>
                <c:pt idx="435">
                  <c:v>2.148751775235851E-2</c:v>
                </c:pt>
                <c:pt idx="436">
                  <c:v>2.148751775235851E-2</c:v>
                </c:pt>
                <c:pt idx="437">
                  <c:v>2.1486877667004703E-2</c:v>
                </c:pt>
                <c:pt idx="438">
                  <c:v>2.1486877667004703E-2</c:v>
                </c:pt>
                <c:pt idx="439">
                  <c:v>2.1486237607062364E-2</c:v>
                </c:pt>
                <c:pt idx="440">
                  <c:v>2.1488797999304983E-2</c:v>
                </c:pt>
                <c:pt idx="441">
                  <c:v>2.1486877667003822E-2</c:v>
                </c:pt>
                <c:pt idx="442">
                  <c:v>2.1487517752357639E-2</c:v>
                </c:pt>
                <c:pt idx="443">
                  <c:v>2.1487517752357643E-2</c:v>
                </c:pt>
                <c:pt idx="444">
                  <c:v>2.1487517752358506E-2</c:v>
                </c:pt>
                <c:pt idx="445">
                  <c:v>2.1486877667004703E-2</c:v>
                </c:pt>
                <c:pt idx="446">
                  <c:v>2.1487517752357639E-2</c:v>
                </c:pt>
                <c:pt idx="447">
                  <c:v>2.148751775235851E-2</c:v>
                </c:pt>
                <c:pt idx="448">
                  <c:v>2.1486237607062364E-2</c:v>
                </c:pt>
                <c:pt idx="449">
                  <c:v>2.1487517752358506E-2</c:v>
                </c:pt>
                <c:pt idx="450">
                  <c:v>2.1485597572529425E-2</c:v>
                </c:pt>
                <c:pt idx="451">
                  <c:v>2.1487517752357639E-2</c:v>
                </c:pt>
                <c:pt idx="452">
                  <c:v>2.1486877667004699E-2</c:v>
                </c:pt>
                <c:pt idx="453">
                  <c:v>2.148751775235851E-2</c:v>
                </c:pt>
                <c:pt idx="454">
                  <c:v>2.148751775235851E-2</c:v>
                </c:pt>
                <c:pt idx="455">
                  <c:v>2.1487517752357643E-2</c:v>
                </c:pt>
                <c:pt idx="456">
                  <c:v>2.148751775235851E-2</c:v>
                </c:pt>
                <c:pt idx="457">
                  <c:v>2.1486877667004699E-2</c:v>
                </c:pt>
                <c:pt idx="458">
                  <c:v>2.1487517752358506E-2</c:v>
                </c:pt>
                <c:pt idx="459">
                  <c:v>2.1487517752359377E-2</c:v>
                </c:pt>
                <c:pt idx="460">
                  <c:v>2.1486877667004699E-2</c:v>
                </c:pt>
                <c:pt idx="461">
                  <c:v>2.1486237607061476E-2</c:v>
                </c:pt>
                <c:pt idx="462">
                  <c:v>2.1486877667003829E-2</c:v>
                </c:pt>
                <c:pt idx="463">
                  <c:v>2.148751775235851E-2</c:v>
                </c:pt>
                <c:pt idx="464">
                  <c:v>2.1486877667003825E-2</c:v>
                </c:pt>
                <c:pt idx="465">
                  <c:v>2.148751775235851E-2</c:v>
                </c:pt>
                <c:pt idx="466">
                  <c:v>2.1337501378441391E-2</c:v>
                </c:pt>
                <c:pt idx="467">
                  <c:v>2.0901122630836631E-2</c:v>
                </c:pt>
                <c:pt idx="468">
                  <c:v>2.047842687460659E-2</c:v>
                </c:pt>
                <c:pt idx="469">
                  <c:v>2.0232443883536354E-2</c:v>
                </c:pt>
                <c:pt idx="470">
                  <c:v>2.023301147152792E-2</c:v>
                </c:pt>
                <c:pt idx="471">
                  <c:v>2.0233011471527049E-2</c:v>
                </c:pt>
                <c:pt idx="472">
                  <c:v>2.0231876316767483E-2</c:v>
                </c:pt>
                <c:pt idx="473">
                  <c:v>2.0232443883537232E-2</c:v>
                </c:pt>
                <c:pt idx="474">
                  <c:v>2.0231308771216355E-2</c:v>
                </c:pt>
                <c:pt idx="475">
                  <c:v>2.0233011471527049E-2</c:v>
                </c:pt>
                <c:pt idx="476">
                  <c:v>2.0232443883536354E-2</c:v>
                </c:pt>
                <c:pt idx="477">
                  <c:v>2.0233011471527045E-2</c:v>
                </c:pt>
                <c:pt idx="478">
                  <c:v>2.0233011471527049E-2</c:v>
                </c:pt>
                <c:pt idx="479">
                  <c:v>2.0233011471527916E-2</c:v>
                </c:pt>
                <c:pt idx="480">
                  <c:v>2.0233011471527049E-2</c:v>
                </c:pt>
                <c:pt idx="481">
                  <c:v>2.0232443883536358E-2</c:v>
                </c:pt>
                <c:pt idx="482">
                  <c:v>2.0233011471527049E-2</c:v>
                </c:pt>
                <c:pt idx="483">
                  <c:v>2.0232443883537232E-2</c:v>
                </c:pt>
                <c:pt idx="484">
                  <c:v>2.0233011471527049E-2</c:v>
                </c:pt>
                <c:pt idx="485">
                  <c:v>2.0231876316766595E-2</c:v>
                </c:pt>
                <c:pt idx="486">
                  <c:v>2.0234146711174055E-2</c:v>
                </c:pt>
                <c:pt idx="487">
                  <c:v>2.0232443883536351E-2</c:v>
                </c:pt>
                <c:pt idx="488">
                  <c:v>2.0233011471527045E-2</c:v>
                </c:pt>
                <c:pt idx="489">
                  <c:v>2.0233011471527045E-2</c:v>
                </c:pt>
                <c:pt idx="490">
                  <c:v>2.0233011471527045E-2</c:v>
                </c:pt>
                <c:pt idx="491">
                  <c:v>2.0233011471527049E-2</c:v>
                </c:pt>
                <c:pt idx="492">
                  <c:v>2.0232443883537236E-2</c:v>
                </c:pt>
                <c:pt idx="493">
                  <c:v>2.0233011471527045E-2</c:v>
                </c:pt>
                <c:pt idx="494">
                  <c:v>2.0233011471527045E-2</c:v>
                </c:pt>
                <c:pt idx="495">
                  <c:v>2.0232443883537236E-2</c:v>
                </c:pt>
                <c:pt idx="496">
                  <c:v>2.0231876316766595E-2</c:v>
                </c:pt>
                <c:pt idx="497">
                  <c:v>2.0232443883536351E-2</c:v>
                </c:pt>
                <c:pt idx="498">
                  <c:v>2.0233011471527045E-2</c:v>
                </c:pt>
                <c:pt idx="499">
                  <c:v>2.0232443883536351E-2</c:v>
                </c:pt>
                <c:pt idx="500">
                  <c:v>2.0233011471527916E-2</c:v>
                </c:pt>
                <c:pt idx="501">
                  <c:v>2.0233011471527052E-2</c:v>
                </c:pt>
                <c:pt idx="502">
                  <c:v>2.0233011471527042E-2</c:v>
                </c:pt>
                <c:pt idx="503">
                  <c:v>2.0233011471527049E-2</c:v>
                </c:pt>
                <c:pt idx="504">
                  <c:v>2.0232443883537232E-2</c:v>
                </c:pt>
                <c:pt idx="505">
                  <c:v>2.0233011471527049E-2</c:v>
                </c:pt>
                <c:pt idx="506">
                  <c:v>2.0233011471527049E-2</c:v>
                </c:pt>
                <c:pt idx="507">
                  <c:v>2.0231876316766595E-2</c:v>
                </c:pt>
                <c:pt idx="508">
                  <c:v>2.0232443883537232E-2</c:v>
                </c:pt>
                <c:pt idx="509">
                  <c:v>2.023130877121725E-2</c:v>
                </c:pt>
                <c:pt idx="510">
                  <c:v>2.0233011471527049E-2</c:v>
                </c:pt>
                <c:pt idx="511">
                  <c:v>2.0232443883536351E-2</c:v>
                </c:pt>
                <c:pt idx="512">
                  <c:v>2.0233011471527049E-2</c:v>
                </c:pt>
                <c:pt idx="513">
                  <c:v>2.0233011471527049E-2</c:v>
                </c:pt>
                <c:pt idx="514">
                  <c:v>2.0233011471527916E-2</c:v>
                </c:pt>
                <c:pt idx="515">
                  <c:v>2.0233011471527045E-2</c:v>
                </c:pt>
                <c:pt idx="516">
                  <c:v>2.0233011471527913E-2</c:v>
                </c:pt>
                <c:pt idx="517">
                  <c:v>2.0233011471527049E-2</c:v>
                </c:pt>
                <c:pt idx="518">
                  <c:v>2.0233011471527045E-2</c:v>
                </c:pt>
                <c:pt idx="519">
                  <c:v>2.0233011471527045E-2</c:v>
                </c:pt>
                <c:pt idx="520">
                  <c:v>2.0231876316766595E-2</c:v>
                </c:pt>
                <c:pt idx="521">
                  <c:v>2.0231308771216351E-2</c:v>
                </c:pt>
                <c:pt idx="522">
                  <c:v>2.0232443883537232E-2</c:v>
                </c:pt>
                <c:pt idx="523">
                  <c:v>2.0234146711173198E-2</c:v>
                </c:pt>
                <c:pt idx="524">
                  <c:v>2.0233011471527049E-2</c:v>
                </c:pt>
                <c:pt idx="525">
                  <c:v>2.0233011471527045E-2</c:v>
                </c:pt>
                <c:pt idx="526">
                  <c:v>2.0233011471527045E-2</c:v>
                </c:pt>
                <c:pt idx="527">
                  <c:v>2.0232443883537229E-2</c:v>
                </c:pt>
                <c:pt idx="528">
                  <c:v>2.0233011471527045E-2</c:v>
                </c:pt>
                <c:pt idx="529">
                  <c:v>2.0233011471527045E-2</c:v>
                </c:pt>
                <c:pt idx="530">
                  <c:v>2.0232443883536358E-2</c:v>
                </c:pt>
                <c:pt idx="531">
                  <c:v>2.0232443883537236E-2</c:v>
                </c:pt>
                <c:pt idx="532">
                  <c:v>2.0232443883536354E-2</c:v>
                </c:pt>
                <c:pt idx="533">
                  <c:v>2.0233011471527045E-2</c:v>
                </c:pt>
                <c:pt idx="534">
                  <c:v>2.0232443883536354E-2</c:v>
                </c:pt>
                <c:pt idx="535">
                  <c:v>2.023301147152792E-2</c:v>
                </c:pt>
                <c:pt idx="536">
                  <c:v>2.0233011471527049E-2</c:v>
                </c:pt>
                <c:pt idx="537">
                  <c:v>2.0233011471527045E-2</c:v>
                </c:pt>
                <c:pt idx="538">
                  <c:v>2.0233011471527049E-2</c:v>
                </c:pt>
                <c:pt idx="539">
                  <c:v>2.0232443883537232E-2</c:v>
                </c:pt>
                <c:pt idx="540">
                  <c:v>2.0233011471527045E-2</c:v>
                </c:pt>
                <c:pt idx="541">
                  <c:v>2.0233011471527049E-2</c:v>
                </c:pt>
                <c:pt idx="542">
                  <c:v>2.0231876316766591E-2</c:v>
                </c:pt>
                <c:pt idx="543">
                  <c:v>2.0232443883536358E-2</c:v>
                </c:pt>
                <c:pt idx="544">
                  <c:v>2.0231308771216351E-2</c:v>
                </c:pt>
                <c:pt idx="545">
                  <c:v>2.0233011471527049E-2</c:v>
                </c:pt>
                <c:pt idx="546">
                  <c:v>2.0232443883537236E-2</c:v>
                </c:pt>
                <c:pt idx="547">
                  <c:v>2.0233011471527916E-2</c:v>
                </c:pt>
                <c:pt idx="548">
                  <c:v>2.0233011471527913E-2</c:v>
                </c:pt>
                <c:pt idx="549">
                  <c:v>2.0233011471527049E-2</c:v>
                </c:pt>
                <c:pt idx="550">
                  <c:v>2.0233011471527049E-2</c:v>
                </c:pt>
                <c:pt idx="551">
                  <c:v>2.0232443883537232E-2</c:v>
                </c:pt>
                <c:pt idx="552">
                  <c:v>2.0233011471527045E-2</c:v>
                </c:pt>
                <c:pt idx="553">
                  <c:v>2.023301147152792E-2</c:v>
                </c:pt>
                <c:pt idx="554">
                  <c:v>2.0232443883537232E-2</c:v>
                </c:pt>
                <c:pt idx="555">
                  <c:v>2.0231876316767483E-2</c:v>
                </c:pt>
                <c:pt idx="556">
                  <c:v>2.0232443883537229E-2</c:v>
                </c:pt>
                <c:pt idx="557">
                  <c:v>2.0233011471527049E-2</c:v>
                </c:pt>
                <c:pt idx="558">
                  <c:v>2.0232443883536358E-2</c:v>
                </c:pt>
                <c:pt idx="559">
                  <c:v>2.0233011471527045E-2</c:v>
                </c:pt>
                <c:pt idx="560">
                  <c:v>2.0233011471527052E-2</c:v>
                </c:pt>
                <c:pt idx="561">
                  <c:v>2.0233011471527049E-2</c:v>
                </c:pt>
                <c:pt idx="562">
                  <c:v>2.0232443883537232E-2</c:v>
                </c:pt>
                <c:pt idx="563">
                  <c:v>2.0233011471527049E-2</c:v>
                </c:pt>
                <c:pt idx="564">
                  <c:v>2.023301147152792E-2</c:v>
                </c:pt>
                <c:pt idx="565">
                  <c:v>2.0232443883536358E-2</c:v>
                </c:pt>
                <c:pt idx="566">
                  <c:v>2.0231876316767483E-2</c:v>
                </c:pt>
                <c:pt idx="567">
                  <c:v>2.0232443883537229E-2</c:v>
                </c:pt>
                <c:pt idx="568">
                  <c:v>2.023301147152792E-2</c:v>
                </c:pt>
                <c:pt idx="569">
                  <c:v>2.0232443883537232E-2</c:v>
                </c:pt>
                <c:pt idx="570">
                  <c:v>2.0233011471527049E-2</c:v>
                </c:pt>
                <c:pt idx="571">
                  <c:v>2.0233011471527045E-2</c:v>
                </c:pt>
                <c:pt idx="572">
                  <c:v>2.0233011471527049E-2</c:v>
                </c:pt>
                <c:pt idx="573">
                  <c:v>2.0233011471527045E-2</c:v>
                </c:pt>
                <c:pt idx="574">
                  <c:v>2.0232443883537229E-2</c:v>
                </c:pt>
                <c:pt idx="575">
                  <c:v>2.0233011471527045E-2</c:v>
                </c:pt>
                <c:pt idx="576">
                  <c:v>2.0233011471527049E-2</c:v>
                </c:pt>
                <c:pt idx="577">
                  <c:v>2.0232443883537232E-2</c:v>
                </c:pt>
                <c:pt idx="578">
                  <c:v>2.0232443883536354E-2</c:v>
                </c:pt>
                <c:pt idx="579">
                  <c:v>2.023187631676748E-2</c:v>
                </c:pt>
                <c:pt idx="580" formatCode="General">
                  <c:v>2.0234146711174055E-2</c:v>
                </c:pt>
                <c:pt idx="581" formatCode="General">
                  <c:v>2.0232443883537232E-2</c:v>
                </c:pt>
                <c:pt idx="582" formatCode="General">
                  <c:v>2.0233011471527045E-2</c:v>
                </c:pt>
                <c:pt idx="583" formatCode="General">
                  <c:v>2.0246786608406037E-2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378112"/>
        <c:axId val="462379648"/>
      </c:lineChart>
      <c:catAx>
        <c:axId val="4623781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379648"/>
        <c:crosses val="autoZero"/>
        <c:auto val="1"/>
        <c:lblAlgn val="ctr"/>
        <c:lblOffset val="100"/>
        <c:noMultiLvlLbl val="1"/>
      </c:catAx>
      <c:valAx>
        <c:axId val="46237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37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699605041382601"/>
          <c:y val="0.67573127337690053"/>
          <c:w val="0.19466529143920908"/>
          <c:h val="0.12010235630789313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59088587080976E-2"/>
          <c:y val="5.6214309308171159E-2"/>
          <c:w val="0.87398386443305309"/>
          <c:h val="0.78807731016743121"/>
        </c:manualLayout>
      </c:layout>
      <c:lineChart>
        <c:grouping val="standard"/>
        <c:varyColors val="0"/>
        <c:ser>
          <c:idx val="0"/>
          <c:order val="0"/>
          <c:tx>
            <c:v>diff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'basis 6M '!$L$2:$L$585</c:f>
              <c:numCache>
                <c:formatCode>ddd\,\ dd\-mmm\-yyyy</c:formatCode>
                <c:ptCount val="584"/>
                <c:pt idx="0">
                  <c:v>41887</c:v>
                </c:pt>
                <c:pt idx="1">
                  <c:v>41918</c:v>
                </c:pt>
                <c:pt idx="2">
                  <c:v>41949</c:v>
                </c:pt>
                <c:pt idx="3">
                  <c:v>41981</c:v>
                </c:pt>
                <c:pt idx="4">
                  <c:v>42012</c:v>
                </c:pt>
                <c:pt idx="5">
                  <c:v>42044</c:v>
                </c:pt>
                <c:pt idx="6">
                  <c:v>42072</c:v>
                </c:pt>
                <c:pt idx="7">
                  <c:v>42103</c:v>
                </c:pt>
                <c:pt idx="8">
                  <c:v>42135</c:v>
                </c:pt>
                <c:pt idx="9">
                  <c:v>42166</c:v>
                </c:pt>
                <c:pt idx="10">
                  <c:v>42198</c:v>
                </c:pt>
                <c:pt idx="11">
                  <c:v>42229</c:v>
                </c:pt>
                <c:pt idx="12">
                  <c:v>42261</c:v>
                </c:pt>
                <c:pt idx="13">
                  <c:v>42291</c:v>
                </c:pt>
                <c:pt idx="14">
                  <c:v>42324</c:v>
                </c:pt>
                <c:pt idx="15">
                  <c:v>42354</c:v>
                </c:pt>
                <c:pt idx="16">
                  <c:v>42387</c:v>
                </c:pt>
                <c:pt idx="17">
                  <c:v>42418</c:v>
                </c:pt>
                <c:pt idx="18">
                  <c:v>42447</c:v>
                </c:pt>
                <c:pt idx="19">
                  <c:v>42478</c:v>
                </c:pt>
                <c:pt idx="20">
                  <c:v>42508</c:v>
                </c:pt>
                <c:pt idx="21">
                  <c:v>42541</c:v>
                </c:pt>
                <c:pt idx="22">
                  <c:v>42571</c:v>
                </c:pt>
                <c:pt idx="23">
                  <c:v>42604</c:v>
                </c:pt>
                <c:pt idx="24">
                  <c:v>42635</c:v>
                </c:pt>
                <c:pt idx="25">
                  <c:v>42667</c:v>
                </c:pt>
                <c:pt idx="26">
                  <c:v>42698</c:v>
                </c:pt>
                <c:pt idx="27">
                  <c:v>42731</c:v>
                </c:pt>
                <c:pt idx="28">
                  <c:v>42762</c:v>
                </c:pt>
                <c:pt idx="29">
                  <c:v>42793</c:v>
                </c:pt>
                <c:pt idx="30">
                  <c:v>42821</c:v>
                </c:pt>
                <c:pt idx="31">
                  <c:v>42852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43010</c:v>
                </c:pt>
                <c:pt idx="37">
                  <c:v>43041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44725</c:v>
                </c:pt>
                <c:pt idx="92">
                  <c:v>44755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45509</c:v>
                </c:pt>
                <c:pt idx="117">
                  <c:v>45540</c:v>
                </c:pt>
                <c:pt idx="118">
                  <c:v>45572</c:v>
                </c:pt>
                <c:pt idx="119">
                  <c:v>45603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46384</c:v>
                </c:pt>
                <c:pt idx="145">
                  <c:v>46415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46916</c:v>
                </c:pt>
                <c:pt idx="162">
                  <c:v>46946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47511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48008</c:v>
                </c:pt>
                <c:pt idx="197">
                  <c:v>48038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48694</c:v>
                </c:pt>
                <c:pt idx="219">
                  <c:v>48724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49219</c:v>
                </c:pt>
                <c:pt idx="236">
                  <c:v>49250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50934</c:v>
                </c:pt>
                <c:pt idx="291">
                  <c:v>50964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51529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52026</c:v>
                </c:pt>
                <c:pt idx="326">
                  <c:v>52056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52712</c:v>
                </c:pt>
                <c:pt idx="348">
                  <c:v>52742</c:v>
                </c:pt>
                <c:pt idx="349">
                  <c:v>52775</c:v>
                </c:pt>
                <c:pt idx="350">
                  <c:v>52805</c:v>
                </c:pt>
                <c:pt idx="351">
                  <c:v>52838</c:v>
                </c:pt>
                <c:pt idx="352">
                  <c:v>52869</c:v>
                </c:pt>
                <c:pt idx="353">
                  <c:v>52901</c:v>
                </c:pt>
                <c:pt idx="354">
                  <c:v>52931</c:v>
                </c:pt>
                <c:pt idx="355">
                  <c:v>52961</c:v>
                </c:pt>
                <c:pt idx="356">
                  <c:v>52992</c:v>
                </c:pt>
                <c:pt idx="357">
                  <c:v>53021</c:v>
                </c:pt>
                <c:pt idx="358">
                  <c:v>53049</c:v>
                </c:pt>
                <c:pt idx="359">
                  <c:v>53080</c:v>
                </c:pt>
                <c:pt idx="360">
                  <c:v>53111</c:v>
                </c:pt>
                <c:pt idx="361">
                  <c:v>53142</c:v>
                </c:pt>
                <c:pt idx="362">
                  <c:v>53174</c:v>
                </c:pt>
                <c:pt idx="363">
                  <c:v>53205</c:v>
                </c:pt>
                <c:pt idx="364">
                  <c:v>53237</c:v>
                </c:pt>
                <c:pt idx="365">
                  <c:v>53268</c:v>
                </c:pt>
                <c:pt idx="366">
                  <c:v>53300</c:v>
                </c:pt>
                <c:pt idx="367">
                  <c:v>53331</c:v>
                </c:pt>
                <c:pt idx="368">
                  <c:v>53363</c:v>
                </c:pt>
                <c:pt idx="369">
                  <c:v>53391</c:v>
                </c:pt>
                <c:pt idx="370">
                  <c:v>53422</c:v>
                </c:pt>
                <c:pt idx="371">
                  <c:v>53454</c:v>
                </c:pt>
                <c:pt idx="372">
                  <c:v>53485</c:v>
                </c:pt>
                <c:pt idx="373">
                  <c:v>53517</c:v>
                </c:pt>
                <c:pt idx="374">
                  <c:v>53548</c:v>
                </c:pt>
                <c:pt idx="375">
                  <c:v>53580</c:v>
                </c:pt>
                <c:pt idx="376">
                  <c:v>53610</c:v>
                </c:pt>
                <c:pt idx="377">
                  <c:v>53643</c:v>
                </c:pt>
                <c:pt idx="378">
                  <c:v>53673</c:v>
                </c:pt>
                <c:pt idx="379">
                  <c:v>53706</c:v>
                </c:pt>
                <c:pt idx="380">
                  <c:v>53737</c:v>
                </c:pt>
                <c:pt idx="381">
                  <c:v>53765</c:v>
                </c:pt>
                <c:pt idx="382">
                  <c:v>53798</c:v>
                </c:pt>
                <c:pt idx="383">
                  <c:v>53828</c:v>
                </c:pt>
                <c:pt idx="384">
                  <c:v>53860</c:v>
                </c:pt>
                <c:pt idx="385">
                  <c:v>53890</c:v>
                </c:pt>
                <c:pt idx="386">
                  <c:v>53923</c:v>
                </c:pt>
                <c:pt idx="387">
                  <c:v>53954</c:v>
                </c:pt>
                <c:pt idx="388">
                  <c:v>53986</c:v>
                </c:pt>
                <c:pt idx="389">
                  <c:v>54017</c:v>
                </c:pt>
                <c:pt idx="390">
                  <c:v>54049</c:v>
                </c:pt>
                <c:pt idx="391">
                  <c:v>54080</c:v>
                </c:pt>
                <c:pt idx="392">
                  <c:v>54112</c:v>
                </c:pt>
                <c:pt idx="393">
                  <c:v>54141</c:v>
                </c:pt>
                <c:pt idx="394">
                  <c:v>54172</c:v>
                </c:pt>
                <c:pt idx="395">
                  <c:v>54203</c:v>
                </c:pt>
                <c:pt idx="396">
                  <c:v>54234</c:v>
                </c:pt>
                <c:pt idx="397">
                  <c:v>54266</c:v>
                </c:pt>
                <c:pt idx="398">
                  <c:v>54297</c:v>
                </c:pt>
                <c:pt idx="399">
                  <c:v>54329</c:v>
                </c:pt>
                <c:pt idx="400">
                  <c:v>54359</c:v>
                </c:pt>
                <c:pt idx="401">
                  <c:v>54392</c:v>
                </c:pt>
                <c:pt idx="402">
                  <c:v>54422</c:v>
                </c:pt>
                <c:pt idx="403">
                  <c:v>54455</c:v>
                </c:pt>
                <c:pt idx="404">
                  <c:v>54483</c:v>
                </c:pt>
                <c:pt idx="405">
                  <c:v>54514</c:v>
                </c:pt>
                <c:pt idx="406">
                  <c:v>54546</c:v>
                </c:pt>
                <c:pt idx="407">
                  <c:v>54577</c:v>
                </c:pt>
                <c:pt idx="408">
                  <c:v>54609</c:v>
                </c:pt>
                <c:pt idx="409">
                  <c:v>54640</c:v>
                </c:pt>
                <c:pt idx="410">
                  <c:v>54672</c:v>
                </c:pt>
                <c:pt idx="411">
                  <c:v>54702</c:v>
                </c:pt>
                <c:pt idx="412">
                  <c:v>54735</c:v>
                </c:pt>
                <c:pt idx="413">
                  <c:v>54765</c:v>
                </c:pt>
                <c:pt idx="414">
                  <c:v>54798</c:v>
                </c:pt>
                <c:pt idx="415">
                  <c:v>54829</c:v>
                </c:pt>
                <c:pt idx="416">
                  <c:v>54857</c:v>
                </c:pt>
                <c:pt idx="417">
                  <c:v>54890</c:v>
                </c:pt>
                <c:pt idx="418">
                  <c:v>54920</c:v>
                </c:pt>
                <c:pt idx="419">
                  <c:v>54952</c:v>
                </c:pt>
                <c:pt idx="420">
                  <c:v>54982</c:v>
                </c:pt>
                <c:pt idx="421">
                  <c:v>55015</c:v>
                </c:pt>
                <c:pt idx="422">
                  <c:v>55046</c:v>
                </c:pt>
                <c:pt idx="423">
                  <c:v>55078</c:v>
                </c:pt>
                <c:pt idx="424">
                  <c:v>55109</c:v>
                </c:pt>
                <c:pt idx="425">
                  <c:v>55141</c:v>
                </c:pt>
                <c:pt idx="426">
                  <c:v>55172</c:v>
                </c:pt>
                <c:pt idx="427">
                  <c:v>55204</c:v>
                </c:pt>
                <c:pt idx="428">
                  <c:v>55232</c:v>
                </c:pt>
                <c:pt idx="429">
                  <c:v>55263</c:v>
                </c:pt>
                <c:pt idx="430">
                  <c:v>55295</c:v>
                </c:pt>
                <c:pt idx="431">
                  <c:v>55326</c:v>
                </c:pt>
                <c:pt idx="432">
                  <c:v>55358</c:v>
                </c:pt>
                <c:pt idx="433">
                  <c:v>55389</c:v>
                </c:pt>
                <c:pt idx="434">
                  <c:v>55421</c:v>
                </c:pt>
                <c:pt idx="435">
                  <c:v>55451</c:v>
                </c:pt>
                <c:pt idx="436">
                  <c:v>55484</c:v>
                </c:pt>
                <c:pt idx="437">
                  <c:v>55514</c:v>
                </c:pt>
                <c:pt idx="438">
                  <c:v>55547</c:v>
                </c:pt>
                <c:pt idx="439">
                  <c:v>55578</c:v>
                </c:pt>
                <c:pt idx="440">
                  <c:v>55607</c:v>
                </c:pt>
                <c:pt idx="441">
                  <c:v>55638</c:v>
                </c:pt>
                <c:pt idx="442">
                  <c:v>55668</c:v>
                </c:pt>
                <c:pt idx="443">
                  <c:v>55701</c:v>
                </c:pt>
                <c:pt idx="444">
                  <c:v>55732</c:v>
                </c:pt>
                <c:pt idx="445">
                  <c:v>55764</c:v>
                </c:pt>
                <c:pt idx="446">
                  <c:v>55794</c:v>
                </c:pt>
                <c:pt idx="447">
                  <c:v>55827</c:v>
                </c:pt>
                <c:pt idx="448">
                  <c:v>55857</c:v>
                </c:pt>
                <c:pt idx="449">
                  <c:v>55890</c:v>
                </c:pt>
                <c:pt idx="450">
                  <c:v>55921</c:v>
                </c:pt>
                <c:pt idx="451">
                  <c:v>55949</c:v>
                </c:pt>
                <c:pt idx="452">
                  <c:v>55982</c:v>
                </c:pt>
                <c:pt idx="453">
                  <c:v>56012</c:v>
                </c:pt>
                <c:pt idx="454">
                  <c:v>56044</c:v>
                </c:pt>
                <c:pt idx="455">
                  <c:v>56074</c:v>
                </c:pt>
                <c:pt idx="456">
                  <c:v>56107</c:v>
                </c:pt>
                <c:pt idx="457">
                  <c:v>56138</c:v>
                </c:pt>
                <c:pt idx="458">
                  <c:v>56170</c:v>
                </c:pt>
                <c:pt idx="459">
                  <c:v>56201</c:v>
                </c:pt>
                <c:pt idx="460">
                  <c:v>56233</c:v>
                </c:pt>
                <c:pt idx="461">
                  <c:v>56264</c:v>
                </c:pt>
                <c:pt idx="462">
                  <c:v>56296</c:v>
                </c:pt>
                <c:pt idx="463">
                  <c:v>56324</c:v>
                </c:pt>
                <c:pt idx="464">
                  <c:v>56355</c:v>
                </c:pt>
                <c:pt idx="465">
                  <c:v>56387</c:v>
                </c:pt>
                <c:pt idx="466">
                  <c:v>56418</c:v>
                </c:pt>
                <c:pt idx="467">
                  <c:v>56450</c:v>
                </c:pt>
                <c:pt idx="468">
                  <c:v>56481</c:v>
                </c:pt>
                <c:pt idx="469">
                  <c:v>56513</c:v>
                </c:pt>
                <c:pt idx="470">
                  <c:v>56543</c:v>
                </c:pt>
                <c:pt idx="471">
                  <c:v>56576</c:v>
                </c:pt>
                <c:pt idx="472">
                  <c:v>56606</c:v>
                </c:pt>
                <c:pt idx="473">
                  <c:v>56639</c:v>
                </c:pt>
                <c:pt idx="474">
                  <c:v>56670</c:v>
                </c:pt>
                <c:pt idx="475">
                  <c:v>56698</c:v>
                </c:pt>
                <c:pt idx="476">
                  <c:v>56730</c:v>
                </c:pt>
                <c:pt idx="477">
                  <c:v>56760</c:v>
                </c:pt>
                <c:pt idx="478">
                  <c:v>56793</c:v>
                </c:pt>
                <c:pt idx="479">
                  <c:v>56823</c:v>
                </c:pt>
                <c:pt idx="480">
                  <c:v>56856</c:v>
                </c:pt>
                <c:pt idx="481">
                  <c:v>56887</c:v>
                </c:pt>
                <c:pt idx="482">
                  <c:v>56919</c:v>
                </c:pt>
                <c:pt idx="483">
                  <c:v>56949</c:v>
                </c:pt>
                <c:pt idx="484">
                  <c:v>56982</c:v>
                </c:pt>
                <c:pt idx="485">
                  <c:v>57013</c:v>
                </c:pt>
                <c:pt idx="486">
                  <c:v>57042</c:v>
                </c:pt>
                <c:pt idx="487">
                  <c:v>57074</c:v>
                </c:pt>
                <c:pt idx="488">
                  <c:v>57104</c:v>
                </c:pt>
                <c:pt idx="489">
                  <c:v>57136</c:v>
                </c:pt>
                <c:pt idx="490">
                  <c:v>57166</c:v>
                </c:pt>
                <c:pt idx="491">
                  <c:v>57199</c:v>
                </c:pt>
                <c:pt idx="492">
                  <c:v>57230</c:v>
                </c:pt>
                <c:pt idx="493">
                  <c:v>57262</c:v>
                </c:pt>
                <c:pt idx="494">
                  <c:v>57293</c:v>
                </c:pt>
                <c:pt idx="495">
                  <c:v>57325</c:v>
                </c:pt>
                <c:pt idx="496">
                  <c:v>57356</c:v>
                </c:pt>
                <c:pt idx="497">
                  <c:v>57388</c:v>
                </c:pt>
                <c:pt idx="498">
                  <c:v>57416</c:v>
                </c:pt>
                <c:pt idx="499">
                  <c:v>57447</c:v>
                </c:pt>
                <c:pt idx="500">
                  <c:v>57479</c:v>
                </c:pt>
                <c:pt idx="501">
                  <c:v>57510</c:v>
                </c:pt>
                <c:pt idx="502">
                  <c:v>57542</c:v>
                </c:pt>
                <c:pt idx="503">
                  <c:v>57573</c:v>
                </c:pt>
                <c:pt idx="504">
                  <c:v>57605</c:v>
                </c:pt>
                <c:pt idx="505">
                  <c:v>57635</c:v>
                </c:pt>
                <c:pt idx="506">
                  <c:v>57668</c:v>
                </c:pt>
                <c:pt idx="507">
                  <c:v>57698</c:v>
                </c:pt>
                <c:pt idx="508">
                  <c:v>57731</c:v>
                </c:pt>
                <c:pt idx="509">
                  <c:v>57762</c:v>
                </c:pt>
                <c:pt idx="510">
                  <c:v>57790</c:v>
                </c:pt>
                <c:pt idx="511">
                  <c:v>57822</c:v>
                </c:pt>
                <c:pt idx="512">
                  <c:v>57852</c:v>
                </c:pt>
                <c:pt idx="513">
                  <c:v>57885</c:v>
                </c:pt>
                <c:pt idx="514">
                  <c:v>57915</c:v>
                </c:pt>
                <c:pt idx="515">
                  <c:v>57948</c:v>
                </c:pt>
                <c:pt idx="516">
                  <c:v>57979</c:v>
                </c:pt>
                <c:pt idx="517">
                  <c:v>58011</c:v>
                </c:pt>
                <c:pt idx="518">
                  <c:v>58042</c:v>
                </c:pt>
                <c:pt idx="519">
                  <c:v>58074</c:v>
                </c:pt>
                <c:pt idx="520">
                  <c:v>58105</c:v>
                </c:pt>
                <c:pt idx="521">
                  <c:v>58134</c:v>
                </c:pt>
                <c:pt idx="522">
                  <c:v>58166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58322</c:v>
                </c:pt>
                <c:pt idx="528">
                  <c:v>58354</c:v>
                </c:pt>
                <c:pt idx="529">
                  <c:v>58385</c:v>
                </c:pt>
                <c:pt idx="530">
                  <c:v>58417</c:v>
                </c:pt>
                <c:pt idx="531">
                  <c:v>58448</c:v>
                </c:pt>
                <c:pt idx="532">
                  <c:v>58480</c:v>
                </c:pt>
                <c:pt idx="533">
                  <c:v>58509</c:v>
                </c:pt>
                <c:pt idx="534">
                  <c:v>58540</c:v>
                </c:pt>
                <c:pt idx="535">
                  <c:v>58571</c:v>
                </c:pt>
                <c:pt idx="536">
                  <c:v>58602</c:v>
                </c:pt>
                <c:pt idx="537">
                  <c:v>58634</c:v>
                </c:pt>
                <c:pt idx="538">
                  <c:v>58665</c:v>
                </c:pt>
                <c:pt idx="539">
                  <c:v>58697</c:v>
                </c:pt>
                <c:pt idx="540">
                  <c:v>58727</c:v>
                </c:pt>
                <c:pt idx="541">
                  <c:v>58760</c:v>
                </c:pt>
                <c:pt idx="542">
                  <c:v>58790</c:v>
                </c:pt>
                <c:pt idx="543">
                  <c:v>58823</c:v>
                </c:pt>
                <c:pt idx="544">
                  <c:v>58854</c:v>
                </c:pt>
                <c:pt idx="545">
                  <c:v>58882</c:v>
                </c:pt>
                <c:pt idx="546">
                  <c:v>58914</c:v>
                </c:pt>
                <c:pt idx="547">
                  <c:v>58944</c:v>
                </c:pt>
                <c:pt idx="548">
                  <c:v>58977</c:v>
                </c:pt>
                <c:pt idx="549">
                  <c:v>59007</c:v>
                </c:pt>
                <c:pt idx="550">
                  <c:v>59040</c:v>
                </c:pt>
                <c:pt idx="551">
                  <c:v>59071</c:v>
                </c:pt>
                <c:pt idx="552">
                  <c:v>59103</c:v>
                </c:pt>
                <c:pt idx="553">
                  <c:v>59134</c:v>
                </c:pt>
                <c:pt idx="554">
                  <c:v>59167</c:v>
                </c:pt>
                <c:pt idx="555">
                  <c:v>59198</c:v>
                </c:pt>
                <c:pt idx="556">
                  <c:v>59229</c:v>
                </c:pt>
                <c:pt idx="557">
                  <c:v>59258</c:v>
                </c:pt>
                <c:pt idx="558">
                  <c:v>59289</c:v>
                </c:pt>
                <c:pt idx="559">
                  <c:v>59320</c:v>
                </c:pt>
                <c:pt idx="560">
                  <c:v>59351</c:v>
                </c:pt>
                <c:pt idx="561">
                  <c:v>59383</c:v>
                </c:pt>
                <c:pt idx="562">
                  <c:v>59414</c:v>
                </c:pt>
                <c:pt idx="563">
                  <c:v>59446</c:v>
                </c:pt>
                <c:pt idx="564">
                  <c:v>59477</c:v>
                </c:pt>
                <c:pt idx="565">
                  <c:v>59509</c:v>
                </c:pt>
                <c:pt idx="566">
                  <c:v>59540</c:v>
                </c:pt>
                <c:pt idx="567">
                  <c:v>59572</c:v>
                </c:pt>
                <c:pt idx="568">
                  <c:v>59600</c:v>
                </c:pt>
                <c:pt idx="569">
                  <c:v>59631</c:v>
                </c:pt>
                <c:pt idx="570">
                  <c:v>59663</c:v>
                </c:pt>
                <c:pt idx="571">
                  <c:v>59694</c:v>
                </c:pt>
                <c:pt idx="572">
                  <c:v>59726</c:v>
                </c:pt>
                <c:pt idx="573">
                  <c:v>59757</c:v>
                </c:pt>
                <c:pt idx="574">
                  <c:v>59789</c:v>
                </c:pt>
                <c:pt idx="575">
                  <c:v>59819</c:v>
                </c:pt>
                <c:pt idx="576">
                  <c:v>59852</c:v>
                </c:pt>
                <c:pt idx="577">
                  <c:v>59882</c:v>
                </c:pt>
                <c:pt idx="578">
                  <c:v>59915</c:v>
                </c:pt>
                <c:pt idx="579">
                  <c:v>59946</c:v>
                </c:pt>
                <c:pt idx="580" formatCode="General">
                  <c:v>59975</c:v>
                </c:pt>
                <c:pt idx="581" formatCode="General">
                  <c:v>60006</c:v>
                </c:pt>
                <c:pt idx="582" formatCode="General">
                  <c:v>60036</c:v>
                </c:pt>
                <c:pt idx="583" formatCode="General">
                  <c:v>60069</c:v>
                </c:pt>
              </c:numCache>
            </c:numRef>
          </c:cat>
          <c:val>
            <c:numRef>
              <c:f>'basis 6M '!$Q$2:$Q$585</c:f>
              <c:numCache>
                <c:formatCode>0.0000%</c:formatCode>
                <c:ptCount val="584"/>
                <c:pt idx="0">
                  <c:v>2.5374503155002268E-3</c:v>
                </c:pt>
                <c:pt idx="1">
                  <c:v>2.4428618290425522E-3</c:v>
                </c:pt>
                <c:pt idx="2">
                  <c:v>2.399037818343826E-3</c:v>
                </c:pt>
                <c:pt idx="3">
                  <c:v>2.3435253868724065E-3</c:v>
                </c:pt>
                <c:pt idx="4">
                  <c:v>2.358813701168526E-3</c:v>
                </c:pt>
                <c:pt idx="5">
                  <c:v>2.4183023045127312E-3</c:v>
                </c:pt>
                <c:pt idx="6">
                  <c:v>2.4970091619687207E-3</c:v>
                </c:pt>
                <c:pt idx="7">
                  <c:v>2.5220736361846316E-3</c:v>
                </c:pt>
                <c:pt idx="8">
                  <c:v>2.5535952661085003E-3</c:v>
                </c:pt>
                <c:pt idx="9">
                  <c:v>2.618498281131552E-3</c:v>
                </c:pt>
                <c:pt idx="10">
                  <c:v>2.6963898204880182E-3</c:v>
                </c:pt>
                <c:pt idx="11">
                  <c:v>2.7553624344449114E-3</c:v>
                </c:pt>
                <c:pt idx="12">
                  <c:v>2.78360023169697E-3</c:v>
                </c:pt>
                <c:pt idx="13">
                  <c:v>2.8052109929278084E-3</c:v>
                </c:pt>
                <c:pt idx="14">
                  <c:v>2.8405932990542234E-3</c:v>
                </c:pt>
                <c:pt idx="15">
                  <c:v>2.8713721946373593E-3</c:v>
                </c:pt>
                <c:pt idx="16">
                  <c:v>2.9273740384870616E-3</c:v>
                </c:pt>
                <c:pt idx="17">
                  <c:v>3.0016669980265148E-3</c:v>
                </c:pt>
                <c:pt idx="18">
                  <c:v>3.0245613300111077E-3</c:v>
                </c:pt>
                <c:pt idx="19">
                  <c:v>2.9794962262452112E-3</c:v>
                </c:pt>
                <c:pt idx="20">
                  <c:v>2.9500232445339E-3</c:v>
                </c:pt>
                <c:pt idx="21">
                  <c:v>2.897017843555488E-3</c:v>
                </c:pt>
                <c:pt idx="22">
                  <c:v>2.7782427795413457E-3</c:v>
                </c:pt>
                <c:pt idx="23">
                  <c:v>2.6587563839705016E-3</c:v>
                </c:pt>
                <c:pt idx="24">
                  <c:v>2.7049925284511629E-3</c:v>
                </c:pt>
                <c:pt idx="25">
                  <c:v>2.8908196930593315E-3</c:v>
                </c:pt>
                <c:pt idx="26">
                  <c:v>3.0664161358607417E-3</c:v>
                </c:pt>
                <c:pt idx="27">
                  <c:v>3.2608112313813444E-3</c:v>
                </c:pt>
                <c:pt idx="28">
                  <c:v>3.4390126207703205E-3</c:v>
                </c:pt>
                <c:pt idx="29">
                  <c:v>3.6244582968602132E-3</c:v>
                </c:pt>
                <c:pt idx="30">
                  <c:v>3.7964544480937144E-3</c:v>
                </c:pt>
                <c:pt idx="31">
                  <c:v>3.9787829784053413E-3</c:v>
                </c:pt>
                <c:pt idx="32">
                  <c:v>4.1756080983603441E-3</c:v>
                </c:pt>
                <c:pt idx="33">
                  <c:v>3.8505686346773692E-3</c:v>
                </c:pt>
                <c:pt idx="34">
                  <c:v>3.3707445663262547E-3</c:v>
                </c:pt>
                <c:pt idx="35">
                  <c:v>2.8979013428170005E-3</c:v>
                </c:pt>
                <c:pt idx="36">
                  <c:v>3.0057742048622709E-3</c:v>
                </c:pt>
                <c:pt idx="37">
                  <c:v>3.2061221341751979E-3</c:v>
                </c:pt>
                <c:pt idx="38">
                  <c:v>3.4285046257225235E-3</c:v>
                </c:pt>
                <c:pt idx="39">
                  <c:v>3.6416135416948523E-3</c:v>
                </c:pt>
                <c:pt idx="40">
                  <c:v>3.8739198657755424E-3</c:v>
                </c:pt>
                <c:pt idx="41">
                  <c:v>4.0857060712762294E-3</c:v>
                </c:pt>
                <c:pt idx="42">
                  <c:v>4.3123624654973318E-3</c:v>
                </c:pt>
                <c:pt idx="43">
                  <c:v>4.5585786783822798E-3</c:v>
                </c:pt>
                <c:pt idx="44">
                  <c:v>4.7370406257420134E-3</c:v>
                </c:pt>
                <c:pt idx="45">
                  <c:v>4.0946539271516013E-3</c:v>
                </c:pt>
                <c:pt idx="46">
                  <c:v>3.4790543731230174E-3</c:v>
                </c:pt>
                <c:pt idx="47">
                  <c:v>2.9608241741809239E-3</c:v>
                </c:pt>
                <c:pt idx="48">
                  <c:v>3.2007052089235216E-3</c:v>
                </c:pt>
                <c:pt idx="49">
                  <c:v>3.4663675406914271E-3</c:v>
                </c:pt>
                <c:pt idx="50">
                  <c:v>3.7095527721933454E-3</c:v>
                </c:pt>
                <c:pt idx="51">
                  <c:v>3.978665049107738E-3</c:v>
                </c:pt>
                <c:pt idx="52">
                  <c:v>4.2289861547657962E-3</c:v>
                </c:pt>
                <c:pt idx="53">
                  <c:v>4.4816354862790573E-3</c:v>
                </c:pt>
                <c:pt idx="54">
                  <c:v>4.7347337067681324E-3</c:v>
                </c:pt>
                <c:pt idx="55">
                  <c:v>4.9900708270676237E-3</c:v>
                </c:pt>
                <c:pt idx="56">
                  <c:v>4.8208768174807827E-3</c:v>
                </c:pt>
                <c:pt idx="57">
                  <c:v>3.9725895172513532E-3</c:v>
                </c:pt>
                <c:pt idx="58">
                  <c:v>3.0363022564431873E-3</c:v>
                </c:pt>
                <c:pt idx="59">
                  <c:v>2.6665502407826891E-3</c:v>
                </c:pt>
                <c:pt idx="60">
                  <c:v>2.9486575593408622E-3</c:v>
                </c:pt>
                <c:pt idx="61">
                  <c:v>3.2150661295474326E-3</c:v>
                </c:pt>
                <c:pt idx="62">
                  <c:v>3.5016772370418097E-3</c:v>
                </c:pt>
                <c:pt idx="63">
                  <c:v>3.7720678777407486E-3</c:v>
                </c:pt>
                <c:pt idx="64">
                  <c:v>4.0580988935438964E-3</c:v>
                </c:pt>
                <c:pt idx="65">
                  <c:v>4.3286101363147703E-3</c:v>
                </c:pt>
                <c:pt idx="66">
                  <c:v>4.61413599407667E-3</c:v>
                </c:pt>
                <c:pt idx="67">
                  <c:v>4.8905637150443576E-3</c:v>
                </c:pt>
                <c:pt idx="68">
                  <c:v>4.5234419960384891E-3</c:v>
                </c:pt>
                <c:pt idx="69">
                  <c:v>3.633258970713267E-3</c:v>
                </c:pt>
                <c:pt idx="70">
                  <c:v>2.7733604760534544E-3</c:v>
                </c:pt>
                <c:pt idx="71">
                  <c:v>2.6514818332561123E-3</c:v>
                </c:pt>
                <c:pt idx="72">
                  <c:v>2.9157421985536915E-3</c:v>
                </c:pt>
                <c:pt idx="73">
                  <c:v>3.2037992660133227E-3</c:v>
                </c:pt>
                <c:pt idx="74">
                  <c:v>3.4628935956264074E-3</c:v>
                </c:pt>
                <c:pt idx="75">
                  <c:v>3.7443778062825773E-3</c:v>
                </c:pt>
                <c:pt idx="76">
                  <c:v>3.9897035019042567E-3</c:v>
                </c:pt>
                <c:pt idx="77">
                  <c:v>4.244445580059911E-3</c:v>
                </c:pt>
                <c:pt idx="78">
                  <c:v>4.5128395353079345E-3</c:v>
                </c:pt>
                <c:pt idx="79">
                  <c:v>4.7608487739592142E-3</c:v>
                </c:pt>
                <c:pt idx="80">
                  <c:v>4.0097740700799529E-3</c:v>
                </c:pt>
                <c:pt idx="81">
                  <c:v>3.1806385250736507E-3</c:v>
                </c:pt>
                <c:pt idx="82">
                  <c:v>2.2944825575499633E-3</c:v>
                </c:pt>
                <c:pt idx="83">
                  <c:v>2.5221805762598096E-3</c:v>
                </c:pt>
                <c:pt idx="84">
                  <c:v>2.7679827338995943E-3</c:v>
                </c:pt>
                <c:pt idx="85">
                  <c:v>2.9875316892959275E-3</c:v>
                </c:pt>
                <c:pt idx="86">
                  <c:v>3.2229234422330947E-3</c:v>
                </c:pt>
                <c:pt idx="87">
                  <c:v>3.4363430324992218E-3</c:v>
                </c:pt>
                <c:pt idx="88">
                  <c:v>3.6461655115910749E-3</c:v>
                </c:pt>
                <c:pt idx="89">
                  <c:v>3.8492426279519952E-3</c:v>
                </c:pt>
                <c:pt idx="90">
                  <c:v>4.0483974323901138E-3</c:v>
                </c:pt>
                <c:pt idx="91">
                  <c:v>4.0460456659890259E-3</c:v>
                </c:pt>
                <c:pt idx="92">
                  <c:v>3.4536701417348867E-3</c:v>
                </c:pt>
                <c:pt idx="93">
                  <c:v>2.7909339878690737E-3</c:v>
                </c:pt>
                <c:pt idx="94">
                  <c:v>2.4119309663296409E-3</c:v>
                </c:pt>
                <c:pt idx="95">
                  <c:v>2.5897769182550399E-3</c:v>
                </c:pt>
                <c:pt idx="96">
                  <c:v>2.7489562255485385E-3</c:v>
                </c:pt>
                <c:pt idx="97">
                  <c:v>2.9123017654433467E-3</c:v>
                </c:pt>
                <c:pt idx="98">
                  <c:v>3.0574421250101312E-3</c:v>
                </c:pt>
                <c:pt idx="99">
                  <c:v>3.2044918686531809E-3</c:v>
                </c:pt>
                <c:pt idx="100">
                  <c:v>3.3295374391105886E-3</c:v>
                </c:pt>
                <c:pt idx="101">
                  <c:v>3.4540125820157232E-3</c:v>
                </c:pt>
                <c:pt idx="102">
                  <c:v>3.5806578593887868E-3</c:v>
                </c:pt>
                <c:pt idx="103">
                  <c:v>3.4292059813666349E-3</c:v>
                </c:pt>
                <c:pt idx="104">
                  <c:v>3.0486344342933978E-3</c:v>
                </c:pt>
                <c:pt idx="105">
                  <c:v>2.6794359306490795E-3</c:v>
                </c:pt>
                <c:pt idx="106">
                  <c:v>2.5930655049323827E-3</c:v>
                </c:pt>
                <c:pt idx="107">
                  <c:v>2.6982509193696214E-3</c:v>
                </c:pt>
                <c:pt idx="108">
                  <c:v>2.8068793323412708E-3</c:v>
                </c:pt>
                <c:pt idx="109">
                  <c:v>2.9091605665429281E-3</c:v>
                </c:pt>
                <c:pt idx="110">
                  <c:v>3.0146672660099801E-3</c:v>
                </c:pt>
                <c:pt idx="111">
                  <c:v>3.1172383861692264E-3</c:v>
                </c:pt>
                <c:pt idx="112">
                  <c:v>3.221284188681485E-3</c:v>
                </c:pt>
                <c:pt idx="113">
                  <c:v>3.3208902269812844E-3</c:v>
                </c:pt>
                <c:pt idx="114">
                  <c:v>3.4119581796883194E-3</c:v>
                </c:pt>
                <c:pt idx="115">
                  <c:v>3.0610096160857553E-3</c:v>
                </c:pt>
                <c:pt idx="116">
                  <c:v>2.6352060135540999E-3</c:v>
                </c:pt>
                <c:pt idx="117">
                  <c:v>2.2268854266228079E-3</c:v>
                </c:pt>
                <c:pt idx="118">
                  <c:v>2.3160639945103804E-3</c:v>
                </c:pt>
                <c:pt idx="119">
                  <c:v>2.3962204911855828E-3</c:v>
                </c:pt>
                <c:pt idx="120">
                  <c:v>2.4807619825674074E-3</c:v>
                </c:pt>
                <c:pt idx="121">
                  <c:v>2.5560178808359431E-3</c:v>
                </c:pt>
                <c:pt idx="122">
                  <c:v>2.6335128192799991E-3</c:v>
                </c:pt>
                <c:pt idx="123">
                  <c:v>2.7008561835621843E-3</c:v>
                </c:pt>
                <c:pt idx="124">
                  <c:v>2.7680849172395279E-3</c:v>
                </c:pt>
                <c:pt idx="125">
                  <c:v>2.8370524185816759E-3</c:v>
                </c:pt>
                <c:pt idx="126">
                  <c:v>2.8278875859786418E-3</c:v>
                </c:pt>
                <c:pt idx="127">
                  <c:v>2.5702793310350656E-3</c:v>
                </c:pt>
                <c:pt idx="128">
                  <c:v>2.3195169909680166E-3</c:v>
                </c:pt>
                <c:pt idx="129">
                  <c:v>2.1489581169865379E-3</c:v>
                </c:pt>
                <c:pt idx="130">
                  <c:v>2.1984316562977772E-3</c:v>
                </c:pt>
                <c:pt idx="131">
                  <c:v>2.2506002897913248E-3</c:v>
                </c:pt>
                <c:pt idx="132">
                  <c:v>2.2966349497926773E-3</c:v>
                </c:pt>
                <c:pt idx="133">
                  <c:v>2.3421980775343645E-3</c:v>
                </c:pt>
                <c:pt idx="134">
                  <c:v>2.3826945545790019E-3</c:v>
                </c:pt>
                <c:pt idx="135">
                  <c:v>2.421835452296614E-3</c:v>
                </c:pt>
                <c:pt idx="136">
                  <c:v>2.4549261070899164E-3</c:v>
                </c:pt>
                <c:pt idx="137">
                  <c:v>2.4874396913593146E-3</c:v>
                </c:pt>
                <c:pt idx="138">
                  <c:v>2.342347973266632E-3</c:v>
                </c:pt>
                <c:pt idx="139">
                  <c:v>2.0183760551341426E-3</c:v>
                </c:pt>
                <c:pt idx="140">
                  <c:v>1.6587665959925633E-3</c:v>
                </c:pt>
                <c:pt idx="141">
                  <c:v>1.5166590294092945E-3</c:v>
                </c:pt>
                <c:pt idx="142">
                  <c:v>1.542181384911176E-3</c:v>
                </c:pt>
                <c:pt idx="143">
                  <c:v>1.5639401689852839E-3</c:v>
                </c:pt>
                <c:pt idx="144">
                  <c:v>1.587380607439029E-3</c:v>
                </c:pt>
                <c:pt idx="145">
                  <c:v>1.607947322506794E-3</c:v>
                </c:pt>
                <c:pt idx="146">
                  <c:v>1.6293373883778141E-3</c:v>
                </c:pt>
                <c:pt idx="147">
                  <c:v>1.6465031757071646E-3</c:v>
                </c:pt>
                <c:pt idx="148">
                  <c:v>1.6635660181479155E-3</c:v>
                </c:pt>
                <c:pt idx="149">
                  <c:v>1.6773701066988313E-3</c:v>
                </c:pt>
                <c:pt idx="150">
                  <c:v>1.692349072895373E-3</c:v>
                </c:pt>
                <c:pt idx="151">
                  <c:v>1.70650803914894E-3</c:v>
                </c:pt>
                <c:pt idx="152">
                  <c:v>1.7144553650189839E-3</c:v>
                </c:pt>
                <c:pt idx="153">
                  <c:v>1.7239282290049361E-3</c:v>
                </c:pt>
                <c:pt idx="154">
                  <c:v>1.7317073657321658E-3</c:v>
                </c:pt>
                <c:pt idx="155">
                  <c:v>1.7399915039112875E-3</c:v>
                </c:pt>
                <c:pt idx="156">
                  <c:v>1.7449604430219458E-3</c:v>
                </c:pt>
                <c:pt idx="157">
                  <c:v>1.7498501137317782E-3</c:v>
                </c:pt>
                <c:pt idx="158">
                  <c:v>1.7522165016480989E-3</c:v>
                </c:pt>
                <c:pt idx="159">
                  <c:v>1.754276456238768E-3</c:v>
                </c:pt>
                <c:pt idx="160">
                  <c:v>1.7546497407678018E-3</c:v>
                </c:pt>
                <c:pt idx="161">
                  <c:v>1.752728419250258E-3</c:v>
                </c:pt>
                <c:pt idx="162">
                  <c:v>1.7511881798716183E-3</c:v>
                </c:pt>
                <c:pt idx="163">
                  <c:v>1.7472013985912922E-3</c:v>
                </c:pt>
                <c:pt idx="164">
                  <c:v>1.7406506418624519E-3</c:v>
                </c:pt>
                <c:pt idx="165">
                  <c:v>1.7340409060557747E-3</c:v>
                </c:pt>
                <c:pt idx="166">
                  <c:v>1.725619449940461E-3</c:v>
                </c:pt>
                <c:pt idx="167">
                  <c:v>1.7176460962797305E-3</c:v>
                </c:pt>
                <c:pt idx="168">
                  <c:v>1.7073129603276498E-3</c:v>
                </c:pt>
                <c:pt idx="169">
                  <c:v>1.6950827493504156E-3</c:v>
                </c:pt>
                <c:pt idx="170">
                  <c:v>1.6837681077543146E-3</c:v>
                </c:pt>
                <c:pt idx="171">
                  <c:v>1.6696777389679125E-3</c:v>
                </c:pt>
                <c:pt idx="172">
                  <c:v>1.6537497126277376E-3</c:v>
                </c:pt>
                <c:pt idx="173">
                  <c:v>1.6438871274147351E-3</c:v>
                </c:pt>
                <c:pt idx="174">
                  <c:v>1.6407731158923182E-3</c:v>
                </c:pt>
                <c:pt idx="175">
                  <c:v>1.6378706546822178E-3</c:v>
                </c:pt>
                <c:pt idx="176">
                  <c:v>1.6239560054338159E-3</c:v>
                </c:pt>
                <c:pt idx="177">
                  <c:v>1.6062127585865157E-3</c:v>
                </c:pt>
                <c:pt idx="178">
                  <c:v>1.58732785331046E-3</c:v>
                </c:pt>
                <c:pt idx="179">
                  <c:v>1.5708761359173526E-3</c:v>
                </c:pt>
                <c:pt idx="180">
                  <c:v>1.5515296687686267E-3</c:v>
                </c:pt>
                <c:pt idx="181">
                  <c:v>1.5352991272806343E-3</c:v>
                </c:pt>
                <c:pt idx="182">
                  <c:v>1.5181292970168001E-3</c:v>
                </c:pt>
                <c:pt idx="183">
                  <c:v>1.4982156062712595E-3</c:v>
                </c:pt>
                <c:pt idx="184">
                  <c:v>1.4799773612237145E-3</c:v>
                </c:pt>
                <c:pt idx="185">
                  <c:v>1.4604890027022331E-3</c:v>
                </c:pt>
                <c:pt idx="186">
                  <c:v>1.4420523117101014E-3</c:v>
                </c:pt>
                <c:pt idx="187">
                  <c:v>1.4210615418353487E-3</c:v>
                </c:pt>
                <c:pt idx="188">
                  <c:v>1.4017329335608564E-3</c:v>
                </c:pt>
                <c:pt idx="189">
                  <c:v>1.3811041798292775E-3</c:v>
                </c:pt>
                <c:pt idx="190">
                  <c:v>1.3636467024799696E-3</c:v>
                </c:pt>
                <c:pt idx="191">
                  <c:v>1.3419769744833637E-3</c:v>
                </c:pt>
                <c:pt idx="192">
                  <c:v>1.3231045992858764E-3</c:v>
                </c:pt>
                <c:pt idx="193">
                  <c:v>1.3052965492736275E-3</c:v>
                </c:pt>
                <c:pt idx="194">
                  <c:v>1.2838139287062247E-3</c:v>
                </c:pt>
                <c:pt idx="195">
                  <c:v>1.2639497074599625E-3</c:v>
                </c:pt>
                <c:pt idx="196">
                  <c:v>1.2417432783125848E-3</c:v>
                </c:pt>
                <c:pt idx="197">
                  <c:v>1.2223011150320866E-3</c:v>
                </c:pt>
                <c:pt idx="198">
                  <c:v>1.2002412181976313E-3</c:v>
                </c:pt>
                <c:pt idx="199">
                  <c:v>1.1791755346131395E-3</c:v>
                </c:pt>
                <c:pt idx="200">
                  <c:v>1.1572097023343046E-3</c:v>
                </c:pt>
                <c:pt idx="201">
                  <c:v>1.1355892903767463E-3</c:v>
                </c:pt>
                <c:pt idx="202">
                  <c:v>1.1147468546720309E-3</c:v>
                </c:pt>
                <c:pt idx="203">
                  <c:v>1.0928334278859676E-3</c:v>
                </c:pt>
                <c:pt idx="204">
                  <c:v>1.0705160234502804E-3</c:v>
                </c:pt>
                <c:pt idx="205">
                  <c:v>1.0502988242174702E-3</c:v>
                </c:pt>
                <c:pt idx="206">
                  <c:v>1.0295317119675788E-3</c:v>
                </c:pt>
                <c:pt idx="207">
                  <c:v>1.0063180534578345E-3</c:v>
                </c:pt>
                <c:pt idx="208">
                  <c:v>9.8368481666379418E-4</c:v>
                </c:pt>
                <c:pt idx="209">
                  <c:v>9.6102166714517531E-4</c:v>
                </c:pt>
                <c:pt idx="210">
                  <c:v>9.3933458119608432E-4</c:v>
                </c:pt>
                <c:pt idx="211">
                  <c:v>9.1501678923733981E-4</c:v>
                </c:pt>
                <c:pt idx="212">
                  <c:v>8.9222808613812626E-4</c:v>
                </c:pt>
                <c:pt idx="213">
                  <c:v>8.6779335046155079E-4</c:v>
                </c:pt>
                <c:pt idx="214">
                  <c:v>8.4687600154279008E-4</c:v>
                </c:pt>
                <c:pt idx="215">
                  <c:v>8.2140053892335377E-4</c:v>
                </c:pt>
                <c:pt idx="216">
                  <c:v>7.990453885751668E-4</c:v>
                </c:pt>
                <c:pt idx="217">
                  <c:v>7.7754667141841441E-4</c:v>
                </c:pt>
                <c:pt idx="218">
                  <c:v>7.5265098386869539E-4</c:v>
                </c:pt>
                <c:pt idx="219">
                  <c:v>7.2923446357236327E-4</c:v>
                </c:pt>
                <c:pt idx="220">
                  <c:v>7.033154981738593E-4</c:v>
                </c:pt>
                <c:pt idx="221">
                  <c:v>6.8032086525890434E-4</c:v>
                </c:pt>
                <c:pt idx="222">
                  <c:v>6.5408999263586939E-4</c:v>
                </c:pt>
                <c:pt idx="223">
                  <c:v>6.2964081413107234E-4</c:v>
                </c:pt>
                <c:pt idx="224">
                  <c:v>6.0282254492562484E-4</c:v>
                </c:pt>
                <c:pt idx="225">
                  <c:v>5.8139521611636283E-4</c:v>
                </c:pt>
                <c:pt idx="226">
                  <c:v>5.5731441243120003E-4</c:v>
                </c:pt>
                <c:pt idx="227">
                  <c:v>5.3084395264083734E-4</c:v>
                </c:pt>
                <c:pt idx="228">
                  <c:v>5.0942181711890674E-4</c:v>
                </c:pt>
                <c:pt idx="229">
                  <c:v>4.8511589010695119E-4</c:v>
                </c:pt>
                <c:pt idx="230">
                  <c:v>4.6107021587959984E-4</c:v>
                </c:pt>
                <c:pt idx="231">
                  <c:v>4.3413448297541235E-4</c:v>
                </c:pt>
                <c:pt idx="232">
                  <c:v>7.1214889003646392E-4</c:v>
                </c:pt>
                <c:pt idx="233">
                  <c:v>1.0912235869622033E-3</c:v>
                </c:pt>
                <c:pt idx="234">
                  <c:v>1.4570330118216547E-3</c:v>
                </c:pt>
                <c:pt idx="235">
                  <c:v>1.4941520012582352E-3</c:v>
                </c:pt>
                <c:pt idx="236">
                  <c:v>1.4680889066246705E-3</c:v>
                </c:pt>
                <c:pt idx="237">
                  <c:v>1.4424835911491241E-3</c:v>
                </c:pt>
                <c:pt idx="238">
                  <c:v>1.4170583510795046E-3</c:v>
                </c:pt>
                <c:pt idx="239">
                  <c:v>1.3901361465753458E-3</c:v>
                </c:pt>
                <c:pt idx="240">
                  <c:v>1.3668445701666872E-3</c:v>
                </c:pt>
                <c:pt idx="241">
                  <c:v>1.3413997445583699E-3</c:v>
                </c:pt>
                <c:pt idx="242">
                  <c:v>1.3144467048574401E-3</c:v>
                </c:pt>
                <c:pt idx="243">
                  <c:v>1.2883416391707252E-3</c:v>
                </c:pt>
                <c:pt idx="244">
                  <c:v>1.2620188800958818E-3</c:v>
                </c:pt>
                <c:pt idx="245">
                  <c:v>1.2368248638392233E-3</c:v>
                </c:pt>
                <c:pt idx="246">
                  <c:v>1.2095988643046757E-3</c:v>
                </c:pt>
                <c:pt idx="247">
                  <c:v>1.1842667294622612E-3</c:v>
                </c:pt>
                <c:pt idx="248">
                  <c:v>1.1564691615223929E-3</c:v>
                </c:pt>
                <c:pt idx="249">
                  <c:v>1.1324173307025939E-3</c:v>
                </c:pt>
                <c:pt idx="250">
                  <c:v>1.1039585530117461E-3</c:v>
                </c:pt>
                <c:pt idx="251">
                  <c:v>1.0794070904864735E-3</c:v>
                </c:pt>
                <c:pt idx="252">
                  <c:v>1.053507946516985E-3</c:v>
                </c:pt>
                <c:pt idx="253">
                  <c:v>1.0281650439774546E-3</c:v>
                </c:pt>
                <c:pt idx="254">
                  <c:v>1.0033529423762941E-3</c:v>
                </c:pt>
                <c:pt idx="255">
                  <c:v>9.7576310416894185E-4</c:v>
                </c:pt>
                <c:pt idx="256">
                  <c:v>9.5099921525372208E-4</c:v>
                </c:pt>
                <c:pt idx="257">
                  <c:v>9.234321849174304E-4</c:v>
                </c:pt>
                <c:pt idx="258">
                  <c:v>8.9732337703340298E-4</c:v>
                </c:pt>
                <c:pt idx="259">
                  <c:v>8.7021561273115805E-4</c:v>
                </c:pt>
                <c:pt idx="260">
                  <c:v>8.4401934283953595E-4</c:v>
                </c:pt>
                <c:pt idx="261">
                  <c:v>8.1819097011570641E-4</c:v>
                </c:pt>
                <c:pt idx="262">
                  <c:v>7.9263250116404574E-4</c:v>
                </c:pt>
                <c:pt idx="263">
                  <c:v>7.6548732194300223E-4</c:v>
                </c:pt>
                <c:pt idx="264">
                  <c:v>7.4195346847253166E-4</c:v>
                </c:pt>
                <c:pt idx="265">
                  <c:v>7.1637540604923763E-4</c:v>
                </c:pt>
                <c:pt idx="266">
                  <c:v>6.8919957769808526E-4</c:v>
                </c:pt>
                <c:pt idx="267">
                  <c:v>6.6376845950640723E-4</c:v>
                </c:pt>
                <c:pt idx="268">
                  <c:v>6.3641575673401007E-4</c:v>
                </c:pt>
                <c:pt idx="269">
                  <c:v>6.1016615957756523E-4</c:v>
                </c:pt>
                <c:pt idx="270">
                  <c:v>5.8372333764798376E-4</c:v>
                </c:pt>
                <c:pt idx="271">
                  <c:v>5.5791767053450098E-4</c:v>
                </c:pt>
                <c:pt idx="272">
                  <c:v>5.3088661769618364E-4</c:v>
                </c:pt>
                <c:pt idx="273">
                  <c:v>5.0636478532991788E-4</c:v>
                </c:pt>
                <c:pt idx="274">
                  <c:v>4.7801996324819268E-4</c:v>
                </c:pt>
                <c:pt idx="275">
                  <c:v>4.5437575690715493E-4</c:v>
                </c:pt>
                <c:pt idx="276">
                  <c:v>4.2873646374971819E-4</c:v>
                </c:pt>
                <c:pt idx="277">
                  <c:v>4.0145894278486097E-4</c:v>
                </c:pt>
                <c:pt idx="278">
                  <c:v>3.7515933042187727E-4</c:v>
                </c:pt>
                <c:pt idx="279">
                  <c:v>3.4851221193780979E-4</c:v>
                </c:pt>
                <c:pt idx="280">
                  <c:v>3.2294148485612073E-4</c:v>
                </c:pt>
                <c:pt idx="281">
                  <c:v>2.9569461480635426E-4</c:v>
                </c:pt>
                <c:pt idx="282">
                  <c:v>2.6981135218702434E-4</c:v>
                </c:pt>
                <c:pt idx="283">
                  <c:v>2.420458900228642E-4</c:v>
                </c:pt>
                <c:pt idx="284">
                  <c:v>2.1809552626352383E-4</c:v>
                </c:pt>
                <c:pt idx="285">
                  <c:v>1.890163018446224E-4</c:v>
                </c:pt>
                <c:pt idx="286">
                  <c:v>1.6462201853442021E-4</c:v>
                </c:pt>
                <c:pt idx="287">
                  <c:v>1.4026623839453675E-4</c:v>
                </c:pt>
                <c:pt idx="288">
                  <c:v>1.1243186435451469E-4</c:v>
                </c:pt>
                <c:pt idx="289">
                  <c:v>8.7345810072025909E-5</c:v>
                </c:pt>
                <c:pt idx="290">
                  <c:v>1.5160009031893115E-4</c:v>
                </c:pt>
                <c:pt idx="291">
                  <c:v>4.7061492002137967E-4</c:v>
                </c:pt>
                <c:pt idx="292">
                  <c:v>8.2165745131452736E-4</c:v>
                </c:pt>
                <c:pt idx="293">
                  <c:v>1.0375053897090543E-3</c:v>
                </c:pt>
                <c:pt idx="294">
                  <c:v>1.0123864402778841E-3</c:v>
                </c:pt>
                <c:pt idx="295">
                  <c:v>9.8865456996023726E-4</c:v>
                </c:pt>
                <c:pt idx="296">
                  <c:v>9.6589750980320341E-4</c:v>
                </c:pt>
                <c:pt idx="297">
                  <c:v>9.432849493559714E-4</c:v>
                </c:pt>
                <c:pt idx="298">
                  <c:v>9.208248401865321E-4</c:v>
                </c:pt>
                <c:pt idx="299">
                  <c:v>9.0101666440725592E-4</c:v>
                </c:pt>
                <c:pt idx="300">
                  <c:v>8.8126911123934809E-4</c:v>
                </c:pt>
                <c:pt idx="301">
                  <c:v>8.6026904095575993E-4</c:v>
                </c:pt>
                <c:pt idx="302">
                  <c:v>8.4039932388147928E-4</c:v>
                </c:pt>
                <c:pt idx="303">
                  <c:v>8.2115199167690292E-4</c:v>
                </c:pt>
                <c:pt idx="304">
                  <c:v>8.034500262375649E-4</c:v>
                </c:pt>
                <c:pt idx="305">
                  <c:v>7.8421310503901109E-4</c:v>
                </c:pt>
                <c:pt idx="306">
                  <c:v>7.668915411688515E-4</c:v>
                </c:pt>
                <c:pt idx="307">
                  <c:v>7.4908785542077833E-4</c:v>
                </c:pt>
                <c:pt idx="308">
                  <c:v>7.3411430800994146E-4</c:v>
                </c:pt>
                <c:pt idx="309">
                  <c:v>7.1744297632374623E-4</c:v>
                </c:pt>
                <c:pt idx="310">
                  <c:v>7.040020828114335E-4</c:v>
                </c:pt>
                <c:pt idx="311">
                  <c:v>6.903839602318447E-4</c:v>
                </c:pt>
                <c:pt idx="312">
                  <c:v>6.7536913615550212E-4</c:v>
                </c:pt>
                <c:pt idx="313">
                  <c:v>6.622590305419146E-4</c:v>
                </c:pt>
                <c:pt idx="314">
                  <c:v>6.4906342443326118E-4</c:v>
                </c:pt>
                <c:pt idx="315">
                  <c:v>6.3728665223240777E-4</c:v>
                </c:pt>
                <c:pt idx="316">
                  <c:v>6.2406550453769985E-4</c:v>
                </c:pt>
                <c:pt idx="317">
                  <c:v>6.1272047061364243E-4</c:v>
                </c:pt>
                <c:pt idx="318">
                  <c:v>6.0149082833472686E-4</c:v>
                </c:pt>
                <c:pt idx="319">
                  <c:v>5.9300576769857893E-4</c:v>
                </c:pt>
                <c:pt idx="320">
                  <c:v>5.818085442873093E-4</c:v>
                </c:pt>
                <c:pt idx="321">
                  <c:v>5.7424188689468234E-4</c:v>
                </c:pt>
                <c:pt idx="322">
                  <c:v>5.6745938358988834E-4</c:v>
                </c:pt>
                <c:pt idx="323">
                  <c:v>5.583012666836619E-4</c:v>
                </c:pt>
                <c:pt idx="324">
                  <c:v>5.5231004483137502E-4</c:v>
                </c:pt>
                <c:pt idx="325">
                  <c:v>5.4392368979315486E-4</c:v>
                </c:pt>
                <c:pt idx="326">
                  <c:v>5.3858537630952635E-4</c:v>
                </c:pt>
                <c:pt idx="327">
                  <c:v>5.3273989604578006E-4</c:v>
                </c:pt>
                <c:pt idx="328">
                  <c:v>5.267602217399435E-4</c:v>
                </c:pt>
                <c:pt idx="329">
                  <c:v>5.2221687362068864E-4</c:v>
                </c:pt>
                <c:pt idx="330">
                  <c:v>5.1785009715300465E-4</c:v>
                </c:pt>
                <c:pt idx="331">
                  <c:v>5.1567010258231696E-4</c:v>
                </c:pt>
                <c:pt idx="332">
                  <c:v>5.1300685650079725E-4</c:v>
                </c:pt>
                <c:pt idx="333">
                  <c:v>5.1084048908988863E-4</c:v>
                </c:pt>
                <c:pt idx="334">
                  <c:v>5.1005376844669159E-4</c:v>
                </c:pt>
                <c:pt idx="335">
                  <c:v>5.0901986328970306E-4</c:v>
                </c:pt>
                <c:pt idx="336">
                  <c:v>5.0858944121287206E-4</c:v>
                </c:pt>
                <c:pt idx="337">
                  <c:v>5.080839370861269E-4</c:v>
                </c:pt>
                <c:pt idx="338">
                  <c:v>5.0942998129302128E-4</c:v>
                </c:pt>
                <c:pt idx="339">
                  <c:v>5.1198929867958889E-4</c:v>
                </c:pt>
                <c:pt idx="340">
                  <c:v>5.1184533215578587E-4</c:v>
                </c:pt>
                <c:pt idx="341">
                  <c:v>5.1421559095318758E-4</c:v>
                </c:pt>
                <c:pt idx="342">
                  <c:v>5.1667093909850761E-4</c:v>
                </c:pt>
                <c:pt idx="343">
                  <c:v>5.213322455514223E-4</c:v>
                </c:pt>
                <c:pt idx="344">
                  <c:v>5.2497611272897537E-4</c:v>
                </c:pt>
                <c:pt idx="345">
                  <c:v>5.3020718579604303E-4</c:v>
                </c:pt>
                <c:pt idx="346">
                  <c:v>5.3484729375850512E-4</c:v>
                </c:pt>
                <c:pt idx="347">
                  <c:v>5.4089121656952094E-4</c:v>
                </c:pt>
                <c:pt idx="348">
                  <c:v>5.4703593536421791E-4</c:v>
                </c:pt>
                <c:pt idx="349">
                  <c:v>3.3751847373796051E-4</c:v>
                </c:pt>
                <c:pt idx="350">
                  <c:v>5.0723741852862908E-5</c:v>
                </c:pt>
                <c:pt idx="351">
                  <c:v>-2.6590961042576369E-4</c:v>
                </c:pt>
                <c:pt idx="352">
                  <c:v>-3.2760095282070509E-4</c:v>
                </c:pt>
                <c:pt idx="353">
                  <c:v>-3.2126906480682213E-4</c:v>
                </c:pt>
                <c:pt idx="354">
                  <c:v>-3.0939823761237314E-4</c:v>
                </c:pt>
                <c:pt idx="355">
                  <c:v>-3.0076389176265234E-4</c:v>
                </c:pt>
                <c:pt idx="356">
                  <c:v>-2.9277819575094718E-4</c:v>
                </c:pt>
                <c:pt idx="357">
                  <c:v>-2.809428888212416E-4</c:v>
                </c:pt>
                <c:pt idx="358">
                  <c:v>-2.7324724126843308E-4</c:v>
                </c:pt>
                <c:pt idx="359">
                  <c:v>-2.6074196274361583E-4</c:v>
                </c:pt>
                <c:pt idx="360">
                  <c:v>-2.5235795403540442E-4</c:v>
                </c:pt>
                <c:pt idx="361">
                  <c:v>-2.4219914267873191E-4</c:v>
                </c:pt>
                <c:pt idx="362">
                  <c:v>-2.2970020889530665E-4</c:v>
                </c:pt>
                <c:pt idx="363">
                  <c:v>-2.1984903429439137E-4</c:v>
                </c:pt>
                <c:pt idx="364">
                  <c:v>-2.0725781596477727E-4</c:v>
                </c:pt>
                <c:pt idx="365">
                  <c:v>-1.9571698399051263E-4</c:v>
                </c:pt>
                <c:pt idx="366">
                  <c:v>-1.8109977107916633E-4</c:v>
                </c:pt>
                <c:pt idx="367">
                  <c:v>-1.6822184901919487E-4</c:v>
                </c:pt>
                <c:pt idx="368">
                  <c:v>-1.5413884196661606E-4</c:v>
                </c:pt>
                <c:pt idx="369">
                  <c:v>-1.4061107129126685E-4</c:v>
                </c:pt>
                <c:pt idx="370">
                  <c:v>-1.2671381668858533E-4</c:v>
                </c:pt>
                <c:pt idx="371">
                  <c:v>-1.115394114635411E-4</c:v>
                </c:pt>
                <c:pt idx="372">
                  <c:v>-9.7585270833363408E-5</c:v>
                </c:pt>
                <c:pt idx="373">
                  <c:v>-8.1024457494228985E-5</c:v>
                </c:pt>
                <c:pt idx="374">
                  <c:v>-6.369061548584104E-5</c:v>
                </c:pt>
                <c:pt idx="375">
                  <c:v>-5.0227629821032044E-5</c:v>
                </c:pt>
                <c:pt idx="376">
                  <c:v>-3.5154918580884015E-5</c:v>
                </c:pt>
                <c:pt idx="377">
                  <c:v>-1.7492838361426316E-5</c:v>
                </c:pt>
                <c:pt idx="378">
                  <c:v>1.8739201941217476E-7</c:v>
                </c:pt>
                <c:pt idx="379">
                  <c:v>1.7325363609401595E-5</c:v>
                </c:pt>
                <c:pt idx="380">
                  <c:v>3.597400983999105E-5</c:v>
                </c:pt>
                <c:pt idx="381">
                  <c:v>5.5004422293735561E-5</c:v>
                </c:pt>
                <c:pt idx="382">
                  <c:v>7.2351619497972031E-5</c:v>
                </c:pt>
                <c:pt idx="383">
                  <c:v>9.2672651536614831E-5</c:v>
                </c:pt>
                <c:pt idx="384">
                  <c:v>1.0947431188002357E-4</c:v>
                </c:pt>
                <c:pt idx="385">
                  <c:v>1.2921643342539771E-4</c:v>
                </c:pt>
                <c:pt idx="386">
                  <c:v>1.502535090039045E-4</c:v>
                </c:pt>
                <c:pt idx="387">
                  <c:v>1.6905285298354777E-4</c:v>
                </c:pt>
                <c:pt idx="388">
                  <c:v>1.9052626022030353E-4</c:v>
                </c:pt>
                <c:pt idx="389">
                  <c:v>2.1035712033907333E-4</c:v>
                </c:pt>
                <c:pt idx="390">
                  <c:v>2.3385807297369651E-4</c:v>
                </c:pt>
                <c:pt idx="391">
                  <c:v>2.5438537686438625E-4</c:v>
                </c:pt>
                <c:pt idx="392">
                  <c:v>2.769767792386961E-4</c:v>
                </c:pt>
                <c:pt idx="393">
                  <c:v>2.991791458247274E-4</c:v>
                </c:pt>
                <c:pt idx="394">
                  <c:v>3.2343187614207458E-4</c:v>
                </c:pt>
                <c:pt idx="395">
                  <c:v>3.4469234496160156E-4</c:v>
                </c:pt>
                <c:pt idx="396">
                  <c:v>3.700636024751118E-4</c:v>
                </c:pt>
                <c:pt idx="397">
                  <c:v>3.9237245861498821E-4</c:v>
                </c:pt>
                <c:pt idx="398">
                  <c:v>4.1530517419758814E-4</c:v>
                </c:pt>
                <c:pt idx="399">
                  <c:v>4.4000425911234348E-4</c:v>
                </c:pt>
                <c:pt idx="400">
                  <c:v>4.6325068273019715E-4</c:v>
                </c:pt>
                <c:pt idx="401">
                  <c:v>4.9054421469819226E-4</c:v>
                </c:pt>
                <c:pt idx="402">
                  <c:v>5.1575859060333865E-4</c:v>
                </c:pt>
                <c:pt idx="403">
                  <c:v>5.4252859402904169E-4</c:v>
                </c:pt>
                <c:pt idx="404">
                  <c:v>5.6766051833048031E-4</c:v>
                </c:pt>
                <c:pt idx="405">
                  <c:v>5.936098263893963E-4</c:v>
                </c:pt>
                <c:pt idx="406">
                  <c:v>6.2149200127302809E-4</c:v>
                </c:pt>
                <c:pt idx="407">
                  <c:v>6.4684336428811814E-4</c:v>
                </c:pt>
                <c:pt idx="408">
                  <c:v>6.7486375736681634E-4</c:v>
                </c:pt>
                <c:pt idx="409">
                  <c:v>7.0246534081980574E-4</c:v>
                </c:pt>
                <c:pt idx="410">
                  <c:v>7.2424074201518987E-4</c:v>
                </c:pt>
                <c:pt idx="411">
                  <c:v>7.4639221293178876E-4</c:v>
                </c:pt>
                <c:pt idx="412">
                  <c:v>7.7025901107619435E-4</c:v>
                </c:pt>
                <c:pt idx="413">
                  <c:v>7.9214174173886792E-4</c:v>
                </c:pt>
                <c:pt idx="414">
                  <c:v>8.1232044641617318E-4</c:v>
                </c:pt>
                <c:pt idx="415">
                  <c:v>8.3228045042403262E-4</c:v>
                </c:pt>
                <c:pt idx="416">
                  <c:v>8.5135646573031992E-4</c:v>
                </c:pt>
                <c:pt idx="417">
                  <c:v>8.6706090810767522E-4</c:v>
                </c:pt>
                <c:pt idx="418">
                  <c:v>8.8437733248997522E-4</c:v>
                </c:pt>
                <c:pt idx="419">
                  <c:v>8.9668497738759623E-4</c:v>
                </c:pt>
                <c:pt idx="420">
                  <c:v>9.1061519544811606E-4</c:v>
                </c:pt>
                <c:pt idx="421">
                  <c:v>9.2374236784895092E-4</c:v>
                </c:pt>
                <c:pt idx="422">
                  <c:v>9.3301543352006938E-4</c:v>
                </c:pt>
                <c:pt idx="423">
                  <c:v>9.4363628492291629E-4</c:v>
                </c:pt>
                <c:pt idx="424">
                  <c:v>9.5177570682593651E-4</c:v>
                </c:pt>
                <c:pt idx="425">
                  <c:v>9.6130587085168154E-4</c:v>
                </c:pt>
                <c:pt idx="426">
                  <c:v>9.6785831949678866E-4</c:v>
                </c:pt>
                <c:pt idx="427">
                  <c:v>9.7373713937745979E-4</c:v>
                </c:pt>
                <c:pt idx="428">
                  <c:v>9.7863516346924015E-4</c:v>
                </c:pt>
                <c:pt idx="429">
                  <c:v>9.8193645050684633E-4</c:v>
                </c:pt>
                <c:pt idx="430">
                  <c:v>9.8435211761845748E-4</c:v>
                </c:pt>
                <c:pt idx="431">
                  <c:v>9.8478662668420244E-4</c:v>
                </c:pt>
                <c:pt idx="432">
                  <c:v>9.8547011510651678E-4</c:v>
                </c:pt>
                <c:pt idx="433">
                  <c:v>9.8563844281819232E-4</c:v>
                </c:pt>
                <c:pt idx="434">
                  <c:v>9.8007849138261396E-4</c:v>
                </c:pt>
                <c:pt idx="435">
                  <c:v>9.7809762689210836E-4</c:v>
                </c:pt>
                <c:pt idx="436">
                  <c:v>9.7271268712622108E-4</c:v>
                </c:pt>
                <c:pt idx="437">
                  <c:v>9.6850498524313211E-4</c:v>
                </c:pt>
                <c:pt idx="438">
                  <c:v>9.6074854233779011E-4</c:v>
                </c:pt>
                <c:pt idx="439">
                  <c:v>9.5404126386344421E-4</c:v>
                </c:pt>
                <c:pt idx="440">
                  <c:v>9.4412429783240909E-4</c:v>
                </c:pt>
                <c:pt idx="441">
                  <c:v>9.3493143924387387E-4</c:v>
                </c:pt>
                <c:pt idx="442">
                  <c:v>9.2398081387578754E-4</c:v>
                </c:pt>
                <c:pt idx="443">
                  <c:v>9.1134583613459649E-4</c:v>
                </c:pt>
                <c:pt idx="444">
                  <c:v>8.983176911982263E-4</c:v>
                </c:pt>
                <c:pt idx="445">
                  <c:v>8.8213846845845365E-4</c:v>
                </c:pt>
                <c:pt idx="446">
                  <c:v>8.6633858971962158E-4</c:v>
                </c:pt>
                <c:pt idx="447">
                  <c:v>8.4845868890783688E-4</c:v>
                </c:pt>
                <c:pt idx="448">
                  <c:v>8.3238974460212237E-4</c:v>
                </c:pt>
                <c:pt idx="449">
                  <c:v>8.108215364121367E-4</c:v>
                </c:pt>
                <c:pt idx="450">
                  <c:v>7.9219974166281487E-4</c:v>
                </c:pt>
                <c:pt idx="451">
                  <c:v>7.7266970631757748E-4</c:v>
                </c:pt>
                <c:pt idx="452">
                  <c:v>7.4853710681787103E-4</c:v>
                </c:pt>
                <c:pt idx="453">
                  <c:v>7.2597290746360954E-4</c:v>
                </c:pt>
                <c:pt idx="454">
                  <c:v>6.997238165041067E-4</c:v>
                </c:pt>
                <c:pt idx="455">
                  <c:v>6.7505387280411902E-4</c:v>
                </c:pt>
                <c:pt idx="456">
                  <c:v>6.4643048778063178E-4</c:v>
                </c:pt>
                <c:pt idx="457">
                  <c:v>6.1843956547606369E-4</c:v>
                </c:pt>
                <c:pt idx="458">
                  <c:v>5.8792918799743799E-4</c:v>
                </c:pt>
                <c:pt idx="459">
                  <c:v>5.575115000617005E-4</c:v>
                </c:pt>
                <c:pt idx="460">
                  <c:v>5.2590689121842157E-4</c:v>
                </c:pt>
                <c:pt idx="461">
                  <c:v>4.9390847767017201E-4</c:v>
                </c:pt>
                <c:pt idx="462">
                  <c:v>4.5864927926124802E-4</c:v>
                </c:pt>
                <c:pt idx="463">
                  <c:v>4.2679969537160259E-4</c:v>
                </c:pt>
                <c:pt idx="464">
                  <c:v>3.91639676996694E-4</c:v>
                </c:pt>
                <c:pt idx="465">
                  <c:v>3.533588353777789E-4</c:v>
                </c:pt>
                <c:pt idx="466">
                  <c:v>4.6626750083108431E-4</c:v>
                </c:pt>
                <c:pt idx="467">
                  <c:v>8.6418245377477623E-4</c:v>
                </c:pt>
                <c:pt idx="468">
                  <c:v>1.2496854766689998E-3</c:v>
                </c:pt>
                <c:pt idx="469">
                  <c:v>1.457184688549211E-3</c:v>
                </c:pt>
                <c:pt idx="470">
                  <c:v>1.4211500969726239E-3</c:v>
                </c:pt>
                <c:pt idx="471">
                  <c:v>1.3825821272628359E-3</c:v>
                </c:pt>
                <c:pt idx="472">
                  <c:v>1.3490606823123759E-3</c:v>
                </c:pt>
                <c:pt idx="473">
                  <c:v>1.3108165412000355E-3</c:v>
                </c:pt>
                <c:pt idx="474">
                  <c:v>1.276897845596689E-3</c:v>
                </c:pt>
                <c:pt idx="475">
                  <c:v>1.2444128063574568E-3</c:v>
                </c:pt>
                <c:pt idx="476">
                  <c:v>1.2094343043594601E-3</c:v>
                </c:pt>
                <c:pt idx="477">
                  <c:v>1.1762948086432266E-3</c:v>
                </c:pt>
                <c:pt idx="478">
                  <c:v>1.1407021986200236E-3</c:v>
                </c:pt>
                <c:pt idx="479">
                  <c:v>1.1089499774776523E-3</c:v>
                </c:pt>
                <c:pt idx="480">
                  <c:v>1.0742389745188839E-3</c:v>
                </c:pt>
                <c:pt idx="481">
                  <c:v>1.0426081360105921E-3</c:v>
                </c:pt>
                <c:pt idx="482">
                  <c:v>1.0094768736351178E-3</c:v>
                </c:pt>
                <c:pt idx="483">
                  <c:v>9.7980321807494483E-4</c:v>
                </c:pt>
                <c:pt idx="484">
                  <c:v>9.4628220589385373E-4</c:v>
                </c:pt>
                <c:pt idx="485">
                  <c:v>9.1700677398259128E-4</c:v>
                </c:pt>
                <c:pt idx="486">
                  <c:v>8.8708975509811314E-4</c:v>
                </c:pt>
                <c:pt idx="487">
                  <c:v>8.5794933194776116E-4</c:v>
                </c:pt>
                <c:pt idx="488">
                  <c:v>8.29592155779664E-4</c:v>
                </c:pt>
                <c:pt idx="489">
                  <c:v>7.994260884190002E-4</c:v>
                </c:pt>
                <c:pt idx="490">
                  <c:v>7.7213715262635513E-4</c:v>
                </c:pt>
                <c:pt idx="491">
                  <c:v>7.4239081818288852E-4</c:v>
                </c:pt>
                <c:pt idx="492">
                  <c:v>7.1492038270599967E-4</c:v>
                </c:pt>
                <c:pt idx="493">
                  <c:v>6.8654096021904254E-4</c:v>
                </c:pt>
                <c:pt idx="494">
                  <c:v>6.5966549124287649E-4</c:v>
                </c:pt>
                <c:pt idx="495">
                  <c:v>6.3329506232694122E-4</c:v>
                </c:pt>
                <c:pt idx="496">
                  <c:v>6.0781319365042774E-4</c:v>
                </c:pt>
                <c:pt idx="497">
                  <c:v>5.8118146343752453E-4</c:v>
                </c:pt>
                <c:pt idx="498">
                  <c:v>5.5840594029482951E-4</c:v>
                </c:pt>
                <c:pt idx="499">
                  <c:v>5.3412715660327431E-4</c:v>
                </c:pt>
                <c:pt idx="500">
                  <c:v>5.0876878208459125E-4</c:v>
                </c:pt>
                <c:pt idx="501">
                  <c:v>4.8474813132486777E-4</c:v>
                </c:pt>
                <c:pt idx="502">
                  <c:v>4.6083139965318737E-4</c:v>
                </c:pt>
                <c:pt idx="503">
                  <c:v>4.3832907611306496E-4</c:v>
                </c:pt>
                <c:pt idx="504">
                  <c:v>4.1468873887136673E-4</c:v>
                </c:pt>
                <c:pt idx="505">
                  <c:v>3.9269013149342141E-4</c:v>
                </c:pt>
                <c:pt idx="506">
                  <c:v>3.6956105782524895E-4</c:v>
                </c:pt>
                <c:pt idx="507">
                  <c:v>3.5007435757000022E-4</c:v>
                </c:pt>
                <c:pt idx="508">
                  <c:v>3.2726776874470245E-4</c:v>
                </c:pt>
                <c:pt idx="509">
                  <c:v>3.0767281104127076E-4</c:v>
                </c:pt>
                <c:pt idx="510">
                  <c:v>2.8917663924594994E-4</c:v>
                </c:pt>
                <c:pt idx="511">
                  <c:v>2.6863157129133897E-4</c:v>
                </c:pt>
                <c:pt idx="512">
                  <c:v>2.4970505794607439E-4</c:v>
                </c:pt>
                <c:pt idx="513">
                  <c:v>2.2936758716427322E-4</c:v>
                </c:pt>
                <c:pt idx="514">
                  <c:v>2.1182904299035452E-4</c:v>
                </c:pt>
                <c:pt idx="515">
                  <c:v>1.9266729474006275E-4</c:v>
                </c:pt>
                <c:pt idx="516">
                  <c:v>1.7418353016072224E-4</c:v>
                </c:pt>
                <c:pt idx="517">
                  <c:v>1.5676306626248235E-4</c:v>
                </c:pt>
                <c:pt idx="518">
                  <c:v>1.3969779028591423E-4</c:v>
                </c:pt>
                <c:pt idx="519">
                  <c:v>1.2315167175748487E-4</c:v>
                </c:pt>
                <c:pt idx="520">
                  <c:v>1.0804573784210444E-4</c:v>
                </c:pt>
                <c:pt idx="521">
                  <c:v>9.4422707276994172E-5</c:v>
                </c:pt>
                <c:pt idx="522">
                  <c:v>7.8024506092868456E-5</c:v>
                </c:pt>
                <c:pt idx="523">
                  <c:v>6.231901204045015E-5</c:v>
                </c:pt>
                <c:pt idx="524">
                  <c:v>4.8490001223044227E-5</c:v>
                </c:pt>
                <c:pt idx="525">
                  <c:v>3.5418953939773262E-5</c:v>
                </c:pt>
                <c:pt idx="526">
                  <c:v>2.1101789527921272E-5</c:v>
                </c:pt>
                <c:pt idx="527">
                  <c:v>7.9109752252337628E-6</c:v>
                </c:pt>
                <c:pt idx="528">
                  <c:v>-5.3098011190168271E-6</c:v>
                </c:pt>
                <c:pt idx="529">
                  <c:v>-1.7883664618217887E-5</c:v>
                </c:pt>
                <c:pt idx="530">
                  <c:v>-2.9094547663244957E-5</c:v>
                </c:pt>
                <c:pt idx="531">
                  <c:v>-4.0844900269045026E-5</c:v>
                </c:pt>
                <c:pt idx="532">
                  <c:v>-5.2145701092076724E-5</c:v>
                </c:pt>
                <c:pt idx="533">
                  <c:v>-6.1770527833605871E-5</c:v>
                </c:pt>
                <c:pt idx="534">
                  <c:v>-7.0926903581656348E-5</c:v>
                </c:pt>
                <c:pt idx="535">
                  <c:v>-8.1625507837641831E-5</c:v>
                </c:pt>
                <c:pt idx="536">
                  <c:v>-9.1357389025586294E-5</c:v>
                </c:pt>
                <c:pt idx="537">
                  <c:v>-1.0011595389626884E-4</c:v>
                </c:pt>
                <c:pt idx="538">
                  <c:v>-1.0772321903613005E-4</c:v>
                </c:pt>
                <c:pt idx="539">
                  <c:v>-1.172205758380486E-4</c:v>
                </c:pt>
                <c:pt idx="540">
                  <c:v>-1.2519961753004738E-4</c:v>
                </c:pt>
                <c:pt idx="541">
                  <c:v>-1.329075144279393E-4</c:v>
                </c:pt>
                <c:pt idx="542">
                  <c:v>-1.3837526835718331E-4</c:v>
                </c:pt>
                <c:pt idx="543">
                  <c:v>-1.4576134204822774E-4</c:v>
                </c:pt>
                <c:pt idx="544">
                  <c:v>-1.5107854825491956E-4</c:v>
                </c:pt>
                <c:pt idx="545">
                  <c:v>-1.5544850545014602E-4</c:v>
                </c:pt>
                <c:pt idx="546">
                  <c:v>-1.616664776771734E-4</c:v>
                </c:pt>
                <c:pt idx="547">
                  <c:v>-1.6636428806994508E-4</c:v>
                </c:pt>
                <c:pt idx="548">
                  <c:v>-1.7149214725969975E-4</c:v>
                </c:pt>
                <c:pt idx="549">
                  <c:v>-1.7480082124244484E-4</c:v>
                </c:pt>
                <c:pt idx="550">
                  <c:v>-1.7854229105336919E-4</c:v>
                </c:pt>
                <c:pt idx="551">
                  <c:v>-1.826139501900706E-4</c:v>
                </c:pt>
                <c:pt idx="552">
                  <c:v>-1.8543754128023948E-4</c:v>
                </c:pt>
                <c:pt idx="553">
                  <c:v>-1.8823469695040951E-4</c:v>
                </c:pt>
                <c:pt idx="554">
                  <c:v>-1.8910016644074421E-4</c:v>
                </c:pt>
                <c:pt idx="555">
                  <c:v>-1.9049457328070701E-4</c:v>
                </c:pt>
                <c:pt idx="556">
                  <c:v>-1.9152734409740371E-4</c:v>
                </c:pt>
                <c:pt idx="557">
                  <c:v>-1.9155412459791188E-4</c:v>
                </c:pt>
                <c:pt idx="558">
                  <c:v>-1.9006014882872249E-4</c:v>
                </c:pt>
                <c:pt idx="559">
                  <c:v>-1.9154135204836956E-4</c:v>
                </c:pt>
                <c:pt idx="560">
                  <c:v>-1.9149412376627539E-4</c:v>
                </c:pt>
                <c:pt idx="561">
                  <c:v>-1.8984387868693428E-4</c:v>
                </c:pt>
                <c:pt idx="562">
                  <c:v>-1.8958558455424088E-4</c:v>
                </c:pt>
                <c:pt idx="563">
                  <c:v>-1.8764108420375736E-4</c:v>
                </c:pt>
                <c:pt idx="564">
                  <c:v>-1.8596333419198044E-4</c:v>
                </c:pt>
                <c:pt idx="565">
                  <c:v>-1.8200757750963525E-4</c:v>
                </c:pt>
                <c:pt idx="566">
                  <c:v>-1.7894063404861119E-4</c:v>
                </c:pt>
                <c:pt idx="567">
                  <c:v>-1.7524385043011376E-4</c:v>
                </c:pt>
                <c:pt idx="568">
                  <c:v>-1.7100011489410566E-4</c:v>
                </c:pt>
                <c:pt idx="569">
                  <c:v>-1.6673311030886498E-4</c:v>
                </c:pt>
                <c:pt idx="570">
                  <c:v>-1.6175599112590658E-4</c:v>
                </c:pt>
                <c:pt idx="571">
                  <c:v>-1.5723506553860095E-4</c:v>
                </c:pt>
                <c:pt idx="572">
                  <c:v>-1.5081381984206541E-4</c:v>
                </c:pt>
                <c:pt idx="573">
                  <c:v>-1.4347521210582651E-4</c:v>
                </c:pt>
                <c:pt idx="574">
                  <c:v>-1.3895072171458966E-4</c:v>
                </c:pt>
                <c:pt idx="575">
                  <c:v>-1.3223681017516739E-4</c:v>
                </c:pt>
                <c:pt idx="576">
                  <c:v>-1.2520849888504257E-4</c:v>
                </c:pt>
                <c:pt idx="577">
                  <c:v>-1.1653654954819209E-4</c:v>
                </c:pt>
                <c:pt idx="578">
                  <c:v>-1.0863314545851016E-4</c:v>
                </c:pt>
                <c:pt idx="579">
                  <c:v>-9.9565418827943925E-5</c:v>
                </c:pt>
                <c:pt idx="580" formatCode="General">
                  <c:v>-9.1367702118372307E-5</c:v>
                </c:pt>
                <c:pt idx="581" formatCode="General">
                  <c:v>-8.1819252740329002E-5</c:v>
                </c:pt>
                <c:pt idx="582" formatCode="General">
                  <c:v>-7.2396378637200332E-5</c:v>
                </c:pt>
                <c:pt idx="583" formatCode="General">
                  <c:v>-7.6461490276302085E-5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412032"/>
        <c:axId val="462417920"/>
      </c:lineChart>
      <c:catAx>
        <c:axId val="4624120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17920"/>
        <c:crosses val="autoZero"/>
        <c:auto val="1"/>
        <c:lblAlgn val="ctr"/>
        <c:lblOffset val="100"/>
        <c:noMultiLvlLbl val="1"/>
      </c:catAx>
      <c:valAx>
        <c:axId val="46241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1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590550</xdr:colOff>
      <xdr:row>21</xdr:row>
      <xdr:rowOff>0</xdr:rowOff>
    </xdr:from>
    <xdr:to>
      <xdr:col>41</xdr:col>
      <xdr:colOff>466725</xdr:colOff>
      <xdr:row>40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1</xdr:row>
      <xdr:rowOff>9525</xdr:rowOff>
    </xdr:from>
    <xdr:to>
      <xdr:col>20</xdr:col>
      <xdr:colOff>295275</xdr:colOff>
      <xdr:row>23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142873</xdr:colOff>
      <xdr:row>23</xdr:row>
      <xdr:rowOff>23811</xdr:rowOff>
    </xdr:from>
    <xdr:to>
      <xdr:col>20</xdr:col>
      <xdr:colOff>295273</xdr:colOff>
      <xdr:row>48</xdr:row>
      <xdr:rowOff>100011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47626</xdr:colOff>
      <xdr:row>17</xdr:row>
      <xdr:rowOff>38100</xdr:rowOff>
    </xdr:from>
    <xdr:to>
      <xdr:col>13</xdr:col>
      <xdr:colOff>533401</xdr:colOff>
      <xdr:row>39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657225</xdr:colOff>
      <xdr:row>1</xdr:row>
      <xdr:rowOff>28575</xdr:rowOff>
    </xdr:from>
    <xdr:ext cx="838200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972300" y="180975"/>
              <a:ext cx="838200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972300" y="180975"/>
              <a:ext cx="838200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0</xdr:colOff>
      <xdr:row>6</xdr:row>
      <xdr:rowOff>90487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391025" y="11763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391025" y="11763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95250</xdr:colOff>
      <xdr:row>6</xdr:row>
      <xdr:rowOff>76200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019675" y="11620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019675" y="11620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276225</xdr:colOff>
      <xdr:row>14</xdr:row>
      <xdr:rowOff>142875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3514725" y="2400300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3514725" y="2400300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657225</xdr:colOff>
      <xdr:row>1</xdr:row>
      <xdr:rowOff>19050</xdr:rowOff>
    </xdr:from>
    <xdr:ext cx="76200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581650" y="171450"/>
              <a:ext cx="76200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581650" y="171450"/>
              <a:ext cx="76200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3531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3531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38100</xdr:colOff>
      <xdr:row>42</xdr:row>
      <xdr:rowOff>19050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2858750" y="64389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2858750" y="64389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38100</xdr:colOff>
      <xdr:row>42</xdr:row>
      <xdr:rowOff>9525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3554075" y="64293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3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3554075" y="64293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16</xdr:col>
      <xdr:colOff>19050</xdr:colOff>
      <xdr:row>42</xdr:row>
      <xdr:rowOff>9525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4230350" y="6429375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4230350" y="6429375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 editAs="absolute">
    <xdr:from>
      <xdr:col>10</xdr:col>
      <xdr:colOff>28574</xdr:colOff>
      <xdr:row>62</xdr:row>
      <xdr:rowOff>100012</xdr:rowOff>
    </xdr:from>
    <xdr:to>
      <xdr:col>17</xdr:col>
      <xdr:colOff>190499</xdr:colOff>
      <xdr:row>85</xdr:row>
      <xdr:rowOff>14287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152401</xdr:colOff>
      <xdr:row>14</xdr:row>
      <xdr:rowOff>76199</xdr:rowOff>
    </xdr:from>
    <xdr:to>
      <xdr:col>26</xdr:col>
      <xdr:colOff>190500</xdr:colOff>
      <xdr:row>42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9525</xdr:colOff>
      <xdr:row>1</xdr:row>
      <xdr:rowOff>19050</xdr:rowOff>
    </xdr:from>
    <xdr:ext cx="533400" cy="2667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6905625" y="171450"/>
              <a:ext cx="533400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6905625" y="171450"/>
              <a:ext cx="533400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9525</xdr:colOff>
      <xdr:row>6</xdr:row>
      <xdr:rowOff>138112</xdr:rowOff>
    </xdr:from>
    <xdr:ext cx="581025" cy="1857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66675</xdr:colOff>
      <xdr:row>6</xdr:row>
      <xdr:rowOff>123825</xdr:rowOff>
    </xdr:from>
    <xdr:ext cx="561975" cy="2693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29</xdr:col>
      <xdr:colOff>66675</xdr:colOff>
      <xdr:row>1</xdr:row>
      <xdr:rowOff>28575</xdr:rowOff>
    </xdr:from>
    <xdr:ext cx="581025" cy="1857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657225</xdr:colOff>
      <xdr:row>1</xdr:row>
      <xdr:rowOff>19050</xdr:rowOff>
    </xdr:from>
    <xdr:ext cx="514350" cy="2332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</xdr:row>
      <xdr:rowOff>28575</xdr:rowOff>
    </xdr:from>
    <xdr:ext cx="619126" cy="2381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38100</xdr:colOff>
      <xdr:row>13</xdr:row>
      <xdr:rowOff>123825</xdr:rowOff>
    </xdr:from>
    <xdr:ext cx="561975" cy="22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38100</xdr:colOff>
      <xdr:row>13</xdr:row>
      <xdr:rowOff>133350</xdr:rowOff>
    </xdr:from>
    <xdr:ext cx="561975" cy="22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19050</xdr:colOff>
      <xdr:row>13</xdr:row>
      <xdr:rowOff>133350</xdr:rowOff>
    </xdr:from>
    <xdr:ext cx="561975" cy="219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 editAs="absolute">
    <xdr:from>
      <xdr:col>1</xdr:col>
      <xdr:colOff>361949</xdr:colOff>
      <xdr:row>39</xdr:row>
      <xdr:rowOff>33337</xdr:rowOff>
    </xdr:from>
    <xdr:to>
      <xdr:col>8</xdr:col>
      <xdr:colOff>419099</xdr:colOff>
      <xdr:row>61</xdr:row>
      <xdr:rowOff>90487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23812</xdr:rowOff>
    </xdr:from>
    <xdr:to>
      <xdr:col>8</xdr:col>
      <xdr:colOff>514350</xdr:colOff>
      <xdr:row>35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59</xdr:row>
      <xdr:rowOff>76200</xdr:rowOff>
    </xdr:from>
    <xdr:to>
      <xdr:col>8</xdr:col>
      <xdr:colOff>504825</xdr:colOff>
      <xdr:row>87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9526</xdr:colOff>
      <xdr:row>35</xdr:row>
      <xdr:rowOff>61911</xdr:rowOff>
    </xdr:from>
    <xdr:to>
      <xdr:col>8</xdr:col>
      <xdr:colOff>504826</xdr:colOff>
      <xdr:row>59</xdr:row>
      <xdr:rowOff>47625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20</xdr:row>
      <xdr:rowOff>123824</xdr:rowOff>
    </xdr:from>
    <xdr:to>
      <xdr:col>10</xdr:col>
      <xdr:colOff>495300</xdr:colOff>
      <xdr:row>48</xdr:row>
      <xdr:rowOff>66674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523875</xdr:colOff>
      <xdr:row>0</xdr:row>
      <xdr:rowOff>0</xdr:rowOff>
    </xdr:from>
    <xdr:to>
      <xdr:col>28</xdr:col>
      <xdr:colOff>485775</xdr:colOff>
      <xdr:row>25</xdr:row>
      <xdr:rowOff>14288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523875</xdr:colOff>
      <xdr:row>25</xdr:row>
      <xdr:rowOff>42862</xdr:rowOff>
    </xdr:from>
    <xdr:to>
      <xdr:col>28</xdr:col>
      <xdr:colOff>476250</xdr:colOff>
      <xdr:row>54</xdr:row>
      <xdr:rowOff>47625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21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6E</v>
          </cell>
        </row>
        <row r="7">
          <cell r="D7" t="str">
            <v>6E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12E</v>
          </cell>
        </row>
        <row r="7">
          <cell r="D7" t="str">
            <v>12E</v>
          </cell>
        </row>
      </sheetData>
      <sheetData sheetId="5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6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7">
        <row r="6">
          <cell r="D6" t="str">
            <v>U4</v>
          </cell>
        </row>
        <row r="7">
          <cell r="D7" t="str">
            <v>V4</v>
          </cell>
        </row>
      </sheetData>
      <sheetData sheetId="8">
        <row r="6">
          <cell r="D6" t="str">
            <v>Future Code</v>
          </cell>
        </row>
        <row r="7">
          <cell r="D7" t="str">
            <v>U4</v>
          </cell>
        </row>
      </sheetData>
      <sheetData sheetId="9">
        <row r="6">
          <cell r="D6" t="str">
            <v>U4</v>
          </cell>
        </row>
        <row r="7">
          <cell r="D7" t="str">
            <v>V4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  <row r="7">
          <cell r="D7" t="str">
            <v>3W</v>
          </cell>
        </row>
      </sheetData>
      <sheetData sheetId="12">
        <row r="6">
          <cell r="D6" t="str">
            <v>X1S</v>
          </cell>
        </row>
        <row r="7">
          <cell r="D7" t="str">
            <v>X1S</v>
          </cell>
        </row>
      </sheetData>
      <sheetData sheetId="13">
        <row r="6">
          <cell r="D6">
            <v>12</v>
          </cell>
        </row>
        <row r="7">
          <cell r="D7">
            <v>12</v>
          </cell>
        </row>
      </sheetData>
      <sheetData sheetId="14">
        <row r="6">
          <cell r="D6" t="str">
            <v>3E</v>
          </cell>
        </row>
        <row r="7">
          <cell r="D7" t="str">
            <v>3E</v>
          </cell>
        </row>
      </sheetData>
      <sheetData sheetId="15">
        <row r="6">
          <cell r="D6" t="str">
            <v>6E</v>
          </cell>
        </row>
        <row r="7">
          <cell r="D7" t="str">
            <v>6E</v>
          </cell>
        </row>
      </sheetData>
      <sheetData sheetId="16"/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 t="str">
            <v>3E</v>
          </cell>
        </row>
        <row r="7">
          <cell r="D7" t="str">
            <v>3E</v>
          </cell>
        </row>
      </sheetData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12E</v>
          </cell>
        </row>
        <row r="7">
          <cell r="D7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6"/>
  <sheetViews>
    <sheetView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1.5.0 - MS VC++ 9.0 - Multithreaded Dynamic Runtime library - Release Configuration - Aug  6 2014 11:45:43</v>
      </c>
    </row>
    <row r="2" spans="1:36" ht="19.5" thickBot="1" x14ac:dyDescent="0.3">
      <c r="B2" s="358" t="s">
        <v>0</v>
      </c>
      <c r="C2" s="358"/>
      <c r="D2" s="358"/>
      <c r="E2" s="358"/>
      <c r="F2" s="359"/>
      <c r="H2" s="366" t="s">
        <v>5</v>
      </c>
      <c r="I2" s="367"/>
      <c r="J2" s="367"/>
      <c r="K2" s="368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6" t="s">
        <v>2</v>
      </c>
      <c r="E4" s="3"/>
      <c r="F4" s="4"/>
      <c r="H4" s="9"/>
      <c r="I4" s="13" t="s">
        <v>9</v>
      </c>
      <c r="J4" s="14" t="b">
        <v>1</v>
      </c>
      <c r="K4" s="15"/>
    </row>
    <row r="5" spans="1:36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10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12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7</v>
      </c>
      <c r="D7" s="12" t="s">
        <v>8</v>
      </c>
      <c r="E7" s="3"/>
      <c r="F7" s="4"/>
      <c r="H7" s="9"/>
      <c r="I7" s="13" t="s">
        <v>13</v>
      </c>
      <c r="J7" s="18"/>
      <c r="K7" s="15"/>
    </row>
    <row r="8" spans="1:36" x14ac:dyDescent="0.2">
      <c r="B8" s="2"/>
      <c r="C8" s="5" t="s">
        <v>175</v>
      </c>
      <c r="D8" s="17" t="s">
        <v>176</v>
      </c>
      <c r="E8" s="3"/>
      <c r="F8" s="4"/>
      <c r="H8" s="9"/>
      <c r="I8" s="13" t="s">
        <v>15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269" t="s">
        <v>24</v>
      </c>
      <c r="D10" s="271">
        <v>41864.862141203703</v>
      </c>
      <c r="E10" s="270"/>
      <c r="F10" s="4"/>
      <c r="H10" s="9"/>
      <c r="I10" s="13" t="s">
        <v>19</v>
      </c>
      <c r="J10" s="19" t="s">
        <v>20</v>
      </c>
      <c r="K10" s="15"/>
    </row>
    <row r="11" spans="1:36" x14ac:dyDescent="0.2">
      <c r="B11" s="2"/>
      <c r="C11" s="269" t="s">
        <v>25</v>
      </c>
      <c r="D11" s="356" t="b">
        <v>1</v>
      </c>
      <c r="E11" s="270"/>
      <c r="F11" s="4"/>
      <c r="H11" s="9"/>
      <c r="I11" s="13" t="s">
        <v>22</v>
      </c>
      <c r="J11" s="20">
        <v>1E-4</v>
      </c>
      <c r="K11" s="15"/>
    </row>
    <row r="12" spans="1:36" x14ac:dyDescent="0.2">
      <c r="B12" s="2"/>
      <c r="C12" s="21"/>
      <c r="D12" s="269"/>
      <c r="E12" s="270"/>
      <c r="F12" s="4"/>
      <c r="H12" s="9"/>
      <c r="I12" s="13" t="s">
        <v>23</v>
      </c>
      <c r="J12" s="22">
        <v>-0.01</v>
      </c>
      <c r="K12" s="15"/>
    </row>
    <row r="13" spans="1:36" ht="12" thickBot="1" x14ac:dyDescent="0.25">
      <c r="B13" s="31"/>
      <c r="C13" s="363"/>
      <c r="D13" s="364"/>
      <c r="E13" s="365"/>
      <c r="F13" s="33"/>
      <c r="H13" s="25"/>
      <c r="I13" s="26"/>
      <c r="J13" s="26"/>
      <c r="K13" s="27"/>
    </row>
    <row r="15" spans="1:36" ht="12" thickBot="1" x14ac:dyDescent="0.25">
      <c r="C15" s="34"/>
      <c r="D15" s="34"/>
      <c r="E15" s="34"/>
      <c r="F15" s="34"/>
    </row>
    <row r="16" spans="1:36" ht="19.5" thickBot="1" x14ac:dyDescent="0.25">
      <c r="B16" s="358" t="s">
        <v>131</v>
      </c>
      <c r="C16" s="358"/>
      <c r="D16" s="358"/>
      <c r="E16" s="358"/>
      <c r="F16" s="359"/>
      <c r="H16" s="358" t="s">
        <v>140</v>
      </c>
      <c r="I16" s="358"/>
      <c r="J16" s="358"/>
      <c r="K16" s="359"/>
    </row>
    <row r="17" spans="2:11" x14ac:dyDescent="0.2">
      <c r="B17" s="243"/>
      <c r="C17" s="244"/>
      <c r="D17" s="245"/>
      <c r="E17" s="246"/>
      <c r="F17" s="247"/>
      <c r="H17" s="182"/>
      <c r="I17" s="35"/>
      <c r="J17" s="35"/>
      <c r="K17" s="186"/>
    </row>
    <row r="18" spans="2:11" x14ac:dyDescent="0.2">
      <c r="B18" s="2"/>
      <c r="C18" s="252" t="s">
        <v>11</v>
      </c>
      <c r="D18" s="16">
        <f>_xll.qlCalendarAdvance(Calendar,EvaluationDate,"2D","f")</f>
        <v>41887</v>
      </c>
      <c r="E18" s="3"/>
      <c r="F18" s="4"/>
      <c r="H18" s="182"/>
      <c r="I18" s="5" t="s">
        <v>26</v>
      </c>
      <c r="J18" s="360">
        <v>41885.620752314811</v>
      </c>
      <c r="K18" s="186"/>
    </row>
    <row r="19" spans="2:11" x14ac:dyDescent="0.2">
      <c r="B19" s="2"/>
      <c r="C19" s="252" t="s">
        <v>14</v>
      </c>
      <c r="D19" s="17" t="str">
        <f>_xll.qlDiscountingSwapEngine(,OisCurve,,,,,EvaluationDate)</f>
        <v>obj_00390#0000</v>
      </c>
      <c r="E19" s="3"/>
      <c r="F19" s="4"/>
      <c r="H19" s="182"/>
      <c r="I19" s="5" t="s">
        <v>27</v>
      </c>
      <c r="J19" s="360">
        <f>_xll.qlSettingsEvaluationDate(Trigger)</f>
        <v>41885</v>
      </c>
      <c r="K19" s="186"/>
    </row>
    <row r="20" spans="2:11" x14ac:dyDescent="0.2">
      <c r="B20" s="2"/>
      <c r="C20" s="252" t="s">
        <v>18</v>
      </c>
      <c r="D20" s="250">
        <f>_xll.qlCalendarAdjust(Calendar,DATE(YEAR(SettlementDate),12,31),"Preceding")</f>
        <v>42004</v>
      </c>
      <c r="E20" s="3"/>
      <c r="F20" s="4"/>
      <c r="H20" s="182"/>
      <c r="I20" s="5" t="s">
        <v>28</v>
      </c>
      <c r="J20" s="361">
        <f>[1]!TriggerCounter</f>
        <v>21</v>
      </c>
      <c r="K20" s="186"/>
    </row>
    <row r="21" spans="2:11" x14ac:dyDescent="0.2">
      <c r="B21" s="2"/>
      <c r="C21" s="252" t="s">
        <v>21</v>
      </c>
      <c r="D21" s="250">
        <f>_xll.qlCalendarAdjust(Calendar,DATE(YEAR(SettlementDate)+1,12,31),"Preceding")</f>
        <v>42369</v>
      </c>
      <c r="E21" s="3"/>
      <c r="F21" s="4"/>
      <c r="H21" s="182"/>
      <c r="I21" s="5" t="s">
        <v>29</v>
      </c>
      <c r="J21" s="362">
        <f>[1]!LastFixingsTrigger</f>
        <v>1</v>
      </c>
      <c r="K21" s="186"/>
    </row>
    <row r="22" spans="2:11" x14ac:dyDescent="0.2">
      <c r="B22" s="2"/>
      <c r="C22" s="357"/>
      <c r="D22" s="357"/>
      <c r="E22" s="3"/>
      <c r="F22" s="4"/>
      <c r="H22" s="182"/>
      <c r="I22" s="5" t="s">
        <v>32</v>
      </c>
      <c r="J22" s="6">
        <f>_xll.ohTrigger(Contribution!W16,Contribution!W22,Contribution!W29,Contribution!W39,Contribution!W55)</f>
        <v>4</v>
      </c>
      <c r="K22" s="186"/>
    </row>
    <row r="23" spans="2:11" ht="12" thickBot="1" x14ac:dyDescent="0.25">
      <c r="B23" s="31"/>
      <c r="C23" s="32"/>
      <c r="D23" s="32"/>
      <c r="E23" s="32"/>
      <c r="F23" s="33"/>
      <c r="H23" s="187"/>
      <c r="I23" s="188"/>
      <c r="J23" s="188"/>
      <c r="K23" s="189"/>
    </row>
    <row r="25" spans="2:11" ht="12" thickBot="1" x14ac:dyDescent="0.25"/>
    <row r="26" spans="2:11" ht="19.5" thickBot="1" x14ac:dyDescent="0.25">
      <c r="B26" s="358" t="s">
        <v>132</v>
      </c>
      <c r="C26" s="358"/>
      <c r="D26" s="358"/>
      <c r="E26" s="358"/>
      <c r="F26" s="359"/>
    </row>
    <row r="27" spans="2:11" x14ac:dyDescent="0.2">
      <c r="B27" s="2"/>
      <c r="C27" s="3"/>
      <c r="D27" s="3"/>
      <c r="E27" s="3"/>
      <c r="F27" s="4"/>
    </row>
    <row r="28" spans="2:11" x14ac:dyDescent="0.2">
      <c r="B28" s="2"/>
      <c r="C28" s="252" t="s">
        <v>30</v>
      </c>
      <c r="D28" s="6" t="s">
        <v>31</v>
      </c>
      <c r="E28" s="3"/>
      <c r="F28" s="4"/>
    </row>
    <row r="29" spans="2:11" x14ac:dyDescent="0.2">
      <c r="B29" s="2"/>
      <c r="C29" s="252" t="s">
        <v>33</v>
      </c>
      <c r="D29" s="249">
        <v>2</v>
      </c>
      <c r="E29" s="3"/>
      <c r="F29" s="4"/>
    </row>
    <row r="30" spans="2:11" x14ac:dyDescent="0.2">
      <c r="B30" s="2"/>
      <c r="C30" s="252" t="s">
        <v>34</v>
      </c>
      <c r="D30" s="7" t="e">
        <v>#N/A</v>
      </c>
      <c r="E30" s="3"/>
      <c r="F30" s="4"/>
    </row>
    <row r="31" spans="2:11" x14ac:dyDescent="0.2">
      <c r="B31" s="2"/>
      <c r="C31" s="252" t="s">
        <v>35</v>
      </c>
      <c r="D31" s="12" t="s">
        <v>36</v>
      </c>
      <c r="E31" s="3"/>
      <c r="F31" s="4"/>
    </row>
    <row r="32" spans="2:11" x14ac:dyDescent="0.2">
      <c r="B32" s="2"/>
      <c r="C32" s="252" t="s">
        <v>37</v>
      </c>
      <c r="D32" s="17" t="s">
        <v>38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252" t="s">
        <v>133</v>
      </c>
      <c r="D34" s="251" t="b">
        <f>_xll.qlExtrapolatorEnableExtrapolation(YieldCurve,TRUE)</f>
        <v>1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134</v>
      </c>
      <c r="D36" s="253" t="str">
        <f>_xll.qlEuribor(,IborTenor,YieldCurve,,D34)</f>
        <v>obj_0065d#0000</v>
      </c>
      <c r="E36" s="29"/>
      <c r="F36" s="4"/>
    </row>
    <row r="37" spans="2:6" x14ac:dyDescent="0.2">
      <c r="B37" s="2"/>
      <c r="C37" s="5" t="s">
        <v>135</v>
      </c>
      <c r="D37" s="251" t="s">
        <v>137</v>
      </c>
      <c r="E37" s="29"/>
      <c r="F37" s="4"/>
    </row>
    <row r="38" spans="2:6" x14ac:dyDescent="0.2">
      <c r="B38" s="2"/>
      <c r="C38" s="5" t="s">
        <v>136</v>
      </c>
      <c r="D38" s="254" t="str">
        <f>_xll.qlInterpolation(,BasisInterpolation,SynthFra!I2:I6,SynthFra!O2:O6)</f>
        <v>obj_003c2#0000</v>
      </c>
      <c r="E38" s="29"/>
      <c r="F38" s="4"/>
    </row>
    <row r="39" spans="2:6" x14ac:dyDescent="0.2">
      <c r="B39" s="2"/>
      <c r="C39" s="5" t="s">
        <v>16</v>
      </c>
      <c r="D39" s="248" t="s">
        <v>17</v>
      </c>
      <c r="E39" s="3"/>
      <c r="F39" s="4"/>
    </row>
    <row r="40" spans="2:6" x14ac:dyDescent="0.2">
      <c r="B40" s="2"/>
      <c r="C40" s="259" t="s">
        <v>138</v>
      </c>
      <c r="D40" s="260" t="str">
        <f>_xll.qlPiecewiseYieldCurve(,NDays,Calendar,_xll.ohPack(SynthFra!A3:A127),DayCounter,,,Accuracy,TraitsID,InterpolatorID)</f>
        <v>obj_00657#0000</v>
      </c>
      <c r="E40" s="29"/>
      <c r="F40" s="4"/>
    </row>
    <row r="41" spans="2:6" x14ac:dyDescent="0.2">
      <c r="B41" s="2"/>
      <c r="C41" s="261" t="s">
        <v>139</v>
      </c>
      <c r="D41" s="262" t="str">
        <f>_xll.ohRangeRetrieveError(YieldCurve)</f>
        <v/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255">
        <f>_xll.qlTermStructureReferenceDate(YieldCurve)</f>
        <v>41887</v>
      </c>
      <c r="D43" s="256">
        <f>MAX(_xll.ohPack(SynthFra!E2:E127))</f>
        <v>1</v>
      </c>
      <c r="E43" s="29"/>
      <c r="F43" s="4"/>
    </row>
    <row r="44" spans="2:6" x14ac:dyDescent="0.2">
      <c r="B44" s="2"/>
      <c r="C44" s="257">
        <f>MAX(_xll.ohPack(SynthFra!D3:D127))</f>
        <v>43713</v>
      </c>
      <c r="D44" s="258">
        <f>MIN(_xll.ohPack(SynthFra!E2:E127))</f>
        <v>0.96718172795573254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conditionalFormatting sqref="D11">
    <cfRule type="cellIs" dxfId="1" priority="2" stopIfTrue="1" operator="equal">
      <formula>TRUE</formula>
    </cfRule>
  </conditionalFormatting>
  <conditionalFormatting sqref="E45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V143"/>
  <sheetViews>
    <sheetView workbookViewId="0">
      <selection activeCell="AJ9" sqref="AJ9"/>
    </sheetView>
  </sheetViews>
  <sheetFormatPr defaultRowHeight="11.25" outlineLevelCol="1" x14ac:dyDescent="0.2"/>
  <cols>
    <col min="1" max="1" width="11.6640625" style="36" customWidth="1" outlineLevel="1"/>
    <col min="2" max="2" width="17.83203125" style="36" customWidth="1" outlineLevel="1"/>
    <col min="3" max="3" width="7" style="36" customWidth="1" outlineLevel="1"/>
    <col min="4" max="4" width="31.1640625" style="36" bestFit="1" customWidth="1"/>
    <col min="5" max="6" width="20.1640625" style="36" bestFit="1" customWidth="1"/>
    <col min="7" max="7" width="12.83203125" style="36" bestFit="1" customWidth="1"/>
    <col min="8" max="9" width="10.5" style="36" bestFit="1" customWidth="1"/>
    <col min="10" max="10" width="9.33203125" style="36"/>
    <col min="11" max="12" width="10.5" style="36" bestFit="1" customWidth="1"/>
    <col min="13" max="13" width="2.33203125" style="36" bestFit="1" customWidth="1"/>
    <col min="14" max="17" width="10.5" style="36" customWidth="1"/>
    <col min="18" max="18" width="2.1640625" style="36" customWidth="1"/>
    <col min="19" max="19" width="3.5" style="36" bestFit="1" customWidth="1"/>
    <col min="20" max="20" width="15.33203125" style="36" bestFit="1" customWidth="1"/>
    <col min="21" max="21" width="11.6640625" style="36" bestFit="1" customWidth="1"/>
    <col min="22" max="22" width="5.83203125" style="36" bestFit="1" customWidth="1"/>
    <col min="23" max="23" width="3.5" style="36" bestFit="1" customWidth="1"/>
    <col min="24" max="25" width="10.5" style="36" bestFit="1" customWidth="1"/>
    <col min="26" max="26" width="5.83203125" style="36" bestFit="1" customWidth="1"/>
    <col min="27" max="27" width="2.33203125" style="36" bestFit="1" customWidth="1"/>
    <col min="28" max="28" width="20.1640625" style="36" bestFit="1" customWidth="1"/>
    <col min="29" max="30" width="9.33203125" style="36" bestFit="1" customWidth="1"/>
    <col min="31" max="31" width="11.6640625" style="36" bestFit="1" customWidth="1"/>
    <col min="32" max="34" width="10.5" style="36" bestFit="1" customWidth="1"/>
    <col min="35" max="35" width="1.83203125" style="36" customWidth="1"/>
    <col min="36" max="37" width="10.5" style="36" bestFit="1" customWidth="1"/>
    <col min="38" max="38" width="3.5" style="36" bestFit="1" customWidth="1"/>
    <col min="39" max="40" width="10.5" style="36" bestFit="1" customWidth="1"/>
    <col min="41" max="41" width="2.83203125" style="36" customWidth="1"/>
    <col min="42" max="42" width="28.5" style="36" bestFit="1" customWidth="1"/>
    <col min="43" max="44" width="23" style="36" bestFit="1" customWidth="1"/>
    <col min="45" max="47" width="10.5" style="36" bestFit="1" customWidth="1"/>
    <col min="48" max="48" width="2.83203125" style="36" customWidth="1"/>
    <col min="49" max="16384" width="9.33203125" style="36"/>
  </cols>
  <sheetData>
    <row r="1" spans="1:48" x14ac:dyDescent="0.2">
      <c r="B1" s="37" t="s">
        <v>39</v>
      </c>
      <c r="C1" s="38"/>
      <c r="D1" s="37" t="s">
        <v>40</v>
      </c>
      <c r="E1" s="38" t="s">
        <v>41</v>
      </c>
      <c r="F1" s="39" t="s">
        <v>42</v>
      </c>
      <c r="G1" s="38" t="s">
        <v>43</v>
      </c>
      <c r="H1" s="38" t="s">
        <v>44</v>
      </c>
      <c r="I1" s="40" t="s">
        <v>45</v>
      </c>
      <c r="K1" s="41" t="s">
        <v>46</v>
      </c>
      <c r="L1" s="41" t="s">
        <v>47</v>
      </c>
      <c r="M1" s="41"/>
      <c r="N1" s="42" t="s">
        <v>48</v>
      </c>
      <c r="O1" s="42" t="s">
        <v>49</v>
      </c>
      <c r="P1" s="42" t="s">
        <v>50</v>
      </c>
    </row>
    <row r="2" spans="1:48" x14ac:dyDescent="0.2">
      <c r="A2" s="36">
        <v>1</v>
      </c>
      <c r="B2" s="43" t="str">
        <f>_xll.qlMakeDatedOIS(,E2,F2,OvernightIndex,0,,,,Trigger)</f>
        <v>obj_003d4#0000</v>
      </c>
      <c r="C2" s="44" t="b">
        <f>_xll.qlInstrumentSetPricingEngine(B2,OisEngine)</f>
        <v>1</v>
      </c>
      <c r="D2" s="45" t="str">
        <f>Currency&amp;A3&amp;"D_Quote"</f>
        <v>EUR1MD_Quote</v>
      </c>
      <c r="E2" s="46">
        <f>SettlementDate</f>
        <v>41887</v>
      </c>
      <c r="F2" s="47">
        <f>_xll.qlCalendarAdvance(Calendar,E2,A3,"mf")</f>
        <v>41918</v>
      </c>
      <c r="G2" s="48">
        <f>_xll.qlQuoteValue($D2,AllTriggers)</f>
        <v>7.000000000000001E-4</v>
      </c>
      <c r="H2" s="49">
        <f>_xll.qlOvernightIndexedSwapFairRate(B2,_xll.ohTrigger(C2,InterestRatesTrigger))</f>
        <v>1.397848825078082E-5</v>
      </c>
      <c r="I2" s="50">
        <f>G2-H2</f>
        <v>6.8602151174921926E-4</v>
      </c>
      <c r="J2" s="51" t="b">
        <v>0</v>
      </c>
      <c r="K2" s="51"/>
      <c r="L2" s="51"/>
      <c r="M2" s="52"/>
      <c r="N2" s="53">
        <f t="shared" ref="N2:O4" si="0">E2-SettlementDate</f>
        <v>0</v>
      </c>
      <c r="O2" s="53">
        <f t="shared" si="0"/>
        <v>31</v>
      </c>
      <c r="P2" s="52">
        <f>(O2^2-N2^2)/(O2-N2)</f>
        <v>31</v>
      </c>
      <c r="Q2" s="51"/>
      <c r="R2" s="51"/>
      <c r="S2" s="51"/>
      <c r="T2" s="54">
        <f>(O2^3-N2^3)/3/(O2-N2)</f>
        <v>320.33333333333337</v>
      </c>
      <c r="U2" s="54">
        <f>(O2+N2)/2</f>
        <v>15.5</v>
      </c>
      <c r="V2" s="54">
        <v>1</v>
      </c>
    </row>
    <row r="3" spans="1:48" x14ac:dyDescent="0.2">
      <c r="A3" s="36" t="str">
        <f>_xll.qlPeriodEquivalent(A2&amp;"M")</f>
        <v>1M</v>
      </c>
      <c r="B3" s="55" t="str">
        <f>_xll.qlMakeDatedOIS(,E3,F3,OvernightIndex,0,,,,Trigger)</f>
        <v>obj_00337#0002</v>
      </c>
      <c r="C3" s="56" t="b">
        <f>_xll.qlInstrumentSetPricingEngine(B3,OisEngine)</f>
        <v>1</v>
      </c>
      <c r="D3" s="57" t="str">
        <f>A4&amp;"LastFixing_Quote"</f>
        <v>Euribor1MLastFixing_Quote</v>
      </c>
      <c r="E3" s="58">
        <f>_xll.qlCalendarAdvance(Calendar,_xll.qlLastFixingQuoteReferenceDate(D3),_xll.qlInterestRateIndexFixingDays(A4)&amp;"D","f",,LastFixingsTrigger)</f>
        <v>41887</v>
      </c>
      <c r="F3" s="59">
        <f>_xll.qlInterestRateIndexMaturity(A4,E3)</f>
        <v>41918</v>
      </c>
      <c r="G3" s="60">
        <f>_xll.qlQuoteValue(D3,AllTriggers)</f>
        <v>6.0999999999999997E-4</v>
      </c>
      <c r="H3" s="61">
        <f>_xll.qlOvernightIndexedSwapFairRate(B3,_xll.ohTrigger(C3,InterestRatesTrigger))</f>
        <v>1.397848825078082E-5</v>
      </c>
      <c r="I3" s="62">
        <f t="shared" ref="I3:I27" si="1">G3-H3</f>
        <v>5.9602151174921914E-4</v>
      </c>
      <c r="J3" s="51" t="b">
        <f>NOT(ISERROR(I3))</f>
        <v>1</v>
      </c>
      <c r="K3" s="63">
        <f>K4</f>
        <v>-8.2949689008494079E-7</v>
      </c>
      <c r="L3" s="61">
        <f>_xll.ohFilter($I$2:$I$3,$J$2:$J$3)-K3*_xll.ohFilter($P$2:$P$3,$J$2:$J$3)</f>
        <v>6.2173591534185233E-4</v>
      </c>
      <c r="M3" s="52"/>
      <c r="N3" s="53">
        <f t="shared" si="0"/>
        <v>0</v>
      </c>
      <c r="O3" s="53">
        <f t="shared" si="0"/>
        <v>31</v>
      </c>
      <c r="P3" s="52">
        <f>(O3^2-N3^2)/(O3-N3)</f>
        <v>31</v>
      </c>
      <c r="Q3" s="51"/>
      <c r="R3" s="51"/>
      <c r="S3" s="51"/>
      <c r="T3" s="54">
        <f>(O3^3-N3^3)/3/(O3-N3)</f>
        <v>320.33333333333337</v>
      </c>
      <c r="U3" s="54">
        <f>(O3+N3)/2</f>
        <v>15.5</v>
      </c>
      <c r="V3" s="54">
        <v>1</v>
      </c>
    </row>
    <row r="4" spans="1:48" x14ac:dyDescent="0.2">
      <c r="A4" s="36" t="str">
        <f>PROPER(Currency)&amp;IborType&amp;SynthDepo!A3</f>
        <v>Euribor1M</v>
      </c>
      <c r="B4" s="55" t="str">
        <f>_xll.qlMakeDatedOIS(,E4,F4,OvernightIndex,0,,,,Trigger)</f>
        <v>obj_0033a#0002</v>
      </c>
      <c r="C4" s="56" t="b">
        <f>_xll.qlInstrumentSetPricingEngine(B4,OisEngine)</f>
        <v>1</v>
      </c>
      <c r="D4" s="64" t="s">
        <v>51</v>
      </c>
      <c r="E4" s="65">
        <f>F3</f>
        <v>41918</v>
      </c>
      <c r="F4" s="66">
        <f>F5</f>
        <v>41948</v>
      </c>
      <c r="G4" s="67">
        <f>((1+G5*(F5-E5)/360)/(1+G3*(F3-E3)/360)-1)/(F4-E4)*360</f>
        <v>4.2697757181642254E-4</v>
      </c>
      <c r="H4" s="68">
        <f>_xll.qlOvernightIndexedSwapFairRate(B4,_xll.ohTrigger(C4,InterestRatesTrigger))</f>
        <v>-1.1844462963761515E-4</v>
      </c>
      <c r="I4" s="69">
        <f>G4-H4</f>
        <v>5.4542220145403775E-4</v>
      </c>
      <c r="J4" s="36" t="b">
        <f>NOT(ISERROR(I4))</f>
        <v>1</v>
      </c>
      <c r="K4" s="68">
        <f>(I4-_xll.ohFilter($I$2:$I$3,$J$2:$J$3))/(P4-_xll.ohFilter($P$2:$P$3,$J$2:$J$3))</f>
        <v>-8.2949689008494079E-7</v>
      </c>
      <c r="L4" s="68">
        <f>_xll.ohFilter($I$2:$I$3,$J$2:$J$3)-K4*_xll.ohFilter($P$2:$P$3,$J$2:$J$3)</f>
        <v>6.2173591534185233E-4</v>
      </c>
      <c r="M4" s="70"/>
      <c r="N4" s="71">
        <f t="shared" si="0"/>
        <v>31</v>
      </c>
      <c r="O4" s="71">
        <f t="shared" si="0"/>
        <v>61</v>
      </c>
      <c r="P4" s="70">
        <f>(O4^2-N4^2)/(O4-N4)</f>
        <v>92</v>
      </c>
      <c r="T4" s="72">
        <f>(O4^3-N4^3)/3/(O4-N4)</f>
        <v>2191</v>
      </c>
      <c r="U4" s="72">
        <f>(O4+N4)/2</f>
        <v>46</v>
      </c>
      <c r="V4" s="72">
        <v>1</v>
      </c>
    </row>
    <row r="5" spans="1:48" x14ac:dyDescent="0.2">
      <c r="B5" s="55"/>
      <c r="C5" s="56"/>
      <c r="D5" s="73" t="str">
        <f>Currency&amp;"2X1S"&amp;QuoteSuffix</f>
        <v>EUR2X1S_Quote</v>
      </c>
      <c r="E5" s="65">
        <f>SettlementDate</f>
        <v>41887</v>
      </c>
      <c r="F5" s="66">
        <f>_xll.qlCalendarAdvance(Calendar,E5,"2M","mf")</f>
        <v>41948</v>
      </c>
      <c r="G5" s="74">
        <f>_xll.qlQuoteValue($D5,AllTriggers)</f>
        <v>5.1999999999999995E-4</v>
      </c>
      <c r="H5" s="68"/>
      <c r="I5" s="69"/>
      <c r="J5" s="36" t="b">
        <v>0</v>
      </c>
      <c r="K5" s="75"/>
      <c r="L5" s="75"/>
      <c r="M5" s="76"/>
      <c r="N5" s="77"/>
      <c r="O5" s="71"/>
      <c r="P5" s="70"/>
      <c r="T5" s="72"/>
      <c r="U5" s="72"/>
      <c r="V5" s="72"/>
    </row>
    <row r="6" spans="1:48" ht="12" thickBot="1" x14ac:dyDescent="0.25">
      <c r="A6" s="36">
        <v>3</v>
      </c>
      <c r="B6" s="43" t="str">
        <f>_xll.qlMakeDatedOIS(,E6,F6,OvernightIndex,0,,,,EvaluationDate)</f>
        <v>obj_003d9#0000</v>
      </c>
      <c r="C6" s="44" t="b">
        <f>_xll.qlInstrumentSetPricingEngine(B6,OisEngine)</f>
        <v>1</v>
      </c>
      <c r="D6" s="45" t="str">
        <f>Currency&amp;A7&amp;"D_Quote"</f>
        <v>EUR3MD_Quote</v>
      </c>
      <c r="E6" s="46">
        <f>SettlementDate</f>
        <v>41887</v>
      </c>
      <c r="F6" s="47">
        <f>_xll.qlCalendarAdvance(Calendar,E6,A7,"mf")</f>
        <v>41978</v>
      </c>
      <c r="G6" s="48">
        <f>_xll.qlQuoteValue($D6,AllTriggers)</f>
        <v>1.6000000000000001E-3</v>
      </c>
      <c r="H6" s="49">
        <f>_xll.qlOvernightIndexedSwapFairRate(B6,_xll.ohTrigger(C6,InterestRatesTrigger))</f>
        <v>-5.186812264306002E-5</v>
      </c>
      <c r="I6" s="50">
        <f t="shared" si="1"/>
        <v>1.6518681226430601E-3</v>
      </c>
      <c r="J6" s="51" t="b">
        <v>0</v>
      </c>
      <c r="K6" s="52"/>
      <c r="L6" s="52"/>
      <c r="M6" s="52"/>
      <c r="N6" s="53">
        <f t="shared" ref="N6:N9" si="2">E6-SettlementDate</f>
        <v>0</v>
      </c>
      <c r="O6" s="53">
        <f t="shared" ref="O6:O9" si="3">F6-SettlementDate</f>
        <v>91</v>
      </c>
      <c r="P6" s="52">
        <f>(O6^2-N6^2)/(O6-N6)</f>
        <v>91</v>
      </c>
      <c r="Q6" s="51"/>
      <c r="R6" s="51"/>
      <c r="S6" s="51"/>
      <c r="T6" s="54">
        <f t="shared" ref="T6:T27" si="4">(O6^3-N6^3)/3/(O6-N6)</f>
        <v>2760.3333333333335</v>
      </c>
      <c r="U6" s="54">
        <f t="shared" ref="U6:U27" si="5">(O6+N6)/2</f>
        <v>45.5</v>
      </c>
      <c r="V6" s="54">
        <v>1</v>
      </c>
      <c r="AO6" s="381"/>
      <c r="AP6" s="381"/>
      <c r="AQ6" s="381"/>
      <c r="AR6" s="381"/>
      <c r="AS6" s="381"/>
      <c r="AT6" s="381"/>
      <c r="AU6" s="381"/>
      <c r="AV6" s="381"/>
    </row>
    <row r="7" spans="1:48" ht="13.5" customHeight="1" thickBot="1" x14ac:dyDescent="0.25">
      <c r="A7" s="36" t="str">
        <f>_xll.qlPeriodEquivalent(A6&amp;"M")</f>
        <v>3M</v>
      </c>
      <c r="B7" s="55" t="str">
        <f>_xll.qlMakeDatedOIS(,E7,F7,OvernightIndex,0,,,,EvaluationDate)</f>
        <v>obj_00336#0002</v>
      </c>
      <c r="C7" s="56" t="b">
        <f>_xll.qlInstrumentSetPricingEngine(B7,OisEngine)</f>
        <v>1</v>
      </c>
      <c r="D7" s="57" t="str">
        <f>A8&amp;"LastFixing_Quote"</f>
        <v>Euribor3MLastFixing_Quote</v>
      </c>
      <c r="E7" s="58">
        <f>_xll.qlCalendarAdvance(Calendar,_xll.qlLastFixingQuoteReferenceDate(D7),_xll.qlInterestRateIndexFixingDays(A8)&amp;"D","f",,LastFixingsTrigger)</f>
        <v>41887</v>
      </c>
      <c r="F7" s="59">
        <f>_xll.qlInterestRateIndexMaturity(A8,E7)</f>
        <v>41978</v>
      </c>
      <c r="G7" s="60">
        <f>_xll.qlQuoteValue(D7,AllTriggers)</f>
        <v>1.5E-3</v>
      </c>
      <c r="H7" s="61">
        <f>_xll.qlOvernightIndexedSwapFairRate(B7,_xll.ohTrigger(C7,InterestRatesTrigger))</f>
        <v>-5.186812264306002E-5</v>
      </c>
      <c r="I7" s="62">
        <f>G7-H7</f>
        <v>1.5518681226430601E-3</v>
      </c>
      <c r="J7" s="51" t="b">
        <f>AND(NOT(ISERROR(I7)),E10&lt;&gt;SettlementDate)</f>
        <v>1</v>
      </c>
      <c r="K7" s="78"/>
      <c r="L7" s="52"/>
      <c r="M7" s="52"/>
      <c r="N7" s="53">
        <f t="shared" si="2"/>
        <v>0</v>
      </c>
      <c r="O7" s="53">
        <f t="shared" si="3"/>
        <v>91</v>
      </c>
      <c r="P7" s="52">
        <f t="shared" ref="P7:P27" si="6">(O7^2-N7^2)/(O7-N7)</f>
        <v>91</v>
      </c>
      <c r="Q7" s="51"/>
      <c r="R7" s="51"/>
      <c r="S7" s="51"/>
      <c r="T7" s="54">
        <f t="shared" si="4"/>
        <v>2760.3333333333335</v>
      </c>
      <c r="U7" s="54">
        <f t="shared" si="5"/>
        <v>45.5</v>
      </c>
      <c r="V7" s="54">
        <v>1</v>
      </c>
      <c r="AO7" s="381"/>
      <c r="AP7" s="379" t="s">
        <v>147</v>
      </c>
      <c r="AQ7" s="380" t="s">
        <v>126</v>
      </c>
      <c r="AR7" s="380" t="s">
        <v>127</v>
      </c>
      <c r="AS7" s="380" t="s">
        <v>103</v>
      </c>
      <c r="AT7" s="380" t="s">
        <v>44</v>
      </c>
      <c r="AU7" s="380" t="s">
        <v>148</v>
      </c>
      <c r="AV7" s="381"/>
    </row>
    <row r="8" spans="1:48" ht="13.5" customHeight="1" x14ac:dyDescent="0.25">
      <c r="A8" s="36" t="str">
        <f>PROPER(Currency)&amp;IborType&amp;SynthDepo!A7</f>
        <v>Euribor3M</v>
      </c>
      <c r="B8" s="79"/>
      <c r="C8" s="56"/>
      <c r="D8" s="57"/>
      <c r="E8" s="58"/>
      <c r="F8" s="59"/>
      <c r="G8" s="80"/>
      <c r="H8" s="61"/>
      <c r="I8" s="62" t="e">
        <f>NA()</f>
        <v>#N/A</v>
      </c>
      <c r="J8" s="51" t="b">
        <v>0</v>
      </c>
      <c r="K8" s="51"/>
      <c r="L8" s="51"/>
      <c r="M8" s="52"/>
      <c r="N8" s="53">
        <v>0</v>
      </c>
      <c r="O8" s="53">
        <f t="shared" si="3"/>
        <v>-41887</v>
      </c>
      <c r="P8" s="52">
        <f t="shared" si="6"/>
        <v>-41887</v>
      </c>
      <c r="Q8" s="51"/>
      <c r="R8" s="51"/>
      <c r="S8" s="51"/>
      <c r="T8" s="54">
        <f t="shared" si="4"/>
        <v>584840256.33333325</v>
      </c>
      <c r="U8" s="54">
        <f t="shared" si="5"/>
        <v>-20943.5</v>
      </c>
      <c r="V8" s="54">
        <v>1</v>
      </c>
      <c r="AB8" s="36" t="s">
        <v>52</v>
      </c>
      <c r="AF8" s="36" t="s">
        <v>53</v>
      </c>
      <c r="AJ8" s="36" t="s">
        <v>54</v>
      </c>
      <c r="AO8" s="381"/>
      <c r="AP8" s="382" t="s">
        <v>146</v>
      </c>
      <c r="AQ8" s="383">
        <v>41852</v>
      </c>
      <c r="AR8" s="383">
        <v>41946</v>
      </c>
      <c r="AS8" s="384">
        <v>2.0899999999999998E-3</v>
      </c>
      <c r="AT8" s="384">
        <v>6.4999999999362844E-4</v>
      </c>
      <c r="AU8" s="385">
        <v>1.4400000000063715E-3</v>
      </c>
      <c r="AV8" s="381"/>
    </row>
    <row r="9" spans="1:48" ht="13.5" customHeight="1" x14ac:dyDescent="0.25">
      <c r="B9" s="79"/>
      <c r="C9" s="56"/>
      <c r="D9" s="57"/>
      <c r="E9" s="58"/>
      <c r="F9" s="59"/>
      <c r="G9" s="80"/>
      <c r="H9" s="61"/>
      <c r="I9" s="62" t="e">
        <f>NA()</f>
        <v>#N/A</v>
      </c>
      <c r="J9" s="51" t="b">
        <v>0</v>
      </c>
      <c r="K9" s="61">
        <f>AVERAGE(_xll.ohFilter(K10:K12,J10:J12))</f>
        <v>-3.4640894256389793E-6</v>
      </c>
      <c r="L9" s="61">
        <f>_xll.ohFilter($I$6:$I$9,$J$6:$J$9)-K9*_xll.ohFilter($P$6:$P$9,$J$6:$J$9)</f>
        <v>1.8671002603762071E-3</v>
      </c>
      <c r="M9" s="52"/>
      <c r="N9" s="53">
        <f t="shared" si="2"/>
        <v>-41887</v>
      </c>
      <c r="O9" s="53">
        <f t="shared" si="3"/>
        <v>-41887</v>
      </c>
      <c r="P9" s="52" t="e">
        <f t="shared" si="6"/>
        <v>#DIV/0!</v>
      </c>
      <c r="Q9" s="51"/>
      <c r="R9" s="51"/>
      <c r="S9" s="51"/>
      <c r="T9" s="54" t="e">
        <f t="shared" si="4"/>
        <v>#DIV/0!</v>
      </c>
      <c r="U9" s="54">
        <f t="shared" si="5"/>
        <v>-41887</v>
      </c>
      <c r="V9" s="54">
        <v>1</v>
      </c>
      <c r="X9" s="81">
        <f t="array" ref="X9:X11">_xll.ohFilter(T6:T14,$J6:$J14)</f>
        <v>2760.3333333333335</v>
      </c>
      <c r="Y9" s="84">
        <f t="array" ref="Y9:Y11">_xll.ohFilter(U6:U14,$J6:$J14)</f>
        <v>45.5</v>
      </c>
      <c r="Z9" s="87">
        <f t="array" ref="Z9:Z11">_xll.ohFilter(V6:V14,$J6:$J14)</f>
        <v>1</v>
      </c>
      <c r="AB9" s="90">
        <f t="array" ref="AB9:AB11">MMULT(AF9:AH11,AD9:AD11)</f>
        <v>1.6994402829186669E-7</v>
      </c>
      <c r="AD9" s="90">
        <f t="array" ref="AD9:AD11">_xll.ohFilter(I6:I14,$J6:$J14)</f>
        <v>1.5518681226430601E-3</v>
      </c>
      <c r="AF9" s="93">
        <f t="array" ref="AF9:AH11">MINVERSE(X9:Z11)</f>
        <v>2.0307823856348887E-3</v>
      </c>
      <c r="AG9" s="94">
        <v>-2.8858486532706319E-3</v>
      </c>
      <c r="AH9" s="95">
        <v>8.5506626763574237E-4</v>
      </c>
      <c r="AJ9" s="102">
        <f t="array" ref="AJ9:AJ11">MMULT(X9:Z11,AB9:AB11)-AD9:AD11</f>
        <v>1.5178830414797062E-18</v>
      </c>
      <c r="AO9" s="381"/>
      <c r="AP9" s="386" t="s">
        <v>144</v>
      </c>
      <c r="AQ9" s="387">
        <v>41871</v>
      </c>
      <c r="AR9" s="387">
        <v>41963</v>
      </c>
      <c r="AS9" s="388">
        <v>2.074999999999938E-3</v>
      </c>
      <c r="AT9" s="388">
        <v>6.960283630131276E-4</v>
      </c>
      <c r="AU9" s="389">
        <v>1.3789716369868104E-3</v>
      </c>
      <c r="AV9" s="381"/>
    </row>
    <row r="10" spans="1:48" ht="13.5" customHeight="1" thickBot="1" x14ac:dyDescent="0.3">
      <c r="A10" s="36" t="str">
        <f>_xll.qlIMMNextCode(SettlementDate-1,FALSE)</f>
        <v>U4</v>
      </c>
      <c r="B10" s="79" t="str">
        <f>_xll.qlMakeDatedOIS(,E10,F10,OvernightIndex,0,,,,EvaluationDate)</f>
        <v>obj_003de#0000</v>
      </c>
      <c r="C10" s="56" t="b">
        <f>_xll.qlInstrumentSetPricingEngine(B10,OisEngine)</f>
        <v>1</v>
      </c>
      <c r="D10" s="64" t="str">
        <f>Currency&amp;"FUT3M"&amp;A10&amp;QuoteSuffix</f>
        <v>EURFUT3MU4_Quote</v>
      </c>
      <c r="E10" s="65">
        <f>_xll.qlIMMdate(A10)</f>
        <v>41899</v>
      </c>
      <c r="F10" s="66">
        <f>_xll.qlCalendarAdvance(Calendar,E10,"3M","mf")</f>
        <v>41990</v>
      </c>
      <c r="G10" s="74">
        <f>1-_xll.qlQuoteValue($D10,AllTriggers)/100</f>
        <v>1.3750000000000151E-3</v>
      </c>
      <c r="H10" s="68">
        <f>_xll.qlOvernightIndexedSwapFairRate(B10,_xll.ohTrigger(C10,InterestRatesTrigger))</f>
        <v>-6.4285599970325874E-5</v>
      </c>
      <c r="I10" s="69">
        <f t="shared" si="1"/>
        <v>1.439285599970341E-3</v>
      </c>
      <c r="J10" s="36" t="b">
        <f>AND(NOT(ISERROR(I10)))</f>
        <v>1</v>
      </c>
      <c r="K10" s="68">
        <f>(I10-_xll.ohFilter($I$6:$I$9,$J$6:$J$9))/(P10-_xll.ohFilter($P$6:$P$9,$J$6:$J$9))</f>
        <v>-4.6909384446966282E-6</v>
      </c>
      <c r="L10" s="68">
        <f>_xll.ohFilter($I$6:$I$9,$J$6:$J$9)-K10*_xll.ohFilter($P$6:$P$9,$J$6:$J$9)</f>
        <v>1.9787435211104532E-3</v>
      </c>
      <c r="M10" s="70"/>
      <c r="N10" s="71">
        <f t="shared" ref="N10:N18" si="7">E10-SettlementDate</f>
        <v>12</v>
      </c>
      <c r="O10" s="71">
        <f t="shared" ref="O10:O18" si="8">F10-SettlementDate</f>
        <v>103</v>
      </c>
      <c r="P10" s="70">
        <f t="shared" si="6"/>
        <v>115</v>
      </c>
      <c r="T10" s="72">
        <f t="shared" si="4"/>
        <v>3996.333333333333</v>
      </c>
      <c r="U10" s="72">
        <f t="shared" si="5"/>
        <v>57.5</v>
      </c>
      <c r="V10" s="72">
        <v>1</v>
      </c>
      <c r="X10" s="82">
        <v>3996.333333333333</v>
      </c>
      <c r="Y10" s="85">
        <v>57.5</v>
      </c>
      <c r="Z10" s="88">
        <v>1</v>
      </c>
      <c r="AA10" s="41" t="s">
        <v>55</v>
      </c>
      <c r="AB10" s="91">
        <v>-2.6886111803455559E-5</v>
      </c>
      <c r="AC10" s="41" t="s">
        <v>56</v>
      </c>
      <c r="AD10" s="91">
        <v>1.439285599970341E-3</v>
      </c>
      <c r="AF10" s="96">
        <v>-0.29250391905372691</v>
      </c>
      <c r="AG10" s="97">
        <v>0.38057574462020843</v>
      </c>
      <c r="AH10" s="98">
        <v>-8.8071825566481479E-2</v>
      </c>
      <c r="AJ10" s="103">
        <v>8.6736173798840355E-19</v>
      </c>
      <c r="AO10" s="381"/>
      <c r="AP10" s="390" t="s">
        <v>145</v>
      </c>
      <c r="AQ10" s="391">
        <v>41899</v>
      </c>
      <c r="AR10" s="391">
        <v>41990</v>
      </c>
      <c r="AS10" s="392">
        <v>2.074999999999938E-3</v>
      </c>
      <c r="AT10" s="392">
        <v>6.3556743392947956E-4</v>
      </c>
      <c r="AU10" s="393">
        <v>1.4394325660704583E-3</v>
      </c>
      <c r="AV10" s="381"/>
    </row>
    <row r="11" spans="1:48" x14ac:dyDescent="0.2">
      <c r="A11" s="36" t="str">
        <f>_xll.qlIMMNextCode(E10,IF(_xll.qlIMMIsIMMdate(E10,TRUE),FALSE,TRUE))</f>
        <v>V4</v>
      </c>
      <c r="B11" s="79" t="str">
        <f>_xll.qlMakeDatedOIS(,E11,F11,OvernightIndex,0,,,,EvaluationDate)</f>
        <v>obj_003e1#0000</v>
      </c>
      <c r="C11" s="56" t="b">
        <f>_xll.qlInstrumentSetPricingEngine(B11,OisEngine)</f>
        <v>1</v>
      </c>
      <c r="D11" s="64" t="str">
        <f>Currency&amp;"FUT3M"&amp;A11&amp;QuoteSuffix</f>
        <v>EURFUT3MV4_Quote</v>
      </c>
      <c r="E11" s="65">
        <f>_xll.qlIMMdate(A11)</f>
        <v>41927</v>
      </c>
      <c r="F11" s="66">
        <f>_xll.qlCalendarAdvance(Calendar,E11,"3M","mf")</f>
        <v>42019</v>
      </c>
      <c r="G11" s="74">
        <f>1-_xll.qlQuoteValue($D11,AllTriggers)/100</f>
        <v>1.2750000000000261E-3</v>
      </c>
      <c r="H11" s="68">
        <f>_xll.qlOvernightIndexedSwapFairRate(B11,_xll.ohTrigger(C11,InterestRatesTrigger))</f>
        <v>-9.5651649709946199E-5</v>
      </c>
      <c r="I11" s="69">
        <f t="shared" si="1"/>
        <v>1.3706516497099723E-3</v>
      </c>
      <c r="J11" s="36" t="b">
        <f>NOT(ISERROR(I11))</f>
        <v>1</v>
      </c>
      <c r="K11" s="68">
        <f>(I11-_xll.ohFilter($I$6:$I$9,$J$6:$J$9))/(P11-_xll.ohFilter($P$6:$P$9,$J$6:$J$9))</f>
        <v>-2.2372404065813303E-6</v>
      </c>
      <c r="L11" s="68">
        <f>_xll.ohFilter($I$6:$I$9,$J$6:$J$9)-K11*_xll.ohFilter($P$6:$P$9,$J$6:$J$9)</f>
        <v>1.7554569996419611E-3</v>
      </c>
      <c r="M11" s="70"/>
      <c r="N11" s="71">
        <f t="shared" si="7"/>
        <v>40</v>
      </c>
      <c r="O11" s="71">
        <f t="shared" si="8"/>
        <v>132</v>
      </c>
      <c r="P11" s="70">
        <f t="shared" si="6"/>
        <v>172</v>
      </c>
      <c r="T11" s="72">
        <f t="shared" si="4"/>
        <v>8101.333333333333</v>
      </c>
      <c r="U11" s="72">
        <f t="shared" si="5"/>
        <v>86</v>
      </c>
      <c r="V11" s="72">
        <v>1</v>
      </c>
      <c r="X11" s="83">
        <v>8101.333333333333</v>
      </c>
      <c r="Y11" s="86">
        <v>86</v>
      </c>
      <c r="Z11" s="89">
        <v>1</v>
      </c>
      <c r="AB11" s="92">
        <v>2.3060840436053068E-3</v>
      </c>
      <c r="AD11" s="92">
        <v>1.3706516497099723E-3</v>
      </c>
      <c r="AF11" s="99">
        <v>8.7032920051304039</v>
      </c>
      <c r="AG11" s="100">
        <v>-9.3502921476414507</v>
      </c>
      <c r="AH11" s="101">
        <v>1.6470001425110463</v>
      </c>
      <c r="AJ11" s="104">
        <v>-8.6736173798840355E-19</v>
      </c>
      <c r="AO11" s="381"/>
      <c r="AP11" s="381"/>
      <c r="AQ11" s="381"/>
      <c r="AR11" s="381"/>
      <c r="AS11" s="381"/>
      <c r="AT11" s="381"/>
      <c r="AU11" s="381"/>
      <c r="AV11" s="381"/>
    </row>
    <row r="12" spans="1:48" x14ac:dyDescent="0.2">
      <c r="A12" s="36">
        <v>1</v>
      </c>
      <c r="B12" s="79" t="str">
        <f>_xll.qlMakeDatedOIS(,E12,F12,OvernightIndex,0,,,,EvaluationDate)</f>
        <v>obj_003cc#0000</v>
      </c>
      <c r="C12" s="56" t="b">
        <f>_xll.qlInstrumentSetPricingEngine(B12,OisEngine)</f>
        <v>1</v>
      </c>
      <c r="D12" s="64" t="str">
        <f>Currency&amp;A12&amp;"x"&amp;A12+3&amp;"F"&amp;QuoteSuffix</f>
        <v>EUR1x4F_Quote</v>
      </c>
      <c r="E12" s="65">
        <f>_xll.qlCalendarAdvance(Calendar,SettlementDate,A12&amp;"M","mf")</f>
        <v>41918</v>
      </c>
      <c r="F12" s="66">
        <f>_xll.qlInterestRateIndexMaturity($A$8,E12)</f>
        <v>42010</v>
      </c>
      <c r="G12" s="74">
        <f>_xll.qlQuoteValue(D12,AllTriggers)</f>
        <v>1.32E-3</v>
      </c>
      <c r="H12" s="68">
        <f>_xll.qlOvernightIndexedSwapFairRate(B12,_xll.ohTrigger(C12,InterestRatesTrigger))</f>
        <v>-9.2861829257901121E-5</v>
      </c>
      <c r="I12" s="69">
        <f>G12-H12</f>
        <v>1.4128618292579011E-3</v>
      </c>
      <c r="J12" s="36" t="b">
        <v>0</v>
      </c>
      <c r="K12" s="68">
        <f>(I12-_xll.ohFilter($I$6:$I$9,$J$6:$J$9))/(P12-_xll.ohFilter($P$6:$P$9,$J$6:$J$9))</f>
        <v>-2.2064491013517295E-6</v>
      </c>
      <c r="L12" s="68">
        <f>_xll.ohFilter($I$6:$I$9,$J$6:$J$9)-K12*_xll.ohFilter($P$6:$P$9,$J$6:$J$9)</f>
        <v>1.7526549908660673E-3</v>
      </c>
      <c r="M12" s="70"/>
      <c r="N12" s="71">
        <f t="shared" si="7"/>
        <v>31</v>
      </c>
      <c r="O12" s="71">
        <f t="shared" si="8"/>
        <v>123</v>
      </c>
      <c r="P12" s="70">
        <f t="shared" si="6"/>
        <v>154</v>
      </c>
      <c r="T12" s="72">
        <f t="shared" si="4"/>
        <v>6634.333333333333</v>
      </c>
      <c r="U12" s="72">
        <f t="shared" si="5"/>
        <v>77</v>
      </c>
      <c r="V12" s="72">
        <v>1</v>
      </c>
      <c r="X12" s="72"/>
      <c r="Y12" s="72"/>
      <c r="Z12" s="72"/>
    </row>
    <row r="13" spans="1:48" x14ac:dyDescent="0.2">
      <c r="A13" s="36">
        <v>2</v>
      </c>
      <c r="B13" s="79" t="str">
        <f>_xll.qlMakeDatedOIS(,E13,F13,OvernightIndex,0,,,,EvaluationDate)</f>
        <v>obj_003dd#0000</v>
      </c>
      <c r="C13" s="56" t="b">
        <f>_xll.qlInstrumentSetPricingEngine(B13,OisEngine)</f>
        <v>1</v>
      </c>
      <c r="D13" s="64" t="str">
        <f>Currency&amp;A13&amp;"x"&amp;A13+3&amp;"F"&amp;QuoteSuffix</f>
        <v>EUR2x5F_Quote</v>
      </c>
      <c r="E13" s="65">
        <f>_xll.qlCalendarAdvance(Calendar,SettlementDate,A13&amp;"M","mf")</f>
        <v>41948</v>
      </c>
      <c r="F13" s="66">
        <f>_xll.qlInterestRateIndexMaturity($A$8,E13)</f>
        <v>42040</v>
      </c>
      <c r="G13" s="74">
        <f>_xll.qlQuoteValue(D13,AllTriggers)</f>
        <v>1.31E-3</v>
      </c>
      <c r="H13" s="68">
        <f>_xll.qlOvernightIndexedSwapFairRate(B13,_xll.ohTrigger(C13,InterestRatesTrigger))</f>
        <v>-8.1195408490198289E-5</v>
      </c>
      <c r="I13" s="69">
        <f>G13-H13</f>
        <v>1.3911954084901983E-3</v>
      </c>
      <c r="J13" s="36" t="b">
        <f>AND(NOT(ISERROR(I13)),E13&lt;&gt;$E$11,E13&lt;&gt;$E$10)</f>
        <v>1</v>
      </c>
      <c r="K13" s="68">
        <f>(I13-_xll.ohFilter($I$6:$I$9,$J$6:$J$9))/(P13-_xll.ohFilter($P$6:$P$9,$J$6:$J$9))</f>
        <v>-1.3062822288850552E-6</v>
      </c>
      <c r="L13" s="68">
        <f>_xll.ohFilter($I$6:$I$9,$J$6:$J$9)-K13*_xll.ohFilter($P$6:$P$9,$J$6:$J$9)</f>
        <v>1.6707398054716001E-3</v>
      </c>
      <c r="M13" s="70"/>
      <c r="N13" s="71">
        <f t="shared" si="7"/>
        <v>61</v>
      </c>
      <c r="O13" s="71">
        <f t="shared" si="8"/>
        <v>153</v>
      </c>
      <c r="P13" s="70">
        <f t="shared" si="6"/>
        <v>214</v>
      </c>
      <c r="T13" s="72">
        <f t="shared" si="4"/>
        <v>12154.333333333334</v>
      </c>
      <c r="U13" s="72">
        <f t="shared" si="5"/>
        <v>107</v>
      </c>
      <c r="V13" s="72">
        <v>1</v>
      </c>
      <c r="X13" s="72"/>
      <c r="Y13" s="72"/>
      <c r="Z13" s="72"/>
    </row>
    <row r="14" spans="1:48" x14ac:dyDescent="0.2">
      <c r="A14" s="36">
        <v>3</v>
      </c>
      <c r="B14" s="79" t="str">
        <f>_xll.qlMakeDatedOIS(,E14,F14,OvernightIndex,0,,,,EvaluationDate)</f>
        <v>obj_003a2#0000</v>
      </c>
      <c r="C14" s="56" t="b">
        <f>_xll.qlInstrumentSetPricingEngine(B14,OisEngine)</f>
        <v>1</v>
      </c>
      <c r="D14" s="64" t="str">
        <f>Currency&amp;A14&amp;"x"&amp;A14+3&amp;"F"&amp;QuoteSuffix</f>
        <v>EUR3x6F_Quote</v>
      </c>
      <c r="E14" s="65">
        <f>_xll.qlCalendarAdvance(Calendar,SettlementDate,A14&amp;"M","mf")</f>
        <v>41978</v>
      </c>
      <c r="F14" s="66">
        <f>_xll.qlInterestRateIndexMaturity($A$8,E14)</f>
        <v>42068</v>
      </c>
      <c r="G14" s="74">
        <f>_xll.qlQuoteValue(D14,AllTriggers)</f>
        <v>1.2900000000000001E-3</v>
      </c>
      <c r="H14" s="68">
        <f>_xll.qlOvernightIndexedSwapFairRate(B14,_xll.ohTrigger(C14,InterestRatesTrigger))</f>
        <v>-5.9000113435736523E-5</v>
      </c>
      <c r="I14" s="69">
        <f>G14-H14</f>
        <v>1.3490001134357367E-3</v>
      </c>
      <c r="J14" s="36" t="b">
        <f>AND(NOT(ISERROR(I14)),E14&lt;&gt;$E$11,E14&lt;&gt;$E$10)</f>
        <v>1</v>
      </c>
      <c r="K14" s="68">
        <f>(I14-_xll.ohFilter($I$6:$I$9,$J$6:$J$9))/(P14-_xll.ohFilter($P$6:$P$9,$J$6:$J$9))</f>
        <v>-1.1208177304272011E-6</v>
      </c>
      <c r="L14" s="68">
        <f>_xll.ohFilter($I$6:$I$9,$J$6:$J$9)-K14*_xll.ohFilter($P$6:$P$9,$J$6:$J$9)</f>
        <v>1.6538625361119353E-3</v>
      </c>
      <c r="M14" s="70"/>
      <c r="N14" s="71">
        <f t="shared" si="7"/>
        <v>91</v>
      </c>
      <c r="O14" s="71">
        <f t="shared" si="8"/>
        <v>181</v>
      </c>
      <c r="P14" s="70">
        <f t="shared" si="6"/>
        <v>272</v>
      </c>
      <c r="T14" s="72">
        <f t="shared" si="4"/>
        <v>19171</v>
      </c>
      <c r="U14" s="72">
        <f t="shared" si="5"/>
        <v>136</v>
      </c>
      <c r="V14" s="72">
        <v>1</v>
      </c>
      <c r="X14" s="72"/>
      <c r="Y14" s="72"/>
      <c r="Z14" s="72"/>
    </row>
    <row r="15" spans="1:48" x14ac:dyDescent="0.2">
      <c r="A15" s="36">
        <v>6</v>
      </c>
      <c r="B15" s="43" t="str">
        <f>_xll.qlMakeDatedOIS(,E15,F15,OvernightIndex,0,,,,EvaluationDate)</f>
        <v>obj_003d6#0000</v>
      </c>
      <c r="C15" s="44" t="b">
        <f>_xll.qlInstrumentSetPricingEngine(B15,OisEngine)</f>
        <v>1</v>
      </c>
      <c r="D15" s="45" t="str">
        <f>Currency&amp;A16&amp;"D_Quote"</f>
        <v>EUR6MD_Quote</v>
      </c>
      <c r="E15" s="46">
        <f>SettlementDate</f>
        <v>41887</v>
      </c>
      <c r="F15" s="47">
        <f>_xll.qlCalendarAdvance(Calendar,E15,A16,"mf")</f>
        <v>42068</v>
      </c>
      <c r="G15" s="48">
        <f>_xll.qlQuoteValue($D15,AllTriggers)</f>
        <v>2.5999999999999999E-3</v>
      </c>
      <c r="H15" s="49">
        <f>_xll.qlOvernightIndexedSwapFairRate(B15,_xll.ohTrigger(C15,InterestRatesTrigger))</f>
        <v>-5.5414031765884372E-5</v>
      </c>
      <c r="I15" s="50">
        <f t="shared" si="1"/>
        <v>2.6554140317658842E-3</v>
      </c>
      <c r="J15" s="51" t="b">
        <v>0</v>
      </c>
      <c r="K15" s="52"/>
      <c r="L15" s="52"/>
      <c r="M15" s="52"/>
      <c r="N15" s="53">
        <f t="shared" si="7"/>
        <v>0</v>
      </c>
      <c r="O15" s="53">
        <f t="shared" si="8"/>
        <v>181</v>
      </c>
      <c r="P15" s="52">
        <f t="shared" si="6"/>
        <v>181</v>
      </c>
      <c r="Q15" s="51"/>
      <c r="R15" s="51"/>
      <c r="S15" s="51"/>
      <c r="T15" s="54">
        <f t="shared" si="4"/>
        <v>10920.333333333332</v>
      </c>
      <c r="U15" s="54">
        <f t="shared" si="5"/>
        <v>90.5</v>
      </c>
      <c r="V15" s="54">
        <v>1</v>
      </c>
    </row>
    <row r="16" spans="1:48" x14ac:dyDescent="0.2">
      <c r="A16" s="36" t="str">
        <f>_xll.qlPeriodEquivalent(A15&amp;"M")</f>
        <v>6M</v>
      </c>
      <c r="B16" s="55" t="str">
        <f>_xll.qlMakeDatedOIS(,E16,F16,OvernightIndex,0,,,,EvaluationDate)</f>
        <v>obj_00338#0002</v>
      </c>
      <c r="C16" s="56" t="b">
        <f>_xll.qlInstrumentSetPricingEngine(B16,OisEngine)</f>
        <v>1</v>
      </c>
      <c r="D16" s="57" t="str">
        <f>PROPER(Currency&amp;IborType)&amp;A16&amp;"LastFixing_Quote"</f>
        <v>Euribor6MLastFixing_Quote</v>
      </c>
      <c r="E16" s="58">
        <f>_xll.qlCalendarAdvance(Calendar,_xll.qlLastFixingQuoteReferenceDate(D16),_xll.qlInterestRateIndexFixingDays(A17)&amp;"D","f",,LastFixingsTrigger)</f>
        <v>41887</v>
      </c>
      <c r="F16" s="59">
        <f>_xll.qlInterestRateIndexMaturity(A17,E16)</f>
        <v>42068</v>
      </c>
      <c r="G16" s="60">
        <f>_xll.qlQuoteValue(D16,AllTriggers)</f>
        <v>2.5000000000000001E-3</v>
      </c>
      <c r="H16" s="61">
        <f>_xll.qlOvernightIndexedSwapFairRate(B16,_xll.ohTrigger(C16,InterestRatesTrigger))</f>
        <v>-5.5414031765884372E-5</v>
      </c>
      <c r="I16" s="62">
        <f t="shared" si="1"/>
        <v>2.5554140317658844E-3</v>
      </c>
      <c r="J16" s="51" t="b">
        <f>AND(ISERROR(I17),ISERROR(I18),NOT(ISERROR(I16)))</f>
        <v>1</v>
      </c>
      <c r="K16" s="52"/>
      <c r="L16" s="52"/>
      <c r="M16" s="52"/>
      <c r="N16" s="53">
        <f t="shared" si="7"/>
        <v>0</v>
      </c>
      <c r="O16" s="53">
        <f t="shared" si="8"/>
        <v>181</v>
      </c>
      <c r="P16" s="52">
        <f t="shared" si="6"/>
        <v>181</v>
      </c>
      <c r="Q16" s="51"/>
      <c r="R16" s="51"/>
      <c r="S16" s="51"/>
      <c r="T16" s="54">
        <f t="shared" si="4"/>
        <v>10920.333333333332</v>
      </c>
      <c r="U16" s="54">
        <f t="shared" si="5"/>
        <v>90.5</v>
      </c>
      <c r="V16" s="54">
        <v>1</v>
      </c>
    </row>
    <row r="17" spans="1:36" x14ac:dyDescent="0.2">
      <c r="A17" s="36" t="str">
        <f>PROPER(Currency)&amp;IborType&amp;SynthDepo!A16</f>
        <v>Euribor6M</v>
      </c>
      <c r="B17" s="79"/>
      <c r="C17" s="56"/>
      <c r="D17" s="57"/>
      <c r="E17" s="58"/>
      <c r="F17" s="59"/>
      <c r="G17" s="60"/>
      <c r="H17" s="61"/>
      <c r="I17" s="62" t="e">
        <f>NA()</f>
        <v>#N/A</v>
      </c>
      <c r="J17" s="51" t="b">
        <v>0</v>
      </c>
      <c r="K17" s="51"/>
      <c r="L17" s="51"/>
      <c r="M17" s="52"/>
      <c r="N17" s="53">
        <f t="shared" si="7"/>
        <v>-41887</v>
      </c>
      <c r="O17" s="53">
        <f t="shared" si="8"/>
        <v>-41887</v>
      </c>
      <c r="P17" s="52" t="e">
        <f t="shared" si="6"/>
        <v>#DIV/0!</v>
      </c>
      <c r="Q17" s="51"/>
      <c r="R17" s="51"/>
      <c r="S17" s="51"/>
      <c r="T17" s="54" t="e">
        <f t="shared" si="4"/>
        <v>#DIV/0!</v>
      </c>
      <c r="U17" s="54">
        <f t="shared" si="5"/>
        <v>-41887</v>
      </c>
      <c r="V17" s="54">
        <v>1</v>
      </c>
      <c r="AF17" s="36" t="s">
        <v>53</v>
      </c>
      <c r="AJ17" s="36" t="s">
        <v>54</v>
      </c>
    </row>
    <row r="18" spans="1:36" x14ac:dyDescent="0.2">
      <c r="B18" s="79"/>
      <c r="C18" s="56"/>
      <c r="D18" s="57"/>
      <c r="E18" s="58"/>
      <c r="F18" s="59"/>
      <c r="G18" s="60"/>
      <c r="H18" s="61"/>
      <c r="I18" s="62" t="e">
        <f>NA()</f>
        <v>#N/A</v>
      </c>
      <c r="J18" s="51" t="b">
        <v>0</v>
      </c>
      <c r="K18" s="61">
        <f>AVERAGE(_xll.ohFilter(K19:K21,J19:J21))</f>
        <v>-1.1376295206196481E-6</v>
      </c>
      <c r="L18" s="61">
        <f>_xll.ohFilter($I$15:$I$18,$J$15:$J$18)-K18*_xll.ohFilter($P$15:$P$18,$J$15:$J$18)</f>
        <v>2.7613249749980405E-3</v>
      </c>
      <c r="M18" s="52"/>
      <c r="N18" s="53">
        <f t="shared" si="7"/>
        <v>-41887</v>
      </c>
      <c r="O18" s="53">
        <f t="shared" si="8"/>
        <v>-41887</v>
      </c>
      <c r="P18" s="52" t="e">
        <f t="shared" si="6"/>
        <v>#DIV/0!</v>
      </c>
      <c r="Q18" s="51"/>
      <c r="R18" s="51"/>
      <c r="S18" s="51"/>
      <c r="T18" s="54" t="e">
        <f t="shared" si="4"/>
        <v>#DIV/0!</v>
      </c>
      <c r="U18" s="54">
        <f t="shared" si="5"/>
        <v>-41887</v>
      </c>
      <c r="V18" s="54">
        <v>1</v>
      </c>
      <c r="X18" s="81">
        <f t="array" ref="X18:X20">_xll.ohFilter(T15:T24,$J15:$J24)</f>
        <v>10920.333333333332</v>
      </c>
      <c r="Y18" s="84">
        <f t="array" ref="Y18:Y20">_xll.ohFilter(U15:U24,$J15:$J24)</f>
        <v>90.5</v>
      </c>
      <c r="Z18" s="87">
        <f t="array" ref="Z18:Z20">_xll.ohFilter(V15:V24,$J15:$J24)</f>
        <v>1</v>
      </c>
      <c r="AB18" s="90">
        <f t="array" ref="AB18:AB20">MMULT(AF18:AH20,AD18:AD20)</f>
        <v>5.815011732018473E-8</v>
      </c>
      <c r="AD18" s="90">
        <f t="array" ref="AD18:AD20">_xll.ohFilter(I15:I24,$J15:$J24)</f>
        <v>2.5554140317658844E-3</v>
      </c>
      <c r="AF18" s="93">
        <f t="array" ref="AF18:AH20">MINVERSE(X18:Z20)</f>
        <v>5.4812817378813411E-4</v>
      </c>
      <c r="AG18" s="94">
        <v>-1.1529592621060752E-3</v>
      </c>
      <c r="AH18" s="95">
        <v>6.0483108831794097E-4</v>
      </c>
      <c r="AJ18" s="102">
        <f t="array" ref="AJ18:AJ20">MMULT(X18:Z20,AB18:AB20)-AD18:AD20</f>
        <v>-4.3368086899420177E-18</v>
      </c>
    </row>
    <row r="19" spans="1:36" x14ac:dyDescent="0.2">
      <c r="A19" s="36">
        <v>1</v>
      </c>
      <c r="B19" s="79" t="str">
        <f>_xll.qlMakeDatedOIS(,E19,F19,OvernightIndex,0,,,,EvaluationDate)</f>
        <v>obj_003dc#0000</v>
      </c>
      <c r="C19" s="56" t="b">
        <f>_xll.qlInstrumentSetPricingEngine(B19,OisEngine)</f>
        <v>1</v>
      </c>
      <c r="D19" s="64" t="str">
        <f t="shared" ref="D19:D24" si="9">Currency&amp;A19&amp;"x"&amp;A19+6&amp;"F"&amp;QuoteSuffix</f>
        <v>EUR1x7F_Quote</v>
      </c>
      <c r="E19" s="65">
        <f>_xll.qlCalendarAdvance(Calendar,SettlementDate,A19&amp;"M","mf")</f>
        <v>41918</v>
      </c>
      <c r="F19" s="66">
        <f>_xll.qlInterestRateIndexMaturity($A$17,E19)</f>
        <v>42101</v>
      </c>
      <c r="G19" s="67">
        <f>_xll.qlQuoteValue(D19,AllTriggers)</f>
        <v>2.3499999999999997E-3</v>
      </c>
      <c r="H19" s="68">
        <f>_xll.qlOvernightIndexedSwapFairRate(B19,_xll.ohTrigger(C19,InterestRatesTrigger))</f>
        <v>-9.0454181819716223E-5</v>
      </c>
      <c r="I19" s="69">
        <f t="shared" si="1"/>
        <v>2.4404541818197159E-3</v>
      </c>
      <c r="J19" s="36" t="b">
        <f t="shared" ref="J19:J24" si="10">NOT(ISERROR(I19))</f>
        <v>1</v>
      </c>
      <c r="K19" s="68">
        <f>(I19-_xll.ohFilter($I$15:$I$18,$J$15:$J$18))/(P19-_xll.ohFilter($P$15:$P$18,$J$15:$J$18))</f>
        <v>-1.7962476554088836E-6</v>
      </c>
      <c r="L19" s="68">
        <f>_xll.ohFilter($I$15:$I$18,$J$15:$J$18)-K19*_xll.ohFilter($P$15:$P$18,$J$15:$J$18)</f>
        <v>2.8805348573948922E-3</v>
      </c>
      <c r="M19" s="70"/>
      <c r="N19" s="71">
        <f t="shared" ref="N19:N27" si="11">E19-SettlementDate</f>
        <v>31</v>
      </c>
      <c r="O19" s="71">
        <f t="shared" ref="O19:O27" si="12">F19-SettlementDate</f>
        <v>214</v>
      </c>
      <c r="P19" s="70">
        <f t="shared" si="6"/>
        <v>245</v>
      </c>
      <c r="T19" s="72">
        <f t="shared" si="4"/>
        <v>17797</v>
      </c>
      <c r="U19" s="72">
        <f t="shared" si="5"/>
        <v>122.5</v>
      </c>
      <c r="V19" s="72">
        <v>1</v>
      </c>
      <c r="X19" s="82">
        <v>17797</v>
      </c>
      <c r="Y19" s="85">
        <v>122.5</v>
      </c>
      <c r="Z19" s="88">
        <v>1</v>
      </c>
      <c r="AA19" s="41" t="s">
        <v>55</v>
      </c>
      <c r="AB19" s="91">
        <v>-1.6088713230770057E-5</v>
      </c>
      <c r="AC19" s="41" t="s">
        <v>56</v>
      </c>
      <c r="AD19" s="91">
        <v>2.4404541818197159E-3</v>
      </c>
      <c r="AF19" s="96">
        <v>-0.14904046067967924</v>
      </c>
      <c r="AG19" s="97">
        <v>0.27901614142967013</v>
      </c>
      <c r="AH19" s="98">
        <v>-0.12997568074999089</v>
      </c>
      <c r="AJ19" s="103">
        <v>-7.3725747729014302E-18</v>
      </c>
    </row>
    <row r="20" spans="1:36" x14ac:dyDescent="0.2">
      <c r="A20" s="36">
        <v>2</v>
      </c>
      <c r="B20" s="79" t="str">
        <f>_xll.qlMakeDatedOIS(,E20,F20,OvernightIndex,0,,,,EvaluationDate)</f>
        <v>obj_003da#0000</v>
      </c>
      <c r="C20" s="56" t="b">
        <f>_xll.qlInstrumentSetPricingEngine(B20,OisEngine)</f>
        <v>1</v>
      </c>
      <c r="D20" s="64" t="str">
        <f t="shared" si="9"/>
        <v>EUR2x8F_Quote</v>
      </c>
      <c r="E20" s="65">
        <f>_xll.qlCalendarAdvance(Calendar,SettlementDate,A20&amp;"M","mf")</f>
        <v>41948</v>
      </c>
      <c r="F20" s="66">
        <f>_xll.qlInterestRateIndexMaturity($A$17,E20)</f>
        <v>42129</v>
      </c>
      <c r="G20" s="67">
        <f>_xll.qlQuoteValue(D20,AllTriggers)</f>
        <v>2.32E-3</v>
      </c>
      <c r="H20" s="68">
        <f>_xll.qlOvernightIndexedSwapFairRate(B20,_xll.ohTrigger(C20,InterestRatesTrigger))</f>
        <v>-1.124145565694841E-4</v>
      </c>
      <c r="I20" s="69">
        <f t="shared" si="1"/>
        <v>2.432414556569484E-3</v>
      </c>
      <c r="J20" s="36" t="b">
        <f t="shared" si="10"/>
        <v>1</v>
      </c>
      <c r="K20" s="68">
        <f>(I20-_xll.ohFilter($I$15:$I$18,$J$15:$J$18))/(P20-_xll.ohFilter($P$15:$P$18,$J$15:$J$18))</f>
        <v>-1.0081924196426262E-6</v>
      </c>
      <c r="L20" s="68">
        <f>_xll.ohFilter($I$15:$I$18,$J$15:$J$18)-K20*_xll.ohFilter($P$15:$P$18,$J$15:$J$18)</f>
        <v>2.7378968597211997E-3</v>
      </c>
      <c r="M20" s="70"/>
      <c r="N20" s="71">
        <f t="shared" si="11"/>
        <v>61</v>
      </c>
      <c r="O20" s="71">
        <f t="shared" si="12"/>
        <v>242</v>
      </c>
      <c r="P20" s="70">
        <f t="shared" si="6"/>
        <v>303</v>
      </c>
      <c r="T20" s="72">
        <f t="shared" si="4"/>
        <v>25682.333333333332</v>
      </c>
      <c r="U20" s="72">
        <f t="shared" si="5"/>
        <v>151.5</v>
      </c>
      <c r="V20" s="72">
        <v>1</v>
      </c>
      <c r="X20" s="83">
        <v>25682.333333333332</v>
      </c>
      <c r="Y20" s="86">
        <v>151.5</v>
      </c>
      <c r="Z20" s="89">
        <v>1</v>
      </c>
      <c r="AB20" s="92">
        <v>3.376423914641713E-3</v>
      </c>
      <c r="AD20" s="92">
        <v>2.432414556569484E-3</v>
      </c>
      <c r="AF20" s="99">
        <v>8.5024193243532853</v>
      </c>
      <c r="AG20" s="100">
        <v>-12.660261337432773</v>
      </c>
      <c r="AH20" s="101">
        <v>5.1578420130794873</v>
      </c>
      <c r="AJ20" s="104">
        <v>-1.0408340855860843E-17</v>
      </c>
    </row>
    <row r="21" spans="1:36" x14ac:dyDescent="0.2">
      <c r="A21" s="36">
        <v>3</v>
      </c>
      <c r="B21" s="79" t="str">
        <f>_xll.qlMakeDatedOIS(,E21,F21,OvernightIndex,0,,,,EvaluationDate)</f>
        <v>obj_003d5#0000</v>
      </c>
      <c r="C21" s="56" t="b">
        <f>_xll.qlInstrumentSetPricingEngine(B21,OisEngine)</f>
        <v>1</v>
      </c>
      <c r="D21" s="64" t="str">
        <f t="shared" si="9"/>
        <v>EUR3x9F_Quote</v>
      </c>
      <c r="E21" s="65">
        <f>_xll.qlCalendarAdvance(Calendar,SettlementDate,A21&amp;"M","mf")</f>
        <v>41978</v>
      </c>
      <c r="F21" s="66">
        <f>_xll.qlInterestRateIndexMaturity($A$17,E21)</f>
        <v>42160</v>
      </c>
      <c r="G21" s="67">
        <f>_xll.qlQuoteValue(D21,AllTriggers)</f>
        <v>2.2899999999999999E-3</v>
      </c>
      <c r="H21" s="68">
        <f>_xll.qlOvernightIndexedSwapFairRate(B21,_xll.ohTrigger(C21,InterestRatesTrigger))</f>
        <v>-1.5406795868012381E-4</v>
      </c>
      <c r="I21" s="69">
        <f t="shared" si="1"/>
        <v>2.4440679586801239E-3</v>
      </c>
      <c r="J21" s="36" t="b">
        <f t="shared" si="10"/>
        <v>1</v>
      </c>
      <c r="K21" s="68">
        <f>(I21-_xll.ohFilter($I$15:$I$18,$J$15:$J$18))/(P21-_xll.ohFilter($P$15:$P$18,$J$15:$J$18))</f>
        <v>-6.0844848680743467E-7</v>
      </c>
      <c r="L21" s="68">
        <f>_xll.ohFilter($I$15:$I$18,$J$15:$J$18)-K21*_xll.ohFilter($P$15:$P$18,$J$15:$J$18)</f>
        <v>2.6655432078780301E-3</v>
      </c>
      <c r="M21" s="70"/>
      <c r="N21" s="71">
        <f t="shared" si="11"/>
        <v>91</v>
      </c>
      <c r="O21" s="71">
        <f t="shared" si="12"/>
        <v>273</v>
      </c>
      <c r="P21" s="70">
        <f t="shared" si="6"/>
        <v>364</v>
      </c>
      <c r="T21" s="72">
        <f t="shared" si="4"/>
        <v>35884.333333333336</v>
      </c>
      <c r="U21" s="72">
        <f t="shared" si="5"/>
        <v>182</v>
      </c>
      <c r="V21" s="72">
        <v>1</v>
      </c>
      <c r="X21" s="72"/>
      <c r="Y21" s="72"/>
      <c r="Z21" s="72"/>
      <c r="AD21" s="105"/>
    </row>
    <row r="22" spans="1:36" x14ac:dyDescent="0.2">
      <c r="A22" s="36">
        <v>4</v>
      </c>
      <c r="B22" s="79" t="str">
        <f>_xll.qlMakeDatedOIS(,E22,F22,OvernightIndex,0,,,,EvaluationDate)</f>
        <v>obj_003ce#0000</v>
      </c>
      <c r="C22" s="56" t="b">
        <f>_xll.qlInstrumentSetPricingEngine(B22,OisEngine)</f>
        <v>1</v>
      </c>
      <c r="D22" s="64" t="str">
        <f t="shared" si="9"/>
        <v>EUR4x10F_Quote</v>
      </c>
      <c r="E22" s="65">
        <f>_xll.qlCalendarAdvance(Calendar,SettlementDate,A22&amp;"M","mf")</f>
        <v>42009</v>
      </c>
      <c r="F22" s="66">
        <f>_xll.qlInterestRateIndexMaturity($A$17,E22)</f>
        <v>42191</v>
      </c>
      <c r="G22" s="67">
        <f>_xll.qlQuoteValue(D22,AllTriggers)</f>
        <v>2.2699999999999999E-3</v>
      </c>
      <c r="H22" s="68">
        <f>_xll.qlOvernightIndexedSwapFairRate(B22,_xll.ohTrigger(C22,InterestRatesTrigger))</f>
        <v>-1.7324578386428987E-4</v>
      </c>
      <c r="I22" s="69">
        <f t="shared" si="1"/>
        <v>2.4432457838642896E-3</v>
      </c>
      <c r="J22" s="36" t="b">
        <f t="shared" si="10"/>
        <v>1</v>
      </c>
      <c r="K22" s="68">
        <f>(I22-_xll.ohFilter($I$15:$I$18,$J$15:$J$18))/(P22-_xll.ohFilter($P$15:$P$18,$J$15:$J$18))</f>
        <v>-4.5782958327181556E-7</v>
      </c>
      <c r="L22" s="68">
        <f>_xll.ohFilter($I$15:$I$18,$J$15:$J$18)-K22*_xll.ohFilter($P$15:$P$18,$J$15:$J$18)</f>
        <v>2.6382811863380831E-3</v>
      </c>
      <c r="M22" s="70"/>
      <c r="N22" s="71">
        <f t="shared" si="11"/>
        <v>122</v>
      </c>
      <c r="O22" s="71">
        <f t="shared" si="12"/>
        <v>304</v>
      </c>
      <c r="P22" s="70">
        <f t="shared" si="6"/>
        <v>426</v>
      </c>
      <c r="T22" s="72">
        <f t="shared" si="4"/>
        <v>48129.333333333328</v>
      </c>
      <c r="U22" s="72">
        <f t="shared" si="5"/>
        <v>213</v>
      </c>
      <c r="V22" s="72">
        <v>1</v>
      </c>
      <c r="X22" s="72"/>
      <c r="Y22" s="72"/>
      <c r="Z22" s="72"/>
      <c r="AD22" s="105"/>
    </row>
    <row r="23" spans="1:36" x14ac:dyDescent="0.2">
      <c r="A23" s="36">
        <v>5</v>
      </c>
      <c r="B23" s="79" t="str">
        <f>_xll.qlMakeDatedOIS(,E23,F23,OvernightIndex,0,,,,EvaluationDate)</f>
        <v>obj_003db#0000</v>
      </c>
      <c r="C23" s="56" t="b">
        <f>_xll.qlInstrumentSetPricingEngine(B23,OisEngine)</f>
        <v>1</v>
      </c>
      <c r="D23" s="64" t="str">
        <f t="shared" si="9"/>
        <v>EUR5x11F_Quote</v>
      </c>
      <c r="E23" s="65">
        <f>_xll.qlCalendarAdvance(Calendar,SettlementDate,A23&amp;"M","mf")</f>
        <v>42040</v>
      </c>
      <c r="F23" s="66">
        <f>_xll.qlInterestRateIndexMaturity($A$17,E23)</f>
        <v>42221</v>
      </c>
      <c r="G23" s="67">
        <f>_xll.qlQuoteValue(D23,AllTriggers)</f>
        <v>2.2599999999999999E-3</v>
      </c>
      <c r="H23" s="68">
        <f>_xll.qlOvernightIndexedSwapFairRate(B23,_xll.ohTrigger(C23,InterestRatesTrigger))</f>
        <v>-1.998405588771394E-4</v>
      </c>
      <c r="I23" s="69">
        <f t="shared" si="1"/>
        <v>2.4598405588771395E-3</v>
      </c>
      <c r="J23" s="36" t="b">
        <f t="shared" si="10"/>
        <v>1</v>
      </c>
      <c r="K23" s="68">
        <f>(I23-_xll.ohFilter($I$15:$I$18,$J$15:$J$18))/(P23-_xll.ohFilter($P$15:$P$18,$J$15:$J$18))</f>
        <v>-3.1233161074753242E-7</v>
      </c>
      <c r="L23" s="68">
        <f>_xll.ohFilter($I$15:$I$18,$J$15:$J$18)-K23*_xll.ohFilter($P$15:$P$18,$J$15:$J$18)</f>
        <v>2.6119460533111879E-3</v>
      </c>
      <c r="M23" s="70"/>
      <c r="N23" s="71">
        <f t="shared" si="11"/>
        <v>153</v>
      </c>
      <c r="O23" s="71">
        <f t="shared" si="12"/>
        <v>334</v>
      </c>
      <c r="P23" s="70">
        <f t="shared" si="6"/>
        <v>487</v>
      </c>
      <c r="T23" s="72">
        <f t="shared" si="4"/>
        <v>62022.333333333336</v>
      </c>
      <c r="U23" s="72">
        <f t="shared" si="5"/>
        <v>243.5</v>
      </c>
      <c r="V23" s="72">
        <v>1</v>
      </c>
      <c r="X23" s="72"/>
      <c r="Y23" s="72"/>
      <c r="Z23" s="72"/>
      <c r="AD23" s="105"/>
    </row>
    <row r="24" spans="1:36" x14ac:dyDescent="0.2">
      <c r="A24" s="36">
        <v>6</v>
      </c>
      <c r="B24" s="79" t="str">
        <f>_xll.qlMakeDatedOIS(,E24,F24,OvernightIndex,0,,,,EvaluationDate)</f>
        <v>obj_003a5#0000</v>
      </c>
      <c r="C24" s="56" t="b">
        <f>_xll.qlInstrumentSetPricingEngine(B24,OisEngine)</f>
        <v>1</v>
      </c>
      <c r="D24" s="64" t="str">
        <f t="shared" si="9"/>
        <v>EUR6x12F_Quote</v>
      </c>
      <c r="E24" s="65">
        <f>_xll.qlCalendarAdvance(Calendar,SettlementDate,A24&amp;"M","mf")</f>
        <v>42068</v>
      </c>
      <c r="F24" s="66">
        <f>_xll.qlInterestRateIndexMaturity($A$17,E24)</f>
        <v>42254</v>
      </c>
      <c r="G24" s="67">
        <f>_xll.qlQuoteValue(D24,AllTriggers)</f>
        <v>2.2400000000000002E-3</v>
      </c>
      <c r="H24" s="68">
        <f>_xll.qlOvernightIndexedSwapFairRate(B24,_xll.ohTrigger(C24,InterestRatesTrigger))</f>
        <v>-2.6178181096353319E-4</v>
      </c>
      <c r="I24" s="69">
        <f t="shared" si="1"/>
        <v>2.5017818109635335E-3</v>
      </c>
      <c r="J24" s="36" t="b">
        <f t="shared" si="10"/>
        <v>1</v>
      </c>
      <c r="K24" s="68">
        <f>(I24-_xll.ohFilter($I$15:$I$18,$J$15:$J$18))/(P24-_xll.ohFilter($P$15:$P$18,$J$15:$J$18))</f>
        <v>-1.4613684142329935E-7</v>
      </c>
      <c r="L24" s="68">
        <f>_xll.ohFilter($I$15:$I$18,$J$15:$J$18)-K24*_xll.ohFilter($P$15:$P$18,$J$15:$J$18)</f>
        <v>2.5818648000635017E-3</v>
      </c>
      <c r="M24" s="70"/>
      <c r="N24" s="71">
        <f t="shared" si="11"/>
        <v>181</v>
      </c>
      <c r="O24" s="71">
        <f t="shared" si="12"/>
        <v>367</v>
      </c>
      <c r="P24" s="70">
        <f t="shared" si="6"/>
        <v>548</v>
      </c>
      <c r="T24" s="72">
        <f t="shared" si="4"/>
        <v>77959</v>
      </c>
      <c r="U24" s="72">
        <f t="shared" si="5"/>
        <v>274</v>
      </c>
      <c r="V24" s="72">
        <v>1</v>
      </c>
    </row>
    <row r="25" spans="1:36" x14ac:dyDescent="0.2">
      <c r="A25" s="36">
        <v>12</v>
      </c>
      <c r="B25" s="43" t="str">
        <f>_xll.qlMakeDatedOIS(,E25,F25,OvernightIndex,0,,,,EvaluationDate)</f>
        <v>obj_003d7#0000</v>
      </c>
      <c r="C25" s="44" t="b">
        <f>_xll.qlInstrumentSetPricingEngine(B25,OisEngine)</f>
        <v>1</v>
      </c>
      <c r="D25" s="45" t="str">
        <f>Currency&amp;A26&amp;"D_Quote"</f>
        <v>EUR1YD_Quote</v>
      </c>
      <c r="E25" s="46">
        <f>SettlementDate</f>
        <v>41887</v>
      </c>
      <c r="F25" s="47">
        <f>_xll.qlCalendarAdvance(Calendar,E25,A26,"mf")</f>
        <v>42254</v>
      </c>
      <c r="G25" s="48">
        <f>_xll.qlQuoteValue($D25,AllTriggers)</f>
        <v>4.4000000000000003E-3</v>
      </c>
      <c r="H25" s="49">
        <f>_xll.qlOvernightIndexedSwapFairRate(B25,_xll.ohTrigger(C25,InterestRatesTrigger))</f>
        <v>-1.6000000000000272E-4</v>
      </c>
      <c r="I25" s="50">
        <f t="shared" si="1"/>
        <v>4.5600000000000033E-3</v>
      </c>
      <c r="J25" s="51" t="b">
        <v>0</v>
      </c>
      <c r="K25" s="51"/>
      <c r="L25" s="51"/>
      <c r="M25" s="52"/>
      <c r="N25" s="53">
        <f t="shared" si="11"/>
        <v>0</v>
      </c>
      <c r="O25" s="53">
        <f t="shared" si="12"/>
        <v>367</v>
      </c>
      <c r="P25" s="52">
        <f t="shared" si="6"/>
        <v>367</v>
      </c>
      <c r="Q25" s="51"/>
      <c r="R25" s="51"/>
      <c r="S25" s="51"/>
      <c r="T25" s="54">
        <f t="shared" si="4"/>
        <v>44896.333333333336</v>
      </c>
      <c r="U25" s="54">
        <f t="shared" si="5"/>
        <v>183.5</v>
      </c>
      <c r="V25" s="54">
        <v>1</v>
      </c>
    </row>
    <row r="26" spans="1:36" x14ac:dyDescent="0.2">
      <c r="A26" s="36" t="str">
        <f>_xll.qlPeriodEquivalent(A25&amp;"M")</f>
        <v>1Y</v>
      </c>
      <c r="B26" s="79" t="str">
        <f>_xll.qlMakeDatedOIS(,E26,F26,OvernightIndex,0,,,,EvaluationDate)</f>
        <v>obj_00339#0002</v>
      </c>
      <c r="C26" s="56" t="b">
        <f>_xll.qlInstrumentSetPricingEngine(B26,OisEngine)</f>
        <v>1</v>
      </c>
      <c r="D26" s="57" t="str">
        <f>PROPER(Currency&amp;IborType)&amp;A26&amp;"LastFixing_Quote"</f>
        <v>Euribor1YLastFixing_Quote</v>
      </c>
      <c r="E26" s="58">
        <f>_xll.qlCalendarAdvance(Calendar,_xll.qlLastFixingQuoteReferenceDate(D26),_xll.qlInterestRateIndexFixingDays(A27)&amp;"D","f",,LastFixingsTrigger)</f>
        <v>41887</v>
      </c>
      <c r="F26" s="59">
        <f>_xll.qlInterestRateIndexMaturity(A27,E26)</f>
        <v>42254</v>
      </c>
      <c r="G26" s="60">
        <f>_xll.qlQuoteValue(D26,AllTriggers)</f>
        <v>4.1900000000000001E-3</v>
      </c>
      <c r="H26" s="61">
        <f>_xll.qlOvernightIndexedSwapFairRate(B26,_xll.ohTrigger(C26,InterestRatesTrigger))</f>
        <v>-1.6000000000000272E-4</v>
      </c>
      <c r="I26" s="62">
        <f t="shared" si="1"/>
        <v>4.3500000000000032E-3</v>
      </c>
      <c r="J26" s="51" t="b">
        <f>NOT(ISERROR(I26))</f>
        <v>1</v>
      </c>
      <c r="K26" s="63">
        <f>K27</f>
        <v>-1.042262239156896E-7</v>
      </c>
      <c r="L26" s="61">
        <f>_xll.ohFilter($I$25:$I$26,$J$25:$J$26)-K26*_xll.ohFilter($P$25:$P$26,$J$25:$J$26)</f>
        <v>4.3882510241770615E-3</v>
      </c>
      <c r="M26" s="52"/>
      <c r="N26" s="53">
        <f t="shared" si="11"/>
        <v>0</v>
      </c>
      <c r="O26" s="53">
        <f t="shared" si="12"/>
        <v>367</v>
      </c>
      <c r="P26" s="52">
        <f t="shared" si="6"/>
        <v>367</v>
      </c>
      <c r="Q26" s="51"/>
      <c r="R26" s="51"/>
      <c r="S26" s="51"/>
      <c r="T26" s="54">
        <f t="shared" si="4"/>
        <v>44896.333333333336</v>
      </c>
      <c r="U26" s="54">
        <f t="shared" si="5"/>
        <v>183.5</v>
      </c>
      <c r="V26" s="54">
        <v>1</v>
      </c>
    </row>
    <row r="27" spans="1:36" x14ac:dyDescent="0.2">
      <c r="A27" s="36" t="str">
        <f>PROPER(Currency)&amp;IborType&amp;SynthDepo!A26</f>
        <v>Euribor1Y</v>
      </c>
      <c r="B27" s="79" t="str">
        <f>_xll.qlMakeDatedOIS(,E27,F27,OvernightIndex,0,,,,EvaluationDate)</f>
        <v>obj_003d1#0000</v>
      </c>
      <c r="C27" s="56" t="b">
        <f>_xll.qlInstrumentSetPricingEngine(B27,OisEngine)</f>
        <v>1</v>
      </c>
      <c r="D27" s="64" t="str">
        <f>Currency&amp;"12x24F"&amp;QuoteSuffix</f>
        <v>EUR12x24F_Quote</v>
      </c>
      <c r="E27" s="65">
        <f>_xll.qlCalendarAdvance(Calendar,SettlementDate,"12M","mf")</f>
        <v>42254</v>
      </c>
      <c r="F27" s="66">
        <f>_xll.qlInterestRateIndexMaturity(A27,E27)</f>
        <v>42620</v>
      </c>
      <c r="G27" s="67">
        <f>_xll.qlQuoteValue(D27,AllTriggers)</f>
        <v>4.2400000000000007E-3</v>
      </c>
      <c r="H27" s="68">
        <f>_xll.qlOvernightIndexedSwapFairRate(B27,_xll.ohTrigger(C27,InterestRatesTrigger))</f>
        <v>-3.3602177869802283E-5</v>
      </c>
      <c r="I27" s="69">
        <f t="shared" si="1"/>
        <v>4.2736021778698027E-3</v>
      </c>
      <c r="J27" s="36" t="b">
        <f>NOT(ISERROR(I27))</f>
        <v>1</v>
      </c>
      <c r="K27" s="68">
        <f>(I27-_xll.ohFilter($I$25:$I$26,$J$25:$J$26))/(P27-_xll.ohFilter($P$25:$P$26,$J$25:$J$26))</f>
        <v>-1.042262239156896E-7</v>
      </c>
      <c r="L27" s="68">
        <f>_xll.ohFilter($I$25:$I$26,$J$25:$J$26)-K27*_xll.ohFilter($P$25:$P$26,$J$25:$J$26)</f>
        <v>4.3882510241770615E-3</v>
      </c>
      <c r="M27" s="70"/>
      <c r="N27" s="71">
        <f t="shared" si="11"/>
        <v>367</v>
      </c>
      <c r="O27" s="71">
        <f t="shared" si="12"/>
        <v>733</v>
      </c>
      <c r="P27" s="70">
        <f t="shared" si="6"/>
        <v>1100</v>
      </c>
      <c r="T27" s="72">
        <f t="shared" si="4"/>
        <v>313663</v>
      </c>
      <c r="U27" s="72">
        <f t="shared" si="5"/>
        <v>550</v>
      </c>
      <c r="V27" s="72">
        <v>1</v>
      </c>
    </row>
    <row r="28" spans="1:36" x14ac:dyDescent="0.2">
      <c r="B28" s="106"/>
      <c r="C28" s="106"/>
      <c r="D28" s="107" t="e">
        <f>_xll.qlRateHelperQuoteName(D2)</f>
        <v>#NUM!</v>
      </c>
      <c r="E28" s="107"/>
      <c r="F28" s="107"/>
      <c r="G28" s="107"/>
      <c r="H28" s="107"/>
      <c r="I28" s="108"/>
      <c r="O28" s="109"/>
      <c r="U28" s="109"/>
      <c r="V28" s="109"/>
      <c r="W28" s="109"/>
      <c r="X28" s="109"/>
      <c r="Y28" s="109"/>
      <c r="Z28" s="109"/>
      <c r="AC28" s="109"/>
    </row>
    <row r="29" spans="1:36" x14ac:dyDescent="0.2">
      <c r="G29" s="41" t="s">
        <v>57</v>
      </c>
      <c r="H29" s="41" t="s">
        <v>57</v>
      </c>
      <c r="I29" s="41" t="s">
        <v>57</v>
      </c>
      <c r="J29" s="41" t="s">
        <v>57</v>
      </c>
      <c r="AC29" s="36" t="s">
        <v>57</v>
      </c>
      <c r="AD29" s="36" t="s">
        <v>142</v>
      </c>
      <c r="AE29" s="36" t="s">
        <v>143</v>
      </c>
    </row>
    <row r="30" spans="1:36" x14ac:dyDescent="0.2">
      <c r="A30" s="110"/>
      <c r="B30" s="110"/>
      <c r="C30" s="110"/>
      <c r="D30" s="110"/>
      <c r="E30" s="110"/>
      <c r="F30" s="110"/>
      <c r="G30" s="41" t="b">
        <v>0</v>
      </c>
      <c r="H30" s="41" t="b">
        <v>0</v>
      </c>
      <c r="I30" s="41" t="b">
        <v>0</v>
      </c>
      <c r="J30" s="41" t="b">
        <v>0</v>
      </c>
      <c r="M30" s="36" t="s">
        <v>58</v>
      </c>
      <c r="O30" s="41" t="b">
        <v>0</v>
      </c>
      <c r="P30" s="41" t="b">
        <v>1</v>
      </c>
      <c r="S30" s="111" t="s">
        <v>58</v>
      </c>
      <c r="T30" s="112">
        <f>AB9</f>
        <v>1.6994402829186669E-7</v>
      </c>
      <c r="U30" s="113">
        <f>AB18</f>
        <v>5.815011732018473E-8</v>
      </c>
      <c r="AB30" s="378">
        <f>SettlementDate</f>
        <v>41887</v>
      </c>
      <c r="AC30" s="105">
        <f>$H$32</f>
        <v>1.5518681226430601E-3</v>
      </c>
      <c r="AD30" s="105">
        <f t="shared" ref="AD30:AD61" si="13">$O$32+$O$31*(AB30-SettlementDate)</f>
        <v>1.8671002603762071E-3</v>
      </c>
      <c r="AE30" s="105">
        <f t="shared" ref="AE30:AE61" si="14">$T$32+$T$31*(AB30-SettlementDate)+$T$30*(AB30-SettlementDate)^2</f>
        <v>2.3060840436053068E-3</v>
      </c>
    </row>
    <row r="31" spans="1:36" x14ac:dyDescent="0.2">
      <c r="D31" s="36">
        <v>4</v>
      </c>
      <c r="E31" s="42"/>
      <c r="F31" s="42" t="s">
        <v>59</v>
      </c>
      <c r="G31" s="114">
        <f>_xll.ohFilter(I2:I3,J2:J3)</f>
        <v>5.9602151174921914E-4</v>
      </c>
      <c r="H31" s="115">
        <f>_xll.ohFilter(I6:I9,J6:J9)</f>
        <v>1.5518681226430601E-3</v>
      </c>
      <c r="I31" s="115">
        <f>_xll.ohFilter(I15:I18,J15:J18)</f>
        <v>2.5554140317658844E-3</v>
      </c>
      <c r="J31" s="116">
        <f>_xll.ohFilter(I25:I26,J25:J26)</f>
        <v>4.3500000000000032E-3</v>
      </c>
      <c r="M31" s="41" t="s">
        <v>46</v>
      </c>
      <c r="N31" s="105">
        <f>K4</f>
        <v>-8.2949689008494079E-7</v>
      </c>
      <c r="O31" s="105">
        <f>K9</f>
        <v>-3.4640894256389793E-6</v>
      </c>
      <c r="P31" s="105">
        <f>AVERAGE(K19:K21)</f>
        <v>-1.1376295206196481E-6</v>
      </c>
      <c r="Q31" s="105">
        <f>K26</f>
        <v>-1.042262239156896E-7</v>
      </c>
      <c r="R31" s="105"/>
      <c r="S31" s="117" t="s">
        <v>46</v>
      </c>
      <c r="T31" s="118">
        <f>AB10</f>
        <v>-2.6886111803455559E-5</v>
      </c>
      <c r="U31" s="69">
        <f>AB19</f>
        <v>-1.6088713230770057E-5</v>
      </c>
      <c r="AB31" s="378">
        <f>_xll.qlCalendarAdvance(Calendar,AB30,"1d","mf")</f>
        <v>41890</v>
      </c>
      <c r="AC31" s="105">
        <f t="shared" ref="AC31:AC94" si="15">$H$32</f>
        <v>1.5518681226430601E-3</v>
      </c>
      <c r="AD31" s="105">
        <f t="shared" si="13"/>
        <v>1.8567079920992903E-3</v>
      </c>
      <c r="AE31" s="105">
        <f t="shared" si="14"/>
        <v>2.2269552044495672E-3</v>
      </c>
    </row>
    <row r="32" spans="1:36" x14ac:dyDescent="0.2">
      <c r="E32" s="42"/>
      <c r="F32" s="42" t="s">
        <v>60</v>
      </c>
      <c r="G32" s="114">
        <f>IF(G31&lt;H31,G31,H31)</f>
        <v>5.9602151174921914E-4</v>
      </c>
      <c r="H32" s="115">
        <f>H31</f>
        <v>1.5518681226430601E-3</v>
      </c>
      <c r="I32" s="115">
        <f>IF(I31&lt;H31,H31,I31)</f>
        <v>2.5554140317658844E-3</v>
      </c>
      <c r="J32" s="116">
        <f>IF(J31&lt;I31,I31,J31)</f>
        <v>4.3500000000000032E-3</v>
      </c>
      <c r="M32" s="41" t="s">
        <v>47</v>
      </c>
      <c r="N32" s="105">
        <f>L4</f>
        <v>6.2173591534185233E-4</v>
      </c>
      <c r="O32" s="105">
        <f>L9</f>
        <v>1.8671002603762071E-3</v>
      </c>
      <c r="P32" s="105">
        <f>L18</f>
        <v>2.7613249749980405E-3</v>
      </c>
      <c r="Q32" s="105">
        <f>L26</f>
        <v>4.3882510241770615E-3</v>
      </c>
      <c r="R32" s="105"/>
      <c r="S32" s="117" t="s">
        <v>47</v>
      </c>
      <c r="T32" s="118">
        <f>AB11</f>
        <v>2.3060840436053068E-3</v>
      </c>
      <c r="U32" s="69">
        <f>AB20</f>
        <v>3.376423914641713E-3</v>
      </c>
      <c r="AB32" s="378">
        <f>_xll.qlCalendarAdvance(Calendar,AB31,"1d","mf")</f>
        <v>41891</v>
      </c>
      <c r="AC32" s="105">
        <f t="shared" si="15"/>
        <v>1.5518681226430601E-3</v>
      </c>
      <c r="AD32" s="105">
        <f t="shared" si="13"/>
        <v>1.8532439026736512E-3</v>
      </c>
      <c r="AE32" s="105">
        <f t="shared" si="14"/>
        <v>2.2012587008441546E-3</v>
      </c>
    </row>
    <row r="33" spans="2:31" x14ac:dyDescent="0.2">
      <c r="B33" s="37" t="s">
        <v>39</v>
      </c>
      <c r="C33" s="38"/>
      <c r="D33" s="37" t="s">
        <v>40</v>
      </c>
      <c r="E33" s="38" t="s">
        <v>41</v>
      </c>
      <c r="F33" s="39" t="s">
        <v>42</v>
      </c>
      <c r="G33" s="37" t="s">
        <v>61</v>
      </c>
      <c r="H33" s="38" t="s">
        <v>62</v>
      </c>
      <c r="I33" s="38" t="s">
        <v>63</v>
      </c>
      <c r="J33" s="40" t="s">
        <v>31</v>
      </c>
      <c r="K33" s="37" t="s">
        <v>64</v>
      </c>
      <c r="L33" s="40" t="s">
        <v>44</v>
      </c>
      <c r="N33" s="37" t="s">
        <v>61</v>
      </c>
      <c r="O33" s="38" t="s">
        <v>62</v>
      </c>
      <c r="P33" s="38" t="s">
        <v>63</v>
      </c>
      <c r="Q33" s="40" t="s">
        <v>31</v>
      </c>
      <c r="R33" s="38"/>
      <c r="S33" s="119"/>
      <c r="T33" s="38" t="s">
        <v>62</v>
      </c>
      <c r="U33" s="40" t="s">
        <v>63</v>
      </c>
      <c r="AB33" s="378">
        <f>_xll.qlCalendarAdvance(Calendar,AB32,"1d","mf")</f>
        <v>41892</v>
      </c>
      <c r="AC33" s="105">
        <f t="shared" si="15"/>
        <v>1.5518681226430601E-3</v>
      </c>
      <c r="AD33" s="105">
        <f t="shared" si="13"/>
        <v>1.8497798132480123E-3</v>
      </c>
      <c r="AE33" s="105">
        <f t="shared" si="14"/>
        <v>2.1759020852953254E-3</v>
      </c>
    </row>
    <row r="34" spans="2:31" x14ac:dyDescent="0.2">
      <c r="B34" s="43" t="str">
        <f>_xll.qlMakeDatedOIS(,E34,F34,OvernightIndex,0,,,,EvaluationDate)</f>
        <v>obj_003b2#0000</v>
      </c>
      <c r="C34" s="106" t="b">
        <f>_xll.qlInstrumentSetPricingEngine(B34,OisEngine)</f>
        <v>1</v>
      </c>
      <c r="D34" s="120" t="s">
        <v>65</v>
      </c>
      <c r="E34" s="121">
        <f t="shared" ref="E34:E49" si="16">SettlementDate</f>
        <v>41887</v>
      </c>
      <c r="F34" s="122">
        <f>_xll.qlCalendarAdvance(Calendar,SettlementDate,D34,"Following")</f>
        <v>41890</v>
      </c>
      <c r="G34" s="123">
        <f t="shared" ref="G34:J49" si="17">$L34+IF(G$30,G$32,N34)</f>
        <v>9.1924742260854808E-4</v>
      </c>
      <c r="H34" s="123">
        <f t="shared" si="17"/>
        <v>2.1567079900362408E-3</v>
      </c>
      <c r="I34" s="123">
        <f t="shared" si="17"/>
        <v>3.6524652930844692E-3</v>
      </c>
      <c r="J34" s="123">
        <f t="shared" si="17"/>
        <v>4.6879383434422651E-3</v>
      </c>
      <c r="K34" s="272">
        <f t="shared" ref="K34:K49" si="18">F34-SettlementDate</f>
        <v>3</v>
      </c>
      <c r="L34" s="125">
        <f>_xll.qlOvernightIndexedSwapFairRate(B34,_xll.ohTrigger(C34,InterestRatesTrigger))</f>
        <v>2.9999999793695054E-4</v>
      </c>
      <c r="N34" s="126">
        <f>N$31*$K34+N$32</f>
        <v>6.1924742467159755E-4</v>
      </c>
      <c r="O34" s="118">
        <f t="shared" ref="O34:P40" si="19">IF(O$30,T34,O$31*$K34+O$32)</f>
        <v>1.8567079920992903E-3</v>
      </c>
      <c r="P34" s="118">
        <f t="shared" si="19"/>
        <v>3.3524652951475186E-3</v>
      </c>
      <c r="Q34" s="69">
        <f t="shared" ref="Q34:Q49" si="20">Q$31*$K34+Q$32</f>
        <v>4.3879383455053145E-3</v>
      </c>
      <c r="R34" s="118"/>
      <c r="S34" s="127" t="s">
        <v>65</v>
      </c>
      <c r="T34" s="118">
        <f t="shared" ref="T34:U40" si="21">$K34*$K34/3*T$30+$K34/2*T$31+T$32</f>
        <v>2.2662647079849992E-3</v>
      </c>
      <c r="U34" s="69">
        <f t="shared" si="21"/>
        <v>3.3524652951475186E-3</v>
      </c>
      <c r="AB34" s="378">
        <f>_xll.qlCalendarAdvance(Calendar,AB33,"1d","mf")</f>
        <v>41893</v>
      </c>
      <c r="AC34" s="105">
        <f t="shared" si="15"/>
        <v>1.5518681226430601E-3</v>
      </c>
      <c r="AD34" s="105">
        <f t="shared" si="13"/>
        <v>1.8463157238223732E-3</v>
      </c>
      <c r="AE34" s="105">
        <f t="shared" si="14"/>
        <v>2.1508853578030805E-3</v>
      </c>
    </row>
    <row r="35" spans="2:31" x14ac:dyDescent="0.2">
      <c r="B35" s="79" t="str">
        <f>_xll.qlMakeDatedOIS(,E35,F35,OvernightIndex,0,,,,EvaluationDate)</f>
        <v>obj_003b0#0000</v>
      </c>
      <c r="C35" s="70" t="b">
        <f>_xll.qlInstrumentSetPricingEngine(B35,OisEngine)</f>
        <v>1</v>
      </c>
      <c r="D35" s="128" t="s">
        <v>66</v>
      </c>
      <c r="E35" s="65">
        <f t="shared" si="16"/>
        <v>41887</v>
      </c>
      <c r="F35" s="129">
        <f>_xll.qlCalendarAdvance(Calendar,SettlementDate,D35,"Following")</f>
        <v>41894</v>
      </c>
      <c r="G35" s="123">
        <f t="shared" si="17"/>
        <v>6.3592944606308526E-4</v>
      </c>
      <c r="H35" s="123">
        <f t="shared" si="17"/>
        <v>1.8628516433485619E-3</v>
      </c>
      <c r="I35" s="123">
        <f t="shared" si="17"/>
        <v>3.3410632125354086E-3</v>
      </c>
      <c r="J35" s="123">
        <f t="shared" si="17"/>
        <v>4.4075214495614785E-3</v>
      </c>
      <c r="K35" s="130">
        <f t="shared" si="18"/>
        <v>7</v>
      </c>
      <c r="L35" s="131">
        <f>_xll.qlOvernightIndexedSwapFairRate(B35,_xll.ohTrigger(C35,InterestRatesTrigger))</f>
        <v>2.0000008951827555E-5</v>
      </c>
      <c r="N35" s="126">
        <f>N$31*$K35+N$32</f>
        <v>6.1592943711125776E-4</v>
      </c>
      <c r="O35" s="118">
        <f t="shared" si="19"/>
        <v>1.8428516343967343E-3</v>
      </c>
      <c r="P35" s="118">
        <f t="shared" si="19"/>
        <v>3.3210632035835809E-3</v>
      </c>
      <c r="Q35" s="69">
        <f t="shared" si="20"/>
        <v>4.3875214406096513E-3</v>
      </c>
      <c r="R35" s="118"/>
      <c r="S35" s="132" t="s">
        <v>66</v>
      </c>
      <c r="T35" s="118">
        <f t="shared" si="21"/>
        <v>2.2147584047553129E-3</v>
      </c>
      <c r="U35" s="69">
        <f t="shared" si="21"/>
        <v>3.3210632035835809E-3</v>
      </c>
      <c r="AB35" s="378">
        <f>_xll.qlCalendarAdvance(Calendar,AB34,"1d","mf")</f>
        <v>41894</v>
      </c>
      <c r="AC35" s="105">
        <f t="shared" si="15"/>
        <v>1.5518681226430601E-3</v>
      </c>
      <c r="AD35" s="105">
        <f t="shared" si="13"/>
        <v>1.8428516343967343E-3</v>
      </c>
      <c r="AE35" s="105">
        <f t="shared" si="14"/>
        <v>2.1262085183674194E-3</v>
      </c>
    </row>
    <row r="36" spans="2:31" x14ac:dyDescent="0.2">
      <c r="B36" s="79" t="str">
        <f>_xll.qlMakeDatedOIS(,E36,F36,OvernightIndex,0,,,,EvaluationDate)</f>
        <v>obj_003c5#0000</v>
      </c>
      <c r="C36" s="70" t="b">
        <f>_xll.qlInstrumentSetPricingEngine(B36,OisEngine)</f>
        <v>1</v>
      </c>
      <c r="D36" s="128" t="s">
        <v>67</v>
      </c>
      <c r="E36" s="65">
        <f t="shared" si="16"/>
        <v>41887</v>
      </c>
      <c r="F36" s="129">
        <f>_xll.qlCalendarAdvance(Calendar,SettlementDate,D36,"Following")</f>
        <v>41901</v>
      </c>
      <c r="G36" s="123">
        <f t="shared" si="17"/>
        <v>6.2012295760689056E-4</v>
      </c>
      <c r="H36" s="123">
        <f t="shared" si="17"/>
        <v>1.8286030071434888E-3</v>
      </c>
      <c r="I36" s="123">
        <f t="shared" si="17"/>
        <v>3.2776020617508021E-3</v>
      </c>
      <c r="J36" s="123">
        <f t="shared" si="17"/>
        <v>4.3967918557684697E-3</v>
      </c>
      <c r="K36" s="130">
        <f t="shared" si="18"/>
        <v>14</v>
      </c>
      <c r="L36" s="131">
        <f>_xll.qlOvernightIndexedSwapFairRate(B36,_xll.ohTrigger(C36,InterestRatesTrigger))</f>
        <v>9.9999987262273333E-6</v>
      </c>
      <c r="N36" s="126">
        <f>N$31*$K36+N$32</f>
        <v>6.1012295888066318E-4</v>
      </c>
      <c r="O36" s="118">
        <f t="shared" si="19"/>
        <v>1.8186030084172615E-3</v>
      </c>
      <c r="P36" s="118">
        <f t="shared" si="19"/>
        <v>3.2676020630245748E-3</v>
      </c>
      <c r="Q36" s="69">
        <f t="shared" si="20"/>
        <v>4.386791857042242E-3</v>
      </c>
      <c r="R36" s="118"/>
      <c r="S36" s="132" t="s">
        <v>67</v>
      </c>
      <c r="T36" s="118">
        <f t="shared" si="21"/>
        <v>2.1289842708295198E-3</v>
      </c>
      <c r="U36" s="69">
        <f t="shared" si="21"/>
        <v>3.2676020630245748E-3</v>
      </c>
      <c r="AB36" s="378">
        <f>_xll.qlCalendarAdvance(Calendar,AB35,"1d","mf")</f>
        <v>41897</v>
      </c>
      <c r="AC36" s="105">
        <f t="shared" si="15"/>
        <v>1.5518681226430601E-3</v>
      </c>
      <c r="AD36" s="105">
        <f t="shared" si="13"/>
        <v>1.8324593661198174E-3</v>
      </c>
      <c r="AE36" s="105">
        <f t="shared" si="14"/>
        <v>2.054217328399938E-3</v>
      </c>
    </row>
    <row r="37" spans="2:31" x14ac:dyDescent="0.2">
      <c r="B37" s="133" t="str">
        <f>_xll.qlMakeDatedOIS(,E37,F37,OvernightIndex,0,,,,EvaluationDate)</f>
        <v>obj_003cf#0000</v>
      </c>
      <c r="C37" s="134" t="b">
        <f>_xll.qlInstrumentSetPricingEngine(B37,OisEngine)</f>
        <v>1</v>
      </c>
      <c r="D37" s="135" t="s">
        <v>68</v>
      </c>
      <c r="E37" s="136">
        <f t="shared" si="16"/>
        <v>41887</v>
      </c>
      <c r="F37" s="137">
        <f>_xll.qlCalendarAdvance(Calendar,SettlementDate,D37,"Following")</f>
        <v>41908</v>
      </c>
      <c r="G37" s="138">
        <f t="shared" si="17"/>
        <v>6.0431648010003235E-4</v>
      </c>
      <c r="H37" s="138">
        <f t="shared" si="17"/>
        <v>1.7943543818877525E-3</v>
      </c>
      <c r="I37" s="138">
        <f t="shared" si="17"/>
        <v>3.2160404924146584E-3</v>
      </c>
      <c r="J37" s="138">
        <f t="shared" si="17"/>
        <v>4.3860622729247952E-3</v>
      </c>
      <c r="K37" s="139">
        <f t="shared" si="18"/>
        <v>21</v>
      </c>
      <c r="L37" s="140">
        <f>_xll.qlOvernightIndexedSwapFairRate(B37,_xll.ohTrigger(C37,InterestRatesTrigger))</f>
        <v>-5.5003620705714903E-13</v>
      </c>
      <c r="N37" s="141">
        <f>N$31*$K37+N$32</f>
        <v>6.0431648065006861E-4</v>
      </c>
      <c r="O37" s="142">
        <f t="shared" si="19"/>
        <v>1.7943543824377886E-3</v>
      </c>
      <c r="P37" s="142">
        <f t="shared" si="19"/>
        <v>3.2160404929646945E-3</v>
      </c>
      <c r="Q37" s="143">
        <f t="shared" si="20"/>
        <v>4.3860622734748318E-3</v>
      </c>
      <c r="R37" s="142"/>
      <c r="S37" s="144" t="s">
        <v>68</v>
      </c>
      <c r="T37" s="142">
        <f t="shared" si="21"/>
        <v>2.0487616418279277E-3</v>
      </c>
      <c r="U37" s="143">
        <f t="shared" si="21"/>
        <v>3.2160404929646945E-3</v>
      </c>
      <c r="AB37" s="378">
        <f>_xll.qlCalendarAdvance(Calendar,AB36,"1d","mf")</f>
        <v>41898</v>
      </c>
      <c r="AC37" s="105">
        <f t="shared" si="15"/>
        <v>1.5518681226430601E-3</v>
      </c>
      <c r="AD37" s="105">
        <f t="shared" si="13"/>
        <v>1.8289952766941783E-3</v>
      </c>
      <c r="AE37" s="105">
        <f t="shared" si="14"/>
        <v>2.0309000411906112E-3</v>
      </c>
    </row>
    <row r="38" spans="2:31" x14ac:dyDescent="0.2">
      <c r="B38" s="79" t="str">
        <f>_xll.qlMakeDatedOIS(,E38,F38,OvernightIndex,0,,,,EvaluationDate)</f>
        <v>obj_003be#0000</v>
      </c>
      <c r="C38" s="70" t="b">
        <f>_xll.qlInstrumentSetPricingEngine(B38,OisEngine)</f>
        <v>1</v>
      </c>
      <c r="D38" s="128" t="s">
        <v>61</v>
      </c>
      <c r="E38" s="65">
        <f t="shared" si="16"/>
        <v>41887</v>
      </c>
      <c r="F38" s="129">
        <f>_xll.qlCalendarAdvance(Calendar,SettlementDate,D38,"mf",TRUE)</f>
        <v>41918</v>
      </c>
      <c r="G38" s="145">
        <f t="shared" si="17"/>
        <v>6.0999999999999997E-4</v>
      </c>
      <c r="H38" s="145">
        <f t="shared" si="17"/>
        <v>1.7736919764321795E-3</v>
      </c>
      <c r="I38" s="145">
        <f t="shared" si="17"/>
        <v>3.1596547687304573E-3</v>
      </c>
      <c r="J38" s="145">
        <f t="shared" si="17"/>
        <v>4.398998499486456E-3</v>
      </c>
      <c r="K38" s="124">
        <f t="shared" si="18"/>
        <v>31</v>
      </c>
      <c r="L38" s="131">
        <f>_xll.qlOvernightIndexedSwapFairRate(B38,_xll.ohTrigger(C38,InterestRatesTrigger))</f>
        <v>1.397848825078082E-5</v>
      </c>
      <c r="N38" s="126">
        <f>N$31*$K38+N$32</f>
        <v>5.9602151174921914E-4</v>
      </c>
      <c r="O38" s="118">
        <f t="shared" si="19"/>
        <v>1.7597134881813987E-3</v>
      </c>
      <c r="P38" s="118">
        <f t="shared" si="19"/>
        <v>3.1456762804796764E-3</v>
      </c>
      <c r="Q38" s="69">
        <f t="shared" si="20"/>
        <v>4.3850200112356755E-3</v>
      </c>
      <c r="R38" s="118"/>
      <c r="S38" s="132" t="s">
        <v>61</v>
      </c>
      <c r="T38" s="118">
        <f t="shared" si="21"/>
        <v>1.9437880477145735E-3</v>
      </c>
      <c r="U38" s="69">
        <f t="shared" si="21"/>
        <v>3.1456762804796764E-3</v>
      </c>
      <c r="AB38" s="378">
        <f>_xll.qlCalendarAdvance(Calendar,AB37,"1d","mf")</f>
        <v>41899</v>
      </c>
      <c r="AC38" s="105">
        <f t="shared" si="15"/>
        <v>1.5518681226430601E-3</v>
      </c>
      <c r="AD38" s="105">
        <f t="shared" si="13"/>
        <v>1.8255311872685395E-3</v>
      </c>
      <c r="AE38" s="105">
        <f t="shared" si="14"/>
        <v>2.0079226420378691E-3</v>
      </c>
    </row>
    <row r="39" spans="2:31" x14ac:dyDescent="0.2">
      <c r="B39" s="79" t="str">
        <f>_xll.qlMakeDatedOIS(,E39,F39,OvernightIndex,0,,,,EvaluationDate)</f>
        <v>obj_003c9#0000</v>
      </c>
      <c r="C39" s="70" t="b">
        <f>_xll.qlInstrumentSetPricingEngine(B39,OisEngine)</f>
        <v>1</v>
      </c>
      <c r="D39" s="128" t="s">
        <v>69</v>
      </c>
      <c r="E39" s="65">
        <f t="shared" si="16"/>
        <v>41887</v>
      </c>
      <c r="F39" s="129">
        <f>_xll.qlCalendarAdvance(Calendar,SettlementDate,D39,"mf",TRUE)</f>
        <v>41948</v>
      </c>
      <c r="G39" s="146"/>
      <c r="H39" s="123">
        <f t="shared" si="17"/>
        <v>1.6046430999936579E-3</v>
      </c>
      <c r="I39" s="123">
        <f t="shared" si="17"/>
        <v>2.9066959845341243E-3</v>
      </c>
      <c r="J39" s="123">
        <f t="shared" si="17"/>
        <v>4.3307455190996335E-3</v>
      </c>
      <c r="K39" s="130">
        <f t="shared" si="18"/>
        <v>61</v>
      </c>
      <c r="L39" s="131">
        <f>_xll.qlOvernightIndexedSwapFairRate(B39,_xll.ohTrigger(C39,InterestRatesTrigger))</f>
        <v>-5.114770541857148E-5</v>
      </c>
      <c r="N39" s="146"/>
      <c r="O39" s="118">
        <f t="shared" si="19"/>
        <v>1.6557908054122294E-3</v>
      </c>
      <c r="P39" s="118">
        <f t="shared" si="19"/>
        <v>2.9578436899526956E-3</v>
      </c>
      <c r="Q39" s="69">
        <f t="shared" si="20"/>
        <v>4.3818932245182048E-3</v>
      </c>
      <c r="R39" s="118"/>
      <c r="S39" s="132" t="s">
        <v>69</v>
      </c>
      <c r="T39" s="118">
        <f t="shared" si="21"/>
        <v>1.6968448766912577E-3</v>
      </c>
      <c r="U39" s="69">
        <f t="shared" si="21"/>
        <v>2.9578436899526956E-3</v>
      </c>
      <c r="AB39" s="378">
        <f>_xll.qlCalendarAdvance(Calendar,AB38,"1d","mf")</f>
        <v>41900</v>
      </c>
      <c r="AC39" s="105">
        <f t="shared" si="15"/>
        <v>1.5518681226430601E-3</v>
      </c>
      <c r="AD39" s="105">
        <f t="shared" si="13"/>
        <v>1.8220670978429004E-3</v>
      </c>
      <c r="AE39" s="105">
        <f t="shared" si="14"/>
        <v>1.98528513094171E-3</v>
      </c>
    </row>
    <row r="40" spans="2:31" x14ac:dyDescent="0.2">
      <c r="B40" s="79" t="str">
        <f>_xll.qlMakeDatedOIS(,E40,F40,OvernightIndex,0,,,,EvaluationDate)</f>
        <v>obj_003b5#0000</v>
      </c>
      <c r="C40" s="70" t="b">
        <f>_xll.qlInstrumentSetPricingEngine(B40,OisEngine)</f>
        <v>1</v>
      </c>
      <c r="D40" s="128" t="s">
        <v>62</v>
      </c>
      <c r="E40" s="65">
        <f t="shared" si="16"/>
        <v>41887</v>
      </c>
      <c r="F40" s="129">
        <f>_xll.qlCalendarAdvance(Calendar,SettlementDate,D40,"mf",TRUE)</f>
        <v>41978</v>
      </c>
      <c r="G40" s="147"/>
      <c r="H40" s="123">
        <f t="shared" si="17"/>
        <v>1.5E-3</v>
      </c>
      <c r="I40" s="123">
        <f t="shared" si="17"/>
        <v>2.7530330471747656E-3</v>
      </c>
      <c r="J40" s="123">
        <f t="shared" si="17"/>
        <v>4.3268983151576743E-3</v>
      </c>
      <c r="K40" s="130">
        <f t="shared" si="18"/>
        <v>91</v>
      </c>
      <c r="L40" s="131">
        <f>_xll.qlOvernightIndexedSwapFairRate(B40,_xll.ohTrigger(C40,InterestRatesTrigger))</f>
        <v>-5.186812264306002E-5</v>
      </c>
      <c r="N40" s="147"/>
      <c r="O40" s="118">
        <f t="shared" si="19"/>
        <v>1.5518681226430601E-3</v>
      </c>
      <c r="P40" s="118">
        <f t="shared" si="19"/>
        <v>2.8049011698178254E-3</v>
      </c>
      <c r="Q40" s="69">
        <f t="shared" si="20"/>
        <v>4.3787664378007341E-3</v>
      </c>
      <c r="R40" s="118"/>
      <c r="S40" s="132" t="s">
        <v>62</v>
      </c>
      <c r="T40" s="118">
        <f t="shared" si="21"/>
        <v>1.5518681226430616E-3</v>
      </c>
      <c r="U40" s="69">
        <f t="shared" si="21"/>
        <v>2.8049011698178254E-3</v>
      </c>
      <c r="AB40" s="378">
        <f>_xll.qlCalendarAdvance(Calendar,AB39,"1d","mf")</f>
        <v>41901</v>
      </c>
      <c r="AC40" s="105">
        <f t="shared" si="15"/>
        <v>1.5518681226430601E-3</v>
      </c>
      <c r="AD40" s="105">
        <f t="shared" si="13"/>
        <v>1.8186030084172615E-3</v>
      </c>
      <c r="AE40" s="105">
        <f t="shared" si="14"/>
        <v>1.9629875079021347E-3</v>
      </c>
    </row>
    <row r="41" spans="2:31" x14ac:dyDescent="0.2">
      <c r="B41" s="79" t="str">
        <f>_xll.qlMakeDatedOIS(,E41,F41,OvernightIndex,0,,,,EvaluationDate)</f>
        <v>obj_003c1#0000</v>
      </c>
      <c r="C41" s="70" t="b">
        <f>_xll.qlInstrumentSetPricingEngine(B41,OisEngine)</f>
        <v>1</v>
      </c>
      <c r="D41" s="128" t="s">
        <v>70</v>
      </c>
      <c r="E41" s="65">
        <f t="shared" si="16"/>
        <v>41887</v>
      </c>
      <c r="F41" s="129">
        <f>_xll.qlCalendarAdvance(Calendar,SettlementDate,D41,"mf",TRUE)</f>
        <v>42009</v>
      </c>
      <c r="G41" s="148"/>
      <c r="H41" s="149"/>
      <c r="I41" s="123">
        <f t="shared" si="17"/>
        <v>2.6180229890207397E-3</v>
      </c>
      <c r="J41" s="123">
        <f t="shared" si="17"/>
        <v>4.3100438909174704E-3</v>
      </c>
      <c r="K41" s="130">
        <f t="shared" si="18"/>
        <v>122</v>
      </c>
      <c r="L41" s="131">
        <f>_xll.qlOvernightIndexedSwapFairRate(B41,_xll.ohTrigger(C41,InterestRatesTrigger))</f>
        <v>-6.5491533941876539E-5</v>
      </c>
      <c r="N41" s="148"/>
      <c r="O41" s="149"/>
      <c r="P41" s="118">
        <f>IF(P$30,U41,P$31*$K41+P$32)</f>
        <v>2.683514522962616E-3</v>
      </c>
      <c r="Q41" s="69">
        <f t="shared" si="20"/>
        <v>4.3755354248593472E-3</v>
      </c>
      <c r="R41" s="118"/>
      <c r="S41" s="132" t="s">
        <v>70</v>
      </c>
      <c r="T41" s="149"/>
      <c r="U41" s="69">
        <f>$K41*$K41/3*U$30+$K41/2*U$31+U$32</f>
        <v>2.683514522962616E-3</v>
      </c>
      <c r="AB41" s="378">
        <f>_xll.qlCalendarAdvance(Calendar,AB40,"1d","mf")</f>
        <v>41904</v>
      </c>
      <c r="AC41" s="105">
        <f t="shared" si="15"/>
        <v>1.5518681226430601E-3</v>
      </c>
      <c r="AD41" s="105">
        <f t="shared" si="13"/>
        <v>1.8082107401403446E-3</v>
      </c>
      <c r="AE41" s="105">
        <f t="shared" si="14"/>
        <v>1.8981339671229119E-3</v>
      </c>
    </row>
    <row r="42" spans="2:31" x14ac:dyDescent="0.2">
      <c r="B42" s="79" t="str">
        <f>_xll.qlMakeDatedOIS(,E42,F42,OvernightIndex,0,,,,EvaluationDate)</f>
        <v>obj_0039e#0000</v>
      </c>
      <c r="C42" s="70" t="b">
        <f>_xll.qlInstrumentSetPricingEngine(B42,OisEngine)</f>
        <v>1</v>
      </c>
      <c r="D42" s="128" t="s">
        <v>71</v>
      </c>
      <c r="E42" s="65">
        <f t="shared" si="16"/>
        <v>41887</v>
      </c>
      <c r="F42" s="129">
        <f>_xll.qlCalendarAdvance(Calendar,SettlementDate,D42,"mf",TRUE)</f>
        <v>42040</v>
      </c>
      <c r="G42" s="148"/>
      <c r="H42" s="150"/>
      <c r="I42" s="123">
        <f t="shared" si="17"/>
        <v>2.5301675357697691E-3</v>
      </c>
      <c r="J42" s="123">
        <f t="shared" si="17"/>
        <v>4.3030892297505246E-3</v>
      </c>
      <c r="K42" s="130">
        <f t="shared" si="18"/>
        <v>153</v>
      </c>
      <c r="L42" s="131">
        <f>_xll.qlOvernightIndexedSwapFairRate(B42,_xll.ohTrigger(C42,InterestRatesTrigger))</f>
        <v>-6.9215182167436294E-5</v>
      </c>
      <c r="N42" s="148"/>
      <c r="O42" s="150"/>
      <c r="P42" s="118">
        <f>IF(P$30,U42,P$31*$K42+P$32)</f>
        <v>2.5993827179372053E-3</v>
      </c>
      <c r="Q42" s="69">
        <f t="shared" si="20"/>
        <v>4.3723044119179611E-3</v>
      </c>
      <c r="R42" s="118"/>
      <c r="S42" s="132" t="s">
        <v>71</v>
      </c>
      <c r="T42" s="150"/>
      <c r="U42" s="69">
        <f>$K42*$K42/3*U$30+$K42/2*U$31+U$32</f>
        <v>2.5993827179372053E-3</v>
      </c>
      <c r="AB42" s="378">
        <f>_xll.qlCalendarAdvance(Calendar,AB41,"1d","mf")</f>
        <v>41905</v>
      </c>
      <c r="AC42" s="105">
        <f t="shared" si="15"/>
        <v>1.5518681226430601E-3</v>
      </c>
      <c r="AD42" s="105">
        <f t="shared" si="13"/>
        <v>1.8047466507147055E-3</v>
      </c>
      <c r="AE42" s="105">
        <f t="shared" si="14"/>
        <v>1.8771958963096716E-3</v>
      </c>
    </row>
    <row r="43" spans="2:31" x14ac:dyDescent="0.2">
      <c r="B43" s="79" t="str">
        <f>_xll.qlMakeDatedOIS(,E43,F43,OvernightIndex,0,,,,EvaluationDate)</f>
        <v>obj_003b8#0000</v>
      </c>
      <c r="C43" s="70" t="b">
        <f>_xll.qlInstrumentSetPricingEngine(B43,OisEngine)</f>
        <v>1</v>
      </c>
      <c r="D43" s="151" t="s">
        <v>63</v>
      </c>
      <c r="E43" s="65">
        <f t="shared" si="16"/>
        <v>41887</v>
      </c>
      <c r="F43" s="129">
        <f>_xll.qlCalendarAdvance(Calendar,SettlementDate,D43,"mf",TRUE)</f>
        <v>42068</v>
      </c>
      <c r="G43" s="148"/>
      <c r="H43" s="150"/>
      <c r="I43" s="123">
        <f t="shared" si="17"/>
        <v>2.4999999999999957E-3</v>
      </c>
      <c r="J43" s="123">
        <f t="shared" si="17"/>
        <v>4.3139720458824377E-3</v>
      </c>
      <c r="K43" s="130">
        <f t="shared" si="18"/>
        <v>181</v>
      </c>
      <c r="L43" s="131">
        <f>_xll.qlOvernightIndexedSwapFairRate(B43,_xll.ohTrigger(C43,InterestRatesTrigger))</f>
        <v>-5.5414031765884372E-5</v>
      </c>
      <c r="N43" s="148"/>
      <c r="O43" s="150"/>
      <c r="P43" s="118">
        <f>IF(P$30,U43,P$31*$K43+P$32)</f>
        <v>2.5554140317658801E-3</v>
      </c>
      <c r="Q43" s="69">
        <f t="shared" si="20"/>
        <v>4.3693860776483221E-3</v>
      </c>
      <c r="R43" s="118"/>
      <c r="S43" s="152" t="s">
        <v>63</v>
      </c>
      <c r="T43" s="153"/>
      <c r="U43" s="143">
        <f>$K43*$K43/3*U$30+$K43/2*U$31+U$32</f>
        <v>2.5554140317658801E-3</v>
      </c>
      <c r="AB43" s="378">
        <f>_xll.qlCalendarAdvance(Calendar,AB42,"1d","mf")</f>
        <v>41906</v>
      </c>
      <c r="AC43" s="105">
        <f t="shared" si="15"/>
        <v>1.5518681226430601E-3</v>
      </c>
      <c r="AD43" s="105">
        <f t="shared" si="13"/>
        <v>1.8012825612890666E-3</v>
      </c>
      <c r="AE43" s="105">
        <f t="shared" si="14"/>
        <v>1.856597713553015E-3</v>
      </c>
    </row>
    <row r="44" spans="2:31" x14ac:dyDescent="0.2">
      <c r="B44" s="79" t="str">
        <f>_xll.qlMakeDatedOIS(,E44,F44,OvernightIndex,0,,,,EvaluationDate)</f>
        <v>obj_003cd#0000</v>
      </c>
      <c r="C44" s="70" t="b">
        <f>_xll.qlInstrumentSetPricingEngine(B44,OisEngine)</f>
        <v>1</v>
      </c>
      <c r="D44" s="151" t="s">
        <v>72</v>
      </c>
      <c r="E44" s="65">
        <f t="shared" si="16"/>
        <v>41887</v>
      </c>
      <c r="F44" s="129">
        <f>_xll.qlCalendarAdvance(Calendar,SettlementDate,D44,"mf",TRUE)</f>
        <v>42101</v>
      </c>
      <c r="G44" s="148"/>
      <c r="H44" s="154"/>
      <c r="I44" s="149"/>
      <c r="J44" s="123">
        <f t="shared" si="17"/>
        <v>4.2906204343980967E-3</v>
      </c>
      <c r="K44" s="130">
        <f t="shared" si="18"/>
        <v>214</v>
      </c>
      <c r="L44" s="131">
        <f>_xll.qlOvernightIndexedSwapFairRate(B44,_xll.ohTrigger(C44,InterestRatesTrigger))</f>
        <v>-7.5326177861006986E-5</v>
      </c>
      <c r="N44" s="155" t="s">
        <v>73</v>
      </c>
      <c r="O44" s="156"/>
      <c r="P44" s="149"/>
      <c r="Q44" s="69">
        <f t="shared" si="20"/>
        <v>4.3659466122591035E-3</v>
      </c>
      <c r="R44" s="118"/>
      <c r="S44" s="118"/>
      <c r="AB44" s="378">
        <f>_xll.qlCalendarAdvance(Calendar,AB43,"1d","mf")</f>
        <v>41907</v>
      </c>
      <c r="AC44" s="105">
        <f t="shared" si="15"/>
        <v>1.5518681226430601E-3</v>
      </c>
      <c r="AD44" s="105">
        <f t="shared" si="13"/>
        <v>1.7978184718634275E-3</v>
      </c>
      <c r="AE44" s="105">
        <f t="shared" si="14"/>
        <v>1.8363394188529423E-3</v>
      </c>
    </row>
    <row r="45" spans="2:31" x14ac:dyDescent="0.2">
      <c r="B45" s="79" t="str">
        <f>_xll.qlMakeDatedOIS(,E45,F45,OvernightIndex,0,,,,EvaluationDate)</f>
        <v>obj_0039b#0000</v>
      </c>
      <c r="C45" s="70" t="b">
        <f>_xll.qlInstrumentSetPricingEngine(B45,OisEngine)</f>
        <v>1</v>
      </c>
      <c r="D45" s="151" t="s">
        <v>74</v>
      </c>
      <c r="E45" s="65">
        <f t="shared" si="16"/>
        <v>41887</v>
      </c>
      <c r="F45" s="129">
        <f>_xll.qlCalendarAdvance(Calendar,SettlementDate,D45,"mf",TRUE)</f>
        <v>42129</v>
      </c>
      <c r="G45" s="148"/>
      <c r="H45" s="154"/>
      <c r="I45" s="150"/>
      <c r="J45" s="123">
        <f t="shared" si="17"/>
        <v>4.2660577472948026E-3</v>
      </c>
      <c r="K45" s="130">
        <f t="shared" si="18"/>
        <v>242</v>
      </c>
      <c r="L45" s="131">
        <f>_xll.qlOvernightIndexedSwapFairRate(B45,_xll.ohTrigger(C45,InterestRatesTrigger))</f>
        <v>-9.6970530694661476E-5</v>
      </c>
      <c r="N45" s="157"/>
      <c r="O45" s="158" t="s">
        <v>75</v>
      </c>
      <c r="P45" s="159"/>
      <c r="Q45" s="69">
        <f t="shared" si="20"/>
        <v>4.3630282779894645E-3</v>
      </c>
      <c r="R45" s="118"/>
      <c r="S45" s="118"/>
      <c r="AB45" s="378">
        <f>_xll.qlCalendarAdvance(Calendar,AB44,"1d","mf")</f>
        <v>41908</v>
      </c>
      <c r="AC45" s="105">
        <f t="shared" si="15"/>
        <v>1.5518681226430601E-3</v>
      </c>
      <c r="AD45" s="105">
        <f t="shared" si="13"/>
        <v>1.7943543824377886E-3</v>
      </c>
      <c r="AE45" s="105">
        <f t="shared" si="14"/>
        <v>1.8164210122094532E-3</v>
      </c>
    </row>
    <row r="46" spans="2:31" x14ac:dyDescent="0.2">
      <c r="B46" s="79" t="str">
        <f>_xll.qlMakeDatedOIS(,E46,F46,OvernightIndex,0,,,,EvaluationDate)</f>
        <v>obj_003c6#0000</v>
      </c>
      <c r="C46" s="70" t="b">
        <f>_xll.qlInstrumentSetPricingEngine(B46,OisEngine)</f>
        <v>1</v>
      </c>
      <c r="D46" s="151" t="s">
        <v>76</v>
      </c>
      <c r="E46" s="65">
        <f t="shared" si="16"/>
        <v>41887</v>
      </c>
      <c r="F46" s="129">
        <f>_xll.qlCalendarAdvance(Calendar,SettlementDate,D46,"mf",TRUE)</f>
        <v>42160</v>
      </c>
      <c r="G46" s="148"/>
      <c r="H46" s="154"/>
      <c r="I46" s="150"/>
      <c r="J46" s="123">
        <f t="shared" si="17"/>
        <v>4.239797265048288E-3</v>
      </c>
      <c r="K46" s="130">
        <f t="shared" si="18"/>
        <v>273</v>
      </c>
      <c r="L46" s="131">
        <f>_xll.qlOvernightIndexedSwapFairRate(B46,_xll.ohTrigger(C46,InterestRatesTrigger))</f>
        <v>-1.1999999999979062E-4</v>
      </c>
      <c r="N46" s="148"/>
      <c r="O46" s="156"/>
      <c r="P46" s="160" t="s">
        <v>77</v>
      </c>
      <c r="Q46" s="69">
        <f t="shared" si="20"/>
        <v>4.3597972650480784E-3</v>
      </c>
      <c r="R46" s="118"/>
      <c r="S46" s="118"/>
      <c r="AB46" s="378">
        <f>_xll.qlCalendarAdvance(Calendar,AB45,"1d","mf")</f>
        <v>41911</v>
      </c>
      <c r="AC46" s="105">
        <f t="shared" si="15"/>
        <v>1.5518681226430601E-3</v>
      </c>
      <c r="AD46" s="105">
        <f t="shared" si="13"/>
        <v>1.7839621141608716E-3</v>
      </c>
      <c r="AE46" s="105">
        <f t="shared" si="14"/>
        <v>1.7587051206184885E-3</v>
      </c>
    </row>
    <row r="47" spans="2:31" x14ac:dyDescent="0.2">
      <c r="B47" s="79" t="str">
        <f>_xll.qlMakeDatedOIS(,E47,F47,OvernightIndex,0,,,,EvaluationDate)</f>
        <v>obj_003ba#0000</v>
      </c>
      <c r="C47" s="70" t="b">
        <f>_xll.qlInstrumentSetPricingEngine(B47,OisEngine)</f>
        <v>1</v>
      </c>
      <c r="D47" s="151" t="s">
        <v>78</v>
      </c>
      <c r="E47" s="65">
        <f t="shared" si="16"/>
        <v>41887</v>
      </c>
      <c r="F47" s="129">
        <f>_xll.qlCalendarAdvance(Calendar,SettlementDate,D47,"mf",TRUE)</f>
        <v>42191</v>
      </c>
      <c r="G47" s="148"/>
      <c r="H47" s="154"/>
      <c r="I47" s="150"/>
      <c r="J47" s="123">
        <f t="shared" si="17"/>
        <v>4.2265662521067072E-3</v>
      </c>
      <c r="K47" s="130">
        <f t="shared" si="18"/>
        <v>304</v>
      </c>
      <c r="L47" s="131">
        <f>_xll.qlOvernightIndexedSwapFairRate(B47,_xll.ohTrigger(C47,InterestRatesTrigger))</f>
        <v>-1.2999999999998394E-4</v>
      </c>
      <c r="N47" s="148"/>
      <c r="O47" s="154"/>
      <c r="P47" s="150"/>
      <c r="Q47" s="69">
        <f t="shared" si="20"/>
        <v>4.3565662521066915E-3</v>
      </c>
      <c r="R47" s="118"/>
      <c r="S47" s="118"/>
      <c r="AB47" s="378">
        <f>_xll.qlCalendarAdvance(Calendar,AB46,"1d","mf")</f>
        <v>41912</v>
      </c>
      <c r="AC47" s="105">
        <f t="shared" si="15"/>
        <v>1.5518681226430601E-3</v>
      </c>
      <c r="AD47" s="105">
        <f t="shared" si="13"/>
        <v>1.7804980247352327E-3</v>
      </c>
      <c r="AE47" s="105">
        <f t="shared" si="14"/>
        <v>1.7401462662013346E-3</v>
      </c>
    </row>
    <row r="48" spans="2:31" x14ac:dyDescent="0.2">
      <c r="B48" s="79" t="str">
        <f>_xll.qlMakeDatedOIS(,E48,F48,OvernightIndex,0,,,,EvaluationDate)</f>
        <v>obj_00399#0000</v>
      </c>
      <c r="C48" s="70" t="b">
        <f>_xll.qlInstrumentSetPricingEngine(B48,OisEngine)</f>
        <v>1</v>
      </c>
      <c r="D48" s="151" t="s">
        <v>79</v>
      </c>
      <c r="E48" s="65">
        <f t="shared" si="16"/>
        <v>41887</v>
      </c>
      <c r="F48" s="129">
        <f>_xll.qlCalendarAdvance(Calendar,SettlementDate,D48,"mf",TRUE)</f>
        <v>42221</v>
      </c>
      <c r="G48" s="148"/>
      <c r="H48" s="154"/>
      <c r="I48" s="150"/>
      <c r="J48" s="123">
        <f t="shared" si="17"/>
        <v>4.2134394653840918E-3</v>
      </c>
      <c r="K48" s="130">
        <f t="shared" si="18"/>
        <v>334</v>
      </c>
      <c r="L48" s="131">
        <f>_xll.qlOvernightIndexedSwapFairRate(B48,_xll.ohTrigger(C48,InterestRatesTrigger))</f>
        <v>-1.4000000000512935E-4</v>
      </c>
      <c r="N48" s="148"/>
      <c r="O48" s="154"/>
      <c r="P48" s="150"/>
      <c r="Q48" s="69">
        <f t="shared" si="20"/>
        <v>4.3534394653892208E-3</v>
      </c>
      <c r="R48" s="118"/>
      <c r="S48" s="118"/>
      <c r="AB48" s="378">
        <f>_xll.qlCalendarAdvance(Calendar,AB47,"1d","mf")</f>
        <v>41913</v>
      </c>
      <c r="AC48" s="105">
        <f t="shared" si="15"/>
        <v>1.5518681226430601E-3</v>
      </c>
      <c r="AD48" s="105">
        <f t="shared" si="13"/>
        <v>1.7770339353095936E-3</v>
      </c>
      <c r="AE48" s="105">
        <f t="shared" si="14"/>
        <v>1.7219272998407642E-3</v>
      </c>
    </row>
    <row r="49" spans="2:31" x14ac:dyDescent="0.2">
      <c r="B49" s="133" t="str">
        <f>_xll.qlMakeDatedOIS(,E49,F49,OvernightIndex,0,,,,EvaluationDate)</f>
        <v>obj_00398#0000</v>
      </c>
      <c r="C49" s="134" t="b">
        <f>_xll.qlInstrumentSetPricingEngine(B49,OisEngine)</f>
        <v>1</v>
      </c>
      <c r="D49" s="151" t="s">
        <v>80</v>
      </c>
      <c r="E49" s="65">
        <f t="shared" si="16"/>
        <v>41887</v>
      </c>
      <c r="F49" s="129">
        <f>_xll.qlCalendarAdvance(Calendar,SettlementDate,D49,"mf",TRUE)</f>
        <v>42254</v>
      </c>
      <c r="G49" s="148"/>
      <c r="H49" s="154"/>
      <c r="I49" s="150"/>
      <c r="J49" s="123">
        <f t="shared" si="17"/>
        <v>4.1900000000000001E-3</v>
      </c>
      <c r="K49" s="130">
        <f t="shared" si="18"/>
        <v>367</v>
      </c>
      <c r="L49" s="131">
        <f>_xll.qlOvernightIndexedSwapFairRate(B49,_xll.ohTrigger(C49,InterestRatesTrigger))</f>
        <v>-1.6000000000000272E-4</v>
      </c>
      <c r="N49" s="161"/>
      <c r="O49" s="162"/>
      <c r="P49" s="153"/>
      <c r="Q49" s="143">
        <f t="shared" si="20"/>
        <v>4.3500000000000032E-3</v>
      </c>
      <c r="R49" s="118"/>
      <c r="S49" s="118"/>
      <c r="AB49" s="378">
        <f>_xll.qlCalendarAdvance(Calendar,AB48,"1d","mf")</f>
        <v>41914</v>
      </c>
      <c r="AC49" s="105">
        <f t="shared" si="15"/>
        <v>1.5518681226430601E-3</v>
      </c>
      <c r="AD49" s="105">
        <f t="shared" si="13"/>
        <v>1.7735698458839547E-3</v>
      </c>
      <c r="AE49" s="105">
        <f t="shared" si="14"/>
        <v>1.7040482215367775E-3</v>
      </c>
    </row>
    <row r="50" spans="2:31" x14ac:dyDescent="0.2">
      <c r="D50" s="106"/>
      <c r="E50" s="106"/>
      <c r="F50" s="106"/>
      <c r="G50" s="106"/>
      <c r="H50" s="106"/>
      <c r="I50" s="106"/>
      <c r="J50" s="106"/>
      <c r="K50" s="106"/>
      <c r="L50" s="106"/>
      <c r="AB50" s="378">
        <f>_xll.qlCalendarAdvance(Calendar,AB49,"1d","mf")</f>
        <v>41915</v>
      </c>
      <c r="AC50" s="105">
        <f t="shared" si="15"/>
        <v>1.5518681226430601E-3</v>
      </c>
      <c r="AD50" s="105">
        <f t="shared" si="13"/>
        <v>1.7701057564583158E-3</v>
      </c>
      <c r="AE50" s="105">
        <f t="shared" si="14"/>
        <v>1.6865090312893746E-3</v>
      </c>
    </row>
    <row r="51" spans="2:31" x14ac:dyDescent="0.2">
      <c r="N51" s="163"/>
      <c r="O51" s="163"/>
      <c r="P51" s="163"/>
      <c r="Q51" s="163"/>
      <c r="R51" s="163"/>
      <c r="S51" s="163"/>
      <c r="AB51" s="378">
        <f>_xll.qlCalendarAdvance(Calendar,AB50,"1d","mf")</f>
        <v>41918</v>
      </c>
      <c r="AC51" s="105">
        <f t="shared" si="15"/>
        <v>1.5518681226430601E-3</v>
      </c>
      <c r="AD51" s="105">
        <f t="shared" si="13"/>
        <v>1.7597134881813987E-3</v>
      </c>
      <c r="AE51" s="105">
        <f t="shared" si="14"/>
        <v>1.6359307888866685E-3</v>
      </c>
    </row>
    <row r="52" spans="2:31" x14ac:dyDescent="0.2">
      <c r="AB52" s="378">
        <f>_xll.qlCalendarAdvance(Calendar,AB51,"1d","mf")</f>
        <v>41919</v>
      </c>
      <c r="AC52" s="105">
        <f t="shared" si="15"/>
        <v>1.5518681226430601E-3</v>
      </c>
      <c r="AD52" s="105">
        <f t="shared" si="13"/>
        <v>1.7562493987557598E-3</v>
      </c>
      <c r="AE52" s="105">
        <f t="shared" si="14"/>
        <v>1.6197511508656004E-3</v>
      </c>
    </row>
    <row r="53" spans="2:31" x14ac:dyDescent="0.2">
      <c r="AB53" s="378">
        <f>_xll.qlCalendarAdvance(Calendar,AB52,"1d","mf")</f>
        <v>41920</v>
      </c>
      <c r="AC53" s="105">
        <f t="shared" si="15"/>
        <v>1.5518681226430601E-3</v>
      </c>
      <c r="AD53" s="105">
        <f t="shared" si="13"/>
        <v>1.7527853093301207E-3</v>
      </c>
      <c r="AE53" s="105">
        <f t="shared" si="14"/>
        <v>1.6039114009011161E-3</v>
      </c>
    </row>
    <row r="54" spans="2:31" x14ac:dyDescent="0.2">
      <c r="AB54" s="378">
        <f>_xll.qlCalendarAdvance(Calendar,AB53,"1d","mf")</f>
        <v>41921</v>
      </c>
      <c r="AC54" s="105">
        <f t="shared" si="15"/>
        <v>1.5518681226430601E-3</v>
      </c>
      <c r="AD54" s="105">
        <f t="shared" si="13"/>
        <v>1.7493212199044819E-3</v>
      </c>
      <c r="AE54" s="105">
        <f t="shared" si="14"/>
        <v>1.5884115389932158E-3</v>
      </c>
    </row>
    <row r="55" spans="2:31" x14ac:dyDescent="0.2">
      <c r="AB55" s="378">
        <f>_xll.qlCalendarAdvance(Calendar,AB54,"1d","mf")</f>
        <v>41922</v>
      </c>
      <c r="AC55" s="105">
        <f t="shared" si="15"/>
        <v>1.5518681226430601E-3</v>
      </c>
      <c r="AD55" s="105">
        <f t="shared" si="13"/>
        <v>1.745857130478843E-3</v>
      </c>
      <c r="AE55" s="105">
        <f t="shared" si="14"/>
        <v>1.5732515651418991E-3</v>
      </c>
    </row>
    <row r="56" spans="2:31" x14ac:dyDescent="0.2">
      <c r="AB56" s="378">
        <f>_xll.qlCalendarAdvance(Calendar,AB55,"1d","mf")</f>
        <v>41925</v>
      </c>
      <c r="AC56" s="105">
        <f t="shared" si="15"/>
        <v>1.5518681226430601E-3</v>
      </c>
      <c r="AD56" s="105">
        <f t="shared" si="13"/>
        <v>1.7354648622019259E-3</v>
      </c>
      <c r="AE56" s="105">
        <f t="shared" si="14"/>
        <v>1.5298109719274512E-3</v>
      </c>
    </row>
    <row r="57" spans="2:31" x14ac:dyDescent="0.2">
      <c r="AB57" s="378">
        <f>_xll.qlCalendarAdvance(Calendar,AB56,"1d","mf")</f>
        <v>41926</v>
      </c>
      <c r="AC57" s="105">
        <f t="shared" si="15"/>
        <v>1.5518681226430601E-3</v>
      </c>
      <c r="AD57" s="105">
        <f t="shared" si="13"/>
        <v>1.732000772776287E-3</v>
      </c>
      <c r="AE57" s="105">
        <f t="shared" si="14"/>
        <v>1.5160105503024693E-3</v>
      </c>
    </row>
    <row r="58" spans="2:31" x14ac:dyDescent="0.2">
      <c r="AB58" s="378">
        <f>_xll.qlCalendarAdvance(Calendar,AB57,"1d","mf")</f>
        <v>41927</v>
      </c>
      <c r="AC58" s="105">
        <f t="shared" si="15"/>
        <v>1.5518681226430601E-3</v>
      </c>
      <c r="AD58" s="105">
        <f t="shared" si="13"/>
        <v>1.7285366833506479E-3</v>
      </c>
      <c r="AE58" s="105">
        <f t="shared" si="14"/>
        <v>1.5025500167340712E-3</v>
      </c>
    </row>
    <row r="59" spans="2:31" x14ac:dyDescent="0.2">
      <c r="AB59" s="378">
        <f>_xll.qlCalendarAdvance(Calendar,AB58,"1d","mf")</f>
        <v>41928</v>
      </c>
      <c r="AC59" s="105">
        <f t="shared" si="15"/>
        <v>1.5518681226430601E-3</v>
      </c>
      <c r="AD59" s="105">
        <f t="shared" si="13"/>
        <v>1.725072593925009E-3</v>
      </c>
      <c r="AE59" s="105">
        <f t="shared" si="14"/>
        <v>1.4894293712222567E-3</v>
      </c>
    </row>
    <row r="60" spans="2:31" x14ac:dyDescent="0.2">
      <c r="AB60" s="378">
        <f>_xll.qlCalendarAdvance(Calendar,AB59,"1d","mf")</f>
        <v>41929</v>
      </c>
      <c r="AC60" s="105">
        <f t="shared" si="15"/>
        <v>1.5518681226430601E-3</v>
      </c>
      <c r="AD60" s="105">
        <f t="shared" si="13"/>
        <v>1.7216085044993701E-3</v>
      </c>
      <c r="AE60" s="105">
        <f t="shared" si="14"/>
        <v>1.476648613767026E-3</v>
      </c>
    </row>
    <row r="61" spans="2:31" x14ac:dyDescent="0.2">
      <c r="AB61" s="378">
        <f>_xll.qlCalendarAdvance(Calendar,AB60,"1d","mf")</f>
        <v>41932</v>
      </c>
      <c r="AC61" s="105">
        <f t="shared" si="15"/>
        <v>1.5518681226430601E-3</v>
      </c>
      <c r="AD61" s="105">
        <f t="shared" si="13"/>
        <v>1.7112162362224531E-3</v>
      </c>
      <c r="AE61" s="105">
        <f t="shared" si="14"/>
        <v>1.4403456697408368E-3</v>
      </c>
    </row>
    <row r="62" spans="2:31" x14ac:dyDescent="0.2">
      <c r="AB62" s="378">
        <f>_xll.qlCalendarAdvance(Calendar,AB61,"1d","mf")</f>
        <v>41933</v>
      </c>
      <c r="AC62" s="105">
        <f t="shared" si="15"/>
        <v>1.5518681226430601E-3</v>
      </c>
      <c r="AD62" s="105">
        <f t="shared" ref="AD62:AD93" si="22">$O$32+$O$31*(AB62-SettlementDate)</f>
        <v>1.7077521467968142E-3</v>
      </c>
      <c r="AE62" s="105">
        <f t="shared" ref="AE62:AE93" si="23">$T$32+$T$31*(AB62-SettlementDate)+$T$30*(AB62-SettlementDate)^2</f>
        <v>1.4289244645119409E-3</v>
      </c>
    </row>
    <row r="63" spans="2:31" x14ac:dyDescent="0.2">
      <c r="AB63" s="378">
        <f>_xll.qlCalendarAdvance(Calendar,AB62,"1d","mf")</f>
        <v>41934</v>
      </c>
      <c r="AC63" s="105">
        <f t="shared" si="15"/>
        <v>1.5518681226430601E-3</v>
      </c>
      <c r="AD63" s="105">
        <f t="shared" si="22"/>
        <v>1.7042880573711751E-3</v>
      </c>
      <c r="AE63" s="105">
        <f t="shared" si="23"/>
        <v>1.4178431473396292E-3</v>
      </c>
    </row>
    <row r="64" spans="2:31" x14ac:dyDescent="0.2">
      <c r="AB64" s="378">
        <f>_xll.qlCalendarAdvance(Calendar,AB63,"1d","mf")</f>
        <v>41935</v>
      </c>
      <c r="AC64" s="105">
        <f t="shared" si="15"/>
        <v>1.5518681226430601E-3</v>
      </c>
      <c r="AD64" s="105">
        <f t="shared" si="22"/>
        <v>1.7008239679455362E-3</v>
      </c>
      <c r="AE64" s="105">
        <f t="shared" si="23"/>
        <v>1.4071017182239009E-3</v>
      </c>
    </row>
    <row r="65" spans="28:31" x14ac:dyDescent="0.2">
      <c r="AB65" s="378">
        <f>_xll.qlCalendarAdvance(Calendar,AB64,"1d","mf")</f>
        <v>41936</v>
      </c>
      <c r="AC65" s="105">
        <f t="shared" si="15"/>
        <v>1.5518681226430601E-3</v>
      </c>
      <c r="AD65" s="105">
        <f t="shared" si="22"/>
        <v>1.6973598785198971E-3</v>
      </c>
      <c r="AE65" s="105">
        <f t="shared" si="23"/>
        <v>1.3967001771647562E-3</v>
      </c>
    </row>
    <row r="66" spans="28:31" x14ac:dyDescent="0.2">
      <c r="AB66" s="378">
        <f>_xll.qlCalendarAdvance(Calendar,AB65,"1d","mf")</f>
        <v>41939</v>
      </c>
      <c r="AC66" s="105">
        <f t="shared" si="15"/>
        <v>1.5518681226430601E-3</v>
      </c>
      <c r="AD66" s="105">
        <f t="shared" si="22"/>
        <v>1.6869676102429802E-3</v>
      </c>
      <c r="AE66" s="105">
        <f t="shared" si="23"/>
        <v>1.3675348823268254E-3</v>
      </c>
    </row>
    <row r="67" spans="28:31" x14ac:dyDescent="0.2">
      <c r="AB67" s="378">
        <f>_xll.qlCalendarAdvance(Calendar,AB66,"1d","mf")</f>
        <v>41940</v>
      </c>
      <c r="AC67" s="105">
        <f t="shared" si="15"/>
        <v>1.5518681226430601E-3</v>
      </c>
      <c r="AD67" s="105">
        <f t="shared" si="22"/>
        <v>1.6835035208173413E-3</v>
      </c>
      <c r="AE67" s="105">
        <f t="shared" si="23"/>
        <v>1.3584928934940157E-3</v>
      </c>
    </row>
    <row r="68" spans="28:31" x14ac:dyDescent="0.2">
      <c r="AB68" s="378">
        <f>_xll.qlCalendarAdvance(Calendar,AB67,"1d","mf")</f>
        <v>41941</v>
      </c>
      <c r="AC68" s="105">
        <f t="shared" si="15"/>
        <v>1.5518681226430601E-3</v>
      </c>
      <c r="AD68" s="105">
        <f t="shared" si="22"/>
        <v>1.6800394313917022E-3</v>
      </c>
      <c r="AE68" s="105">
        <f t="shared" si="23"/>
        <v>1.3497907927177899E-3</v>
      </c>
    </row>
    <row r="69" spans="28:31" x14ac:dyDescent="0.2">
      <c r="AB69" s="378">
        <f>_xll.qlCalendarAdvance(Calendar,AB68,"1d","mf")</f>
        <v>41942</v>
      </c>
      <c r="AC69" s="105">
        <f t="shared" si="15"/>
        <v>1.5518681226430601E-3</v>
      </c>
      <c r="AD69" s="105">
        <f t="shared" si="22"/>
        <v>1.6765753419660633E-3</v>
      </c>
      <c r="AE69" s="105">
        <f t="shared" si="23"/>
        <v>1.3414285799981478E-3</v>
      </c>
    </row>
    <row r="70" spans="28:31" x14ac:dyDescent="0.2">
      <c r="AB70" s="378">
        <f>_xll.qlCalendarAdvance(Calendar,AB69,"1d","mf")</f>
        <v>41943</v>
      </c>
      <c r="AC70" s="105">
        <f t="shared" si="15"/>
        <v>1.5518681226430601E-3</v>
      </c>
      <c r="AD70" s="105">
        <f t="shared" si="22"/>
        <v>1.6731112525404242E-3</v>
      </c>
      <c r="AE70" s="105">
        <f t="shared" si="23"/>
        <v>1.3334062553350893E-3</v>
      </c>
    </row>
    <row r="71" spans="28:31" x14ac:dyDescent="0.2">
      <c r="AB71" s="378">
        <f>_xll.qlCalendarAdvance(Calendar,AB70,"1d","mf")</f>
        <v>41946</v>
      </c>
      <c r="AC71" s="105">
        <f t="shared" si="15"/>
        <v>1.5518681226430601E-3</v>
      </c>
      <c r="AD71" s="105">
        <f t="shared" si="22"/>
        <v>1.6627189842635074E-3</v>
      </c>
      <c r="AE71" s="105">
        <f t="shared" si="23"/>
        <v>1.3113786096854169E-3</v>
      </c>
    </row>
    <row r="72" spans="28:31" x14ac:dyDescent="0.2">
      <c r="AB72" s="378">
        <f>_xll.qlCalendarAdvance(Calendar,AB71,"1d","mf")</f>
        <v>41947</v>
      </c>
      <c r="AC72" s="105">
        <f t="shared" si="15"/>
        <v>1.5518681226430601E-3</v>
      </c>
      <c r="AD72" s="105">
        <f t="shared" si="22"/>
        <v>1.6592548948378685E-3</v>
      </c>
      <c r="AE72" s="105">
        <f t="shared" si="23"/>
        <v>1.3047158372486932E-3</v>
      </c>
    </row>
    <row r="73" spans="28:31" x14ac:dyDescent="0.2">
      <c r="AB73" s="378">
        <f>_xll.qlCalendarAdvance(Calendar,AB72,"1d","mf")</f>
        <v>41948</v>
      </c>
      <c r="AC73" s="105">
        <f t="shared" si="15"/>
        <v>1.5518681226430601E-3</v>
      </c>
      <c r="AD73" s="105">
        <f t="shared" si="22"/>
        <v>1.6557908054122294E-3</v>
      </c>
      <c r="AE73" s="105">
        <f t="shared" si="23"/>
        <v>1.2983929528685538E-3</v>
      </c>
    </row>
    <row r="74" spans="28:31" x14ac:dyDescent="0.2">
      <c r="AB74" s="378">
        <f>_xll.qlCalendarAdvance(Calendar,AB73,"1d","mf")</f>
        <v>41949</v>
      </c>
      <c r="AC74" s="105">
        <f t="shared" si="15"/>
        <v>1.5518681226430601E-3</v>
      </c>
      <c r="AD74" s="105">
        <f t="shared" si="22"/>
        <v>1.6523267159865905E-3</v>
      </c>
      <c r="AE74" s="105">
        <f t="shared" si="23"/>
        <v>1.2924099565449977E-3</v>
      </c>
    </row>
    <row r="75" spans="28:31" x14ac:dyDescent="0.2">
      <c r="AB75" s="378">
        <f>_xll.qlCalendarAdvance(Calendar,AB74,"1d","mf")</f>
        <v>41950</v>
      </c>
      <c r="AC75" s="105">
        <f t="shared" si="15"/>
        <v>1.5518681226430601E-3</v>
      </c>
      <c r="AD75" s="105">
        <f t="shared" si="22"/>
        <v>1.6488626265609514E-3</v>
      </c>
      <c r="AE75" s="105">
        <f t="shared" si="23"/>
        <v>1.2867668482780255E-3</v>
      </c>
    </row>
    <row r="76" spans="28:31" x14ac:dyDescent="0.2">
      <c r="AB76" s="378">
        <f>_xll.qlCalendarAdvance(Calendar,AB75,"1d","mf")</f>
        <v>41953</v>
      </c>
      <c r="AC76" s="105">
        <f t="shared" si="15"/>
        <v>1.5518681226430601E-3</v>
      </c>
      <c r="AD76" s="105">
        <f t="shared" si="22"/>
        <v>1.6384703582840345E-3</v>
      </c>
      <c r="AE76" s="105">
        <f t="shared" si="23"/>
        <v>1.2718768518166113E-3</v>
      </c>
    </row>
    <row r="77" spans="28:31" x14ac:dyDescent="0.2">
      <c r="AB77" s="378">
        <f>_xll.qlCalendarAdvance(Calendar,AB76,"1d","mf")</f>
        <v>41954</v>
      </c>
      <c r="AC77" s="105">
        <f t="shared" si="15"/>
        <v>1.5518681226430601E-3</v>
      </c>
      <c r="AD77" s="105">
        <f t="shared" si="22"/>
        <v>1.6350062688583954E-3</v>
      </c>
      <c r="AE77" s="105">
        <f t="shared" si="23"/>
        <v>1.2675932957759738E-3</v>
      </c>
    </row>
    <row r="78" spans="28:31" x14ac:dyDescent="0.2">
      <c r="AB78" s="378">
        <f>_xll.qlCalendarAdvance(Calendar,AB77,"1d","mf")</f>
        <v>41955</v>
      </c>
      <c r="AC78" s="105">
        <f t="shared" si="15"/>
        <v>1.5518681226430601E-3</v>
      </c>
      <c r="AD78" s="105">
        <f t="shared" si="22"/>
        <v>1.6315421794327566E-3</v>
      </c>
      <c r="AE78" s="105">
        <f t="shared" si="23"/>
        <v>1.2636496277919204E-3</v>
      </c>
    </row>
    <row r="79" spans="28:31" x14ac:dyDescent="0.2">
      <c r="AB79" s="378">
        <f>_xll.qlCalendarAdvance(Calendar,AB78,"1d","mf")</f>
        <v>41956</v>
      </c>
      <c r="AC79" s="105">
        <f t="shared" si="15"/>
        <v>1.5518681226430601E-3</v>
      </c>
      <c r="AD79" s="105">
        <f t="shared" si="22"/>
        <v>1.6280780900071175E-3</v>
      </c>
      <c r="AE79" s="105">
        <f t="shared" si="23"/>
        <v>1.2600458478644505E-3</v>
      </c>
    </row>
    <row r="80" spans="28:31" x14ac:dyDescent="0.2">
      <c r="AB80" s="378">
        <f>_xll.qlCalendarAdvance(Calendar,AB79,"1d","mf")</f>
        <v>41957</v>
      </c>
      <c r="AC80" s="105">
        <f t="shared" si="15"/>
        <v>1.5518681226430601E-3</v>
      </c>
      <c r="AD80" s="105">
        <f t="shared" si="22"/>
        <v>1.6246140005814786E-3</v>
      </c>
      <c r="AE80" s="105">
        <f t="shared" si="23"/>
        <v>1.2567819559935645E-3</v>
      </c>
    </row>
    <row r="81" spans="28:31" x14ac:dyDescent="0.2">
      <c r="AB81" s="378">
        <f>_xll.qlCalendarAdvance(Calendar,AB80,"1d","mf")</f>
        <v>41960</v>
      </c>
      <c r="AC81" s="105">
        <f t="shared" si="15"/>
        <v>1.5518681226430601E-3</v>
      </c>
      <c r="AD81" s="105">
        <f t="shared" si="22"/>
        <v>1.6142217323045617E-3</v>
      </c>
      <c r="AE81" s="105">
        <f t="shared" si="23"/>
        <v>1.2490296087204087E-3</v>
      </c>
    </row>
    <row r="82" spans="28:31" x14ac:dyDescent="0.2">
      <c r="AB82" s="378">
        <f>_xll.qlCalendarAdvance(Calendar,AB81,"1d","mf")</f>
        <v>41961</v>
      </c>
      <c r="AC82" s="105">
        <f t="shared" si="15"/>
        <v>1.5518681226430601E-3</v>
      </c>
      <c r="AD82" s="105">
        <f t="shared" si="22"/>
        <v>1.6107576428789226E-3</v>
      </c>
      <c r="AE82" s="105">
        <f t="shared" si="23"/>
        <v>1.2471252690758575E-3</v>
      </c>
    </row>
    <row r="83" spans="28:31" x14ac:dyDescent="0.2">
      <c r="AB83" s="378">
        <f>_xll.qlCalendarAdvance(Calendar,AB82,"1d","mf")</f>
        <v>41962</v>
      </c>
      <c r="AC83" s="105">
        <f t="shared" si="15"/>
        <v>1.5518681226430601E-3</v>
      </c>
      <c r="AD83" s="105">
        <f t="shared" si="22"/>
        <v>1.6072935534532837E-3</v>
      </c>
      <c r="AE83" s="105">
        <f t="shared" si="23"/>
        <v>1.2455608174878898E-3</v>
      </c>
    </row>
    <row r="84" spans="28:31" x14ac:dyDescent="0.2">
      <c r="AB84" s="378">
        <f>_xll.qlCalendarAdvance(Calendar,AB83,"1d","mf")</f>
        <v>41963</v>
      </c>
      <c r="AC84" s="105">
        <f t="shared" si="15"/>
        <v>1.5518681226430601E-3</v>
      </c>
      <c r="AD84" s="105">
        <f t="shared" si="22"/>
        <v>1.6038294640276446E-3</v>
      </c>
      <c r="AE84" s="105">
        <f t="shared" si="23"/>
        <v>1.2443362539565066E-3</v>
      </c>
    </row>
    <row r="85" spans="28:31" x14ac:dyDescent="0.2">
      <c r="AB85" s="378">
        <f>_xll.qlCalendarAdvance(Calendar,AB84,"1d","mf")</f>
        <v>41964</v>
      </c>
      <c r="AC85" s="105">
        <f t="shared" si="15"/>
        <v>1.5518681226430601E-3</v>
      </c>
      <c r="AD85" s="105">
        <f t="shared" si="22"/>
        <v>1.6003653746020057E-3</v>
      </c>
      <c r="AE85" s="105">
        <f t="shared" si="23"/>
        <v>1.2434515784817066E-3</v>
      </c>
    </row>
    <row r="86" spans="28:31" x14ac:dyDescent="0.2">
      <c r="AB86" s="378">
        <f>_xll.qlCalendarAdvance(Calendar,AB85,"1d","mf")</f>
        <v>41967</v>
      </c>
      <c r="AC86" s="105">
        <f t="shared" si="15"/>
        <v>1.5518681226430601E-3</v>
      </c>
      <c r="AD86" s="105">
        <f t="shared" si="22"/>
        <v>1.5899731063250889E-3</v>
      </c>
      <c r="AE86" s="105">
        <f t="shared" si="23"/>
        <v>1.242836880396809E-3</v>
      </c>
    </row>
    <row r="87" spans="28:31" x14ac:dyDescent="0.2">
      <c r="AB87" s="378">
        <f>_xll.qlCalendarAdvance(Calendar,AB86,"1d","mf")</f>
        <v>41968</v>
      </c>
      <c r="AC87" s="105">
        <f t="shared" si="15"/>
        <v>1.5518681226430601E-3</v>
      </c>
      <c r="AD87" s="105">
        <f t="shared" si="22"/>
        <v>1.5865090168994498E-3</v>
      </c>
      <c r="AE87" s="105">
        <f t="shared" si="23"/>
        <v>1.243311757148344E-3</v>
      </c>
    </row>
    <row r="88" spans="28:31" x14ac:dyDescent="0.2">
      <c r="AB88" s="378">
        <f>_xll.qlCalendarAdvance(Calendar,AB87,"1d","mf")</f>
        <v>41969</v>
      </c>
      <c r="AC88" s="105">
        <f t="shared" si="15"/>
        <v>1.5518681226430601E-3</v>
      </c>
      <c r="AD88" s="105">
        <f t="shared" si="22"/>
        <v>1.5830449274738109E-3</v>
      </c>
      <c r="AE88" s="105">
        <f t="shared" si="23"/>
        <v>1.2441265219564626E-3</v>
      </c>
    </row>
    <row r="89" spans="28:31" x14ac:dyDescent="0.2">
      <c r="AB89" s="378">
        <f>_xll.qlCalendarAdvance(Calendar,AB88,"1d","mf")</f>
        <v>41970</v>
      </c>
      <c r="AC89" s="105">
        <f t="shared" si="15"/>
        <v>1.5518681226430601E-3</v>
      </c>
      <c r="AD89" s="105">
        <f t="shared" si="22"/>
        <v>1.5795808380481718E-3</v>
      </c>
      <c r="AE89" s="105">
        <f t="shared" si="23"/>
        <v>1.2452811748211649E-3</v>
      </c>
    </row>
    <row r="90" spans="28:31" x14ac:dyDescent="0.2">
      <c r="AB90" s="378">
        <f>_xll.qlCalendarAdvance(Calendar,AB89,"1d","mf")</f>
        <v>41971</v>
      </c>
      <c r="AC90" s="105">
        <f t="shared" si="15"/>
        <v>1.5518681226430601E-3</v>
      </c>
      <c r="AD90" s="105">
        <f t="shared" si="22"/>
        <v>1.5761167486225329E-3</v>
      </c>
      <c r="AE90" s="105">
        <f t="shared" si="23"/>
        <v>1.2467757157424511E-3</v>
      </c>
    </row>
    <row r="91" spans="28:31" x14ac:dyDescent="0.2">
      <c r="AB91" s="378">
        <f>_xll.qlCalendarAdvance(Calendar,AB90,"1d","mf")</f>
        <v>41974</v>
      </c>
      <c r="AC91" s="105">
        <f t="shared" si="15"/>
        <v>1.5518681226430601E-3</v>
      </c>
      <c r="AD91" s="105">
        <f t="shared" si="22"/>
        <v>1.5657244803456158E-3</v>
      </c>
      <c r="AE91" s="105">
        <f t="shared" si="23"/>
        <v>1.2532986668458122E-3</v>
      </c>
    </row>
    <row r="92" spans="28:31" x14ac:dyDescent="0.2">
      <c r="AB92" s="378">
        <f>_xll.qlCalendarAdvance(Calendar,AB91,"1d","mf")</f>
        <v>41975</v>
      </c>
      <c r="AC92" s="105">
        <f t="shared" si="15"/>
        <v>1.5518681226430601E-3</v>
      </c>
      <c r="AD92" s="105">
        <f t="shared" si="22"/>
        <v>1.5622603909199769E-3</v>
      </c>
      <c r="AE92" s="105">
        <f t="shared" si="23"/>
        <v>1.2561527599934332E-3</v>
      </c>
    </row>
    <row r="93" spans="28:31" x14ac:dyDescent="0.2">
      <c r="AB93" s="378">
        <f>_xll.qlCalendarAdvance(Calendar,AB92,"1d","mf")</f>
        <v>41976</v>
      </c>
      <c r="AC93" s="105">
        <f t="shared" si="15"/>
        <v>1.5518681226430601E-3</v>
      </c>
      <c r="AD93" s="105">
        <f t="shared" si="22"/>
        <v>1.5587963014943381E-3</v>
      </c>
      <c r="AE93" s="105">
        <f t="shared" si="23"/>
        <v>1.2593467411976379E-3</v>
      </c>
    </row>
    <row r="94" spans="28:31" x14ac:dyDescent="0.2">
      <c r="AB94" s="378">
        <f>_xll.qlCalendarAdvance(Calendar,AB93,"1d","mf")</f>
        <v>41977</v>
      </c>
      <c r="AC94" s="105">
        <f t="shared" si="15"/>
        <v>1.5518681226430601E-3</v>
      </c>
      <c r="AD94" s="105">
        <f t="shared" ref="AD94:AD96" si="24">$O$32+$O$31*(AB94-SettlementDate)</f>
        <v>1.555332212068699E-3</v>
      </c>
      <c r="AE94" s="105">
        <f t="shared" ref="AE94:AE96" si="25">$T$32+$T$31*(AB94-SettlementDate)+$T$30*(AB94-SettlementDate)^2</f>
        <v>1.2628806104584269E-3</v>
      </c>
    </row>
    <row r="95" spans="28:31" x14ac:dyDescent="0.2">
      <c r="AB95" s="378">
        <f>_xll.qlCalendarAdvance(Calendar,AB94,"1d","mf")</f>
        <v>41978</v>
      </c>
      <c r="AC95" s="105">
        <f t="shared" ref="AC95:AC96" si="26">$H$32</f>
        <v>1.5518681226430601E-3</v>
      </c>
      <c r="AD95" s="105">
        <f t="shared" si="24"/>
        <v>1.5518681226430601E-3</v>
      </c>
      <c r="AE95" s="105">
        <f t="shared" si="25"/>
        <v>1.2667543677757991E-3</v>
      </c>
    </row>
    <row r="96" spans="28:31" x14ac:dyDescent="0.2">
      <c r="AB96" s="378">
        <f>_xll.qlCalendarAdvance(Calendar,AB95,"1d","mf")</f>
        <v>41981</v>
      </c>
      <c r="AC96" s="105">
        <f t="shared" si="26"/>
        <v>1.5518681226430601E-3</v>
      </c>
      <c r="AD96" s="105">
        <f t="shared" si="24"/>
        <v>1.541475854366143E-3</v>
      </c>
      <c r="AE96" s="105">
        <f t="shared" si="25"/>
        <v>1.2804149680674187E-3</v>
      </c>
    </row>
    <row r="97" spans="28:31" x14ac:dyDescent="0.2">
      <c r="AB97" s="378"/>
      <c r="AC97" s="105"/>
      <c r="AD97" s="105"/>
      <c r="AE97" s="105"/>
    </row>
    <row r="98" spans="28:31" x14ac:dyDescent="0.2">
      <c r="AB98" s="378"/>
      <c r="AC98" s="105"/>
      <c r="AD98" s="105"/>
      <c r="AE98" s="105"/>
    </row>
    <row r="99" spans="28:31" x14ac:dyDescent="0.2">
      <c r="AB99" s="378"/>
      <c r="AC99" s="105"/>
      <c r="AD99" s="105"/>
      <c r="AE99" s="105"/>
    </row>
    <row r="100" spans="28:31" x14ac:dyDescent="0.2">
      <c r="AB100" s="378"/>
      <c r="AC100" s="105"/>
      <c r="AD100" s="105"/>
      <c r="AE100" s="105"/>
    </row>
    <row r="101" spans="28:31" x14ac:dyDescent="0.2">
      <c r="AB101" s="378"/>
      <c r="AC101" s="105"/>
      <c r="AD101" s="105"/>
      <c r="AE101" s="105"/>
    </row>
    <row r="102" spans="28:31" x14ac:dyDescent="0.2">
      <c r="AB102" s="378"/>
      <c r="AC102" s="105"/>
      <c r="AD102" s="105"/>
      <c r="AE102" s="105"/>
    </row>
    <row r="103" spans="28:31" x14ac:dyDescent="0.2">
      <c r="AB103" s="378"/>
      <c r="AC103" s="105"/>
      <c r="AD103" s="105"/>
      <c r="AE103" s="105"/>
    </row>
    <row r="104" spans="28:31" x14ac:dyDescent="0.2">
      <c r="AB104" s="378"/>
      <c r="AC104" s="105"/>
      <c r="AD104" s="105"/>
      <c r="AE104" s="105"/>
    </row>
    <row r="105" spans="28:31" x14ac:dyDescent="0.2">
      <c r="AB105" s="378"/>
      <c r="AC105" s="105"/>
      <c r="AD105" s="105"/>
      <c r="AE105" s="105"/>
    </row>
    <row r="106" spans="28:31" x14ac:dyDescent="0.2">
      <c r="AB106" s="378"/>
      <c r="AC106" s="105"/>
      <c r="AD106" s="105"/>
      <c r="AE106" s="105"/>
    </row>
    <row r="107" spans="28:31" x14ac:dyDescent="0.2">
      <c r="AB107" s="378"/>
      <c r="AC107" s="105"/>
      <c r="AD107" s="105"/>
      <c r="AE107" s="105"/>
    </row>
    <row r="108" spans="28:31" x14ac:dyDescent="0.2">
      <c r="AB108" s="378"/>
      <c r="AC108" s="105"/>
      <c r="AD108" s="105"/>
      <c r="AE108" s="105"/>
    </row>
    <row r="109" spans="28:31" x14ac:dyDescent="0.2">
      <c r="AB109" s="378"/>
      <c r="AC109" s="105"/>
      <c r="AD109" s="105"/>
      <c r="AE109" s="105"/>
    </row>
    <row r="110" spans="28:31" x14ac:dyDescent="0.2">
      <c r="AB110" s="378"/>
      <c r="AC110" s="105"/>
      <c r="AD110" s="105"/>
      <c r="AE110" s="105"/>
    </row>
    <row r="111" spans="28:31" x14ac:dyDescent="0.2">
      <c r="AB111" s="378"/>
      <c r="AC111" s="105"/>
      <c r="AD111" s="105"/>
      <c r="AE111" s="105"/>
    </row>
    <row r="112" spans="28:31" x14ac:dyDescent="0.2">
      <c r="AB112" s="378"/>
      <c r="AC112" s="105"/>
      <c r="AD112" s="105"/>
      <c r="AE112" s="105"/>
    </row>
    <row r="113" spans="28:31" x14ac:dyDescent="0.2">
      <c r="AB113" s="378"/>
      <c r="AC113" s="105"/>
      <c r="AD113" s="105"/>
      <c r="AE113" s="105"/>
    </row>
    <row r="114" spans="28:31" x14ac:dyDescent="0.2">
      <c r="AB114" s="378"/>
      <c r="AC114" s="105"/>
      <c r="AD114" s="105"/>
      <c r="AE114" s="105"/>
    </row>
    <row r="115" spans="28:31" x14ac:dyDescent="0.2">
      <c r="AB115" s="378"/>
      <c r="AC115" s="105"/>
      <c r="AD115" s="105"/>
      <c r="AE115" s="105"/>
    </row>
    <row r="116" spans="28:31" x14ac:dyDescent="0.2">
      <c r="AB116" s="378"/>
      <c r="AC116" s="105"/>
      <c r="AD116" s="105"/>
      <c r="AE116" s="105"/>
    </row>
    <row r="117" spans="28:31" x14ac:dyDescent="0.2">
      <c r="AB117" s="378"/>
      <c r="AC117" s="105"/>
      <c r="AD117" s="105"/>
      <c r="AE117" s="105"/>
    </row>
    <row r="118" spans="28:31" x14ac:dyDescent="0.2">
      <c r="AB118" s="378"/>
      <c r="AC118" s="105"/>
      <c r="AD118" s="105"/>
      <c r="AE118" s="105"/>
    </row>
    <row r="119" spans="28:31" x14ac:dyDescent="0.2">
      <c r="AB119" s="378"/>
      <c r="AC119" s="105"/>
      <c r="AD119" s="105"/>
      <c r="AE119" s="105"/>
    </row>
    <row r="120" spans="28:31" x14ac:dyDescent="0.2">
      <c r="AB120" s="378"/>
      <c r="AC120" s="105"/>
      <c r="AD120" s="105"/>
      <c r="AE120" s="105"/>
    </row>
    <row r="121" spans="28:31" x14ac:dyDescent="0.2">
      <c r="AB121" s="378"/>
      <c r="AC121" s="105"/>
      <c r="AD121" s="105"/>
      <c r="AE121" s="105"/>
    </row>
    <row r="122" spans="28:31" x14ac:dyDescent="0.2">
      <c r="AB122" s="378"/>
      <c r="AC122" s="105"/>
      <c r="AD122" s="105"/>
      <c r="AE122" s="105"/>
    </row>
    <row r="123" spans="28:31" x14ac:dyDescent="0.2">
      <c r="AB123" s="378"/>
      <c r="AC123" s="105"/>
      <c r="AD123" s="105"/>
      <c r="AE123" s="105"/>
    </row>
    <row r="124" spans="28:31" x14ac:dyDescent="0.2">
      <c r="AB124" s="378"/>
      <c r="AC124" s="105"/>
      <c r="AD124" s="105"/>
      <c r="AE124" s="105"/>
    </row>
    <row r="125" spans="28:31" x14ac:dyDescent="0.2">
      <c r="AB125" s="378"/>
      <c r="AC125" s="105"/>
      <c r="AD125" s="105"/>
      <c r="AE125" s="105"/>
    </row>
    <row r="126" spans="28:31" x14ac:dyDescent="0.2">
      <c r="AB126" s="378"/>
      <c r="AC126" s="105"/>
      <c r="AD126" s="105"/>
      <c r="AE126" s="105"/>
    </row>
    <row r="127" spans="28:31" x14ac:dyDescent="0.2">
      <c r="AB127" s="378"/>
      <c r="AC127" s="105"/>
      <c r="AD127" s="105"/>
      <c r="AE127" s="105"/>
    </row>
    <row r="128" spans="28:31" x14ac:dyDescent="0.2">
      <c r="AB128" s="378"/>
      <c r="AC128" s="105"/>
      <c r="AD128" s="105"/>
      <c r="AE128" s="105"/>
    </row>
    <row r="129" spans="28:31" x14ac:dyDescent="0.2">
      <c r="AB129" s="378"/>
      <c r="AC129" s="105"/>
      <c r="AD129" s="105"/>
      <c r="AE129" s="105"/>
    </row>
    <row r="130" spans="28:31" x14ac:dyDescent="0.2">
      <c r="AB130" s="378"/>
      <c r="AC130" s="105"/>
      <c r="AD130" s="105"/>
      <c r="AE130" s="105"/>
    </row>
    <row r="131" spans="28:31" x14ac:dyDescent="0.2">
      <c r="AB131" s="378"/>
      <c r="AC131" s="105"/>
      <c r="AD131" s="105"/>
      <c r="AE131" s="105"/>
    </row>
    <row r="132" spans="28:31" x14ac:dyDescent="0.2">
      <c r="AB132" s="378"/>
      <c r="AC132" s="105"/>
      <c r="AD132" s="105"/>
      <c r="AE132" s="105"/>
    </row>
    <row r="133" spans="28:31" x14ac:dyDescent="0.2">
      <c r="AB133" s="378"/>
      <c r="AC133" s="105"/>
      <c r="AD133" s="105"/>
      <c r="AE133" s="105"/>
    </row>
    <row r="134" spans="28:31" x14ac:dyDescent="0.2">
      <c r="AB134" s="378"/>
      <c r="AC134" s="105"/>
      <c r="AD134" s="105"/>
      <c r="AE134" s="105"/>
    </row>
    <row r="135" spans="28:31" x14ac:dyDescent="0.2">
      <c r="AB135" s="378"/>
      <c r="AC135" s="105"/>
      <c r="AD135" s="105"/>
      <c r="AE135" s="105"/>
    </row>
    <row r="136" spans="28:31" x14ac:dyDescent="0.2">
      <c r="AB136" s="378"/>
      <c r="AC136" s="105"/>
      <c r="AD136" s="105"/>
      <c r="AE136" s="105"/>
    </row>
    <row r="137" spans="28:31" x14ac:dyDescent="0.2">
      <c r="AB137" s="378"/>
      <c r="AC137" s="105"/>
      <c r="AD137" s="105"/>
      <c r="AE137" s="105"/>
    </row>
    <row r="138" spans="28:31" x14ac:dyDescent="0.2">
      <c r="AB138" s="378"/>
      <c r="AC138" s="105"/>
      <c r="AD138" s="105"/>
      <c r="AE138" s="105"/>
    </row>
    <row r="139" spans="28:31" x14ac:dyDescent="0.2">
      <c r="AB139" s="378"/>
      <c r="AC139" s="105"/>
      <c r="AD139" s="105"/>
      <c r="AE139" s="105"/>
    </row>
    <row r="140" spans="28:31" x14ac:dyDescent="0.2">
      <c r="AB140" s="378"/>
      <c r="AC140" s="105"/>
      <c r="AD140" s="105"/>
      <c r="AE140" s="105"/>
    </row>
    <row r="141" spans="28:31" x14ac:dyDescent="0.2">
      <c r="AB141" s="378"/>
      <c r="AC141" s="105"/>
      <c r="AD141" s="105"/>
      <c r="AE141" s="105"/>
    </row>
    <row r="142" spans="28:31" x14ac:dyDescent="0.2">
      <c r="AB142" s="378"/>
      <c r="AC142" s="105"/>
      <c r="AD142" s="105"/>
      <c r="AE142" s="105"/>
    </row>
    <row r="143" spans="28:31" x14ac:dyDescent="0.2">
      <c r="AB143" s="378"/>
      <c r="AC143" s="105"/>
      <c r="AD143" s="105"/>
      <c r="AE143" s="105"/>
    </row>
  </sheetData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B1" sqref="B1:D1"/>
    </sheetView>
  </sheetViews>
  <sheetFormatPr defaultRowHeight="11.25" outlineLevelCol="1" x14ac:dyDescent="0.2"/>
  <cols>
    <col min="1" max="1" width="6.6640625" style="195" hidden="1" customWidth="1" outlineLevel="1"/>
    <col min="2" max="3" width="7" style="225" hidden="1" customWidth="1" outlineLevel="1"/>
    <col min="4" max="4" width="6" style="225" customWidth="1" collapsed="1"/>
    <col min="5" max="5" width="31.1640625" style="195" bestFit="1" customWidth="1"/>
    <col min="6" max="6" width="22.5" style="195" bestFit="1" customWidth="1"/>
    <col min="7" max="8" width="9.33203125" style="225" bestFit="1" customWidth="1"/>
    <col min="9" max="10" width="10.5" style="225" bestFit="1" customWidth="1"/>
    <col min="11" max="12" width="20.1640625" style="225" bestFit="1" customWidth="1"/>
    <col min="13" max="13" width="3.1640625" style="195" bestFit="1" customWidth="1"/>
    <col min="14" max="16384" width="9.33203125" style="195"/>
  </cols>
  <sheetData>
    <row r="1" spans="2:13" ht="22.5" x14ac:dyDescent="0.2">
      <c r="B1" s="556" t="s">
        <v>102</v>
      </c>
      <c r="C1" s="557"/>
      <c r="D1" s="557"/>
      <c r="E1" s="193" t="s">
        <v>103</v>
      </c>
      <c r="F1" s="193" t="s">
        <v>104</v>
      </c>
      <c r="G1" s="193" t="s">
        <v>105</v>
      </c>
      <c r="H1" s="193" t="s">
        <v>106</v>
      </c>
      <c r="I1" s="193" t="s">
        <v>107</v>
      </c>
      <c r="J1" s="193" t="s">
        <v>108</v>
      </c>
      <c r="K1" s="193" t="s">
        <v>109</v>
      </c>
      <c r="L1" s="194" t="s">
        <v>110</v>
      </c>
    </row>
    <row r="2" spans="2:13" x14ac:dyDescent="0.2">
      <c r="B2" s="196"/>
      <c r="C2" s="197" t="s">
        <v>31</v>
      </c>
      <c r="D2" s="198" t="s">
        <v>111</v>
      </c>
      <c r="E2" s="265" t="str">
        <f>Contribution!$D$40</f>
        <v>EUR1YD_SYNTH1Y_Quote#0000</v>
      </c>
      <c r="F2" s="265" t="str">
        <f>_xll.qlDepositRateHelper(,E2,$F$10,)</f>
        <v>obj_003b4#0000</v>
      </c>
      <c r="G2" s="199">
        <f>_xll.qlRateHelperQuoteValue(F2,InterestRatesTrigger)</f>
        <v>4.1900000000000001E-3</v>
      </c>
      <c r="H2" s="200" t="b">
        <v>1</v>
      </c>
      <c r="I2" s="200">
        <v>70</v>
      </c>
      <c r="J2" s="200">
        <v>1</v>
      </c>
      <c r="K2" s="201">
        <f>_xll.qlRateHelperEarliestDate($F2,InterestRatesTrigger)</f>
        <v>41887</v>
      </c>
      <c r="L2" s="202">
        <f>_xll.qlRateHelperLatestDate($F2,InterestRatesTrigger)</f>
        <v>42254</v>
      </c>
    </row>
    <row r="3" spans="2:13" ht="11.25" customHeight="1" x14ac:dyDescent="0.2">
      <c r="B3" s="203">
        <v>12</v>
      </c>
      <c r="C3" s="204" t="s">
        <v>112</v>
      </c>
      <c r="D3" s="204" t="s">
        <v>113</v>
      </c>
      <c r="E3" s="266" t="s">
        <v>114</v>
      </c>
      <c r="F3" s="266" t="str">
        <f>_xll.qlFraRateHelper(,E3,B3&amp;"M",$F$10)</f>
        <v>obj_003ab#0000</v>
      </c>
      <c r="G3" s="205">
        <f>_xll.qlRateHelperQuoteValue(F3,InterestRatesTrigger)</f>
        <v>4.2400000000000007E-3</v>
      </c>
      <c r="H3" s="206" t="b">
        <v>1</v>
      </c>
      <c r="I3" s="206">
        <v>70</v>
      </c>
      <c r="J3" s="206">
        <v>1</v>
      </c>
      <c r="K3" s="207">
        <f>_xll.qlRateHelperEarliestDate($F3,InterestRatesTrigger)</f>
        <v>42254</v>
      </c>
      <c r="L3" s="208">
        <f>_xll.qlRateHelperLatestDate($F3,InterestRatesTrigger)</f>
        <v>42620</v>
      </c>
      <c r="M3" s="209"/>
    </row>
    <row r="4" spans="2:13" x14ac:dyDescent="0.2">
      <c r="B4" s="210" t="s">
        <v>115</v>
      </c>
      <c r="C4" s="211" t="s">
        <v>116</v>
      </c>
      <c r="D4" s="212" t="s">
        <v>117</v>
      </c>
      <c r="E4" s="267" t="s">
        <v>118</v>
      </c>
      <c r="F4" s="267" t="str">
        <f>_xll.qlSwapRateHelper2(,E4,D4,Calendar,"annual","mf","30/360 (Bond Basis)",$F$10,0,"0D",Discounting)</f>
        <v>obj_00384#0000</v>
      </c>
      <c r="G4" s="213">
        <f>_xll.qlRateHelperQuoteValue(F4,InterestRatesTrigger)</f>
        <v>4.7799999999999995E-3</v>
      </c>
      <c r="H4" s="214" t="b">
        <v>1</v>
      </c>
      <c r="I4" s="214">
        <v>50</v>
      </c>
      <c r="J4" s="214">
        <v>1</v>
      </c>
      <c r="K4" s="215">
        <f>_xll.qlRateHelperEarliestDate($F4,InterestRatesTrigger)</f>
        <v>41887</v>
      </c>
      <c r="L4" s="216">
        <f>_xll.qlRateHelperLatestDate($F4,InterestRatesTrigger)</f>
        <v>42983</v>
      </c>
    </row>
    <row r="5" spans="2:13" x14ac:dyDescent="0.2">
      <c r="B5" s="217" t="s">
        <v>115</v>
      </c>
      <c r="C5" s="218" t="s">
        <v>116</v>
      </c>
      <c r="D5" s="219" t="s">
        <v>119</v>
      </c>
      <c r="E5" s="268" t="s">
        <v>120</v>
      </c>
      <c r="F5" s="268" t="str">
        <f>_xll.qlSwapRateHelper2(,E5,D5,Calendar,"annual","mf","30/360 (Bond Basis)",$F$10,0,"0D",Discounting)</f>
        <v>obj_00396#0000</v>
      </c>
      <c r="G5" s="220">
        <f>_xll.qlRateHelperQuoteValue(F5,InterestRatesTrigger)</f>
        <v>5.6100000000000004E-3</v>
      </c>
      <c r="H5" s="221" t="b">
        <v>1</v>
      </c>
      <c r="I5" s="221">
        <v>50</v>
      </c>
      <c r="J5" s="221">
        <v>1</v>
      </c>
      <c r="K5" s="222">
        <f>_xll.qlRateHelperEarliestDate($F5,InterestRatesTrigger)</f>
        <v>41887</v>
      </c>
      <c r="L5" s="223">
        <f>_xll.qlRateHelperLatestDate($F5,InterestRatesTrigger)</f>
        <v>43348</v>
      </c>
    </row>
    <row r="6" spans="2:13" x14ac:dyDescent="0.2">
      <c r="B6" s="224" t="s">
        <v>115</v>
      </c>
      <c r="C6" s="197" t="s">
        <v>116</v>
      </c>
      <c r="D6" s="198" t="s">
        <v>121</v>
      </c>
      <c r="E6" s="265" t="s">
        <v>122</v>
      </c>
      <c r="F6" s="265" t="str">
        <f>_xll.qlSwapRateHelper2(,E6,D6,Calendar,"annual","mf","30/360 (Bond Basis)",$F$10,0,"0D",Discounting)</f>
        <v>obj_00388#0000</v>
      </c>
      <c r="G6" s="199">
        <f>_xll.qlRateHelperQuoteValue(F6,InterestRatesTrigger)</f>
        <v>6.6899999999999998E-3</v>
      </c>
      <c r="H6" s="200" t="b">
        <v>1</v>
      </c>
      <c r="I6" s="200">
        <v>50</v>
      </c>
      <c r="J6" s="200">
        <v>1</v>
      </c>
      <c r="K6" s="201">
        <f>_xll.qlRateHelperEarliestDate($F6,InterestRatesTrigger)</f>
        <v>41887</v>
      </c>
      <c r="L6" s="202">
        <f>_xll.qlRateHelperLatestDate($F6,InterestRatesTrigger)</f>
        <v>43713</v>
      </c>
    </row>
    <row r="10" spans="2:13" x14ac:dyDescent="0.2">
      <c r="F10" s="195" t="str">
        <f>_xll.qlEuribor(,IborTenor,,,EvaluationDate)</f>
        <v>obj_0036d#0000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workbookViewId="0">
      <selection activeCell="C50" sqref="C50"/>
    </sheetView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7" width="3.1640625" style="167" customWidth="1"/>
    <col min="8" max="8" width="4.33203125" style="167" customWidth="1"/>
    <col min="9" max="9" width="7.83203125" style="167" customWidth="1"/>
    <col min="10" max="10" width="9.33203125" style="167" bestFit="1" customWidth="1"/>
    <col min="11" max="11" width="3.1640625" style="167" customWidth="1"/>
    <col min="12" max="12" width="9.33203125" style="167" bestFit="1" customWidth="1"/>
    <col min="13" max="13" width="3.1640625" style="167" customWidth="1"/>
    <col min="14" max="14" width="11.6640625" style="167" bestFit="1" customWidth="1"/>
    <col min="15" max="15" width="10.5" style="167" bestFit="1" customWidth="1"/>
    <col min="16" max="16" width="5.83203125" style="167" customWidth="1"/>
    <col min="17" max="16384" width="9.33203125" style="172"/>
  </cols>
  <sheetData>
    <row r="1" spans="1:16" ht="12" thickBot="1" x14ac:dyDescent="0.25">
      <c r="A1" s="164"/>
      <c r="D1" s="165"/>
      <c r="E1" s="165"/>
      <c r="F1" s="166"/>
      <c r="H1" s="168"/>
      <c r="I1" s="169"/>
      <c r="J1" s="169"/>
      <c r="K1" s="170"/>
      <c r="L1" s="170"/>
      <c r="M1" s="170"/>
      <c r="N1" s="169"/>
      <c r="P1" s="171"/>
    </row>
    <row r="2" spans="1:16" ht="12.75" thickBot="1" x14ac:dyDescent="0.3">
      <c r="A2" s="316"/>
      <c r="B2" s="315"/>
      <c r="C2" s="332" t="str">
        <f>Currency&amp;"_015_SyntheticQuotes"&amp;".xml"</f>
        <v>EUR_015_SyntheticQuotes.xml</v>
      </c>
      <c r="D2" s="333" t="str">
        <f>IF(Serialize,_xll.ohObjectSave(D3:D84,SerializationPath&amp;C2,FileOverwrite,Serialize),"---")</f>
        <v>---</v>
      </c>
      <c r="E2" s="273" t="str">
        <f>_xll.ohRangeRetrieveError(D2)</f>
        <v/>
      </c>
      <c r="F2" s="173"/>
      <c r="H2" s="174"/>
      <c r="I2" s="275"/>
      <c r="J2" s="276" t="s">
        <v>81</v>
      </c>
      <c r="K2" s="175"/>
      <c r="L2" s="283" t="s">
        <v>82</v>
      </c>
      <c r="M2" s="175"/>
      <c r="N2" s="275" t="s">
        <v>83</v>
      </c>
      <c r="O2" s="287" t="s">
        <v>84</v>
      </c>
      <c r="P2" s="353">
        <f>_xll.ohTrigger(O3:O7)</f>
        <v>22</v>
      </c>
    </row>
    <row r="3" spans="1:16" x14ac:dyDescent="0.2">
      <c r="A3" s="335">
        <v>1</v>
      </c>
      <c r="B3" s="323" t="s">
        <v>85</v>
      </c>
      <c r="C3" s="324" t="str">
        <f t="shared" ref="C3" si="0">Currency&amp;$B3&amp;"_SYNTH"&amp;Tenor1M&amp;QuoteSuffix</f>
        <v>EURSND_SYNTH1M_Quote</v>
      </c>
      <c r="D3" s="325" t="str">
        <f>_xll.qlSimpleQuote(C3,,RateTickValue,Permanent,EvaluationDate,ObjectOverwrite)</f>
        <v>EURSND_SYNTH1M_Quote#0000</v>
      </c>
      <c r="E3" s="319" t="str">
        <f>_xll.ohRangeRetrieveError(D3)</f>
        <v/>
      </c>
      <c r="F3" s="173"/>
      <c r="H3" s="174"/>
      <c r="I3" s="277" t="s">
        <v>85</v>
      </c>
      <c r="J3" s="278">
        <f>SynthDepo!G34</f>
        <v>9.1924742260854808E-4</v>
      </c>
      <c r="K3" s="178" t="s">
        <v>86</v>
      </c>
      <c r="L3" s="284">
        <v>7.562493980206341E-4</v>
      </c>
      <c r="M3" s="175"/>
      <c r="N3" s="288">
        <f t="array" ref="N3:N84">QuoteLive</f>
        <v>9.1924742260854808E-4</v>
      </c>
      <c r="O3" s="289">
        <f>_xll.qlSimpleQuoteSetValue(D3,ROUND($N3,6),EvaluationDate)</f>
        <v>0</v>
      </c>
      <c r="P3" s="176"/>
    </row>
    <row r="4" spans="1:16" x14ac:dyDescent="0.2">
      <c r="A4" s="336" t="str">
        <f>_xll.qlPeriodEquivalent(Months1M&amp;"M")</f>
        <v>1M</v>
      </c>
      <c r="B4" s="326" t="s">
        <v>87</v>
      </c>
      <c r="C4" s="179" t="str">
        <f t="shared" ref="C4:C7" si="1">Currency&amp;$B4&amp;"_SYNTH"&amp;Tenor1M&amp;QuoteSuffix</f>
        <v>EURSWD_SYNTH1M_Quote</v>
      </c>
      <c r="D4" s="327" t="str">
        <f>_xll.qlSimpleQuote(C4,,RateTickValue,Permanent,EvaluationDate,ObjectOverwrite)</f>
        <v>EURSWD_SYNTH1M_Quote#0000</v>
      </c>
      <c r="E4" s="320" t="str">
        <f>_xll.ohRangeRetrieveError(D4)</f>
        <v/>
      </c>
      <c r="F4" s="173"/>
      <c r="H4" s="174"/>
      <c r="I4" s="277" t="s">
        <v>87</v>
      </c>
      <c r="J4" s="278">
        <f>SynthDepo!G35</f>
        <v>6.3592944606308526E-4</v>
      </c>
      <c r="K4" s="178" t="s">
        <v>86</v>
      </c>
      <c r="L4" s="284">
        <v>7.139280586619277E-4</v>
      </c>
      <c r="M4" s="175"/>
      <c r="N4" s="288">
        <v>6.3592944606308526E-4</v>
      </c>
      <c r="O4" s="289">
        <f>_xll.qlSimpleQuoteSetValue(D4,ROUND($N4,6),EvaluationDate)</f>
        <v>0</v>
      </c>
      <c r="P4" s="176"/>
    </row>
    <row r="5" spans="1:16" x14ac:dyDescent="0.2">
      <c r="A5" s="337"/>
      <c r="B5" s="326" t="s">
        <v>88</v>
      </c>
      <c r="C5" s="179" t="str">
        <f t="shared" si="1"/>
        <v>EUR2WD_SYNTH1M_Quote</v>
      </c>
      <c r="D5" s="327" t="str">
        <f>_xll.qlSimpleQuote(C5,,RateTickValue,Permanent,EvaluationDate,ObjectOverwrite)</f>
        <v>EUR2WD_SYNTH1M_Quote#0000</v>
      </c>
      <c r="E5" s="320" t="str">
        <f>_xll.ohRangeRetrieveError(D5)</f>
        <v/>
      </c>
      <c r="F5" s="173"/>
      <c r="H5" s="174"/>
      <c r="I5" s="277" t="s">
        <v>88</v>
      </c>
      <c r="J5" s="278">
        <f>SynthDepo!G36</f>
        <v>6.2012295760689056E-4</v>
      </c>
      <c r="K5" s="178" t="s">
        <v>86</v>
      </c>
      <c r="L5" s="284">
        <v>7.1986570928168924E-4</v>
      </c>
      <c r="M5" s="175"/>
      <c r="N5" s="288">
        <v>6.2012295760689056E-4</v>
      </c>
      <c r="O5" s="289">
        <f>_xll.qlSimpleQuoteSetValue(D5,ROUND($N5,6),EvaluationDate)</f>
        <v>0</v>
      </c>
      <c r="P5" s="176"/>
    </row>
    <row r="6" spans="1:16" x14ac:dyDescent="0.2">
      <c r="A6" s="337"/>
      <c r="B6" s="326" t="s">
        <v>89</v>
      </c>
      <c r="C6" s="179" t="str">
        <f t="shared" si="1"/>
        <v>EUR3WD_SYNTH1M_Quote</v>
      </c>
      <c r="D6" s="327" t="str">
        <f>_xll.qlSimpleQuote(C6,,RateTickValue,Permanent,EvaluationDate,ObjectOverwrite)</f>
        <v>EUR3WD_SYNTH1M_Quote#0000</v>
      </c>
      <c r="E6" s="320" t="str">
        <f>_xll.ohRangeRetrieveError(D6)</f>
        <v/>
      </c>
      <c r="F6" s="173"/>
      <c r="H6" s="174"/>
      <c r="I6" s="279" t="s">
        <v>89</v>
      </c>
      <c r="J6" s="280">
        <f>SynthDepo!G37</f>
        <v>6.0431648010003235E-4</v>
      </c>
      <c r="K6" s="178" t="s">
        <v>86</v>
      </c>
      <c r="L6" s="285">
        <v>9.4580336066685212E-4</v>
      </c>
      <c r="M6" s="175"/>
      <c r="N6" s="290">
        <v>6.0431648010003235E-4</v>
      </c>
      <c r="O6" s="291">
        <f>_xll.qlSimpleQuoteSetValue(D6,ROUND($N6,6),EvaluationDate)</f>
        <v>0</v>
      </c>
      <c r="P6" s="176"/>
    </row>
    <row r="7" spans="1:16" ht="12" thickBot="1" x14ac:dyDescent="0.25">
      <c r="A7" s="338"/>
      <c r="B7" s="334" t="s">
        <v>90</v>
      </c>
      <c r="C7" s="274" t="str">
        <f t="shared" si="1"/>
        <v>EUR1MD_SYNTH1M_Quote</v>
      </c>
      <c r="D7" s="330" t="str">
        <f>_xll.qlSimpleQuote(C7,,RateTickValue,Permanent,EvaluationDate,ObjectOverwrite)</f>
        <v>EUR1MD_SYNTH1M_Quote#0000</v>
      </c>
      <c r="E7" s="331" t="str">
        <f>_xll.ohRangeRetrieveError(D7)</f>
        <v/>
      </c>
      <c r="F7" s="173"/>
      <c r="H7" s="297"/>
      <c r="I7" s="281" t="s">
        <v>90</v>
      </c>
      <c r="J7" s="282">
        <f>SynthDepo!G38</f>
        <v>6.0999999999999997E-4</v>
      </c>
      <c r="K7" s="298" t="s">
        <v>86</v>
      </c>
      <c r="L7" s="286">
        <v>8.9999999999999998E-4</v>
      </c>
      <c r="M7" s="297"/>
      <c r="N7" s="292">
        <v>6.0999999999999997E-4</v>
      </c>
      <c r="O7" s="293">
        <f>_xll.qlSimpleQuoteSetValue(D7,ROUND($N7,6),EvaluationDate)</f>
        <v>0</v>
      </c>
      <c r="P7" s="297"/>
    </row>
    <row r="8" spans="1:16" x14ac:dyDescent="0.2">
      <c r="A8" s="317">
        <v>3</v>
      </c>
      <c r="B8" s="323" t="s">
        <v>85</v>
      </c>
      <c r="C8" s="324" t="str">
        <f t="shared" ref="C8:C14" si="2">Currency&amp;$B8&amp;"_SYNTH"&amp;Tenor3M&amp;QuoteSuffix</f>
        <v>EURSND_SYNTH3M_Quote</v>
      </c>
      <c r="D8" s="325" t="str">
        <f>_xll.qlSimpleQuote(C8,,RateTickValue,Permanent,EvaluationDate,ObjectOverwrite)</f>
        <v>EURSND_SYNTH3M_Quote#0000</v>
      </c>
      <c r="E8" s="319"/>
      <c r="F8" s="181"/>
      <c r="H8" s="184"/>
      <c r="I8" s="299" t="s">
        <v>85</v>
      </c>
      <c r="J8" s="300">
        <f>SynthDepo!H34</f>
        <v>2.1567079900362408E-3</v>
      </c>
      <c r="K8" s="185"/>
      <c r="L8" s="301">
        <v>2.0854566594392708E-3</v>
      </c>
      <c r="M8" s="183"/>
      <c r="N8" s="302">
        <v>2.1567079900362408E-3</v>
      </c>
      <c r="O8" s="303">
        <f>_xll.qlSimpleQuoteSetValue(D8,ROUND($N8,6),EvaluationDate)</f>
        <v>0</v>
      </c>
      <c r="P8" s="354">
        <f>_xll.ohTrigger(O8:O14)</f>
        <v>22</v>
      </c>
    </row>
    <row r="9" spans="1:16" x14ac:dyDescent="0.2">
      <c r="A9" s="318" t="str">
        <f>_xll.qlPeriodEquivalent(Months3M&amp;"M")</f>
        <v>3M</v>
      </c>
      <c r="B9" s="326" t="s">
        <v>87</v>
      </c>
      <c r="C9" s="179" t="str">
        <f t="shared" si="2"/>
        <v>EURSWD_SYNTH3M_Quote</v>
      </c>
      <c r="D9" s="327" t="str">
        <f>_xll.qlSimpleQuote(C9,,RateTickValue,Permanent,EvaluationDate,ObjectOverwrite)</f>
        <v>EURSWD_SYNTH3M_Quote#0000</v>
      </c>
      <c r="E9" s="320"/>
      <c r="F9" s="181"/>
      <c r="H9" s="184"/>
      <c r="I9" s="294" t="s">
        <v>87</v>
      </c>
      <c r="J9" s="278">
        <f>SynthDepo!H35</f>
        <v>1.8628516433485619E-3</v>
      </c>
      <c r="K9" s="185"/>
      <c r="L9" s="284">
        <v>2.0363357259103824E-3</v>
      </c>
      <c r="M9" s="183"/>
      <c r="N9" s="288">
        <v>1.8628516433485619E-3</v>
      </c>
      <c r="O9" s="289">
        <f>_xll.qlSimpleQuoteSetValue(D9,ROUND($N9,6),EvaluationDate)</f>
        <v>0</v>
      </c>
      <c r="P9" s="176"/>
    </row>
    <row r="10" spans="1:16" x14ac:dyDescent="0.2">
      <c r="A10" s="180"/>
      <c r="B10" s="326" t="s">
        <v>88</v>
      </c>
      <c r="C10" s="179" t="str">
        <f t="shared" si="2"/>
        <v>EUR2WD_SYNTH3M_Quote</v>
      </c>
      <c r="D10" s="327" t="str">
        <f>_xll.qlSimpleQuote(C10,,RateTickValue,Permanent,EvaluationDate,ObjectOverwrite)</f>
        <v>EUR2WD_SYNTH3M_Quote#0000</v>
      </c>
      <c r="E10" s="320"/>
      <c r="F10" s="181"/>
      <c r="H10" s="184"/>
      <c r="I10" s="294" t="s">
        <v>88</v>
      </c>
      <c r="J10" s="278">
        <f>SynthDepo!H36</f>
        <v>1.8286030071434888E-3</v>
      </c>
      <c r="K10" s="185"/>
      <c r="L10" s="284">
        <v>2.0303740867323259E-3</v>
      </c>
      <c r="M10" s="183"/>
      <c r="N10" s="288">
        <v>1.8286030071434888E-3</v>
      </c>
      <c r="O10" s="289">
        <f>_xll.qlSimpleQuoteSetValue(D10,ROUND($N10,6),EvaluationDate)</f>
        <v>0</v>
      </c>
      <c r="P10" s="176"/>
    </row>
    <row r="11" spans="1:16" x14ac:dyDescent="0.2">
      <c r="A11" s="180"/>
      <c r="B11" s="326" t="s">
        <v>89</v>
      </c>
      <c r="C11" s="179" t="str">
        <f t="shared" si="2"/>
        <v>EUR3WD_SYNTH3M_Quote</v>
      </c>
      <c r="D11" s="327" t="str">
        <f>_xll.qlSimpleQuote(C11,,RateTickValue,Permanent,EvaluationDate,ObjectOverwrite)</f>
        <v>EUR3WD_SYNTH3M_Quote#0000</v>
      </c>
      <c r="E11" s="320"/>
      <c r="F11" s="181"/>
      <c r="H11" s="184"/>
      <c r="I11" s="295" t="s">
        <v>89</v>
      </c>
      <c r="J11" s="280">
        <f>SynthDepo!H37</f>
        <v>1.7943543818877525E-3</v>
      </c>
      <c r="K11" s="185"/>
      <c r="L11" s="285">
        <v>2.2444124483196708E-3</v>
      </c>
      <c r="M11" s="183"/>
      <c r="N11" s="290">
        <v>1.7943543818877525E-3</v>
      </c>
      <c r="O11" s="291">
        <f>_xll.qlSimpleQuoteSetValue(D11,ROUND($N11,6),EvaluationDate)</f>
        <v>0</v>
      </c>
      <c r="P11" s="176"/>
    </row>
    <row r="12" spans="1:16" x14ac:dyDescent="0.2">
      <c r="A12" s="180"/>
      <c r="B12" s="326" t="s">
        <v>90</v>
      </c>
      <c r="C12" s="179" t="str">
        <f t="shared" si="2"/>
        <v>EUR1MD_SYNTH3M_Quote</v>
      </c>
      <c r="D12" s="328" t="str">
        <f>_xll.qlSimpleQuote(C12,,RateTickValue,Permanent,EvaluationDate,ObjectOverwrite)</f>
        <v>EUR1MD_SYNTH3M_Quote#0000</v>
      </c>
      <c r="E12" s="321"/>
      <c r="F12" s="181"/>
      <c r="H12" s="184"/>
      <c r="I12" s="294" t="s">
        <v>90</v>
      </c>
      <c r="J12" s="278">
        <f>SynthDepo!H38</f>
        <v>1.7736919764321795E-3</v>
      </c>
      <c r="K12" s="185"/>
      <c r="L12" s="284">
        <v>2.1816101022273638E-3</v>
      </c>
      <c r="M12" s="183"/>
      <c r="N12" s="288">
        <v>1.7736919764321795E-3</v>
      </c>
      <c r="O12" s="289">
        <f>_xll.qlSimpleQuoteSetValue(D12,ROUND($N12,6),EvaluationDate)</f>
        <v>0</v>
      </c>
      <c r="P12" s="176"/>
    </row>
    <row r="13" spans="1:16" x14ac:dyDescent="0.2">
      <c r="A13" s="180"/>
      <c r="B13" s="326" t="s">
        <v>91</v>
      </c>
      <c r="C13" s="179" t="str">
        <f t="shared" si="2"/>
        <v>EUR2MD_SYNTH3M_Quote</v>
      </c>
      <c r="D13" s="328" t="str">
        <f>_xll.qlSimpleQuote(C13,,RateTickValue,Permanent,EvaluationDate,ObjectOverwrite)</f>
        <v>EUR2MD_SYNTH3M_Quote#0000</v>
      </c>
      <c r="E13" s="321"/>
      <c r="F13" s="181"/>
      <c r="H13" s="184"/>
      <c r="I13" s="294" t="s">
        <v>91</v>
      </c>
      <c r="J13" s="278">
        <f>SynthDepo!H39</f>
        <v>1.6046430999936579E-3</v>
      </c>
      <c r="K13" s="185"/>
      <c r="L13" s="284">
        <v>2.100593842366712E-3</v>
      </c>
      <c r="M13" s="183"/>
      <c r="N13" s="288">
        <v>1.6046430999936579E-3</v>
      </c>
      <c r="O13" s="289">
        <f>_xll.qlSimpleQuoteSetValue(D13,ROUND($N13,6),EvaluationDate)</f>
        <v>0</v>
      </c>
      <c r="P13" s="176"/>
    </row>
    <row r="14" spans="1:16" ht="12" thickBot="1" x14ac:dyDescent="0.25">
      <c r="A14" s="180"/>
      <c r="B14" s="329" t="s">
        <v>92</v>
      </c>
      <c r="C14" s="274" t="str">
        <f t="shared" si="2"/>
        <v>EUR3MD_SYNTH3M_Quote</v>
      </c>
      <c r="D14" s="330" t="str">
        <f>_xll.qlSimpleQuote(C14,,RateTickValue,Permanent,EvaluationDate,ObjectOverwrite)</f>
        <v>EUR3MD_SYNTH3M_Quote#0000</v>
      </c>
      <c r="E14" s="322"/>
      <c r="F14" s="181"/>
      <c r="H14" s="184"/>
      <c r="I14" s="296" t="s">
        <v>92</v>
      </c>
      <c r="J14" s="282">
        <f>SynthDepo!H40</f>
        <v>1.5E-3</v>
      </c>
      <c r="K14" s="185"/>
      <c r="L14" s="286">
        <v>1.99E-3</v>
      </c>
      <c r="M14" s="183"/>
      <c r="N14" s="292">
        <v>1.5E-3</v>
      </c>
      <c r="O14" s="293">
        <f>_xll.qlSimpleQuoteSetValue(D14,ROUND($N14,6),EvaluationDate)</f>
        <v>0</v>
      </c>
      <c r="P14" s="176"/>
    </row>
    <row r="15" spans="1:16" x14ac:dyDescent="0.2">
      <c r="A15" s="335">
        <v>6</v>
      </c>
      <c r="B15" s="339" t="s">
        <v>85</v>
      </c>
      <c r="C15" s="324" t="str">
        <f t="shared" ref="C15:C24" si="3">Currency&amp;$B15&amp;"_SYNTH"&amp;Tenor6M&amp;QuoteSuffix</f>
        <v>EURSND_SYNTH6M_Quote</v>
      </c>
      <c r="D15" s="325" t="str">
        <f>_xll.qlSimpleQuote(C15,,RateTickValue,Permanent,EvaluationDate,ObjectOverwrite)</f>
        <v>EURSND_SYNTH6M_Quote#0000</v>
      </c>
      <c r="E15" s="319" t="str">
        <f>_xll.ohRangeRetrieveError(D15)</f>
        <v/>
      </c>
      <c r="F15" s="181"/>
      <c r="H15" s="184"/>
      <c r="I15" s="299" t="s">
        <v>85</v>
      </c>
      <c r="J15" s="300">
        <f>SynthDepo!I34</f>
        <v>3.6524652930844692E-3</v>
      </c>
      <c r="K15" s="185"/>
      <c r="L15" s="301">
        <v>3.429611293926924E-3</v>
      </c>
      <c r="M15" s="183"/>
      <c r="N15" s="302">
        <v>3.6524652930844692E-3</v>
      </c>
      <c r="O15" s="303">
        <f>_xll.qlSimpleQuoteSetValue(D15,ROUND($N15,6),EvaluationDate)</f>
        <v>0</v>
      </c>
      <c r="P15" s="355">
        <f>_xll.ohTrigger(O15:O24)</f>
        <v>22</v>
      </c>
    </row>
    <row r="16" spans="1:16" x14ac:dyDescent="0.2">
      <c r="A16" s="336" t="str">
        <f>_xll.qlPeriodEquivalent(Months6M&amp;"M")</f>
        <v>6M</v>
      </c>
      <c r="B16" s="340" t="s">
        <v>87</v>
      </c>
      <c r="C16" s="179" t="str">
        <f t="shared" si="3"/>
        <v>EURSWD_SYNTH6M_Quote</v>
      </c>
      <c r="D16" s="327" t="str">
        <f>_xll.qlSimpleQuote(C16,,RateTickValue,Permanent,EvaluationDate,ObjectOverwrite)</f>
        <v>EURSWD_SYNTH6M_Quote#0000</v>
      </c>
      <c r="E16" s="320" t="str">
        <f>_xll.ohRangeRetrieveError(D16)</f>
        <v/>
      </c>
      <c r="F16" s="181"/>
      <c r="H16" s="184"/>
      <c r="I16" s="294" t="s">
        <v>87</v>
      </c>
      <c r="J16" s="278">
        <f>SynthDepo!I35</f>
        <v>3.3410632125354086E-3</v>
      </c>
      <c r="K16" s="185"/>
      <c r="L16" s="284">
        <v>3.3663605344225103E-3</v>
      </c>
      <c r="M16" s="183"/>
      <c r="N16" s="288">
        <v>3.3410632125354086E-3</v>
      </c>
      <c r="O16" s="289">
        <f>_xll.qlSimpleQuoteSetValue(D16,ROUND($N16,6),EvaluationDate)</f>
        <v>0</v>
      </c>
      <c r="P16" s="186"/>
    </row>
    <row r="17" spans="1:16" x14ac:dyDescent="0.2">
      <c r="A17" s="342"/>
      <c r="B17" s="340" t="s">
        <v>88</v>
      </c>
      <c r="C17" s="179" t="str">
        <f t="shared" si="3"/>
        <v>EUR2WD_SYNTH6M_Quote</v>
      </c>
      <c r="D17" s="327" t="str">
        <f>_xll.qlSimpleQuote(C17,,RateTickValue,Permanent,EvaluationDate,ObjectOverwrite)</f>
        <v>EUR2WD_SYNTH6M_Quote#0000</v>
      </c>
      <c r="E17" s="320" t="str">
        <f>_xll.ohRangeRetrieveError(D17)</f>
        <v/>
      </c>
      <c r="F17" s="181"/>
      <c r="H17" s="182"/>
      <c r="I17" s="294" t="s">
        <v>88</v>
      </c>
      <c r="J17" s="278">
        <f>SynthDepo!I36</f>
        <v>3.2776020617508021E-3</v>
      </c>
      <c r="K17" s="185"/>
      <c r="L17" s="284">
        <v>3.3368531136497635E-3</v>
      </c>
      <c r="M17" s="183"/>
      <c r="N17" s="288">
        <v>3.2776020617508021E-3</v>
      </c>
      <c r="O17" s="289">
        <f>_xll.qlSimpleQuoteSetValue(D17,ROUND($N17,6),EvaluationDate)</f>
        <v>0</v>
      </c>
      <c r="P17" s="186"/>
    </row>
    <row r="18" spans="1:16" x14ac:dyDescent="0.2">
      <c r="A18" s="343"/>
      <c r="B18" s="340" t="s">
        <v>89</v>
      </c>
      <c r="C18" s="179" t="str">
        <f t="shared" si="3"/>
        <v>EUR3WD_SYNTH6M_Quote</v>
      </c>
      <c r="D18" s="327" t="str">
        <f>_xll.qlSimpleQuote(C18,,RateTickValue,Permanent,EvaluationDate,ObjectOverwrite)</f>
        <v>EUR3WD_SYNTH6M_Quote#0000</v>
      </c>
      <c r="E18" s="320" t="str">
        <f>_xll.ohRangeRetrieveError(D18)</f>
        <v/>
      </c>
      <c r="F18" s="181"/>
      <c r="H18" s="182"/>
      <c r="I18" s="294" t="s">
        <v>89</v>
      </c>
      <c r="J18" s="278">
        <f>SynthDepo!I37</f>
        <v>3.2160404924146584E-3</v>
      </c>
      <c r="K18" s="185"/>
      <c r="L18" s="284">
        <v>3.5288493112855738E-3</v>
      </c>
      <c r="M18" s="183"/>
      <c r="N18" s="288">
        <v>3.2160404924146584E-3</v>
      </c>
      <c r="O18" s="289">
        <f>_xll.qlSimpleQuoteSetValue(D18,ROUND($N18,6),EvaluationDate)</f>
        <v>0</v>
      </c>
      <c r="P18" s="186"/>
    </row>
    <row r="19" spans="1:16" x14ac:dyDescent="0.2">
      <c r="A19" s="343"/>
      <c r="B19" s="340" t="s">
        <v>90</v>
      </c>
      <c r="C19" s="179" t="str">
        <f t="shared" si="3"/>
        <v>EUR1MD_SYNTH6M_Quote</v>
      </c>
      <c r="D19" s="327" t="str">
        <f>_xll.qlSimpleQuote(C19,,RateTickValue,Permanent,EvaluationDate,ObjectOverwrite)</f>
        <v>EUR1MD_SYNTH6M_Quote#0000</v>
      </c>
      <c r="E19" s="320" t="str">
        <f>_xll.ohRangeRetrieveError(D19)</f>
        <v/>
      </c>
      <c r="F19" s="181"/>
      <c r="H19" s="182"/>
      <c r="I19" s="294" t="s">
        <v>90</v>
      </c>
      <c r="J19" s="278">
        <f>SynthDepo!I38</f>
        <v>3.1596547687304573E-3</v>
      </c>
      <c r="K19" s="185"/>
      <c r="L19" s="284">
        <v>3.437166475867978E-3</v>
      </c>
      <c r="M19" s="183"/>
      <c r="N19" s="288">
        <v>3.1596547687304573E-3</v>
      </c>
      <c r="O19" s="289">
        <f>_xll.qlSimpleQuoteSetValue(D19,ROUND($N19,6),EvaluationDate)</f>
        <v>0</v>
      </c>
      <c r="P19" s="186"/>
    </row>
    <row r="20" spans="1:16" x14ac:dyDescent="0.2">
      <c r="A20" s="343"/>
      <c r="B20" s="340" t="s">
        <v>91</v>
      </c>
      <c r="C20" s="179" t="str">
        <f t="shared" si="3"/>
        <v>EUR2MD_SYNTH6M_Quote</v>
      </c>
      <c r="D20" s="327" t="str">
        <f>_xll.qlSimpleQuote(C20,,RateTickValue,Permanent,EvaluationDate,ObjectOverwrite)</f>
        <v>EUR2MD_SYNTH6M_Quote#0000</v>
      </c>
      <c r="E20" s="320" t="str">
        <f>_xll.ohRangeRetrieveError(D20)</f>
        <v/>
      </c>
      <c r="F20" s="181"/>
      <c r="H20" s="182"/>
      <c r="I20" s="294" t="s">
        <v>91</v>
      </c>
      <c r="J20" s="278">
        <f>SynthDepo!I39</f>
        <v>2.9066959845341243E-3</v>
      </c>
      <c r="K20" s="185"/>
      <c r="L20" s="284">
        <v>3.2879203926415284E-3</v>
      </c>
      <c r="M20" s="183"/>
      <c r="N20" s="288">
        <v>2.9066959845341243E-3</v>
      </c>
      <c r="O20" s="289">
        <f>_xll.qlSimpleQuoteSetValue(D20,ROUND($N20,6),EvaluationDate)</f>
        <v>0</v>
      </c>
      <c r="P20" s="186"/>
    </row>
    <row r="21" spans="1:16" x14ac:dyDescent="0.2">
      <c r="A21" s="343"/>
      <c r="B21" s="340" t="s">
        <v>92</v>
      </c>
      <c r="C21" s="179" t="str">
        <f t="shared" si="3"/>
        <v>EUR3MD_SYNTH6M_Quote</v>
      </c>
      <c r="D21" s="327" t="str">
        <f>_xll.qlSimpleQuote(C21,,RateTickValue,Permanent,EvaluationDate,ObjectOverwrite)</f>
        <v>EUR3MD_SYNTH6M_Quote#0000</v>
      </c>
      <c r="E21" s="320" t="str">
        <f>_xll.ohRangeRetrieveError(D21)</f>
        <v/>
      </c>
      <c r="F21" s="181"/>
      <c r="H21" s="182"/>
      <c r="I21" s="294" t="s">
        <v>92</v>
      </c>
      <c r="J21" s="278">
        <f>SynthDepo!I40</f>
        <v>2.7530330471747656E-3</v>
      </c>
      <c r="K21" s="185"/>
      <c r="L21" s="284">
        <v>3.1341719188593851E-3</v>
      </c>
      <c r="M21" s="183"/>
      <c r="N21" s="288">
        <v>2.7530330471747656E-3</v>
      </c>
      <c r="O21" s="289">
        <f>_xll.qlSimpleQuoteSetValue(D21,ROUND($N21,6),EvaluationDate)</f>
        <v>0</v>
      </c>
      <c r="P21" s="186"/>
    </row>
    <row r="22" spans="1:16" x14ac:dyDescent="0.2">
      <c r="A22" s="343"/>
      <c r="B22" s="340" t="s">
        <v>93</v>
      </c>
      <c r="C22" s="179" t="str">
        <f t="shared" si="3"/>
        <v>EUR4MD_SYNTH6M_Quote</v>
      </c>
      <c r="D22" s="327" t="str">
        <f>_xll.qlSimpleQuote(C22,,RateTickValue,Permanent,EvaluationDate,ObjectOverwrite)</f>
        <v>EUR4MD_SYNTH6M_Quote#0000</v>
      </c>
      <c r="E22" s="320" t="str">
        <f>_xll.ohRangeRetrieveError(D22)</f>
        <v/>
      </c>
      <c r="F22" s="181"/>
      <c r="H22" s="182"/>
      <c r="I22" s="294" t="s">
        <v>93</v>
      </c>
      <c r="J22" s="278">
        <f>SynthDepo!I41</f>
        <v>2.6180229890207397E-3</v>
      </c>
      <c r="K22" s="185"/>
      <c r="L22" s="284">
        <v>3.0638881440993079E-3</v>
      </c>
      <c r="M22" s="183"/>
      <c r="N22" s="288">
        <v>2.6180229890207397E-3</v>
      </c>
      <c r="O22" s="289">
        <f>_xll.qlSimpleQuoteSetValue(D22,ROUND($N22,6),EvaluationDate)</f>
        <v>0</v>
      </c>
      <c r="P22" s="186"/>
    </row>
    <row r="23" spans="1:16" x14ac:dyDescent="0.2">
      <c r="A23" s="343"/>
      <c r="B23" s="340" t="s">
        <v>94</v>
      </c>
      <c r="C23" s="179" t="str">
        <f t="shared" si="3"/>
        <v>EUR5MD_SYNTH6M_Quote</v>
      </c>
      <c r="D23" s="327" t="str">
        <f>_xll.qlSimpleQuote(C23,,RateTickValue,Permanent,EvaluationDate,ObjectOverwrite)</f>
        <v>EUR5MD_SYNTH6M_Quote#0000</v>
      </c>
      <c r="E23" s="320" t="str">
        <f>_xll.ohRangeRetrieveError(D23)</f>
        <v/>
      </c>
      <c r="F23" s="181"/>
      <c r="H23" s="182"/>
      <c r="I23" s="294" t="s">
        <v>94</v>
      </c>
      <c r="J23" s="278">
        <f>SynthDepo!I42</f>
        <v>2.5301675357697691E-3</v>
      </c>
      <c r="K23" s="185"/>
      <c r="L23" s="284">
        <v>3.0024559434110483E-3</v>
      </c>
      <c r="M23" s="183"/>
      <c r="N23" s="288">
        <v>2.5301675357697691E-3</v>
      </c>
      <c r="O23" s="289">
        <f>_xll.qlSimpleQuoteSetValue(D23,ROUND($N23,6),EvaluationDate)</f>
        <v>0</v>
      </c>
      <c r="P23" s="186"/>
    </row>
    <row r="24" spans="1:16" ht="12" thickBot="1" x14ac:dyDescent="0.25">
      <c r="A24" s="344"/>
      <c r="B24" s="334" t="s">
        <v>95</v>
      </c>
      <c r="C24" s="274" t="str">
        <f t="shared" si="3"/>
        <v>EUR6MD_SYNTH6M_Quote</v>
      </c>
      <c r="D24" s="341" t="str">
        <f>_xll.qlSimpleQuote(C24,,RateTickValue,Permanent,EvaluationDate,ObjectOverwrite)</f>
        <v>EUR6MD_SYNTH6M_Quote#0000</v>
      </c>
      <c r="E24" s="320" t="str">
        <f>_xll.ohRangeRetrieveError(D24)</f>
        <v/>
      </c>
      <c r="F24" s="181"/>
      <c r="H24" s="182"/>
      <c r="I24" s="296" t="s">
        <v>95</v>
      </c>
      <c r="J24" s="282">
        <f>SynthDepo!I43</f>
        <v>2.4999999999999957E-3</v>
      </c>
      <c r="K24" s="185"/>
      <c r="L24" s="286">
        <v>2.9900000000000013E-3</v>
      </c>
      <c r="M24" s="183"/>
      <c r="N24" s="292">
        <v>2.4999999999999957E-3</v>
      </c>
      <c r="O24" s="293">
        <f>_xll.qlSimpleQuoteSetValue(D24,ROUND($N24,6),EvaluationDate)</f>
        <v>0</v>
      </c>
      <c r="P24" s="186"/>
    </row>
    <row r="25" spans="1:16" x14ac:dyDescent="0.2">
      <c r="A25" s="335">
        <v>12</v>
      </c>
      <c r="B25" s="323" t="s">
        <v>85</v>
      </c>
      <c r="C25" s="324" t="str">
        <f t="shared" ref="C25:C40" si="4">Currency&amp;$B25&amp;"_SYNTH"&amp;Tenor12M&amp;QuoteSuffix</f>
        <v>EURSND_SYNTH1Y_Quote</v>
      </c>
      <c r="D25" s="325" t="str">
        <f>_xll.qlSimpleQuote(C25,,RateTickValue,Permanent,EvaluationDate,ObjectOverwrite)</f>
        <v>EURSND_SYNTH1Y_Quote#0000</v>
      </c>
      <c r="E25" s="319" t="str">
        <f>_xll.ohRangeRetrieveError(D25)</f>
        <v/>
      </c>
      <c r="F25" s="190"/>
      <c r="H25" s="184"/>
      <c r="I25" s="304" t="s">
        <v>85</v>
      </c>
      <c r="J25" s="300">
        <f>SynthDepo!J34</f>
        <v>4.6879383434422651E-3</v>
      </c>
      <c r="K25" s="185"/>
      <c r="L25" s="301">
        <v>4.7040184877368135E-3</v>
      </c>
      <c r="M25" s="183"/>
      <c r="N25" s="302">
        <v>4.6879383434422651E-3</v>
      </c>
      <c r="O25" s="303">
        <f>_xll.qlSimpleQuoteSetValue(D25,ROUND($N25,6),EvaluationDate)</f>
        <v>1.000000000000046E-5</v>
      </c>
      <c r="P25" s="355">
        <f>_xll.ohTrigger(O25:O40)</f>
        <v>22</v>
      </c>
    </row>
    <row r="26" spans="1:16" x14ac:dyDescent="0.2">
      <c r="A26" s="336" t="str">
        <f>_xll.qlPeriodEquivalent(Months12M&amp;"M")</f>
        <v>1Y</v>
      </c>
      <c r="B26" s="326" t="s">
        <v>87</v>
      </c>
      <c r="C26" s="179" t="str">
        <f t="shared" si="4"/>
        <v>EURSWD_SYNTH1Y_Quote</v>
      </c>
      <c r="D26" s="327" t="str">
        <f>_xll.qlSimpleQuote(C26,,RateTickValue,Permanent,EvaluationDate,ObjectOverwrite)</f>
        <v>EURSWD_SYNTH1Y_Quote#0000</v>
      </c>
      <c r="E26" s="320" t="str">
        <f>_xll.ohRangeRetrieveError(D26)</f>
        <v/>
      </c>
      <c r="F26" s="190"/>
      <c r="H26" s="184"/>
      <c r="I26" s="305" t="s">
        <v>87</v>
      </c>
      <c r="J26" s="278">
        <f>SynthDepo!J35</f>
        <v>4.4075214495614785E-3</v>
      </c>
      <c r="K26" s="185"/>
      <c r="L26" s="284">
        <v>4.6648534527061547E-3</v>
      </c>
      <c r="M26" s="183"/>
      <c r="N26" s="288">
        <v>4.4075214495614785E-3</v>
      </c>
      <c r="O26" s="289">
        <f>_xll.qlSimpleQuoteSetValue(D26,ROUND($N26,6),EvaluationDate)</f>
        <v>9.9999999999995925E-6</v>
      </c>
      <c r="P26" s="186"/>
    </row>
    <row r="27" spans="1:16" x14ac:dyDescent="0.2">
      <c r="A27" s="343"/>
      <c r="B27" s="326" t="s">
        <v>88</v>
      </c>
      <c r="C27" s="179" t="str">
        <f t="shared" si="4"/>
        <v>EUR2WD_SYNTH1Y_Quote</v>
      </c>
      <c r="D27" s="327" t="str">
        <f>_xll.qlSimpleQuote(C27,,RateTickValue,Permanent,EvaluationDate,ObjectOverwrite)</f>
        <v>EUR2WD_SYNTH1Y_Quote#0000</v>
      </c>
      <c r="E27" s="320" t="str">
        <f>_xll.ohRangeRetrieveError(D27)</f>
        <v/>
      </c>
      <c r="F27" s="190"/>
      <c r="H27" s="182"/>
      <c r="I27" s="305" t="s">
        <v>88</v>
      </c>
      <c r="J27" s="278">
        <f>SynthDepo!J36</f>
        <v>4.3967918557684697E-3</v>
      </c>
      <c r="K27" s="185"/>
      <c r="L27" s="284">
        <v>4.6763146358999993E-3</v>
      </c>
      <c r="M27" s="183"/>
      <c r="N27" s="288">
        <v>4.3967918557684697E-3</v>
      </c>
      <c r="O27" s="289">
        <f>_xll.qlSimpleQuoteSetValue(D27,ROUND($N27,6),EvaluationDate)</f>
        <v>9.9999999999995925E-6</v>
      </c>
      <c r="P27" s="186"/>
    </row>
    <row r="28" spans="1:16" x14ac:dyDescent="0.2">
      <c r="A28" s="343"/>
      <c r="B28" s="326" t="s">
        <v>89</v>
      </c>
      <c r="C28" s="179" t="str">
        <f t="shared" si="4"/>
        <v>EUR3WD_SYNTH1Y_Quote</v>
      </c>
      <c r="D28" s="327" t="str">
        <f>_xll.qlSimpleQuote(C28,,RateTickValue,Permanent,EvaluationDate,ObjectOverwrite)</f>
        <v>EUR3WD_SYNTH1Y_Quote#0000</v>
      </c>
      <c r="E28" s="320" t="str">
        <f>_xll.ohRangeRetrieveError(D28)</f>
        <v/>
      </c>
      <c r="F28" s="190"/>
      <c r="H28" s="182"/>
      <c r="I28" s="305" t="s">
        <v>89</v>
      </c>
      <c r="J28" s="278">
        <f>SynthDepo!J37</f>
        <v>4.3860622729247952E-3</v>
      </c>
      <c r="K28" s="185"/>
      <c r="L28" s="284">
        <v>4.9077758198592461E-3</v>
      </c>
      <c r="M28" s="183"/>
      <c r="N28" s="288">
        <v>4.3860622729247952E-3</v>
      </c>
      <c r="O28" s="289">
        <f>_xll.qlSimpleQuoteSetValue(D28,ROUND($N28,6),EvaluationDate)</f>
        <v>9.0000000000003272E-6</v>
      </c>
      <c r="P28" s="186"/>
    </row>
    <row r="29" spans="1:16" x14ac:dyDescent="0.2">
      <c r="A29" s="343"/>
      <c r="B29" s="326" t="s">
        <v>90</v>
      </c>
      <c r="C29" s="179" t="str">
        <f t="shared" si="4"/>
        <v>EUR1MD_SYNTH1Y_Quote</v>
      </c>
      <c r="D29" s="327" t="str">
        <f>_xll.qlSimpleQuote(C29,,RateTickValue,Permanent,EvaluationDate,ObjectOverwrite)</f>
        <v>EUR1MD_SYNTH1Y_Quote#0000</v>
      </c>
      <c r="E29" s="320" t="str">
        <f>_xll.ohRangeRetrieveError(D29)</f>
        <v/>
      </c>
      <c r="F29" s="190"/>
      <c r="H29" s="182"/>
      <c r="I29" s="306" t="s">
        <v>90</v>
      </c>
      <c r="J29" s="280">
        <f>SynthDepo!J38</f>
        <v>4.398998499486456E-3</v>
      </c>
      <c r="K29" s="185"/>
      <c r="L29" s="285">
        <v>4.869863220012512E-3</v>
      </c>
      <c r="M29" s="183"/>
      <c r="N29" s="290">
        <v>4.398998499486456E-3</v>
      </c>
      <c r="O29" s="291">
        <f>_xll.qlSimpleQuoteSetValue(D29,ROUND($N29,6),EvaluationDate)</f>
        <v>9.0000000000003272E-6</v>
      </c>
      <c r="P29" s="186"/>
    </row>
    <row r="30" spans="1:16" x14ac:dyDescent="0.2">
      <c r="A30" s="343"/>
      <c r="B30" s="326" t="s">
        <v>91</v>
      </c>
      <c r="C30" s="179" t="str">
        <f t="shared" si="4"/>
        <v>EUR2MD_SYNTH1Y_Quote</v>
      </c>
      <c r="D30" s="327" t="str">
        <f>_xll.qlSimpleQuote(C30,,RateTickValue,Permanent,EvaluationDate,ObjectOverwrite)</f>
        <v>EUR2MD_SYNTH1Y_Quote#0000</v>
      </c>
      <c r="E30" s="320" t="str">
        <f>_xll.ohRangeRetrieveError(D30)</f>
        <v/>
      </c>
      <c r="F30" s="190"/>
      <c r="H30" s="182"/>
      <c r="I30" s="305" t="s">
        <v>91</v>
      </c>
      <c r="J30" s="278">
        <f>SynthDepo!J39</f>
        <v>4.3307455190996335E-3</v>
      </c>
      <c r="K30" s="185"/>
      <c r="L30" s="284">
        <v>4.8635161988885818E-3</v>
      </c>
      <c r="M30" s="183"/>
      <c r="N30" s="288">
        <v>4.3307455190996335E-3</v>
      </c>
      <c r="O30" s="289">
        <f>_xll.qlSimpleQuoteSetValue(D30,ROUND($N30,6),EvaluationDate)</f>
        <v>8.9999999999994598E-6</v>
      </c>
      <c r="P30" s="355"/>
    </row>
    <row r="31" spans="1:16" x14ac:dyDescent="0.2">
      <c r="A31" s="343"/>
      <c r="B31" s="326" t="s">
        <v>92</v>
      </c>
      <c r="C31" s="179" t="str">
        <f t="shared" si="4"/>
        <v>EUR3MD_SYNTH1Y_Quote</v>
      </c>
      <c r="D31" s="327" t="str">
        <f>_xll.qlSimpleQuote(C31,,RateTickValue,Permanent,EvaluationDate,ObjectOverwrite)</f>
        <v>EUR3MD_SYNTH1Y_Quote#0000</v>
      </c>
      <c r="E31" s="320" t="str">
        <f>_xll.ohRangeRetrieveError(D31)</f>
        <v/>
      </c>
      <c r="F31" s="190"/>
      <c r="H31" s="182"/>
      <c r="I31" s="305" t="s">
        <v>92</v>
      </c>
      <c r="J31" s="278">
        <f>SynthDepo!J40</f>
        <v>4.3268983151576743E-3</v>
      </c>
      <c r="K31" s="185"/>
      <c r="L31" s="284">
        <v>4.8350585191322629E-3</v>
      </c>
      <c r="M31" s="183"/>
      <c r="N31" s="288">
        <v>4.3268983151576743E-3</v>
      </c>
      <c r="O31" s="289">
        <f>_xll.qlSimpleQuoteSetValue(D31,ROUND($N31,6),EvaluationDate)</f>
        <v>8.0000000000001945E-6</v>
      </c>
      <c r="P31" s="186"/>
    </row>
    <row r="32" spans="1:16" x14ac:dyDescent="0.2">
      <c r="A32" s="343"/>
      <c r="B32" s="326" t="s">
        <v>93</v>
      </c>
      <c r="C32" s="179" t="str">
        <f t="shared" si="4"/>
        <v>EUR4MD_SYNTH1Y_Quote</v>
      </c>
      <c r="D32" s="327" t="str">
        <f>_xll.qlSimpleQuote(C32,,RateTickValue,Permanent,EvaluationDate,ObjectOverwrite)</f>
        <v>EUR4MD_SYNTH1Y_Quote#0000</v>
      </c>
      <c r="E32" s="320" t="str">
        <f>_xll.ohRangeRetrieveError(D32)</f>
        <v/>
      </c>
      <c r="F32" s="190"/>
      <c r="H32" s="182"/>
      <c r="I32" s="305" t="s">
        <v>93</v>
      </c>
      <c r="J32" s="278">
        <f>SynthDepo!J41</f>
        <v>4.3100438909174704E-3</v>
      </c>
      <c r="K32" s="185"/>
      <c r="L32" s="284">
        <v>4.8448761772627346E-3</v>
      </c>
      <c r="M32" s="183"/>
      <c r="N32" s="288">
        <v>4.3100438909174704E-3</v>
      </c>
      <c r="O32" s="289">
        <f>_xll.qlSimpleQuoteSetValue(D32,ROUND($N32,6),EvaluationDate)</f>
        <v>6.9999999999991944E-6</v>
      </c>
      <c r="P32" s="186"/>
    </row>
    <row r="33" spans="1:16" x14ac:dyDescent="0.2">
      <c r="A33" s="343"/>
      <c r="B33" s="326" t="s">
        <v>94</v>
      </c>
      <c r="C33" s="179" t="str">
        <f t="shared" si="4"/>
        <v>EUR5MD_SYNTH1Y_Quote</v>
      </c>
      <c r="D33" s="327" t="str">
        <f>_xll.qlSimpleQuote(C33,,RateTickValue,Permanent,EvaluationDate,ObjectOverwrite)</f>
        <v>EUR5MD_SYNTH1Y_Quote#0000</v>
      </c>
      <c r="E33" s="320" t="str">
        <f>_xll.ohRangeRetrieveError(D33)</f>
        <v/>
      </c>
      <c r="F33" s="190"/>
      <c r="H33" s="184"/>
      <c r="I33" s="305" t="s">
        <v>94</v>
      </c>
      <c r="J33" s="278">
        <f>SynthDepo!J42</f>
        <v>4.3030892297505246E-3</v>
      </c>
      <c r="K33" s="185"/>
      <c r="L33" s="284">
        <v>4.8440652908529717E-3</v>
      </c>
      <c r="M33" s="183"/>
      <c r="N33" s="288">
        <v>4.3030892297505246E-3</v>
      </c>
      <c r="O33" s="289">
        <f>_xll.qlSimpleQuoteSetValue(D33,ROUND($N33,6),EvaluationDate)</f>
        <v>6.0000000000007964E-6</v>
      </c>
      <c r="P33" s="186"/>
    </row>
    <row r="34" spans="1:16" x14ac:dyDescent="0.2">
      <c r="A34" s="343"/>
      <c r="B34" s="326" t="s">
        <v>95</v>
      </c>
      <c r="C34" s="179" t="str">
        <f t="shared" si="4"/>
        <v>EUR6MD_SYNTH1Y_Quote</v>
      </c>
      <c r="D34" s="327" t="str">
        <f>_xll.qlSimpleQuote(C34,,RateTickValue,Permanent,EvaluationDate,ObjectOverwrite)</f>
        <v>EUR6MD_SYNTH1Y_Quote#0000</v>
      </c>
      <c r="E34" s="320" t="str">
        <f>_xll.ohRangeRetrieveError(D34)</f>
        <v/>
      </c>
      <c r="F34" s="190"/>
      <c r="H34" s="184"/>
      <c r="I34" s="305" t="s">
        <v>95</v>
      </c>
      <c r="J34" s="278">
        <f>SynthDepo!J43</f>
        <v>4.3139720458824377E-3</v>
      </c>
      <c r="K34" s="185"/>
      <c r="L34" s="284">
        <v>4.8632546250425525E-3</v>
      </c>
      <c r="M34" s="183"/>
      <c r="N34" s="288">
        <v>4.3139720458824377E-3</v>
      </c>
      <c r="O34" s="289">
        <f>_xll.qlSimpleQuoteSetValue(D34,ROUND($N34,6),EvaluationDate)</f>
        <v>4.9999999999997963E-6</v>
      </c>
      <c r="P34" s="186"/>
    </row>
    <row r="35" spans="1:16" x14ac:dyDescent="0.2">
      <c r="A35" s="343"/>
      <c r="B35" s="326" t="s">
        <v>96</v>
      </c>
      <c r="C35" s="179" t="str">
        <f t="shared" si="4"/>
        <v>EUR7MD_SYNTH1Y_Quote</v>
      </c>
      <c r="D35" s="327" t="str">
        <f>_xll.qlSimpleQuote(C35,,RateTickValue,Permanent,EvaluationDate,ObjectOverwrite)</f>
        <v>EUR7MD_SYNTH1Y_Quote#0000</v>
      </c>
      <c r="E35" s="320" t="str">
        <f>_xll.ohRangeRetrieveError(D35)</f>
        <v/>
      </c>
      <c r="F35" s="190"/>
      <c r="H35" s="184"/>
      <c r="I35" s="305" t="s">
        <v>96</v>
      </c>
      <c r="J35" s="278">
        <f>SynthDepo!J44</f>
        <v>4.2906204343980967E-3</v>
      </c>
      <c r="K35" s="185"/>
      <c r="L35" s="284">
        <v>4.8790025836616558E-3</v>
      </c>
      <c r="M35" s="183"/>
      <c r="N35" s="288">
        <v>4.2906204343980967E-3</v>
      </c>
      <c r="O35" s="289">
        <f>_xll.qlSimpleQuoteSetValue(D35,ROUND($N35,6),EvaluationDate)</f>
        <v>4.9999999999997963E-6</v>
      </c>
      <c r="P35" s="186"/>
    </row>
    <row r="36" spans="1:16" x14ac:dyDescent="0.2">
      <c r="A36" s="343"/>
      <c r="B36" s="326" t="s">
        <v>97</v>
      </c>
      <c r="C36" s="179" t="str">
        <f t="shared" si="4"/>
        <v>EUR8MD_SYNTH1Y_Quote</v>
      </c>
      <c r="D36" s="327" t="str">
        <f>_xll.qlSimpleQuote(C36,,RateTickValue,Permanent,EvaluationDate,ObjectOverwrite)</f>
        <v>EUR8MD_SYNTH1Y_Quote#0000</v>
      </c>
      <c r="E36" s="320" t="str">
        <f>_xll.ohRangeRetrieveError(D36)</f>
        <v/>
      </c>
      <c r="F36" s="190"/>
      <c r="H36" s="184"/>
      <c r="I36" s="305" t="s">
        <v>97</v>
      </c>
      <c r="J36" s="278">
        <f>SynthDepo!J45</f>
        <v>4.2660577472948026E-3</v>
      </c>
      <c r="K36" s="185"/>
      <c r="L36" s="284">
        <v>4.8629140975407414E-3</v>
      </c>
      <c r="M36" s="183"/>
      <c r="N36" s="288">
        <v>4.2660577472948026E-3</v>
      </c>
      <c r="O36" s="289">
        <f>_xll.qlSimpleQuoteSetValue(D36,ROUND($N36,6),EvaluationDate)</f>
        <v>2.9999999999995308E-6</v>
      </c>
      <c r="P36" s="186"/>
    </row>
    <row r="37" spans="1:16" x14ac:dyDescent="0.2">
      <c r="A37" s="347"/>
      <c r="B37" s="326" t="s">
        <v>98</v>
      </c>
      <c r="C37" s="179" t="str">
        <f t="shared" si="4"/>
        <v>EUR9MD_SYNTH1Y_Quote</v>
      </c>
      <c r="D37" s="327" t="str">
        <f>_xll.qlSimpleQuote(C37,,RateTickValue,Permanent,EvaluationDate,ObjectOverwrite)</f>
        <v>EUR9MD_SYNTH1Y_Quote#0000</v>
      </c>
      <c r="E37" s="320" t="str">
        <f>_xll.ohRangeRetrieveError(D37)</f>
        <v/>
      </c>
      <c r="F37" s="190"/>
      <c r="H37" s="184"/>
      <c r="I37" s="305" t="s">
        <v>98</v>
      </c>
      <c r="J37" s="278">
        <f>SynthDepo!J46</f>
        <v>4.239797265048288E-3</v>
      </c>
      <c r="K37" s="185"/>
      <c r="L37" s="284">
        <v>4.8403784016282569E-3</v>
      </c>
      <c r="M37" s="183"/>
      <c r="N37" s="288">
        <v>4.239797265048288E-3</v>
      </c>
      <c r="O37" s="289">
        <f>_xll.qlSimpleQuoteSetValue(D37,ROUND($N37,6),EvaluationDate)</f>
        <v>2.9999999999995308E-6</v>
      </c>
      <c r="P37" s="186"/>
    </row>
    <row r="38" spans="1:16" x14ac:dyDescent="0.2">
      <c r="A38" s="348"/>
      <c r="B38" s="326" t="s">
        <v>99</v>
      </c>
      <c r="C38" s="179" t="str">
        <f t="shared" si="4"/>
        <v>EUR10MD_SYNTH1Y_Quote</v>
      </c>
      <c r="D38" s="327" t="str">
        <f>_xll.qlSimpleQuote(C38,,RateTickValue,Permanent,EvaluationDate,ObjectOverwrite)</f>
        <v>EUR10MD_SYNTH1Y_Quote#0000</v>
      </c>
      <c r="E38" s="320" t="str">
        <f>_xll.ohRangeRetrieveError(D38)</f>
        <v/>
      </c>
      <c r="F38" s="190"/>
      <c r="H38" s="184"/>
      <c r="I38" s="305" t="s">
        <v>99</v>
      </c>
      <c r="J38" s="278">
        <f>SynthDepo!J47</f>
        <v>4.2265662521067072E-3</v>
      </c>
      <c r="K38" s="185"/>
      <c r="L38" s="284">
        <v>4.8168493542828112E-3</v>
      </c>
      <c r="M38" s="183"/>
      <c r="N38" s="288">
        <v>4.2265662521067072E-3</v>
      </c>
      <c r="O38" s="289">
        <f>_xll.qlSimpleQuoteSetValue(D38,ROUND($N38,6),EvaluationDate)</f>
        <v>2.0000000000002655E-6</v>
      </c>
      <c r="P38" s="186"/>
    </row>
    <row r="39" spans="1:16" x14ac:dyDescent="0.2">
      <c r="A39" s="343"/>
      <c r="B39" s="326" t="s">
        <v>100</v>
      </c>
      <c r="C39" s="179" t="str">
        <f t="shared" si="4"/>
        <v>EUR11MD_SYNTH1Y_Quote</v>
      </c>
      <c r="D39" s="327" t="str">
        <f>_xll.qlSimpleQuote(C39,,RateTickValue,Permanent,EvaluationDate,ObjectOverwrite)</f>
        <v>EUR11MD_SYNTH1Y_Quote#0000</v>
      </c>
      <c r="E39" s="320" t="str">
        <f>_xll.ohRangeRetrieveError(D39)</f>
        <v/>
      </c>
      <c r="F39" s="190"/>
      <c r="H39" s="184"/>
      <c r="I39" s="305" t="s">
        <v>100</v>
      </c>
      <c r="J39" s="278">
        <f>SynthDepo!J48</f>
        <v>4.2134394653840918E-3</v>
      </c>
      <c r="K39" s="185"/>
      <c r="L39" s="284">
        <v>4.803111566528958E-3</v>
      </c>
      <c r="M39" s="183"/>
      <c r="N39" s="288">
        <v>4.2134394653840918E-3</v>
      </c>
      <c r="O39" s="289">
        <f>_xll.qlSimpleQuoteSetValue(D39,ROUND($N39,6),EvaluationDate)</f>
        <v>0</v>
      </c>
      <c r="P39" s="186"/>
    </row>
    <row r="40" spans="1:16" ht="12" thickBot="1" x14ac:dyDescent="0.25">
      <c r="A40" s="349"/>
      <c r="B40" s="346" t="s">
        <v>101</v>
      </c>
      <c r="C40" s="179" t="str">
        <f t="shared" si="4"/>
        <v>EUR1YD_SYNTH1Y_Quote</v>
      </c>
      <c r="D40" s="327" t="str">
        <f>_xll.qlSimpleQuote(C40,,RateTickValue,Permanent,EvaluationDate,ObjectOverwrite)</f>
        <v>EUR1YD_SYNTH1Y_Quote#0000</v>
      </c>
      <c r="E40" s="320" t="str">
        <f>_xll.ohRangeRetrieveError(D40)</f>
        <v/>
      </c>
      <c r="F40" s="190"/>
      <c r="H40" s="184"/>
      <c r="I40" s="350" t="s">
        <v>101</v>
      </c>
      <c r="J40" s="282">
        <f>SynthDepo!J49</f>
        <v>4.1900000000000001E-3</v>
      </c>
      <c r="K40" s="185"/>
      <c r="L40" s="286">
        <v>4.79E-3</v>
      </c>
      <c r="M40" s="183"/>
      <c r="N40" s="292">
        <v>4.1900000000000001E-3</v>
      </c>
      <c r="O40" s="293">
        <f>_xll.qlSimpleQuoteSetValue(D40,ROUND($N40,6),EvaluationDate)</f>
        <v>0</v>
      </c>
      <c r="P40" s="355"/>
    </row>
    <row r="41" spans="1:16" x14ac:dyDescent="0.2">
      <c r="A41" s="343">
        <v>1</v>
      </c>
      <c r="B41" s="326" t="str">
        <f t="shared" ref="B41:B84" si="5">A41&amp;"x"&amp;A41+Months12M&amp;"F"</f>
        <v>1x13F</v>
      </c>
      <c r="C41" s="177" t="str">
        <f t="shared" ref="C41:C84" si="6">Currency&amp;$B41&amp;"_SYNTH"&amp;"1Y"&amp;"_Quote"</f>
        <v>EUR1x13F_SYNTH1Y_Quote</v>
      </c>
      <c r="D41" s="345" t="str">
        <f>_xll.qlSimpleQuote(C41,,RateTickValue,Permanent,Trigger,ObjectOverwrite)</f>
        <v>EUR1x13F_SYNTH1Y_Quote#0000</v>
      </c>
      <c r="E41" s="319" t="str">
        <f>_xll.ohRangeRetrieveError(D41)</f>
        <v/>
      </c>
      <c r="F41" s="190"/>
      <c r="H41" s="182">
        <v>1</v>
      </c>
      <c r="I41" s="307" t="str">
        <f t="shared" ref="I41:I84" si="7">H41&amp;"x"&amp;(H41+Months12M)&amp;"F"</f>
        <v>1x13F</v>
      </c>
      <c r="J41" s="308">
        <f>SynthFra!N9</f>
        <v>4.1498495999605107E-3</v>
      </c>
      <c r="K41" s="241"/>
      <c r="L41" s="311">
        <v>4.7700661411049939E-3</v>
      </c>
      <c r="M41" s="242"/>
      <c r="N41" s="313">
        <v>4.1498495999605107E-3</v>
      </c>
      <c r="O41" s="314">
        <f>_xll.qlSimpleQuoteSetValue(D41,ROUND(N41,6),EvaluationDate)</f>
        <v>-2.9999999999995308E-6</v>
      </c>
      <c r="P41" s="355">
        <f>_xll.ohTrigger(O41:O84)</f>
        <v>22</v>
      </c>
    </row>
    <row r="42" spans="1:16" x14ac:dyDescent="0.2">
      <c r="A42" s="343">
        <v>2</v>
      </c>
      <c r="B42" s="326" t="str">
        <f t="shared" si="5"/>
        <v>2x14F</v>
      </c>
      <c r="C42" s="179" t="str">
        <f t="shared" si="6"/>
        <v>EUR2x14F_SYNTH1Y_Quote</v>
      </c>
      <c r="D42" s="327" t="str">
        <f>_xll.qlSimpleQuote(C42,,RateTickValue,Permanent,Trigger,ObjectOverwrite)</f>
        <v>EUR2x14F_SYNTH1Y_Quote#0000</v>
      </c>
      <c r="E42" s="320" t="str">
        <f>_xll.ohRangeRetrieveError(D42)</f>
        <v/>
      </c>
      <c r="F42" s="190"/>
      <c r="H42" s="182">
        <v>2</v>
      </c>
      <c r="I42" s="307" t="str">
        <f t="shared" si="7"/>
        <v>2x14F</v>
      </c>
      <c r="J42" s="308">
        <f>SynthFra!N10</f>
        <v>4.1217884017587794E-3</v>
      </c>
      <c r="K42" s="242"/>
      <c r="L42" s="311">
        <v>4.7515568028134595E-3</v>
      </c>
      <c r="M42" s="242"/>
      <c r="N42" s="313">
        <v>4.1217884017587794E-3</v>
      </c>
      <c r="O42" s="314">
        <f>_xll.qlSimpleQuoteSetValue(D42,ROUND(N42,6),EvaluationDate)</f>
        <v>-5.999999999999929E-6</v>
      </c>
      <c r="P42" s="186"/>
    </row>
    <row r="43" spans="1:16" x14ac:dyDescent="0.2">
      <c r="A43" s="343">
        <v>3</v>
      </c>
      <c r="B43" s="326" t="str">
        <f t="shared" si="5"/>
        <v>3x15F</v>
      </c>
      <c r="C43" s="179" t="str">
        <f t="shared" si="6"/>
        <v>EUR3x15F_SYNTH1Y_Quote</v>
      </c>
      <c r="D43" s="327" t="str">
        <f>_xll.qlSimpleQuote(C43,,RateTickValue,Permanent,Trigger,ObjectOverwrite)</f>
        <v>EUR3x15F_SYNTH1Y_Quote#0000</v>
      </c>
      <c r="E43" s="320" t="str">
        <f>_xll.ohRangeRetrieveError(D43)</f>
        <v/>
      </c>
      <c r="F43" s="190"/>
      <c r="H43" s="182">
        <v>3</v>
      </c>
      <c r="I43" s="307" t="str">
        <f t="shared" si="7"/>
        <v>3x15F</v>
      </c>
      <c r="J43" s="308">
        <f>SynthFra!N11</f>
        <v>4.0889800930499131E-3</v>
      </c>
      <c r="K43" s="242"/>
      <c r="L43" s="311">
        <v>4.7396889879977432E-3</v>
      </c>
      <c r="M43" s="242"/>
      <c r="N43" s="313">
        <v>4.0889800930499131E-3</v>
      </c>
      <c r="O43" s="314">
        <f>_xll.qlSimpleQuoteSetValue(D43,ROUND(N43,6),EvaluationDate)</f>
        <v>-9.0000000000003272E-6</v>
      </c>
      <c r="P43" s="186"/>
    </row>
    <row r="44" spans="1:16" x14ac:dyDescent="0.2">
      <c r="A44" s="343">
        <v>4</v>
      </c>
      <c r="B44" s="326" t="str">
        <f t="shared" si="5"/>
        <v>4x16F</v>
      </c>
      <c r="C44" s="179" t="str">
        <f t="shared" si="6"/>
        <v>EUR4x16F_SYNTH1Y_Quote</v>
      </c>
      <c r="D44" s="327" t="str">
        <f>_xll.qlSimpleQuote(C44,,RateTickValue,Permanent,Trigger,ObjectOverwrite)</f>
        <v>EUR4x16F_SYNTH1Y_Quote#0000</v>
      </c>
      <c r="E44" s="320" t="str">
        <f>_xll.ohRangeRetrieveError(D44)</f>
        <v/>
      </c>
      <c r="F44" s="190"/>
      <c r="H44" s="182">
        <v>4</v>
      </c>
      <c r="I44" s="307" t="str">
        <f t="shared" si="7"/>
        <v>4x16F</v>
      </c>
      <c r="J44" s="308">
        <f>SynthFra!N12</f>
        <v>4.0726195950501892E-3</v>
      </c>
      <c r="K44" s="242"/>
      <c r="L44" s="311">
        <v>4.7382947299897012E-3</v>
      </c>
      <c r="M44" s="242"/>
      <c r="N44" s="313">
        <v>4.0726195950501892E-3</v>
      </c>
      <c r="O44" s="314">
        <f>_xll.qlSimpleQuoteSetValue(D44,ROUND(N44,6),EvaluationDate)</f>
        <v>-1.1999999999999858E-5</v>
      </c>
      <c r="P44" s="186"/>
    </row>
    <row r="45" spans="1:16" x14ac:dyDescent="0.2">
      <c r="A45" s="343">
        <v>5</v>
      </c>
      <c r="B45" s="326" t="str">
        <f t="shared" si="5"/>
        <v>5x17F</v>
      </c>
      <c r="C45" s="179" t="str">
        <f t="shared" si="6"/>
        <v>EUR5x17F_SYNTH1Y_Quote</v>
      </c>
      <c r="D45" s="327" t="str">
        <f>_xll.qlSimpleQuote(C45,,RateTickValue,Permanent,Trigger,ObjectOverwrite)</f>
        <v>EUR5x17F_SYNTH1Y_Quote#0000</v>
      </c>
      <c r="E45" s="320" t="str">
        <f>_xll.ohRangeRetrieveError(D45)</f>
        <v/>
      </c>
      <c r="F45" s="190"/>
      <c r="H45" s="182">
        <v>5</v>
      </c>
      <c r="I45" s="307" t="str">
        <f t="shared" si="7"/>
        <v>5x17F</v>
      </c>
      <c r="J45" s="308">
        <f>SynthFra!N13</f>
        <v>4.0567884285449508E-3</v>
      </c>
      <c r="K45" s="242"/>
      <c r="L45" s="311">
        <v>4.7409566804829774E-3</v>
      </c>
      <c r="M45" s="242"/>
      <c r="N45" s="313">
        <v>4.0567884285449508E-3</v>
      </c>
      <c r="O45" s="314">
        <f>_xll.qlSimpleQuoteSetValue(D45,ROUND(N45,6),EvaluationDate)</f>
        <v>-1.5000000000000256E-5</v>
      </c>
      <c r="P45" s="186"/>
    </row>
    <row r="46" spans="1:16" x14ac:dyDescent="0.2">
      <c r="A46" s="343">
        <v>6</v>
      </c>
      <c r="B46" s="326" t="str">
        <f t="shared" si="5"/>
        <v>6x18F</v>
      </c>
      <c r="C46" s="179" t="str">
        <f t="shared" si="6"/>
        <v>EUR6x18F_SYNTH1Y_Quote</v>
      </c>
      <c r="D46" s="327" t="str">
        <f>_xll.qlSimpleQuote(C46,,RateTickValue,Permanent,Trigger,ObjectOverwrite)</f>
        <v>EUR6x18F_SYNTH1Y_Quote#0000</v>
      </c>
      <c r="E46" s="320" t="str">
        <f>_xll.ohRangeRetrieveError(D46)</f>
        <v/>
      </c>
      <c r="F46" s="190"/>
      <c r="H46" s="182">
        <v>6</v>
      </c>
      <c r="I46" s="307" t="str">
        <f t="shared" si="7"/>
        <v>6x18F</v>
      </c>
      <c r="J46" s="308">
        <f>SynthFra!N14</f>
        <v>4.0373915153125396E-3</v>
      </c>
      <c r="K46" s="242"/>
      <c r="L46" s="311">
        <v>4.7354559024513111E-3</v>
      </c>
      <c r="M46" s="242"/>
      <c r="N46" s="313">
        <v>4.0373915153125396E-3</v>
      </c>
      <c r="O46" s="314">
        <f>_xll.qlSimpleQuoteSetValue(D46,ROUND(N46,6),EvaluationDate)</f>
        <v>-1.7000000000000522E-5</v>
      </c>
      <c r="P46" s="186"/>
    </row>
    <row r="47" spans="1:16" x14ac:dyDescent="0.2">
      <c r="A47" s="343">
        <v>7</v>
      </c>
      <c r="B47" s="326" t="str">
        <f t="shared" si="5"/>
        <v>7x19F</v>
      </c>
      <c r="C47" s="179" t="str">
        <f t="shared" si="6"/>
        <v>EUR7x19F_SYNTH1Y_Quote</v>
      </c>
      <c r="D47" s="327" t="str">
        <f>_xll.qlSimpleQuote(C47,,RateTickValue,Permanent,Trigger,ObjectOverwrite)</f>
        <v>EUR7x19F_SYNTH1Y_Quote#0000</v>
      </c>
      <c r="E47" s="320" t="str">
        <f>_xll.ohRangeRetrieveError(D47)</f>
        <v/>
      </c>
      <c r="F47" s="190"/>
      <c r="H47" s="182">
        <v>7</v>
      </c>
      <c r="I47" s="307" t="str">
        <f t="shared" si="7"/>
        <v>7x19F</v>
      </c>
      <c r="J47" s="308">
        <f>SynthFra!N15</f>
        <v>4.0419532239251467E-3</v>
      </c>
      <c r="K47" s="242"/>
      <c r="L47" s="311">
        <v>4.7459620043513442E-3</v>
      </c>
      <c r="M47" s="242"/>
      <c r="N47" s="313">
        <v>4.0419532239251467E-3</v>
      </c>
      <c r="O47" s="314">
        <f>_xll.qlSimpleQuoteSetValue(D47,ROUND(N47,6),EvaluationDate)</f>
        <v>-1.9000000000000787E-5</v>
      </c>
      <c r="P47" s="186"/>
    </row>
    <row r="48" spans="1:16" x14ac:dyDescent="0.2">
      <c r="A48" s="343">
        <v>8</v>
      </c>
      <c r="B48" s="326" t="str">
        <f t="shared" si="5"/>
        <v>8x20F</v>
      </c>
      <c r="C48" s="179" t="str">
        <f t="shared" si="6"/>
        <v>EUR8x20F_SYNTH1Y_Quote</v>
      </c>
      <c r="D48" s="327" t="str">
        <f>_xll.qlSimpleQuote(C48,,RateTickValue,Permanent,Trigger,ObjectOverwrite)</f>
        <v>EUR8x20F_SYNTH1Y_Quote#0000</v>
      </c>
      <c r="E48" s="320" t="str">
        <f>_xll.ohRangeRetrieveError(D48)</f>
        <v/>
      </c>
      <c r="F48" s="190"/>
      <c r="H48" s="182">
        <v>8</v>
      </c>
      <c r="I48" s="307" t="str">
        <f t="shared" si="7"/>
        <v>8x20F</v>
      </c>
      <c r="J48" s="308">
        <f>SynthFra!N16</f>
        <v>4.055569322068223E-3</v>
      </c>
      <c r="K48" s="242"/>
      <c r="L48" s="311">
        <v>4.7765964932973146E-3</v>
      </c>
      <c r="M48" s="242"/>
      <c r="N48" s="313">
        <v>4.055569322068223E-3</v>
      </c>
      <c r="O48" s="314">
        <f>_xll.qlSimpleQuoteSetValue(D48,ROUND(N48,6),EvaluationDate)</f>
        <v>-2.0000000000000052E-5</v>
      </c>
      <c r="P48" s="186"/>
    </row>
    <row r="49" spans="1:16" x14ac:dyDescent="0.2">
      <c r="A49" s="343">
        <v>9</v>
      </c>
      <c r="B49" s="326" t="str">
        <f t="shared" si="5"/>
        <v>9x21F</v>
      </c>
      <c r="C49" s="179" t="str">
        <f t="shared" si="6"/>
        <v>EUR9x21F_SYNTH1Y_Quote</v>
      </c>
      <c r="D49" s="327" t="str">
        <f>_xll.qlSimpleQuote(C49,,RateTickValue,Permanent,Trigger,ObjectOverwrite)</f>
        <v>EUR9x21F_SYNTH1Y_Quote#0000</v>
      </c>
      <c r="E49" s="320" t="str">
        <f>_xll.ohRangeRetrieveError(D49)</f>
        <v/>
      </c>
      <c r="F49" s="190"/>
      <c r="H49" s="182">
        <v>9</v>
      </c>
      <c r="I49" s="307" t="str">
        <f t="shared" si="7"/>
        <v>9x21F</v>
      </c>
      <c r="J49" s="308">
        <f>SynthFra!N17</f>
        <v>4.0777270574728873E-3</v>
      </c>
      <c r="K49" s="242"/>
      <c r="L49" s="311">
        <v>4.8164173191503441E-3</v>
      </c>
      <c r="M49" s="242"/>
      <c r="N49" s="313">
        <v>4.0777270574728873E-3</v>
      </c>
      <c r="O49" s="314">
        <f>_xll.qlSimpleQuoteSetValue(D49,ROUND(N49,6),EvaluationDate)</f>
        <v>-2.1000000000000185E-5</v>
      </c>
      <c r="P49" s="186"/>
    </row>
    <row r="50" spans="1:16" x14ac:dyDescent="0.2">
      <c r="A50" s="343">
        <v>10</v>
      </c>
      <c r="B50" s="326" t="str">
        <f t="shared" si="5"/>
        <v>10x22F</v>
      </c>
      <c r="C50" s="179" t="str">
        <f t="shared" si="6"/>
        <v>EUR10x22F_SYNTH1Y_Quote</v>
      </c>
      <c r="D50" s="327" t="str">
        <f>_xll.qlSimpleQuote(C50,,RateTickValue,Permanent,Trigger,ObjectOverwrite)</f>
        <v>EUR10x22F_SYNTH1Y_Quote#0000</v>
      </c>
      <c r="E50" s="320" t="str">
        <f>_xll.ohRangeRetrieveError(D50)</f>
        <v/>
      </c>
      <c r="F50" s="190"/>
      <c r="H50" s="182">
        <v>10</v>
      </c>
      <c r="I50" s="307" t="str">
        <f t="shared" si="7"/>
        <v>10x22F</v>
      </c>
      <c r="J50" s="308">
        <f>SynthFra!N18</f>
        <v>4.1193761316658537E-3</v>
      </c>
      <c r="K50" s="242"/>
      <c r="L50" s="311">
        <v>4.8794754983958995E-3</v>
      </c>
      <c r="M50" s="242"/>
      <c r="N50" s="313">
        <v>4.1193761316658537E-3</v>
      </c>
      <c r="O50" s="314">
        <f>_xll.qlSimpleQuoteSetValue(D50,ROUND(N50,6),EvaluationDate)</f>
        <v>-1.4999999999999389E-5</v>
      </c>
      <c r="P50" s="186"/>
    </row>
    <row r="51" spans="1:16" x14ac:dyDescent="0.2">
      <c r="A51" s="343">
        <v>11</v>
      </c>
      <c r="B51" s="326" t="str">
        <f t="shared" si="5"/>
        <v>11x23F</v>
      </c>
      <c r="C51" s="179" t="str">
        <f t="shared" si="6"/>
        <v>EUR11x23F_SYNTH1Y_Quote</v>
      </c>
      <c r="D51" s="327" t="str">
        <f>_xll.qlSimpleQuote(C51,,RateTickValue,Permanent,Trigger,ObjectOverwrite)</f>
        <v>EUR11x23F_SYNTH1Y_Quote#0000</v>
      </c>
      <c r="E51" s="320" t="str">
        <f>_xll.ohRangeRetrieveError(D51)</f>
        <v/>
      </c>
      <c r="F51" s="190"/>
      <c r="H51" s="182">
        <v>11</v>
      </c>
      <c r="I51" s="307" t="str">
        <f t="shared" si="7"/>
        <v>11x23F</v>
      </c>
      <c r="J51" s="308">
        <f>SynthFra!N19</f>
        <v>4.1671195497045791E-3</v>
      </c>
      <c r="K51" s="242"/>
      <c r="L51" s="311">
        <v>4.9383818223575852E-3</v>
      </c>
      <c r="M51" s="242"/>
      <c r="N51" s="313">
        <v>4.1671195497045791E-3</v>
      </c>
      <c r="O51" s="314">
        <f>_xll.qlSimpleQuoteSetValue(D51,ROUND(N51,6),EvaluationDate)</f>
        <v>-7.0000000000000617E-6</v>
      </c>
      <c r="P51" s="186"/>
    </row>
    <row r="52" spans="1:16" x14ac:dyDescent="0.2">
      <c r="A52" s="343">
        <v>13</v>
      </c>
      <c r="B52" s="326" t="str">
        <f t="shared" si="5"/>
        <v>13x25F</v>
      </c>
      <c r="C52" s="179" t="str">
        <f t="shared" si="6"/>
        <v>EUR13x25F_SYNTH1Y_Quote</v>
      </c>
      <c r="D52" s="327" t="str">
        <f>_xll.qlSimpleQuote(C52,,RateTickValue,Permanent,Trigger,ObjectOverwrite)</f>
        <v>EUR13x25F_SYNTH1Y_Quote#0000</v>
      </c>
      <c r="E52" s="320" t="str">
        <f>_xll.ohRangeRetrieveError(D52)</f>
        <v/>
      </c>
      <c r="F52" s="190"/>
      <c r="H52" s="182">
        <v>13</v>
      </c>
      <c r="I52" s="307" t="str">
        <f t="shared" si="7"/>
        <v>13x25F</v>
      </c>
      <c r="J52" s="308">
        <f>SynthFra!N21</f>
        <v>4.356345583060044E-3</v>
      </c>
      <c r="K52" s="242"/>
      <c r="L52" s="311">
        <v>5.1446630132367475E-3</v>
      </c>
      <c r="M52" s="242"/>
      <c r="N52" s="313">
        <v>4.356345583060044E-3</v>
      </c>
      <c r="O52" s="314">
        <f>_xll.qlSimpleQuoteSetValue(D52,ROUND(N52,6),EvaluationDate)</f>
        <v>9.9999999999926537E-7</v>
      </c>
      <c r="P52" s="186"/>
    </row>
    <row r="53" spans="1:16" x14ac:dyDescent="0.2">
      <c r="A53" s="343">
        <v>14</v>
      </c>
      <c r="B53" s="326" t="str">
        <f t="shared" si="5"/>
        <v>14x26F</v>
      </c>
      <c r="C53" s="179" t="str">
        <f t="shared" si="6"/>
        <v>EUR14x26F_SYNTH1Y_Quote</v>
      </c>
      <c r="D53" s="327" t="str">
        <f>_xll.qlSimpleQuote(C53,,RateTickValue,Permanent,Trigger,ObjectOverwrite)</f>
        <v>EUR14x26F_SYNTH1Y_Quote#0000</v>
      </c>
      <c r="E53" s="320" t="str">
        <f>_xll.ohRangeRetrieveError(D53)</f>
        <v/>
      </c>
      <c r="F53" s="190"/>
      <c r="H53" s="182">
        <v>14</v>
      </c>
      <c r="I53" s="307" t="str">
        <f t="shared" si="7"/>
        <v>14x26F</v>
      </c>
      <c r="J53" s="308">
        <f>SynthFra!N22</f>
        <v>4.4941618503383839E-3</v>
      </c>
      <c r="K53" s="242"/>
      <c r="L53" s="311">
        <v>5.2894906890553163E-3</v>
      </c>
      <c r="M53" s="242"/>
      <c r="N53" s="313">
        <v>4.4941618503383839E-3</v>
      </c>
      <c r="O53" s="314">
        <f>_xll.qlSimpleQuoteSetValue(D53,ROUND(N53,6),EvaluationDate)</f>
        <v>1.9999999999993981E-6</v>
      </c>
      <c r="P53" s="186"/>
    </row>
    <row r="54" spans="1:16" x14ac:dyDescent="0.2">
      <c r="A54" s="343">
        <v>15</v>
      </c>
      <c r="B54" s="326" t="str">
        <f t="shared" si="5"/>
        <v>15x27F</v>
      </c>
      <c r="C54" s="179" t="str">
        <f t="shared" si="6"/>
        <v>EUR15x27F_SYNTH1Y_Quote</v>
      </c>
      <c r="D54" s="327" t="str">
        <f>_xll.qlSimpleQuote(C54,,RateTickValue,Permanent,Trigger,ObjectOverwrite)</f>
        <v>EUR15x27F_SYNTH1Y_Quote#0000</v>
      </c>
      <c r="E54" s="320" t="str">
        <f>_xll.ohRangeRetrieveError(D54)</f>
        <v/>
      </c>
      <c r="F54" s="190"/>
      <c r="H54" s="182">
        <v>15</v>
      </c>
      <c r="I54" s="307" t="str">
        <f t="shared" si="7"/>
        <v>15x27F</v>
      </c>
      <c r="J54" s="308">
        <f>SynthFra!N23</f>
        <v>4.6314134318816173E-3</v>
      </c>
      <c r="K54" s="242"/>
      <c r="L54" s="311">
        <v>5.433394050819578E-3</v>
      </c>
      <c r="M54" s="242"/>
      <c r="N54" s="313">
        <v>4.6314134318816173E-3</v>
      </c>
      <c r="O54" s="314">
        <f>_xll.qlSimpleQuoteSetValue(D54,ROUND(N54,6),EvaluationDate)</f>
        <v>3.9999999999996635E-6</v>
      </c>
      <c r="P54" s="186"/>
    </row>
    <row r="55" spans="1:16" x14ac:dyDescent="0.2">
      <c r="A55" s="343">
        <v>16</v>
      </c>
      <c r="B55" s="326" t="str">
        <f t="shared" si="5"/>
        <v>16x28F</v>
      </c>
      <c r="C55" s="179" t="str">
        <f t="shared" si="6"/>
        <v>EUR16x28F_SYNTH1Y_Quote</v>
      </c>
      <c r="D55" s="327" t="str">
        <f>_xll.qlSimpleQuote(C55,,RateTickValue,Permanent,Trigger,ObjectOverwrite)</f>
        <v>EUR16x28F_SYNTH1Y_Quote#0000</v>
      </c>
      <c r="E55" s="320" t="str">
        <f>_xll.ohRangeRetrieveError(D55)</f>
        <v/>
      </c>
      <c r="F55" s="190"/>
      <c r="H55" s="182">
        <v>16</v>
      </c>
      <c r="I55" s="307" t="str">
        <f t="shared" si="7"/>
        <v>16x28F</v>
      </c>
      <c r="J55" s="308">
        <f>SynthFra!N24</f>
        <v>4.7522665164184043E-3</v>
      </c>
      <c r="K55" s="242"/>
      <c r="L55" s="311">
        <v>5.5531179599257238E-3</v>
      </c>
      <c r="M55" s="242"/>
      <c r="N55" s="313">
        <v>4.7522665164184043E-3</v>
      </c>
      <c r="O55" s="314">
        <f>_xll.qlSimpleQuoteSetValue(D55,ROUND(N55,6),EvaluationDate)</f>
        <v>5.999999999999929E-6</v>
      </c>
      <c r="P55" s="186"/>
    </row>
    <row r="56" spans="1:16" x14ac:dyDescent="0.2">
      <c r="A56" s="343">
        <v>17</v>
      </c>
      <c r="B56" s="326" t="str">
        <f t="shared" si="5"/>
        <v>17x29F</v>
      </c>
      <c r="C56" s="179" t="str">
        <f t="shared" si="6"/>
        <v>EUR17x29F_SYNTH1Y_Quote</v>
      </c>
      <c r="D56" s="327" t="str">
        <f>_xll.qlSimpleQuote(C56,,RateTickValue,Permanent,Trigger,ObjectOverwrite)</f>
        <v>EUR17x29F_SYNTH1Y_Quote#0000</v>
      </c>
      <c r="E56" s="320" t="str">
        <f>_xll.ohRangeRetrieveError(D56)</f>
        <v/>
      </c>
      <c r="F56" s="190"/>
      <c r="H56" s="182">
        <v>17</v>
      </c>
      <c r="I56" s="307" t="str">
        <f t="shared" si="7"/>
        <v>17x29F</v>
      </c>
      <c r="J56" s="308">
        <f>SynthFra!N25</f>
        <v>4.8859006925701777E-3</v>
      </c>
      <c r="K56" s="242"/>
      <c r="L56" s="311">
        <v>5.6834582938863603E-3</v>
      </c>
      <c r="M56" s="242"/>
      <c r="N56" s="313">
        <v>4.8859006925701777E-3</v>
      </c>
      <c r="O56" s="314">
        <f>_xll.qlSimpleQuoteSetValue(D56,ROUND(N56,6),EvaluationDate)</f>
        <v>8.9999999999994598E-6</v>
      </c>
      <c r="P56" s="186"/>
    </row>
    <row r="57" spans="1:16" x14ac:dyDescent="0.2">
      <c r="A57" s="343">
        <v>18</v>
      </c>
      <c r="B57" s="326" t="str">
        <f t="shared" si="5"/>
        <v>18x30F</v>
      </c>
      <c r="C57" s="179" t="str">
        <f t="shared" si="6"/>
        <v>EUR18x30F_SYNTH1Y_Quote</v>
      </c>
      <c r="D57" s="327" t="str">
        <f>_xll.qlSimpleQuote(C57,,RateTickValue,Permanent,Trigger,ObjectOverwrite)</f>
        <v>EUR18x30F_SYNTH1Y_Quote#0000</v>
      </c>
      <c r="E57" s="320" t="str">
        <f>_xll.ohRangeRetrieveError(D57)</f>
        <v/>
      </c>
      <c r="F57" s="190"/>
      <c r="H57" s="182">
        <v>18</v>
      </c>
      <c r="I57" s="307" t="str">
        <f t="shared" si="7"/>
        <v>18x30F</v>
      </c>
      <c r="J57" s="308">
        <f>SynthFra!N26</f>
        <v>5.0175711076732342E-3</v>
      </c>
      <c r="K57" s="242"/>
      <c r="L57" s="311">
        <v>5.8112493961860624E-3</v>
      </c>
      <c r="M57" s="242"/>
      <c r="N57" s="313">
        <v>5.0175711076732342E-3</v>
      </c>
      <c r="O57" s="314">
        <f>_xll.qlSimpleQuoteSetValue(D57,ROUND(N57,6),EvaluationDate)</f>
        <v>1.1999999999999858E-5</v>
      </c>
      <c r="P57" s="186"/>
    </row>
    <row r="58" spans="1:16" x14ac:dyDescent="0.2">
      <c r="A58" s="343">
        <v>19</v>
      </c>
      <c r="B58" s="326" t="str">
        <f t="shared" si="5"/>
        <v>19x31F</v>
      </c>
      <c r="C58" s="179" t="str">
        <f t="shared" si="6"/>
        <v>EUR19x31F_SYNTH1Y_Quote</v>
      </c>
      <c r="D58" s="327" t="str">
        <f>_xll.qlSimpleQuote(C58,,RateTickValue,Permanent,Trigger,ObjectOverwrite)</f>
        <v>EUR19x31F_SYNTH1Y_Quote#0000</v>
      </c>
      <c r="E58" s="320" t="str">
        <f>_xll.ohRangeRetrieveError(D58)</f>
        <v/>
      </c>
      <c r="F58" s="190"/>
      <c r="H58" s="182">
        <v>19</v>
      </c>
      <c r="I58" s="307" t="str">
        <f t="shared" si="7"/>
        <v>19x31F</v>
      </c>
      <c r="J58" s="308">
        <f>SynthFra!N27</f>
        <v>5.1379839364319134E-3</v>
      </c>
      <c r="K58" s="242"/>
      <c r="L58" s="311">
        <v>5.9154011710082204E-3</v>
      </c>
      <c r="M58" s="242"/>
      <c r="N58" s="313">
        <v>5.1379839364319134E-3</v>
      </c>
      <c r="O58" s="314">
        <f>_xll.qlSimpleQuoteSetValue(D58,ROUND(N58,6),EvaluationDate)</f>
        <v>1.4000000000000123E-5</v>
      </c>
      <c r="P58" s="186"/>
    </row>
    <row r="59" spans="1:16" x14ac:dyDescent="0.2">
      <c r="A59" s="343">
        <v>20</v>
      </c>
      <c r="B59" s="326" t="str">
        <f t="shared" si="5"/>
        <v>20x32F</v>
      </c>
      <c r="C59" s="179" t="str">
        <f t="shared" si="6"/>
        <v>EUR20x32F_SYNTH1Y_Quote</v>
      </c>
      <c r="D59" s="327" t="str">
        <f>_xll.qlSimpleQuote(C59,,RateTickValue,Permanent,Trigger,ObjectOverwrite)</f>
        <v>EUR20x32F_SYNTH1Y_Quote#0000</v>
      </c>
      <c r="E59" s="320" t="str">
        <f>_xll.ohRangeRetrieveError(D59)</f>
        <v/>
      </c>
      <c r="F59" s="190"/>
      <c r="H59" s="182">
        <v>20</v>
      </c>
      <c r="I59" s="307" t="str">
        <f t="shared" si="7"/>
        <v>20x32F</v>
      </c>
      <c r="J59" s="308">
        <f>SynthFra!N28</f>
        <v>5.2635311742959641E-3</v>
      </c>
      <c r="K59" s="242"/>
      <c r="L59" s="311">
        <v>6.031980065765382E-3</v>
      </c>
      <c r="M59" s="242"/>
      <c r="N59" s="313">
        <v>5.2635311742959641E-3</v>
      </c>
      <c r="O59" s="314">
        <f>_xll.qlSimpleQuoteSetValue(D59,ROUND(N59,6),EvaluationDate)</f>
        <v>1.5999999999999522E-5</v>
      </c>
      <c r="P59" s="186"/>
    </row>
    <row r="60" spans="1:16" x14ac:dyDescent="0.2">
      <c r="A60" s="343">
        <v>21</v>
      </c>
      <c r="B60" s="326" t="str">
        <f t="shared" si="5"/>
        <v>21x33F</v>
      </c>
      <c r="C60" s="179" t="str">
        <f t="shared" si="6"/>
        <v>EUR21x33F_SYNTH1Y_Quote</v>
      </c>
      <c r="D60" s="327" t="str">
        <f>_xll.qlSimpleQuote(C60,,RateTickValue,Permanent,Trigger,ObjectOverwrite)</f>
        <v>EUR21x33F_SYNTH1Y_Quote#0000</v>
      </c>
      <c r="E60" s="320" t="str">
        <f>_xll.ohRangeRetrieveError(D60)</f>
        <v/>
      </c>
      <c r="F60" s="190"/>
      <c r="H60" s="182">
        <v>21</v>
      </c>
      <c r="I60" s="307" t="str">
        <f t="shared" si="7"/>
        <v>21x33F</v>
      </c>
      <c r="J60" s="308">
        <f>SynthFra!N29</f>
        <v>5.3978770678431154E-3</v>
      </c>
      <c r="K60" s="242"/>
      <c r="L60" s="311">
        <v>6.1445746360823082E-3</v>
      </c>
      <c r="M60" s="242"/>
      <c r="N60" s="313">
        <v>5.3978770678431154E-3</v>
      </c>
      <c r="O60" s="314">
        <f>_xll.qlSimpleQuoteSetValue(D60,ROUND(N60,6),EvaluationDate)</f>
        <v>1.7999999999999787E-5</v>
      </c>
      <c r="P60" s="186"/>
    </row>
    <row r="61" spans="1:16" x14ac:dyDescent="0.2">
      <c r="A61" s="343">
        <v>22</v>
      </c>
      <c r="B61" s="326" t="str">
        <f t="shared" si="5"/>
        <v>22x34F</v>
      </c>
      <c r="C61" s="179" t="str">
        <f t="shared" si="6"/>
        <v>EUR22x34F_SYNTH1Y_Quote</v>
      </c>
      <c r="D61" s="327" t="str">
        <f>_xll.qlSimpleQuote(C61,,RateTickValue,Permanent,Trigger,ObjectOverwrite)</f>
        <v>EUR22x34F_SYNTH1Y_Quote#0000</v>
      </c>
      <c r="E61" s="320" t="str">
        <f>_xll.ohRangeRetrieveError(D61)</f>
        <v/>
      </c>
      <c r="F61" s="190"/>
      <c r="H61" s="182">
        <v>22</v>
      </c>
      <c r="I61" s="307" t="str">
        <f t="shared" si="7"/>
        <v>22x34F</v>
      </c>
      <c r="J61" s="308">
        <f>SynthFra!N30</f>
        <v>5.497063258506232E-3</v>
      </c>
      <c r="K61" s="242"/>
      <c r="L61" s="311">
        <v>6.2393291505778601E-3</v>
      </c>
      <c r="M61" s="242"/>
      <c r="N61" s="313">
        <v>5.497063258506232E-3</v>
      </c>
      <c r="O61" s="314">
        <f>_xll.qlSimpleQuoteSetValue(D61,ROUND(N61,6),EvaluationDate)</f>
        <v>1.2999999999999991E-5</v>
      </c>
      <c r="P61" s="186"/>
    </row>
    <row r="62" spans="1:16" x14ac:dyDescent="0.2">
      <c r="A62" s="343">
        <v>23</v>
      </c>
      <c r="B62" s="326" t="str">
        <f t="shared" si="5"/>
        <v>23x35F</v>
      </c>
      <c r="C62" s="179" t="str">
        <f t="shared" si="6"/>
        <v>EUR23x35F_SYNTH1Y_Quote</v>
      </c>
      <c r="D62" s="327" t="str">
        <f>_xll.qlSimpleQuote(C62,,RateTickValue,Permanent,Trigger,ObjectOverwrite)</f>
        <v>EUR23x35F_SYNTH1Y_Quote#0000</v>
      </c>
      <c r="E62" s="320" t="str">
        <f>_xll.ohRangeRetrieveError(D62)</f>
        <v/>
      </c>
      <c r="F62" s="190"/>
      <c r="H62" s="182">
        <v>23</v>
      </c>
      <c r="I62" s="307" t="str">
        <f t="shared" si="7"/>
        <v>23x35F</v>
      </c>
      <c r="J62" s="308">
        <f>SynthFra!N31</f>
        <v>5.6025894558202121E-3</v>
      </c>
      <c r="K62" s="242"/>
      <c r="L62" s="311">
        <v>6.3360222212636803E-3</v>
      </c>
      <c r="M62" s="242"/>
      <c r="N62" s="313">
        <v>5.6025894558202121E-3</v>
      </c>
      <c r="O62" s="314">
        <f>_xll.qlSimpleQuoteSetValue(D62,ROUND(N62,6),EvaluationDate)</f>
        <v>7.0000000000000617E-6</v>
      </c>
      <c r="P62" s="186"/>
    </row>
    <row r="63" spans="1:16" x14ac:dyDescent="0.2">
      <c r="A63" s="343">
        <v>25</v>
      </c>
      <c r="B63" s="326" t="str">
        <f t="shared" si="5"/>
        <v>25x37F</v>
      </c>
      <c r="C63" s="179" t="str">
        <f t="shared" si="6"/>
        <v>EUR25x37F_SYNTH1Y_Quote</v>
      </c>
      <c r="D63" s="327" t="str">
        <f>_xll.qlSimpleQuote(C63,,RateTickValue,Permanent,Trigger,ObjectOverwrite)</f>
        <v>EUR25x37F_SYNTH1Y_Quote#0000</v>
      </c>
      <c r="E63" s="320" t="str">
        <f>_xll.ohRangeRetrieveError(D63)</f>
        <v/>
      </c>
      <c r="F63" s="190"/>
      <c r="H63" s="182">
        <v>25</v>
      </c>
      <c r="I63" s="307" t="str">
        <f t="shared" si="7"/>
        <v>25x37F</v>
      </c>
      <c r="J63" s="308">
        <f>SynthFra!N33</f>
        <v>5.9007374408264566E-3</v>
      </c>
      <c r="K63" s="242"/>
      <c r="L63" s="311">
        <v>6.639818956233931E-3</v>
      </c>
      <c r="M63" s="242"/>
      <c r="N63" s="313">
        <v>5.9007374408264566E-3</v>
      </c>
      <c r="O63" s="314">
        <f>_xll.qlSimpleQuoteSetValue(D63,ROUND(N63,6),EvaluationDate)</f>
        <v>3.0000000000003982E-6</v>
      </c>
      <c r="P63" s="186"/>
    </row>
    <row r="64" spans="1:16" x14ac:dyDescent="0.2">
      <c r="A64" s="343">
        <v>26</v>
      </c>
      <c r="B64" s="326" t="str">
        <f t="shared" si="5"/>
        <v>26x38F</v>
      </c>
      <c r="C64" s="179" t="str">
        <f t="shared" si="6"/>
        <v>EUR26x38F_SYNTH1Y_Quote</v>
      </c>
      <c r="D64" s="327" t="str">
        <f>_xll.qlSimpleQuote(C64,,RateTickValue,Permanent,Trigger,ObjectOverwrite)</f>
        <v>EUR26x38F_SYNTH1Y_Quote#0000</v>
      </c>
      <c r="E64" s="320" t="str">
        <f>_xll.ohRangeRetrieveError(D64)</f>
        <v/>
      </c>
      <c r="F64" s="190"/>
      <c r="H64" s="182">
        <v>26</v>
      </c>
      <c r="I64" s="307" t="str">
        <f t="shared" si="7"/>
        <v>26x38F</v>
      </c>
      <c r="J64" s="308">
        <f>SynthFra!N34</f>
        <v>6.1130090871573638E-3</v>
      </c>
      <c r="K64" s="242"/>
      <c r="L64" s="311">
        <v>6.8510723261093424E-3</v>
      </c>
      <c r="M64" s="242"/>
      <c r="N64" s="313">
        <v>6.1130090871573638E-3</v>
      </c>
      <c r="O64" s="314">
        <f>_xll.qlSimpleQuoteSetValue(D64,ROUND(N64,6),EvaluationDate)</f>
        <v>4.0000000000005309E-6</v>
      </c>
      <c r="P64" s="186"/>
    </row>
    <row r="65" spans="1:16" x14ac:dyDescent="0.2">
      <c r="A65" s="343">
        <v>27</v>
      </c>
      <c r="B65" s="326" t="str">
        <f t="shared" si="5"/>
        <v>27x39F</v>
      </c>
      <c r="C65" s="179" t="str">
        <f t="shared" si="6"/>
        <v>EUR27x39F_SYNTH1Y_Quote</v>
      </c>
      <c r="D65" s="327" t="str">
        <f>_xll.qlSimpleQuote(C65,,RateTickValue,Permanent,Trigger,ObjectOverwrite)</f>
        <v>EUR27x39F_SYNTH1Y_Quote#0000</v>
      </c>
      <c r="E65" s="320" t="str">
        <f>_xll.ohRangeRetrieveError(D65)</f>
        <v/>
      </c>
      <c r="F65" s="190"/>
      <c r="H65" s="182">
        <v>27</v>
      </c>
      <c r="I65" s="307" t="str">
        <f t="shared" si="7"/>
        <v>27x39F</v>
      </c>
      <c r="J65" s="308">
        <f>SynthFra!N35</f>
        <v>6.2915663058153298E-3</v>
      </c>
      <c r="K65" s="242"/>
      <c r="L65" s="311">
        <v>7.0436982688492755E-3</v>
      </c>
      <c r="M65" s="242"/>
      <c r="N65" s="313">
        <v>6.2915663058153298E-3</v>
      </c>
      <c r="O65" s="314">
        <f>_xll.qlSimpleQuoteSetValue(D65,ROUND(N65,6),EvaluationDate)</f>
        <v>4.9999999999997963E-6</v>
      </c>
      <c r="P65" s="186"/>
    </row>
    <row r="66" spans="1:16" x14ac:dyDescent="0.2">
      <c r="A66" s="343">
        <v>28</v>
      </c>
      <c r="B66" s="326" t="str">
        <f t="shared" si="5"/>
        <v>28x40F</v>
      </c>
      <c r="C66" s="179" t="str">
        <f t="shared" si="6"/>
        <v>EUR28x40F_SYNTH1Y_Quote</v>
      </c>
      <c r="D66" s="327" t="str">
        <f>_xll.qlSimpleQuote(C66,,RateTickValue,Permanent,Trigger,ObjectOverwrite)</f>
        <v>EUR28x40F_SYNTH1Y_Quote#0000</v>
      </c>
      <c r="E66" s="320" t="str">
        <f>_xll.ohRangeRetrieveError(D66)</f>
        <v/>
      </c>
      <c r="F66" s="190"/>
      <c r="H66" s="182">
        <v>28</v>
      </c>
      <c r="I66" s="307" t="str">
        <f t="shared" si="7"/>
        <v>28x40F</v>
      </c>
      <c r="J66" s="308">
        <f>SynthFra!N36</f>
        <v>6.4878040421272641E-3</v>
      </c>
      <c r="K66" s="242"/>
      <c r="L66" s="311">
        <v>7.2438428722524009E-3</v>
      </c>
      <c r="M66" s="242"/>
      <c r="N66" s="313">
        <v>6.4878040421272641E-3</v>
      </c>
      <c r="O66" s="314">
        <f>_xll.qlSimpleQuoteSetValue(D66,ROUND(N66,6),EvaluationDate)</f>
        <v>4.9999999999997963E-6</v>
      </c>
      <c r="P66" s="186"/>
    </row>
    <row r="67" spans="1:16" x14ac:dyDescent="0.2">
      <c r="A67" s="343">
        <v>29</v>
      </c>
      <c r="B67" s="326" t="str">
        <f t="shared" si="5"/>
        <v>29x41F</v>
      </c>
      <c r="C67" s="179" t="str">
        <f t="shared" si="6"/>
        <v>EUR29x41F_SYNTH1Y_Quote</v>
      </c>
      <c r="D67" s="327" t="str">
        <f>_xll.qlSimpleQuote(C67,,RateTickValue,Permanent,Trigger,ObjectOverwrite)</f>
        <v>EUR29x41F_SYNTH1Y_Quote#0000</v>
      </c>
      <c r="E67" s="320" t="str">
        <f>_xll.ohRangeRetrieveError(D67)</f>
        <v/>
      </c>
      <c r="F67" s="190"/>
      <c r="H67" s="182">
        <v>29</v>
      </c>
      <c r="I67" s="307" t="str">
        <f t="shared" si="7"/>
        <v>29x41F</v>
      </c>
      <c r="J67" s="308">
        <f>SynthFra!N37</f>
        <v>6.6890035794458652E-3</v>
      </c>
      <c r="K67" s="242"/>
      <c r="L67" s="311">
        <v>7.4579744439444307E-3</v>
      </c>
      <c r="M67" s="242"/>
      <c r="N67" s="313">
        <v>6.6890035794458652E-3</v>
      </c>
      <c r="O67" s="314">
        <f>_xll.qlSimpleQuoteSetValue(D67,ROUND(N67,6),EvaluationDate)</f>
        <v>4.9999999999997963E-6</v>
      </c>
      <c r="P67" s="186"/>
    </row>
    <row r="68" spans="1:16" x14ac:dyDescent="0.2">
      <c r="A68" s="343">
        <v>30</v>
      </c>
      <c r="B68" s="326" t="str">
        <f t="shared" si="5"/>
        <v>30x42F</v>
      </c>
      <c r="C68" s="179" t="str">
        <f t="shared" si="6"/>
        <v>EUR30x42F_SYNTH1Y_Quote</v>
      </c>
      <c r="D68" s="327" t="str">
        <f>_xll.qlSimpleQuote(C68,,RateTickValue,Permanent,Trigger,ObjectOverwrite)</f>
        <v>EUR30x42F_SYNTH1Y_Quote#0000</v>
      </c>
      <c r="E68" s="320" t="str">
        <f>_xll.ohRangeRetrieveError(D68)</f>
        <v/>
      </c>
      <c r="F68" s="190"/>
      <c r="H68" s="182">
        <v>30</v>
      </c>
      <c r="I68" s="307" t="str">
        <f t="shared" si="7"/>
        <v>30x42F</v>
      </c>
      <c r="J68" s="308">
        <f>SynthFra!N38</f>
        <v>6.8641048653404532E-3</v>
      </c>
      <c r="K68" s="242"/>
      <c r="L68" s="311">
        <v>7.6590058479533846E-3</v>
      </c>
      <c r="M68" s="242"/>
      <c r="N68" s="313">
        <v>6.8641048653404532E-3</v>
      </c>
      <c r="O68" s="314">
        <f>_xll.qlSimpleQuoteSetValue(D68,ROUND(N68,6),EvaluationDate)</f>
        <v>4.0000000000005309E-6</v>
      </c>
      <c r="P68" s="186"/>
    </row>
    <row r="69" spans="1:16" x14ac:dyDescent="0.2">
      <c r="A69" s="343">
        <v>31</v>
      </c>
      <c r="B69" s="326" t="str">
        <f t="shared" si="5"/>
        <v>31x43F</v>
      </c>
      <c r="C69" s="179" t="str">
        <f t="shared" si="6"/>
        <v>EUR31x43F_SYNTH1Y_Quote</v>
      </c>
      <c r="D69" s="327" t="str">
        <f>_xll.qlSimpleQuote(C69,,RateTickValue,Permanent,Trigger,ObjectOverwrite)</f>
        <v>EUR31x43F_SYNTH1Y_Quote#0000</v>
      </c>
      <c r="E69" s="320" t="str">
        <f>_xll.ohRangeRetrieveError(D69)</f>
        <v/>
      </c>
      <c r="F69" s="190"/>
      <c r="H69" s="182">
        <v>31</v>
      </c>
      <c r="I69" s="307" t="str">
        <f t="shared" si="7"/>
        <v>31x43F</v>
      </c>
      <c r="J69" s="308">
        <f>SynthFra!N39</f>
        <v>7.0509279464996567E-3</v>
      </c>
      <c r="K69" s="242"/>
      <c r="L69" s="311">
        <v>7.8466083864149657E-3</v>
      </c>
      <c r="M69" s="242"/>
      <c r="N69" s="313">
        <v>7.0509279464996567E-3</v>
      </c>
      <c r="O69" s="314">
        <f>_xll.qlSimpleQuoteSetValue(D69,ROUND(N69,6),EvaluationDate)</f>
        <v>3.9999999999996635E-6</v>
      </c>
      <c r="P69" s="186"/>
    </row>
    <row r="70" spans="1:16" x14ac:dyDescent="0.2">
      <c r="A70" s="343">
        <v>32</v>
      </c>
      <c r="B70" s="326" t="str">
        <f t="shared" si="5"/>
        <v>32x44F</v>
      </c>
      <c r="C70" s="179" t="str">
        <f t="shared" si="6"/>
        <v>EUR32x44F_SYNTH1Y_Quote</v>
      </c>
      <c r="D70" s="327" t="str">
        <f>_xll.qlSimpleQuote(C70,,RateTickValue,Permanent,Trigger,ObjectOverwrite)</f>
        <v>EUR32x44F_SYNTH1Y_Quote#0000</v>
      </c>
      <c r="E70" s="320" t="str">
        <f>_xll.ohRangeRetrieveError(D70)</f>
        <v/>
      </c>
      <c r="F70" s="190"/>
      <c r="H70" s="182">
        <v>32</v>
      </c>
      <c r="I70" s="307" t="str">
        <f t="shared" si="7"/>
        <v>32x44F</v>
      </c>
      <c r="J70" s="308">
        <f>SynthFra!N40</f>
        <v>7.2407675254589077E-3</v>
      </c>
      <c r="K70" s="242"/>
      <c r="L70" s="311">
        <v>8.0740132699437667E-3</v>
      </c>
      <c r="M70" s="242"/>
      <c r="N70" s="313">
        <v>7.2407675254589077E-3</v>
      </c>
      <c r="O70" s="314">
        <f>_xll.qlSimpleQuoteSetValue(D70,ROUND(N70,6),EvaluationDate)</f>
        <v>3.0000000000003982E-6</v>
      </c>
      <c r="P70" s="186"/>
    </row>
    <row r="71" spans="1:16" x14ac:dyDescent="0.2">
      <c r="A71" s="343">
        <v>33</v>
      </c>
      <c r="B71" s="326" t="str">
        <f t="shared" si="5"/>
        <v>33x45F</v>
      </c>
      <c r="C71" s="179" t="str">
        <f t="shared" si="6"/>
        <v>EUR33x45F_SYNTH1Y_Quote</v>
      </c>
      <c r="D71" s="327" t="str">
        <f>_xll.qlSimpleQuote(C71,,RateTickValue,Permanent,Trigger,ObjectOverwrite)</f>
        <v>EUR33x45F_SYNTH1Y_Quote#0000</v>
      </c>
      <c r="E71" s="320" t="str">
        <f>_xll.ohRangeRetrieveError(D71)</f>
        <v/>
      </c>
      <c r="F71" s="190"/>
      <c r="H71" s="182">
        <v>33</v>
      </c>
      <c r="I71" s="307" t="str">
        <f t="shared" si="7"/>
        <v>33x45F</v>
      </c>
      <c r="J71" s="308">
        <f>SynthFra!N41</f>
        <v>7.429125691323174E-3</v>
      </c>
      <c r="K71" s="242"/>
      <c r="L71" s="311">
        <v>8.2540136788414216E-3</v>
      </c>
      <c r="M71" s="242"/>
      <c r="N71" s="313">
        <v>7.429125691323174E-3</v>
      </c>
      <c r="O71" s="314">
        <f>_xll.qlSimpleQuoteSetValue(D71,ROUND(N71,6),EvaluationDate)</f>
        <v>2.0000000000002655E-6</v>
      </c>
      <c r="P71" s="186"/>
    </row>
    <row r="72" spans="1:16" x14ac:dyDescent="0.2">
      <c r="A72" s="343">
        <v>34</v>
      </c>
      <c r="B72" s="326" t="str">
        <f t="shared" si="5"/>
        <v>34x46F</v>
      </c>
      <c r="C72" s="179" t="str">
        <f t="shared" si="6"/>
        <v>EUR34x46F_SYNTH1Y_Quote</v>
      </c>
      <c r="D72" s="327" t="str">
        <f>_xll.qlSimpleQuote(C72,,RateTickValue,Permanent,Trigger,ObjectOverwrite)</f>
        <v>EUR34x46F_SYNTH1Y_Quote#0000</v>
      </c>
      <c r="E72" s="320" t="str">
        <f>_xll.ohRangeRetrieveError(D72)</f>
        <v/>
      </c>
      <c r="F72" s="190"/>
      <c r="H72" s="182">
        <v>34</v>
      </c>
      <c r="I72" s="307" t="str">
        <f t="shared" si="7"/>
        <v>34x46F</v>
      </c>
      <c r="J72" s="308">
        <f>SynthFra!N42</f>
        <v>7.6147153885457348E-3</v>
      </c>
      <c r="K72" s="242"/>
      <c r="L72" s="311">
        <v>8.4597312837310056E-3</v>
      </c>
      <c r="M72" s="242"/>
      <c r="N72" s="313">
        <v>7.6147153885457348E-3</v>
      </c>
      <c r="O72" s="314">
        <f>_xll.qlSimpleQuoteSetValue(D72,ROUND(N72,6),EvaluationDate)</f>
        <v>1.0000000000001327E-6</v>
      </c>
      <c r="P72" s="186"/>
    </row>
    <row r="73" spans="1:16" x14ac:dyDescent="0.2">
      <c r="A73" s="343">
        <v>35</v>
      </c>
      <c r="B73" s="326" t="str">
        <f t="shared" si="5"/>
        <v>35x47F</v>
      </c>
      <c r="C73" s="179" t="str">
        <f t="shared" si="6"/>
        <v>EUR35x47F_SYNTH1Y_Quote</v>
      </c>
      <c r="D73" s="327" t="str">
        <f>_xll.qlSimpleQuote(C73,,RateTickValue,Permanent,Trigger,ObjectOverwrite)</f>
        <v>EUR35x47F_SYNTH1Y_Quote#0000</v>
      </c>
      <c r="E73" s="320" t="str">
        <f>_xll.ohRangeRetrieveError(D73)</f>
        <v/>
      </c>
      <c r="F73" s="190"/>
      <c r="H73" s="182">
        <v>35</v>
      </c>
      <c r="I73" s="307" t="str">
        <f t="shared" si="7"/>
        <v>35x47F</v>
      </c>
      <c r="J73" s="308">
        <f>SynthFra!N43</f>
        <v>7.8188763102335079E-3</v>
      </c>
      <c r="K73" s="242"/>
      <c r="L73" s="311">
        <v>8.6706802526084654E-3</v>
      </c>
      <c r="M73" s="242"/>
      <c r="N73" s="313">
        <v>7.8188763102335079E-3</v>
      </c>
      <c r="O73" s="314">
        <f>_xll.qlSimpleQuoteSetValue(D73,ROUND(N73,6),EvaluationDate)</f>
        <v>0</v>
      </c>
      <c r="P73" s="186"/>
    </row>
    <row r="74" spans="1:16" x14ac:dyDescent="0.2">
      <c r="A74" s="343">
        <v>37</v>
      </c>
      <c r="B74" s="326" t="str">
        <f t="shared" si="5"/>
        <v>37x49F</v>
      </c>
      <c r="C74" s="179" t="str">
        <f t="shared" si="6"/>
        <v>EUR37x49F_SYNTH1Y_Quote</v>
      </c>
      <c r="D74" s="327" t="str">
        <f>_xll.qlSimpleQuote(C74,,RateTickValue,Permanent,Trigger,ObjectOverwrite)</f>
        <v>EUR37x49F_SYNTH1Y_Quote#0000</v>
      </c>
      <c r="E74" s="320" t="str">
        <f>_xll.ohRangeRetrieveError(D74)</f>
        <v/>
      </c>
      <c r="F74" s="190"/>
      <c r="H74" s="182">
        <v>37</v>
      </c>
      <c r="I74" s="307" t="str">
        <f t="shared" si="7"/>
        <v>37x49F</v>
      </c>
      <c r="J74" s="308">
        <f>SynthFra!N45</f>
        <v>8.2349685472998153E-3</v>
      </c>
      <c r="K74" s="242"/>
      <c r="L74" s="311">
        <v>9.1432212149377481E-3</v>
      </c>
      <c r="M74" s="242"/>
      <c r="N74" s="313">
        <v>8.2349685472998153E-3</v>
      </c>
      <c r="O74" s="314">
        <f>_xll.qlSimpleQuoteSetValue(D74,ROUND(N74,6),EvaluationDate)</f>
        <v>-2.0000000000002655E-6</v>
      </c>
      <c r="P74" s="186"/>
    </row>
    <row r="75" spans="1:16" x14ac:dyDescent="0.2">
      <c r="A75" s="343">
        <v>38</v>
      </c>
      <c r="B75" s="326" t="str">
        <f t="shared" si="5"/>
        <v>38x50F</v>
      </c>
      <c r="C75" s="179" t="str">
        <f t="shared" si="6"/>
        <v>EUR38x50F_SYNTH1Y_Quote</v>
      </c>
      <c r="D75" s="327" t="str">
        <f>_xll.qlSimpleQuote(C75,,RateTickValue,Permanent,Trigger,ObjectOverwrite)</f>
        <v>EUR38x50F_SYNTH1Y_Quote#0000</v>
      </c>
      <c r="E75" s="320" t="str">
        <f>_xll.ohRangeRetrieveError(D75)</f>
        <v/>
      </c>
      <c r="F75" s="190"/>
      <c r="H75" s="182">
        <v>38</v>
      </c>
      <c r="I75" s="307" t="str">
        <f t="shared" si="7"/>
        <v>38x50F</v>
      </c>
      <c r="J75" s="308">
        <f>SynthFra!N46</f>
        <v>8.4876441282899298E-3</v>
      </c>
      <c r="K75" s="242"/>
      <c r="L75" s="311">
        <v>9.3954275791548678E-3</v>
      </c>
      <c r="M75" s="242"/>
      <c r="N75" s="313">
        <v>8.4876441282899298E-3</v>
      </c>
      <c r="O75" s="314">
        <f>_xll.qlSimpleQuoteSetValue(D75,ROUND(N75,6),EvaluationDate)</f>
        <v>-1.9999999999985307E-6</v>
      </c>
      <c r="P75" s="186"/>
    </row>
    <row r="76" spans="1:16" x14ac:dyDescent="0.2">
      <c r="A76" s="343">
        <v>39</v>
      </c>
      <c r="B76" s="326" t="str">
        <f t="shared" si="5"/>
        <v>39x51F</v>
      </c>
      <c r="C76" s="179" t="str">
        <f t="shared" si="6"/>
        <v>EUR39x51F_SYNTH1Y_Quote</v>
      </c>
      <c r="D76" s="327" t="str">
        <f>_xll.qlSimpleQuote(C76,,RateTickValue,Permanent,Trigger,ObjectOverwrite)</f>
        <v>EUR39x51F_SYNTH1Y_Quote#0000</v>
      </c>
      <c r="E76" s="320" t="str">
        <f>_xll.ohRangeRetrieveError(D76)</f>
        <v/>
      </c>
      <c r="F76" s="190"/>
      <c r="H76" s="182">
        <v>39</v>
      </c>
      <c r="I76" s="307" t="str">
        <f t="shared" si="7"/>
        <v>39x51F</v>
      </c>
      <c r="J76" s="308">
        <f>SynthFra!N47</f>
        <v>8.7170018286021975E-3</v>
      </c>
      <c r="K76" s="242"/>
      <c r="L76" s="311">
        <v>9.6519392757855437E-3</v>
      </c>
      <c r="M76" s="242"/>
      <c r="N76" s="313">
        <v>8.7170018286021975E-3</v>
      </c>
      <c r="O76" s="314">
        <f>_xll.qlSimpleQuoteSetValue(D76,ROUND(N76,6),EvaluationDate)</f>
        <v>-2.9999999999995308E-6</v>
      </c>
      <c r="P76" s="186"/>
    </row>
    <row r="77" spans="1:16" x14ac:dyDescent="0.2">
      <c r="A77" s="343">
        <v>40</v>
      </c>
      <c r="B77" s="326" t="str">
        <f t="shared" si="5"/>
        <v>40x52F</v>
      </c>
      <c r="C77" s="179" t="str">
        <f t="shared" si="6"/>
        <v>EUR40x52F_SYNTH1Y_Quote</v>
      </c>
      <c r="D77" s="327" t="str">
        <f>_xll.qlSimpleQuote(C77,,RateTickValue,Permanent,Trigger,ObjectOverwrite)</f>
        <v>EUR40x52F_SYNTH1Y_Quote#0000</v>
      </c>
      <c r="E77" s="320" t="str">
        <f>_xll.ohRangeRetrieveError(D77)</f>
        <v/>
      </c>
      <c r="F77" s="190"/>
      <c r="H77" s="182">
        <v>40</v>
      </c>
      <c r="I77" s="307" t="str">
        <f t="shared" si="7"/>
        <v>40x52F</v>
      </c>
      <c r="J77" s="308">
        <f>SynthFra!N48</f>
        <v>8.9719461252397402E-3</v>
      </c>
      <c r="K77" s="242"/>
      <c r="L77" s="311">
        <v>9.9176410657655142E-3</v>
      </c>
      <c r="M77" s="242"/>
      <c r="N77" s="313">
        <v>8.9719461252397402E-3</v>
      </c>
      <c r="O77" s="314">
        <f>_xll.qlSimpleQuoteSetValue(D77,ROUND(N77,6),EvaluationDate)</f>
        <v>-3.9999999999987962E-6</v>
      </c>
      <c r="P77" s="186"/>
    </row>
    <row r="78" spans="1:16" x14ac:dyDescent="0.2">
      <c r="A78" s="343">
        <v>41</v>
      </c>
      <c r="B78" s="326" t="str">
        <f t="shared" si="5"/>
        <v>41x53F</v>
      </c>
      <c r="C78" s="179" t="str">
        <f t="shared" si="6"/>
        <v>EUR41x53F_SYNTH1Y_Quote</v>
      </c>
      <c r="D78" s="327" t="str">
        <f>_xll.qlSimpleQuote(C78,,RateTickValue,Permanent,Trigger,ObjectOverwrite)</f>
        <v>EUR41x53F_SYNTH1Y_Quote#0000</v>
      </c>
      <c r="E78" s="320" t="str">
        <f>_xll.ohRangeRetrieveError(D78)</f>
        <v/>
      </c>
      <c r="F78" s="190"/>
      <c r="H78" s="182">
        <v>41</v>
      </c>
      <c r="I78" s="307" t="str">
        <f t="shared" si="7"/>
        <v>41x53F</v>
      </c>
      <c r="J78" s="308">
        <f>SynthFra!N49</f>
        <v>9.2083942223888868E-3</v>
      </c>
      <c r="K78" s="242"/>
      <c r="L78" s="311">
        <v>1.0169476546966039E-2</v>
      </c>
      <c r="M78" s="242"/>
      <c r="N78" s="313">
        <v>9.2083942223888868E-3</v>
      </c>
      <c r="O78" s="314">
        <f>_xll.qlSimpleQuoteSetValue(D78,ROUND(N78,6),EvaluationDate)</f>
        <v>-4.0000000000005309E-6</v>
      </c>
      <c r="P78" s="186"/>
    </row>
    <row r="79" spans="1:16" x14ac:dyDescent="0.2">
      <c r="A79" s="343">
        <v>42</v>
      </c>
      <c r="B79" s="326" t="str">
        <f t="shared" si="5"/>
        <v>42x54F</v>
      </c>
      <c r="C79" s="179" t="str">
        <f t="shared" si="6"/>
        <v>EUR42x54F_SYNTH1Y_Quote</v>
      </c>
      <c r="D79" s="327" t="str">
        <f>_xll.qlSimpleQuote(C79,,RateTickValue,Permanent,Trigger,ObjectOverwrite)</f>
        <v>EUR42x54F_SYNTH1Y_Quote#0000</v>
      </c>
      <c r="E79" s="320" t="str">
        <f>_xll.ohRangeRetrieveError(D79)</f>
        <v/>
      </c>
      <c r="F79" s="190"/>
      <c r="H79" s="182">
        <v>42</v>
      </c>
      <c r="I79" s="307" t="str">
        <f t="shared" si="7"/>
        <v>42x54F</v>
      </c>
      <c r="J79" s="308">
        <f>SynthFra!N50</f>
        <v>9.430718002885469E-3</v>
      </c>
      <c r="K79" s="242"/>
      <c r="L79" s="311">
        <v>1.0430748495225153E-2</v>
      </c>
      <c r="M79" s="242"/>
      <c r="N79" s="313">
        <v>9.430718002885469E-3</v>
      </c>
      <c r="O79" s="314">
        <f>_xll.qlSimpleQuoteSetValue(D79,ROUND(N79,6),EvaluationDate)</f>
        <v>-4.0000000000005309E-6</v>
      </c>
      <c r="P79" s="186"/>
    </row>
    <row r="80" spans="1:16" x14ac:dyDescent="0.2">
      <c r="A80" s="343">
        <v>43</v>
      </c>
      <c r="B80" s="326" t="str">
        <f t="shared" si="5"/>
        <v>43x55F</v>
      </c>
      <c r="C80" s="179" t="str">
        <f t="shared" si="6"/>
        <v>EUR43x55F_SYNTH1Y_Quote</v>
      </c>
      <c r="D80" s="327" t="str">
        <f>_xll.qlSimpleQuote(C80,,RateTickValue,Permanent,Trigger,ObjectOverwrite)</f>
        <v>EUR43x55F_SYNTH1Y_Quote#0000</v>
      </c>
      <c r="E80" s="320" t="str">
        <f>_xll.ohRangeRetrieveError(D80)</f>
        <v/>
      </c>
      <c r="F80" s="190"/>
      <c r="H80" s="182">
        <v>43</v>
      </c>
      <c r="I80" s="307" t="str">
        <f t="shared" si="7"/>
        <v>43x55F</v>
      </c>
      <c r="J80" s="308">
        <f>SynthFra!N51</f>
        <v>9.6771112006515149E-3</v>
      </c>
      <c r="K80" s="242"/>
      <c r="L80" s="311">
        <v>1.0665919792036266E-2</v>
      </c>
      <c r="M80" s="242"/>
      <c r="N80" s="313">
        <v>9.6771112006515149E-3</v>
      </c>
      <c r="O80" s="314">
        <f>_xll.qlSimpleQuoteSetValue(D80,ROUND(N80,6),EvaluationDate)</f>
        <v>-4.0000000000005309E-6</v>
      </c>
      <c r="P80" s="186"/>
    </row>
    <row r="81" spans="1:16" x14ac:dyDescent="0.2">
      <c r="A81" s="343">
        <v>44</v>
      </c>
      <c r="B81" s="326" t="str">
        <f t="shared" si="5"/>
        <v>44x56F</v>
      </c>
      <c r="C81" s="179" t="str">
        <f t="shared" si="6"/>
        <v>EUR44x56F_SYNTH1Y_Quote</v>
      </c>
      <c r="D81" s="327" t="str">
        <f>_xll.qlSimpleQuote(C81,,RateTickValue,Permanent,Trigger,ObjectOverwrite)</f>
        <v>EUR44x56F_SYNTH1Y_Quote#0000</v>
      </c>
      <c r="E81" s="320" t="str">
        <f>_xll.ohRangeRetrieveError(D81)</f>
        <v/>
      </c>
      <c r="F81" s="190"/>
      <c r="H81" s="182">
        <v>44</v>
      </c>
      <c r="I81" s="307" t="str">
        <f t="shared" si="7"/>
        <v>44x56F</v>
      </c>
      <c r="J81" s="308">
        <f>SynthFra!N52</f>
        <v>9.9316900087812847E-3</v>
      </c>
      <c r="K81" s="242"/>
      <c r="L81" s="311">
        <v>1.0933906562113356E-2</v>
      </c>
      <c r="M81" s="242"/>
      <c r="N81" s="313">
        <v>9.9316900087812847E-3</v>
      </c>
      <c r="O81" s="314">
        <f>_xll.qlSimpleQuoteSetValue(D81,ROUND(N81,6),EvaluationDate)</f>
        <v>-2.9999999999995308E-6</v>
      </c>
      <c r="P81" s="186"/>
    </row>
    <row r="82" spans="1:16" x14ac:dyDescent="0.2">
      <c r="A82" s="343">
        <v>45</v>
      </c>
      <c r="B82" s="326" t="str">
        <f t="shared" si="5"/>
        <v>45x57F</v>
      </c>
      <c r="C82" s="179" t="str">
        <f t="shared" si="6"/>
        <v>EUR45x57F_SYNTH1Y_Quote</v>
      </c>
      <c r="D82" s="327" t="str">
        <f>_xll.qlSimpleQuote(C82,,RateTickValue,Permanent,Trigger,ObjectOverwrite)</f>
        <v>EUR45x57F_SYNTH1Y_Quote#0000</v>
      </c>
      <c r="E82" s="320" t="str">
        <f>_xll.ohRangeRetrieveError(D82)</f>
        <v/>
      </c>
      <c r="F82" s="190"/>
      <c r="H82" s="182">
        <v>45</v>
      </c>
      <c r="I82" s="307" t="str">
        <f t="shared" si="7"/>
        <v>45x57F</v>
      </c>
      <c r="J82" s="308">
        <f>SynthFra!N53</f>
        <v>1.0162577555682603E-2</v>
      </c>
      <c r="K82" s="242"/>
      <c r="L82" s="311">
        <v>1.1176202147415193E-2</v>
      </c>
      <c r="M82" s="242"/>
      <c r="N82" s="313">
        <v>1.0162577555682603E-2</v>
      </c>
      <c r="O82" s="314">
        <f>_xll.qlSimpleQuoteSetValue(D82,ROUND(N82,6),EvaluationDate)</f>
        <v>-2.0000000000002655E-6</v>
      </c>
      <c r="P82" s="186"/>
    </row>
    <row r="83" spans="1:16" x14ac:dyDescent="0.2">
      <c r="A83" s="343">
        <v>46</v>
      </c>
      <c r="B83" s="326" t="str">
        <f t="shared" si="5"/>
        <v>46x58F</v>
      </c>
      <c r="C83" s="179" t="str">
        <f t="shared" si="6"/>
        <v>EUR46x58F_SYNTH1Y_Quote</v>
      </c>
      <c r="D83" s="327" t="str">
        <f>_xll.qlSimpleQuote(C83,,RateTickValue,Permanent,Trigger,ObjectOverwrite)</f>
        <v>EUR46x58F_SYNTH1Y_Quote#0000</v>
      </c>
      <c r="E83" s="320" t="str">
        <f>_xll.ohRangeRetrieveError(D83)</f>
        <v/>
      </c>
      <c r="F83" s="190"/>
      <c r="H83" s="182">
        <v>46</v>
      </c>
      <c r="I83" s="307" t="str">
        <f t="shared" si="7"/>
        <v>46x58F</v>
      </c>
      <c r="J83" s="308">
        <f>SynthFra!N54</f>
        <v>1.0401569832847526E-2</v>
      </c>
      <c r="K83" s="242"/>
      <c r="L83" s="311">
        <v>1.1437519693685599E-2</v>
      </c>
      <c r="M83" s="242"/>
      <c r="N83" s="313">
        <v>1.0401569832847526E-2</v>
      </c>
      <c r="O83" s="314">
        <f>_xll.qlSimpleQuoteSetValue(D83,ROUND(N83,6),EvaluationDate)</f>
        <v>-1.0000000000010001E-6</v>
      </c>
      <c r="P83" s="186"/>
    </row>
    <row r="84" spans="1:16" ht="12" thickBot="1" x14ac:dyDescent="0.25">
      <c r="A84" s="344">
        <v>47</v>
      </c>
      <c r="B84" s="329" t="str">
        <f t="shared" si="5"/>
        <v>47x59F</v>
      </c>
      <c r="C84" s="274" t="str">
        <f t="shared" si="6"/>
        <v>EUR47x59F_SYNTH1Y_Quote</v>
      </c>
      <c r="D84" s="341" t="str">
        <f>_xll.qlSimpleQuote(C84,,RateTickValue,Permanent,Trigger,ObjectOverwrite)</f>
        <v>EUR47x59F_SYNTH1Y_Quote#0000</v>
      </c>
      <c r="E84" s="331" t="str">
        <f>_xll.ohRangeRetrieveError(D84)</f>
        <v/>
      </c>
      <c r="F84" s="190"/>
      <c r="H84" s="182">
        <v>47</v>
      </c>
      <c r="I84" s="309" t="str">
        <f t="shared" si="7"/>
        <v>47x59F</v>
      </c>
      <c r="J84" s="310">
        <f>SynthFra!N55</f>
        <v>1.0656618878262022E-2</v>
      </c>
      <c r="K84" s="242"/>
      <c r="L84" s="312">
        <v>1.1693071994383112E-2</v>
      </c>
      <c r="M84" s="242"/>
      <c r="N84" s="351">
        <v>1.0656618878262022E-2</v>
      </c>
      <c r="O84" s="352">
        <f>_xll.qlSimpleQuoteSetValue(D84,ROUND(N84,6),EvaluationDate)</f>
        <v>-1.0000000000010001E-6</v>
      </c>
      <c r="P84" s="186"/>
    </row>
    <row r="85" spans="1:16" ht="12" thickBot="1" x14ac:dyDescent="0.25">
      <c r="A85" s="191"/>
      <c r="B85" s="263"/>
      <c r="C85" s="264"/>
      <c r="D85" s="264"/>
      <c r="E85" s="264"/>
      <c r="F85" s="192"/>
      <c r="H85" s="187"/>
      <c r="I85" s="188"/>
      <c r="J85" s="188"/>
      <c r="K85" s="188"/>
      <c r="L85" s="188"/>
      <c r="M85" s="188"/>
      <c r="N85" s="188"/>
      <c r="O85" s="188"/>
      <c r="P85" s="189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D127"/>
  <sheetViews>
    <sheetView zoomScaleNormal="100" workbookViewId="0">
      <selection activeCell="N8" sqref="N8"/>
    </sheetView>
  </sheetViews>
  <sheetFormatPr defaultRowHeight="11.25" outlineLevelCol="1" x14ac:dyDescent="0.2"/>
  <cols>
    <col min="1" max="1" width="17.6640625" style="225" bestFit="1" customWidth="1"/>
    <col min="2" max="2" width="9.33203125" style="225" bestFit="1" customWidth="1"/>
    <col min="3" max="4" width="20.1640625" style="225" bestFit="1" customWidth="1"/>
    <col min="5" max="5" width="11.6640625" style="195" bestFit="1" customWidth="1"/>
    <col min="6" max="6" width="7.33203125" style="195" customWidth="1"/>
    <col min="7" max="7" width="20.1640625" style="195" customWidth="1" outlineLevel="1"/>
    <col min="8" max="8" width="17.6640625" style="195" customWidth="1" outlineLevel="1"/>
    <col min="9" max="10" width="20.1640625" style="195" customWidth="1"/>
    <col min="11" max="12" width="9.33203125" style="195" bestFit="1" customWidth="1"/>
    <col min="13" max="13" width="10.5" style="195" bestFit="1" customWidth="1"/>
    <col min="14" max="14" width="9.33203125" style="195" customWidth="1"/>
    <col min="15" max="15" width="17.6640625" style="195" bestFit="1" customWidth="1"/>
    <col min="16" max="16" width="9.33203125" style="195"/>
    <col min="17" max="17" width="2.83203125" style="195" customWidth="1"/>
    <col min="18" max="18" width="27.5" style="195" bestFit="1" customWidth="1"/>
    <col min="19" max="19" width="20.1640625" style="195" hidden="1" customWidth="1"/>
    <col min="20" max="20" width="20.1640625" style="195" bestFit="1" customWidth="1"/>
    <col min="21" max="21" width="20.1640625" style="195" customWidth="1"/>
    <col min="22" max="22" width="20.1640625" style="195" hidden="1" customWidth="1"/>
    <col min="23" max="23" width="10" style="195" bestFit="1" customWidth="1"/>
    <col min="24" max="24" width="9.33203125" style="195" customWidth="1"/>
    <col min="25" max="25" width="10" style="195" bestFit="1" customWidth="1"/>
    <col min="26" max="26" width="9.33203125" style="195"/>
    <col min="27" max="27" width="2.83203125" style="195" customWidth="1"/>
    <col min="28" max="16384" width="9.33203125" style="195"/>
  </cols>
  <sheetData>
    <row r="1" spans="1:30" ht="22.5" x14ac:dyDescent="0.2">
      <c r="A1" s="226" t="s">
        <v>123</v>
      </c>
      <c r="B1" s="193" t="s">
        <v>124</v>
      </c>
      <c r="C1" s="193" t="s">
        <v>109</v>
      </c>
      <c r="D1" s="194" t="s">
        <v>110</v>
      </c>
      <c r="E1" s="227" t="s">
        <v>124</v>
      </c>
      <c r="F1" s="227"/>
      <c r="G1" s="227" t="s">
        <v>125</v>
      </c>
      <c r="H1" s="227"/>
      <c r="I1" s="227" t="s">
        <v>126</v>
      </c>
      <c r="J1" s="227" t="s">
        <v>127</v>
      </c>
      <c r="K1" s="227" t="s">
        <v>128</v>
      </c>
      <c r="L1" s="227" t="s">
        <v>44</v>
      </c>
      <c r="M1" s="227" t="s">
        <v>129</v>
      </c>
      <c r="N1" s="227" t="s">
        <v>130</v>
      </c>
    </row>
    <row r="2" spans="1:30" x14ac:dyDescent="0.2">
      <c r="A2" s="228"/>
      <c r="B2" s="229"/>
      <c r="C2" s="230"/>
      <c r="D2" s="231">
        <f>SettlementDate</f>
        <v>41887</v>
      </c>
      <c r="E2" s="232">
        <f t="array" ref="E2:E127">_xll.qlPiecewiseYieldCurveData(YieldCurve,InterestRatesTrigger)</f>
        <v>1</v>
      </c>
      <c r="F2" s="195">
        <v>0</v>
      </c>
      <c r="G2" s="233">
        <f>_xll.qlInterestRateIndexFixingDate(IborIndex,I2)</f>
        <v>41885</v>
      </c>
      <c r="H2" s="195" t="str">
        <f>_xll.qlMakeDatedOIS(,I2,J2,OvernightIndex,0,"Act/360",0)</f>
        <v>obj_00692#0000</v>
      </c>
      <c r="I2" s="233">
        <f>_xll.qlCalendarAdvance(Calendar,$D$2,F2&amp;"M","mf")</f>
        <v>41887</v>
      </c>
      <c r="J2" s="233">
        <f>_xll.qlInterestRateIndexMaturity(IborIndex,I2)</f>
        <v>42254</v>
      </c>
      <c r="K2" s="232">
        <f>_xll.qlIndexFixing(IborIndex,G2,TRUE,InterestRatesTrigger)</f>
        <v>4.1900000000001259E-3</v>
      </c>
      <c r="L2" s="232">
        <f>_xll.qlOvernightIndexedSwapFairRate(H2,Contribution!$P$25)</f>
        <v>-1.6000000000000272E-4</v>
      </c>
      <c r="M2" s="209">
        <f>ROUND(K2-L2,6)</f>
        <v>4.3499999999999997E-3</v>
      </c>
      <c r="N2" s="232"/>
      <c r="O2" s="195" t="str">
        <f>_xll.qlSimpleQuote(,,,,EvaluationDate)</f>
        <v>obj_00395#0000</v>
      </c>
      <c r="P2" s="232">
        <f>_xll.qlSimpleQuoteSetValue(O2,M2)</f>
        <v>0</v>
      </c>
      <c r="AB2" s="209"/>
      <c r="AC2" s="209"/>
      <c r="AD2" s="369"/>
    </row>
    <row r="3" spans="1:30" x14ac:dyDescent="0.2">
      <c r="A3" s="234" t="str">
        <f>RateHelpersFra!F2</f>
        <v>obj_003b4#0000</v>
      </c>
      <c r="B3" s="235">
        <f>_xll.qlRateHelperRate($A3,InterestRatesTrigger)</f>
        <v>4.1900000000000001E-3</v>
      </c>
      <c r="C3" s="236">
        <f>_xll.qlRateHelperEarliestDate($A3)</f>
        <v>41887</v>
      </c>
      <c r="D3" s="231">
        <f>_xll.qlRateHelperLatestDate($A3)</f>
        <v>42254</v>
      </c>
      <c r="E3" s="232">
        <v>0.99574669564916496</v>
      </c>
      <c r="F3" s="195">
        <v>12</v>
      </c>
      <c r="G3" s="233">
        <f>_xll.qlInterestRateIndexFixingDate(IborIndex,I3)</f>
        <v>42250</v>
      </c>
      <c r="H3" s="195" t="str">
        <f>_xll.qlMakeDatedOIS(,I3,J3,OvernightIndex,0,"Act/360",0)</f>
        <v>obj_00666#0000</v>
      </c>
      <c r="I3" s="233">
        <f>_xll.qlCalendarAdvance(Calendar,$D$2,F3&amp;"M","mf")</f>
        <v>42254</v>
      </c>
      <c r="J3" s="233">
        <f>_xll.qlInterestRateIndexMaturity(IborIndex,I3)</f>
        <v>42620</v>
      </c>
      <c r="K3" s="232">
        <f>_xll.qlIndexFixing(IborIndex,G3,TRUE,InterestRatesTrigger)</f>
        <v>4.2399999999999088E-3</v>
      </c>
      <c r="L3" s="232">
        <f>_xll.qlOvernightIndexedSwapFairRate(H3,Contribution!$P$25)</f>
        <v>-3.3602177869802283E-5</v>
      </c>
      <c r="M3" s="209">
        <f>ROUND(K3-L3,6)</f>
        <v>4.274E-3</v>
      </c>
      <c r="N3" s="232"/>
      <c r="O3" s="195" t="str">
        <f>_xll.qlSimpleQuote(,,,,EvaluationDate)</f>
        <v>obj_0037a#0000</v>
      </c>
      <c r="P3" s="232">
        <f>_xll.qlSimpleQuoteSetValue(O3,M3)</f>
        <v>-1.899999999999992E-5</v>
      </c>
      <c r="AB3" s="209"/>
      <c r="AC3" s="209"/>
      <c r="AD3" s="369"/>
    </row>
    <row r="4" spans="1:30" x14ac:dyDescent="0.2">
      <c r="A4" s="234" t="str">
        <f>RateHelpersFra!F3</f>
        <v>obj_003ab#0000</v>
      </c>
      <c r="B4" s="235">
        <f>_xll.qlRateHelperRate($A4,InterestRatesTrigger)</f>
        <v>4.2400000000000007E-3</v>
      </c>
      <c r="C4" s="236">
        <f>_xll.qlRateHelperEarliestDate($A4)</f>
        <v>42254</v>
      </c>
      <c r="D4" s="231">
        <f>_xll.qlRateHelperLatestDate($A4)</f>
        <v>42620</v>
      </c>
      <c r="E4" s="232">
        <v>0.99147278695552876</v>
      </c>
      <c r="F4" s="195">
        <v>24</v>
      </c>
      <c r="G4" s="233">
        <f>_xll.qlInterestRateIndexFixingDate(IborIndex,I4)</f>
        <v>42614</v>
      </c>
      <c r="H4" s="195" t="str">
        <f>_xll.qlMakeDatedOIS(,I4,J4,OvernightIndex,0,"Act/360",0)</f>
        <v>obj_00684#0000</v>
      </c>
      <c r="I4" s="233">
        <f>_xll.qlCalendarAdvance(Calendar,$D$2,F4&amp;"M","mf")</f>
        <v>42618</v>
      </c>
      <c r="J4" s="233">
        <f>_xll.qlInterestRateIndexMaturity(IborIndex,I4)</f>
        <v>42983</v>
      </c>
      <c r="K4" s="232">
        <f>_xll.qlIndexFixing(IborIndex,G4,TRUE,InterestRatesTrigger)</f>
        <v>5.7062177647022351E-3</v>
      </c>
      <c r="L4" s="232">
        <f>_xll.qlOvernightIndexedSwapFairRate(H4,Contribution!$P$25)</f>
        <v>1.0418297041493122E-3</v>
      </c>
      <c r="M4" s="209">
        <f>ROUND(K4-L4,6)</f>
        <v>4.6639999999999997E-3</v>
      </c>
      <c r="N4" s="232"/>
      <c r="O4" s="195" t="str">
        <f>_xll.qlSimpleQuote(,,,,EvaluationDate)</f>
        <v>obj_0036a#0000</v>
      </c>
      <c r="P4" s="232">
        <f>_xll.qlSimpleQuoteSetValue(O4,M4)</f>
        <v>2.0000000000000052E-5</v>
      </c>
      <c r="AB4" s="209"/>
      <c r="AC4" s="209"/>
      <c r="AD4" s="369"/>
    </row>
    <row r="5" spans="1:30" x14ac:dyDescent="0.2">
      <c r="A5" s="234" t="str">
        <f>RateHelpersFra!F4</f>
        <v>obj_00384#0000</v>
      </c>
      <c r="B5" s="235">
        <f>_xll.qlRateHelperRate($A5,InterestRatesTrigger)</f>
        <v>4.7799999999999995E-3</v>
      </c>
      <c r="C5" s="236">
        <f>_xll.qlRateHelperEarliestDate($A5)</f>
        <v>41887</v>
      </c>
      <c r="D5" s="231">
        <f>_xll.qlRateHelperLatestDate($A5)</f>
        <v>42983</v>
      </c>
      <c r="E5" s="232">
        <v>0.98579572572988816</v>
      </c>
      <c r="F5" s="195">
        <v>36</v>
      </c>
      <c r="G5" s="233">
        <f>_xll.qlInterestRateIndexFixingDate(IborIndex,I5)</f>
        <v>42979</v>
      </c>
      <c r="H5" s="195" t="str">
        <f>_xll.qlMakeDatedOIS(,I5,J5,OvernightIndex,0,"Act/360",0)</f>
        <v>obj_00661#0000</v>
      </c>
      <c r="I5" s="233">
        <f>_xll.qlCalendarAdvance(Calendar,$D$2,F5&amp;"M","mf")</f>
        <v>42983</v>
      </c>
      <c r="J5" s="233">
        <f>_xll.qlInterestRateIndexMaturity(IborIndex,I5)</f>
        <v>43348</v>
      </c>
      <c r="K5" s="232">
        <f>_xll.qlIndexFixing(IborIndex,G5,TRUE,InterestRatesTrigger)</f>
        <v>7.9982364687277117E-3</v>
      </c>
      <c r="L5" s="232">
        <f>_xll.qlOvernightIndexedSwapFairRate(H5,Contribution!$P$25)</f>
        <v>3.009508865542577E-3</v>
      </c>
      <c r="M5" s="209">
        <f>ROUND(K5-L5,6)</f>
        <v>4.9890000000000004E-3</v>
      </c>
      <c r="N5" s="232"/>
      <c r="O5" s="195" t="str">
        <f>_xll.qlSimpleQuote(,,,,EvaluationDate)</f>
        <v>obj_00372#0000</v>
      </c>
      <c r="P5" s="232">
        <f>_xll.qlSimpleQuoteSetValue(O5,M5)</f>
        <v>0</v>
      </c>
      <c r="AB5" s="209"/>
      <c r="AC5" s="209"/>
      <c r="AD5" s="369"/>
    </row>
    <row r="6" spans="1:30" x14ac:dyDescent="0.2">
      <c r="A6" s="234" t="str">
        <f>RateHelpersFra!F5</f>
        <v>obj_00396#0000</v>
      </c>
      <c r="B6" s="235">
        <f>_xll.qlRateHelperRate($A6,InterestRatesTrigger)</f>
        <v>5.6100000000000004E-3</v>
      </c>
      <c r="C6" s="236">
        <f>_xll.qlRateHelperEarliestDate($A6)</f>
        <v>41887</v>
      </c>
      <c r="D6" s="231">
        <f>_xll.qlRateHelperLatestDate($A6)</f>
        <v>43348</v>
      </c>
      <c r="E6" s="232">
        <v>0.97786589525018264</v>
      </c>
      <c r="F6" s="195">
        <v>48</v>
      </c>
      <c r="G6" s="233">
        <f>_xll.qlInterestRateIndexFixingDate(IborIndex,I6)</f>
        <v>43346</v>
      </c>
      <c r="H6" s="195" t="str">
        <f>_xll.qlMakeDatedOIS(,I6,J6,OvernightIndex,0,"Act/360",0)</f>
        <v>obj_00689#0000</v>
      </c>
      <c r="I6" s="233">
        <f>_xll.qlCalendarAdvance(Calendar,$D$2,F6&amp;"M","mf")</f>
        <v>43348</v>
      </c>
      <c r="J6" s="233">
        <f>_xll.qlInterestRateIndexMaturity(IborIndex,I6)</f>
        <v>43713</v>
      </c>
      <c r="K6" s="232">
        <f>_xll.qlIndexFixing(IborIndex,G6,TRUE,InterestRatesTrigger)</f>
        <v>1.089537626050364E-2</v>
      </c>
      <c r="L6" s="232">
        <f>_xll.qlOvernightIndexedSwapFairRate(H6,Contribution!$P$25)</f>
        <v>5.5938090222236543E-3</v>
      </c>
      <c r="M6" s="209">
        <f>ROUND(K6-L6,6)</f>
        <v>5.3020000000000003E-3</v>
      </c>
      <c r="N6" s="232"/>
      <c r="O6" s="195" t="str">
        <f>_xll.qlSimpleQuote(,,,,EvaluationDate)</f>
        <v>obj_0038d#0000</v>
      </c>
      <c r="P6" s="232">
        <f>_xll.qlSimpleQuoteSetValue(O6,M6)</f>
        <v>0</v>
      </c>
      <c r="AB6" s="209"/>
      <c r="AC6" s="209"/>
      <c r="AD6" s="369"/>
    </row>
    <row r="7" spans="1:30" x14ac:dyDescent="0.2">
      <c r="A7" s="234" t="str">
        <f>RateHelpersFra!F6</f>
        <v>obj_00388#0000</v>
      </c>
      <c r="B7" s="235">
        <f>_xll.qlRateHelperRate($A7,InterestRatesTrigger)</f>
        <v>6.6899999999999998E-3</v>
      </c>
      <c r="C7" s="236">
        <f>_xll.qlRateHelperEarliestDate($A7)</f>
        <v>41887</v>
      </c>
      <c r="D7" s="231">
        <f>_xll.qlRateHelperLatestDate($A7)</f>
        <v>43713</v>
      </c>
      <c r="E7" s="232">
        <v>0.96718172795573254</v>
      </c>
      <c r="G7" s="233"/>
      <c r="I7" s="233"/>
      <c r="J7" s="233"/>
      <c r="K7" s="232"/>
      <c r="L7" s="232"/>
      <c r="M7" s="209"/>
      <c r="AB7" s="209"/>
      <c r="AC7" s="209"/>
      <c r="AD7" s="369"/>
    </row>
    <row r="8" spans="1:30" x14ac:dyDescent="0.2">
      <c r="A8" s="234"/>
      <c r="B8" s="235"/>
      <c r="C8" s="236"/>
      <c r="D8" s="231"/>
      <c r="E8" s="232" t="e">
        <v>#N/A</v>
      </c>
      <c r="F8" s="374">
        <v>0</v>
      </c>
      <c r="G8" s="375">
        <f>_xll.qlInterestRateIndexFixingDate(IborIndex,I8)</f>
        <v>41885</v>
      </c>
      <c r="H8" s="374" t="str">
        <f>_xll.qlMakeDatedOIS(,I8,J8,OvernightIndex,0,"Act/360",0)</f>
        <v>obj_00677#0000</v>
      </c>
      <c r="I8" s="375">
        <f>_xll.qlCalendarAdvance(Calendar,$D$2,F8&amp;"M","mf")</f>
        <v>41887</v>
      </c>
      <c r="J8" s="375">
        <f>_xll.qlInterestRateIndexMaturity(IborIndex,I8)</f>
        <v>42254</v>
      </c>
      <c r="K8" s="374"/>
      <c r="L8" s="376">
        <f>_xll.qlOvernightIndexedSwapFairRate(H8,_xll.ohTrigger($P$2:$P$6))</f>
        <v>-1.6000000000000272E-4</v>
      </c>
      <c r="M8" s="377">
        <f>_xll.qlInterpolationInterpolate(BasisInterpolator,I8,,L8)</f>
        <v>4.3499999999999997E-3</v>
      </c>
      <c r="N8" s="376">
        <f>L8+M8</f>
        <v>4.1899999999999967E-3</v>
      </c>
      <c r="AB8" s="209"/>
      <c r="AC8" s="209"/>
      <c r="AD8" s="369"/>
    </row>
    <row r="9" spans="1:30" x14ac:dyDescent="0.2">
      <c r="A9" s="234"/>
      <c r="B9" s="235"/>
      <c r="C9" s="236"/>
      <c r="D9" s="231"/>
      <c r="E9" s="232" t="e">
        <v>#N/A</v>
      </c>
      <c r="F9" s="195">
        <v>1</v>
      </c>
      <c r="G9" s="233">
        <f>_xll.qlInterestRateIndexFixingDate(IborIndex,I9)</f>
        <v>41914</v>
      </c>
      <c r="H9" s="195" t="str">
        <f>_xll.qlMakeDatedOIS(,I9,J9,OvernightIndex,0,"Act/360",0)</f>
        <v>obj_00687#0000</v>
      </c>
      <c r="I9" s="233">
        <f>_xll.qlCalendarAdvance(Calendar,$D$2,F9&amp;"M","mf")</f>
        <v>41918</v>
      </c>
      <c r="J9" s="233">
        <f>_xll.qlInterestRateIndexMaturity(IborIndex,I9)</f>
        <v>42283</v>
      </c>
      <c r="L9" s="232">
        <f>_xll.qlOvernightIndexedSwapFairRate(H9,_xll.ohTrigger($P$2:$P$6))</f>
        <v>-1.8277029119225478E-4</v>
      </c>
      <c r="M9" s="209">
        <f>_xll.qlInterpolationInterpolate(BasisInterpolator,I9,,L9)</f>
        <v>4.3326198911527655E-3</v>
      </c>
      <c r="N9" s="232">
        <f>L9+M9</f>
        <v>4.1498495999605107E-3</v>
      </c>
      <c r="O9" s="369"/>
      <c r="AB9" s="209"/>
      <c r="AC9" s="209"/>
      <c r="AD9" s="369"/>
    </row>
    <row r="10" spans="1:30" x14ac:dyDescent="0.2">
      <c r="A10" s="234"/>
      <c r="B10" s="235"/>
      <c r="C10" s="236"/>
      <c r="D10" s="231"/>
      <c r="E10" s="232" t="e">
        <v>#N/A</v>
      </c>
      <c r="F10" s="195">
        <v>2</v>
      </c>
      <c r="G10" s="233">
        <f>_xll.qlInterestRateIndexFixingDate(IborIndex,I10)</f>
        <v>41946</v>
      </c>
      <c r="H10" s="195" t="str">
        <f>_xll.qlMakeDatedOIS(,I10,J10,OvernightIndex,0,"Act/360",0)</f>
        <v>obj_00690#0000</v>
      </c>
      <c r="I10" s="233">
        <f>_xll.qlCalendarAdvance(Calendar,$D$2,F10&amp;"M","mf")</f>
        <v>41948</v>
      </c>
      <c r="J10" s="233">
        <f>_xll.qlInterestRateIndexMaturity(IborIndex,I10)</f>
        <v>42313</v>
      </c>
      <c r="L10" s="232">
        <f>_xll.qlOvernightIndexedSwapFairRate(H10,_xll.ohTrigger($P$2:$P$6))</f>
        <v>-1.9445715716070861E-4</v>
      </c>
      <c r="M10" s="209">
        <f>_xll.qlInterpolationInterpolate(BasisInterpolator,I10,,L10)</f>
        <v>4.3162455589194878E-3</v>
      </c>
      <c r="N10" s="232">
        <f t="shared" ref="N10:N56" si="0">L10+M10</f>
        <v>4.1217884017587794E-3</v>
      </c>
      <c r="O10" s="369"/>
      <c r="AB10" s="209"/>
      <c r="AC10" s="209"/>
      <c r="AD10" s="369"/>
    </row>
    <row r="11" spans="1:30" x14ac:dyDescent="0.2">
      <c r="A11" s="234"/>
      <c r="B11" s="235"/>
      <c r="C11" s="236"/>
      <c r="D11" s="231"/>
      <c r="E11" s="232" t="e">
        <v>#N/A</v>
      </c>
      <c r="F11" s="195">
        <v>3</v>
      </c>
      <c r="G11" s="233">
        <f>_xll.qlInterestRateIndexFixingDate(IborIndex,I11)</f>
        <v>41976</v>
      </c>
      <c r="H11" s="195" t="str">
        <f>_xll.qlMakeDatedOIS(,I11,J11,OvernightIndex,0,"Act/360",0)</f>
        <v>obj_00668#0000</v>
      </c>
      <c r="I11" s="233">
        <f>_xll.qlCalendarAdvance(Calendar,$D$2,F11&amp;"M","mf")</f>
        <v>41978</v>
      </c>
      <c r="J11" s="233">
        <f>_xll.qlInterestRateIndexMaturity(IborIndex,I11)</f>
        <v>42345</v>
      </c>
      <c r="L11" s="232">
        <f>_xll.qlOvernightIndexedSwapFairRate(H11,_xll.ohTrigger($P$2:$P$6))</f>
        <v>-2.1176203613046781E-4</v>
      </c>
      <c r="M11" s="209">
        <f>_xll.qlInterpolationInterpolate(BasisInterpolator,I11,,L11)</f>
        <v>4.3007421291803806E-3</v>
      </c>
      <c r="N11" s="232">
        <f t="shared" si="0"/>
        <v>4.0889800930499131E-3</v>
      </c>
      <c r="O11" s="369"/>
      <c r="AB11" s="209"/>
      <c r="AC11" s="209"/>
      <c r="AD11" s="369"/>
    </row>
    <row r="12" spans="1:30" x14ac:dyDescent="0.2">
      <c r="A12" s="234"/>
      <c r="B12" s="235"/>
      <c r="C12" s="236"/>
      <c r="D12" s="231"/>
      <c r="E12" s="232" t="e">
        <v>#N/A</v>
      </c>
      <c r="F12" s="195">
        <v>4</v>
      </c>
      <c r="G12" s="233">
        <f>_xll.qlInterestRateIndexFixingDate(IborIndex,I12)</f>
        <v>42004</v>
      </c>
      <c r="H12" s="195" t="str">
        <f>_xll.qlMakeDatedOIS(,I12,J12,OvernightIndex,0,"Act/360",0)</f>
        <v>obj_0068d#0000</v>
      </c>
      <c r="I12" s="233">
        <f>_xll.qlCalendarAdvance(Calendar,$D$2,F12&amp;"M","mf")</f>
        <v>42009</v>
      </c>
      <c r="J12" s="233">
        <f>_xll.qlInterestRateIndexMaturity(IborIndex,I12)</f>
        <v>42374</v>
      </c>
      <c r="L12" s="232">
        <f>_xll.qlOvernightIndexedSwapFairRate(H12,_xll.ohTrigger($P$2:$P$6))</f>
        <v>-2.1347222076746361E-4</v>
      </c>
      <c r="M12" s="209">
        <f>_xll.qlInterpolationInterpolate(BasisInterpolator,I12,,L12)</f>
        <v>4.2860918158176527E-3</v>
      </c>
      <c r="N12" s="232">
        <f t="shared" si="0"/>
        <v>4.0726195950501892E-3</v>
      </c>
      <c r="O12" s="369"/>
      <c r="AB12" s="209"/>
      <c r="AC12" s="209"/>
      <c r="AD12" s="369"/>
    </row>
    <row r="13" spans="1:30" x14ac:dyDescent="0.2">
      <c r="A13" s="234"/>
      <c r="B13" s="235"/>
      <c r="C13" s="236"/>
      <c r="D13" s="231"/>
      <c r="E13" s="232" t="e">
        <v>#N/A</v>
      </c>
      <c r="F13" s="195">
        <v>5</v>
      </c>
      <c r="G13" s="233">
        <f>_xll.qlInterestRateIndexFixingDate(IborIndex,I13)</f>
        <v>42038</v>
      </c>
      <c r="H13" s="195" t="str">
        <f>_xll.qlMakeDatedOIS(,I13,J13,OvernightIndex,0,"Act/360",0)</f>
        <v>obj_00693#0000</v>
      </c>
      <c r="I13" s="233">
        <f>_xll.qlCalendarAdvance(Calendar,$D$2,F13&amp;"M","mf")</f>
        <v>42040</v>
      </c>
      <c r="J13" s="233">
        <f>_xll.qlInterestRateIndexMaturity(IborIndex,I13)</f>
        <v>42405</v>
      </c>
      <c r="L13" s="232">
        <f>_xll.qlOvernightIndexedSwapFairRate(H13,_xll.ohTrigger($P$2:$P$6))</f>
        <v>-2.1651293456974706E-4</v>
      </c>
      <c r="M13" s="209">
        <f>_xll.qlInterpolationInterpolate(BasisInterpolator,I13,,L13)</f>
        <v>4.2733013631146982E-3</v>
      </c>
      <c r="N13" s="232">
        <f t="shared" si="0"/>
        <v>4.0567884285449508E-3</v>
      </c>
      <c r="O13" s="369"/>
      <c r="AB13" s="209"/>
      <c r="AC13" s="209"/>
      <c r="AD13" s="369"/>
    </row>
    <row r="14" spans="1:30" x14ac:dyDescent="0.2">
      <c r="A14" s="234"/>
      <c r="B14" s="235"/>
      <c r="C14" s="236"/>
      <c r="D14" s="231"/>
      <c r="E14" s="232" t="e">
        <v>#N/A</v>
      </c>
      <c r="F14" s="195">
        <v>6</v>
      </c>
      <c r="G14" s="233">
        <f>_xll.qlInterestRateIndexFixingDate(IborIndex,I14)</f>
        <v>42066</v>
      </c>
      <c r="H14" s="195" t="str">
        <f>_xll.qlMakeDatedOIS(,I14,J14,OvernightIndex,0,"Act/360",0)</f>
        <v>obj_00662#0000</v>
      </c>
      <c r="I14" s="233">
        <f>_xll.qlCalendarAdvance(Calendar,$D$2,F14&amp;"M","mf")</f>
        <v>42068</v>
      </c>
      <c r="J14" s="233">
        <f>_xll.qlInterestRateIndexMaturity(IborIndex,I14)</f>
        <v>42436</v>
      </c>
      <c r="L14" s="232">
        <f>_xll.qlOvernightIndexedSwapFairRate(H14,_xll.ohTrigger($P$2:$P$6))</f>
        <v>-2.2634886663605705E-4</v>
      </c>
      <c r="M14" s="209">
        <f>_xll.qlInterpolationInterpolate(BasisInterpolator,I14,,L14)</f>
        <v>4.2637403819485963E-3</v>
      </c>
      <c r="N14" s="232">
        <f t="shared" si="0"/>
        <v>4.0373915153125396E-3</v>
      </c>
      <c r="O14" s="369"/>
      <c r="AB14" s="209"/>
      <c r="AC14" s="209"/>
      <c r="AD14" s="369"/>
    </row>
    <row r="15" spans="1:30" x14ac:dyDescent="0.2">
      <c r="A15" s="234"/>
      <c r="B15" s="235"/>
      <c r="C15" s="236"/>
      <c r="D15" s="231"/>
      <c r="E15" s="232" t="e">
        <v>#N/A</v>
      </c>
      <c r="F15" s="195">
        <v>7</v>
      </c>
      <c r="G15" s="233">
        <f>_xll.qlInterestRateIndexFixingDate(IborIndex,I15)</f>
        <v>42095</v>
      </c>
      <c r="H15" s="195" t="str">
        <f>_xll.qlMakeDatedOIS(,I15,J15,OvernightIndex,0,"Act/360",0)</f>
        <v>obj_0068b#0000</v>
      </c>
      <c r="I15" s="233">
        <f>_xll.qlCalendarAdvance(Calendar,$D$2,F15&amp;"M","mf")</f>
        <v>42101</v>
      </c>
      <c r="J15" s="233">
        <f>_xll.qlInterestRateIndexMaturity(IborIndex,I15)</f>
        <v>42467</v>
      </c>
      <c r="L15" s="232">
        <f>_xll.qlOvernightIndexedSwapFairRate(H15,_xll.ohTrigger($P$2:$P$6))</f>
        <v>-2.13435414478007E-4</v>
      </c>
      <c r="M15" s="209">
        <f>_xll.qlInterpolationInterpolate(BasisInterpolator,I15,,L15)</f>
        <v>4.2553886384031538E-3</v>
      </c>
      <c r="N15" s="232">
        <f t="shared" si="0"/>
        <v>4.0419532239251467E-3</v>
      </c>
      <c r="O15" s="369"/>
      <c r="AB15" s="209"/>
      <c r="AC15" s="209"/>
      <c r="AD15" s="369"/>
    </row>
    <row r="16" spans="1:30" x14ac:dyDescent="0.2">
      <c r="A16" s="234"/>
      <c r="B16" s="235"/>
      <c r="C16" s="236"/>
      <c r="D16" s="231"/>
      <c r="E16" s="232" t="e">
        <v>#N/A</v>
      </c>
      <c r="F16" s="195">
        <v>8</v>
      </c>
      <c r="G16" s="233">
        <f>_xll.qlInterestRateIndexFixingDate(IborIndex,I16)</f>
        <v>42124</v>
      </c>
      <c r="H16" s="195" t="str">
        <f>_xll.qlMakeDatedOIS(,I16,J16,OvernightIndex,0,"Act/360",0)</f>
        <v>obj_0066f#0000</v>
      </c>
      <c r="I16" s="233">
        <f>_xll.qlCalendarAdvance(Calendar,$D$2,F16&amp;"M","mf")</f>
        <v>42129</v>
      </c>
      <c r="J16" s="233">
        <f>_xll.qlInterestRateIndexMaturity(IborIndex,I16)</f>
        <v>42495</v>
      </c>
      <c r="L16" s="232">
        <f>_xll.qlOvernightIndexedSwapFairRate(H16,_xll.ohTrigger($P$2:$P$6))</f>
        <v>-1.956095471607894E-4</v>
      </c>
      <c r="M16" s="209">
        <f>_xll.qlInterpolationInterpolate(BasisInterpolator,I16,,L16)</f>
        <v>4.2511788692290121E-3</v>
      </c>
      <c r="N16" s="232">
        <f t="shared" si="0"/>
        <v>4.055569322068223E-3</v>
      </c>
      <c r="O16" s="369"/>
      <c r="AB16" s="209"/>
      <c r="AC16" s="209"/>
      <c r="AD16" s="369"/>
    </row>
    <row r="17" spans="1:30" x14ac:dyDescent="0.2">
      <c r="A17" s="234"/>
      <c r="B17" s="235"/>
      <c r="C17" s="236"/>
      <c r="D17" s="231"/>
      <c r="E17" s="232" t="e">
        <v>#N/A</v>
      </c>
      <c r="F17" s="195">
        <v>9</v>
      </c>
      <c r="G17" s="233">
        <f>_xll.qlInterestRateIndexFixingDate(IborIndex,I17)</f>
        <v>42158</v>
      </c>
      <c r="H17" s="195" t="str">
        <f>_xll.qlMakeDatedOIS(,I17,J17,OvernightIndex,0,"Act/360",0)</f>
        <v>obj_00663#0000</v>
      </c>
      <c r="I17" s="233">
        <f>_xll.qlCalendarAdvance(Calendar,$D$2,F17&amp;"M","mf")</f>
        <v>42160</v>
      </c>
      <c r="J17" s="233">
        <f>_xll.qlInterestRateIndexMaturity(IborIndex,I17)</f>
        <v>42527</v>
      </c>
      <c r="L17" s="232">
        <f>_xll.qlOvernightIndexedSwapFairRate(H17,_xll.ohTrigger($P$2:$P$6))</f>
        <v>-1.7231622357898724E-4</v>
      </c>
      <c r="M17" s="209">
        <f>_xll.qlInterpolationInterpolate(BasisInterpolator,I17,,L17)</f>
        <v>4.2500432810518747E-3</v>
      </c>
      <c r="N17" s="232">
        <f t="shared" si="0"/>
        <v>4.0777270574728873E-3</v>
      </c>
      <c r="O17" s="369"/>
      <c r="AB17" s="209"/>
      <c r="AC17" s="209"/>
      <c r="AD17" s="369"/>
    </row>
    <row r="18" spans="1:30" x14ac:dyDescent="0.2">
      <c r="A18" s="234"/>
      <c r="B18" s="235"/>
      <c r="C18" s="236"/>
      <c r="D18" s="231"/>
      <c r="E18" s="232" t="e">
        <v>#N/A</v>
      </c>
      <c r="F18" s="195">
        <v>10</v>
      </c>
      <c r="G18" s="233">
        <f>_xll.qlInterestRateIndexFixingDate(IborIndex,I18)</f>
        <v>42187</v>
      </c>
      <c r="H18" s="195" t="str">
        <f>_xll.qlMakeDatedOIS(,I18,J18,OvernightIndex,0,"Act/360",0)</f>
        <v>obj_00678#0000</v>
      </c>
      <c r="I18" s="233">
        <f>_xll.qlCalendarAdvance(Calendar,$D$2,F18&amp;"M","mf")</f>
        <v>42191</v>
      </c>
      <c r="J18" s="233">
        <f>_xll.qlInterestRateIndexMaturity(IborIndex,I18)</f>
        <v>42557</v>
      </c>
      <c r="L18" s="232">
        <f>_xll.qlOvernightIndexedSwapFairRate(H18,_xll.ohTrigger($P$2:$P$6))</f>
        <v>-1.3369338055411404E-4</v>
      </c>
      <c r="M18" s="209">
        <f>_xll.qlInterpolationInterpolate(BasisInterpolator,I18,,L18)</f>
        <v>4.2530695122199678E-3</v>
      </c>
      <c r="N18" s="232">
        <f t="shared" si="0"/>
        <v>4.1193761316658537E-3</v>
      </c>
      <c r="O18" s="369"/>
      <c r="AB18" s="209"/>
      <c r="AC18" s="209"/>
      <c r="AD18" s="369"/>
    </row>
    <row r="19" spans="1:30" x14ac:dyDescent="0.2">
      <c r="A19" s="234"/>
      <c r="B19" s="235"/>
      <c r="C19" s="236"/>
      <c r="D19" s="231"/>
      <c r="E19" s="232" t="e">
        <v>#N/A</v>
      </c>
      <c r="F19" s="195">
        <v>11</v>
      </c>
      <c r="G19" s="233">
        <f>_xll.qlInterestRateIndexFixingDate(IborIndex,I19)</f>
        <v>42219</v>
      </c>
      <c r="H19" s="195" t="str">
        <f>_xll.qlMakeDatedOIS(,I19,J19,OvernightIndex,0,"Act/360",0)</f>
        <v>obj_00682#0000</v>
      </c>
      <c r="I19" s="233">
        <f>_xll.qlCalendarAdvance(Calendar,$D$2,F19&amp;"M","mf")</f>
        <v>42221</v>
      </c>
      <c r="J19" s="233">
        <f>_xll.qlInterestRateIndexMaturity(IborIndex,I19)</f>
        <v>42587</v>
      </c>
      <c r="L19" s="232">
        <f>_xll.qlOvernightIndexedSwapFairRate(H19,_xll.ohTrigger($P$2:$P$6))</f>
        <v>-9.3286307613162889E-5</v>
      </c>
      <c r="M19" s="209">
        <f>_xll.qlInterpolationInterpolate(BasisInterpolator,I19,,L19)</f>
        <v>4.2604058573177421E-3</v>
      </c>
      <c r="N19" s="232">
        <f t="shared" si="0"/>
        <v>4.1671195497045791E-3</v>
      </c>
      <c r="O19" s="369"/>
      <c r="AB19" s="209"/>
      <c r="AC19" s="209"/>
      <c r="AD19" s="369"/>
    </row>
    <row r="20" spans="1:30" x14ac:dyDescent="0.2">
      <c r="A20" s="234"/>
      <c r="B20" s="235"/>
      <c r="C20" s="236"/>
      <c r="D20" s="231"/>
      <c r="E20" s="232" t="e">
        <v>#N/A</v>
      </c>
      <c r="F20" s="370">
        <v>12</v>
      </c>
      <c r="G20" s="371">
        <f>_xll.qlInterestRateIndexFixingDate(IborIndex,I20)</f>
        <v>42250</v>
      </c>
      <c r="H20" s="370" t="str">
        <f>_xll.qlMakeDatedOIS(,I20,J20,OvernightIndex,0,"Act/360",0)</f>
        <v>obj_0067c#0000</v>
      </c>
      <c r="I20" s="371">
        <f>_xll.qlCalendarAdvance(Calendar,$D$2,F20&amp;"M","mf")</f>
        <v>42254</v>
      </c>
      <c r="J20" s="371">
        <f>_xll.qlInterestRateIndexMaturity(IborIndex,I20)</f>
        <v>42620</v>
      </c>
      <c r="K20" s="370"/>
      <c r="L20" s="372">
        <f>_xll.qlOvernightIndexedSwapFairRate(H20,_xll.ohTrigger($P$2:$P$6))</f>
        <v>-3.3602177869802283E-5</v>
      </c>
      <c r="M20" s="373">
        <f>_xll.qlInterpolationInterpolate(BasisInterpolator,I20,,L20)</f>
        <v>4.274E-3</v>
      </c>
      <c r="N20" s="372">
        <f t="shared" ref="N20" si="1">L20+M20</f>
        <v>4.240397822130198E-3</v>
      </c>
      <c r="O20" s="369"/>
      <c r="AB20" s="209"/>
      <c r="AC20" s="209"/>
      <c r="AD20" s="369"/>
    </row>
    <row r="21" spans="1:30" x14ac:dyDescent="0.2">
      <c r="A21" s="234"/>
      <c r="B21" s="235"/>
      <c r="C21" s="236"/>
      <c r="D21" s="231"/>
      <c r="E21" s="232" t="e">
        <v>#N/A</v>
      </c>
      <c r="F21" s="195">
        <v>13</v>
      </c>
      <c r="G21" s="233">
        <f>_xll.qlInterestRateIndexFixingDate(IborIndex,I21)</f>
        <v>42278</v>
      </c>
      <c r="H21" s="195" t="str">
        <f>_xll.qlMakeDatedOIS(,I21,J21,OvernightIndex,0,"Act/360",0)</f>
        <v>obj_0068e#0000</v>
      </c>
      <c r="I21" s="233">
        <f>_xll.qlCalendarAdvance(Calendar,$D$2,F21&amp;"M","mf")</f>
        <v>42282</v>
      </c>
      <c r="J21" s="233">
        <f>_xll.qlInterestRateIndexMaturity(IborIndex,I21)</f>
        <v>42648</v>
      </c>
      <c r="L21" s="232">
        <f>_xll.qlOvernightIndexedSwapFairRate(H21,_xll.ohTrigger($P$2:$P$6))</f>
        <v>6.6001618081284213E-5</v>
      </c>
      <c r="M21" s="209">
        <f>_xll.qlInterpolationInterpolate(BasisInterpolator,I21,,L21)</f>
        <v>4.2903439649787595E-3</v>
      </c>
      <c r="N21" s="232">
        <f t="shared" si="0"/>
        <v>4.356345583060044E-3</v>
      </c>
      <c r="O21" s="369"/>
      <c r="AB21" s="209"/>
      <c r="AC21" s="209"/>
      <c r="AD21" s="369"/>
    </row>
    <row r="22" spans="1:30" x14ac:dyDescent="0.2">
      <c r="A22" s="234"/>
      <c r="B22" s="235"/>
      <c r="C22" s="236"/>
      <c r="D22" s="231"/>
      <c r="E22" s="232" t="e">
        <v>#N/A</v>
      </c>
      <c r="F22" s="195">
        <v>14</v>
      </c>
      <c r="G22" s="233">
        <f>_xll.qlInterestRateIndexFixingDate(IborIndex,I22)</f>
        <v>42311</v>
      </c>
      <c r="H22" s="195" t="str">
        <f>_xll.qlMakeDatedOIS(,I22,J22,OvernightIndex,0,"Act/360",0)</f>
        <v>obj_00676#0000</v>
      </c>
      <c r="I22" s="233">
        <f>_xll.qlCalendarAdvance(Calendar,$D$2,F22&amp;"M","mf")</f>
        <v>42313</v>
      </c>
      <c r="J22" s="233">
        <f>_xll.qlInterestRateIndexMaturity(IborIndex,I22)</f>
        <v>42681</v>
      </c>
      <c r="L22" s="232">
        <f>_xll.qlOvernightIndexedSwapFairRate(H22,_xll.ohTrigger($P$2:$P$6))</f>
        <v>1.8099108270630066E-4</v>
      </c>
      <c r="M22" s="209">
        <f>_xll.qlInterpolationInterpolate(BasisInterpolator,I22,,L22)</f>
        <v>4.3131707676320836E-3</v>
      </c>
      <c r="N22" s="232">
        <f t="shared" si="0"/>
        <v>4.4941618503383839E-3</v>
      </c>
      <c r="O22" s="369"/>
      <c r="AB22" s="209"/>
      <c r="AC22" s="209"/>
      <c r="AD22" s="369"/>
    </row>
    <row r="23" spans="1:30" x14ac:dyDescent="0.2">
      <c r="A23" s="234"/>
      <c r="B23" s="235"/>
      <c r="C23" s="236"/>
      <c r="D23" s="231"/>
      <c r="E23" s="232" t="e">
        <v>#N/A</v>
      </c>
      <c r="F23" s="195">
        <v>15</v>
      </c>
      <c r="G23" s="233">
        <f>_xll.qlInterestRateIndexFixingDate(IborIndex,I23)</f>
        <v>42341</v>
      </c>
      <c r="H23" s="195" t="str">
        <f>_xll.qlMakeDatedOIS(,I23,J23,OvernightIndex,0,"Act/360",0)</f>
        <v>obj_00686#0000</v>
      </c>
      <c r="I23" s="233">
        <f>_xll.qlCalendarAdvance(Calendar,$D$2,F23&amp;"M","mf")</f>
        <v>42345</v>
      </c>
      <c r="J23" s="233">
        <f>_xll.qlInterestRateIndexMaturity(IborIndex,I23)</f>
        <v>42711</v>
      </c>
      <c r="L23" s="232">
        <f>_xll.qlOvernightIndexedSwapFairRate(H23,_xll.ohTrigger($P$2:$P$6))</f>
        <v>2.9014703969312057E-4</v>
      </c>
      <c r="M23" s="209">
        <f>_xll.qlInterpolationInterpolate(BasisInterpolator,I23,,L23)</f>
        <v>4.3412663921884968E-3</v>
      </c>
      <c r="N23" s="232">
        <f t="shared" si="0"/>
        <v>4.6314134318816173E-3</v>
      </c>
      <c r="O23" s="369"/>
      <c r="AB23" s="209"/>
      <c r="AC23" s="209"/>
      <c r="AD23" s="369"/>
    </row>
    <row r="24" spans="1:30" x14ac:dyDescent="0.2">
      <c r="A24" s="234"/>
      <c r="B24" s="235"/>
      <c r="C24" s="236"/>
      <c r="D24" s="231"/>
      <c r="E24" s="232" t="e">
        <v>#N/A</v>
      </c>
      <c r="F24" s="195">
        <v>16</v>
      </c>
      <c r="G24" s="233">
        <f>_xll.qlInterestRateIndexFixingDate(IborIndex,I24)</f>
        <v>42369</v>
      </c>
      <c r="H24" s="195" t="str">
        <f>_xll.qlMakeDatedOIS(,I24,J24,OvernightIndex,0,"Act/360",0)</f>
        <v>obj_00669#0000</v>
      </c>
      <c r="I24" s="233">
        <f>_xll.qlCalendarAdvance(Calendar,$D$2,F24&amp;"M","mf")</f>
        <v>42374</v>
      </c>
      <c r="J24" s="233">
        <f>_xll.qlInterestRateIndexMaturity(IborIndex,I24)</f>
        <v>42740</v>
      </c>
      <c r="L24" s="232">
        <f>_xll.qlOvernightIndexedSwapFairRate(H24,_xll.ohTrigger($P$2:$P$6))</f>
        <v>3.8216721549650469E-4</v>
      </c>
      <c r="M24" s="209">
        <f>_xll.qlInterpolationInterpolate(BasisInterpolator,I24,,L24)</f>
        <v>4.3700993009218999E-3</v>
      </c>
      <c r="N24" s="232">
        <f t="shared" si="0"/>
        <v>4.7522665164184043E-3</v>
      </c>
      <c r="O24" s="369"/>
      <c r="AB24" s="209"/>
      <c r="AC24" s="209"/>
      <c r="AD24" s="369"/>
    </row>
    <row r="25" spans="1:30" x14ac:dyDescent="0.2">
      <c r="A25" s="234"/>
      <c r="B25" s="235"/>
      <c r="C25" s="236"/>
      <c r="D25" s="231"/>
      <c r="E25" s="232" t="e">
        <v>#N/A</v>
      </c>
      <c r="F25" s="195">
        <v>17</v>
      </c>
      <c r="G25" s="233">
        <f>_xll.qlInterestRateIndexFixingDate(IborIndex,I25)</f>
        <v>42403</v>
      </c>
      <c r="H25" s="195" t="str">
        <f>_xll.qlMakeDatedOIS(,I25,J25,OvernightIndex,0,"Act/360",0)</f>
        <v>obj_0067d#0000</v>
      </c>
      <c r="I25" s="233">
        <f>_xll.qlCalendarAdvance(Calendar,$D$2,F25&amp;"M","mf")</f>
        <v>42405</v>
      </c>
      <c r="J25" s="233">
        <f>_xll.qlInterestRateIndexMaturity(IborIndex,I25)</f>
        <v>42772</v>
      </c>
      <c r="L25" s="232">
        <f>_xll.qlOvernightIndexedSwapFairRate(H25,_xll.ohTrigger($P$2:$P$6))</f>
        <v>4.8207241065464679E-4</v>
      </c>
      <c r="M25" s="209">
        <f>_xll.qlInterpolationInterpolate(BasisInterpolator,I25,,L25)</f>
        <v>4.4038282819155311E-3</v>
      </c>
      <c r="N25" s="232">
        <f t="shared" si="0"/>
        <v>4.8859006925701777E-3</v>
      </c>
      <c r="O25" s="369"/>
      <c r="AB25" s="209"/>
      <c r="AC25" s="209"/>
      <c r="AD25" s="369"/>
    </row>
    <row r="26" spans="1:30" x14ac:dyDescent="0.2">
      <c r="A26" s="234"/>
      <c r="B26" s="235"/>
      <c r="C26" s="236"/>
      <c r="D26" s="231"/>
      <c r="E26" s="232" t="e">
        <v>#N/A</v>
      </c>
      <c r="F26" s="195">
        <v>18</v>
      </c>
      <c r="G26" s="233">
        <f>_xll.qlInterestRateIndexFixingDate(IborIndex,I26)</f>
        <v>42432</v>
      </c>
      <c r="H26" s="195" t="str">
        <f>_xll.qlMakeDatedOIS(,I26,J26,OvernightIndex,0,"Act/360",0)</f>
        <v>obj_0066a#0000</v>
      </c>
      <c r="I26" s="233">
        <f>_xll.qlCalendarAdvance(Calendar,$D$2,F26&amp;"M","mf")</f>
        <v>42436</v>
      </c>
      <c r="J26" s="233">
        <f>_xll.qlInterestRateIndexMaturity(IborIndex,I26)</f>
        <v>42801</v>
      </c>
      <c r="L26" s="232">
        <f>_xll.qlOvernightIndexedSwapFairRate(H26,_xll.ohTrigger($P$2:$P$6))</f>
        <v>5.7766048465687054E-4</v>
      </c>
      <c r="M26" s="209">
        <f>_xll.qlInterpolationInterpolate(BasisInterpolator,I26,,L26)</f>
        <v>4.4399106230163634E-3</v>
      </c>
      <c r="N26" s="232">
        <f t="shared" si="0"/>
        <v>5.0175711076732342E-3</v>
      </c>
      <c r="O26" s="369"/>
      <c r="AB26" s="209"/>
      <c r="AC26" s="209"/>
      <c r="AD26" s="369"/>
    </row>
    <row r="27" spans="1:30" x14ac:dyDescent="0.2">
      <c r="A27" s="234"/>
      <c r="B27" s="235"/>
      <c r="C27" s="236"/>
      <c r="D27" s="231"/>
      <c r="E27" s="232" t="e">
        <v>#N/A</v>
      </c>
      <c r="F27" s="195">
        <v>19</v>
      </c>
      <c r="G27" s="233">
        <f>_xll.qlInterestRateIndexFixingDate(IborIndex,I27)</f>
        <v>42461</v>
      </c>
      <c r="H27" s="195" t="str">
        <f>_xll.qlMakeDatedOIS(,I27,J27,OvernightIndex,0,"Act/360",0)</f>
        <v>obj_0067e#0000</v>
      </c>
      <c r="I27" s="233">
        <f>_xll.qlCalendarAdvance(Calendar,$D$2,F27&amp;"M","mf")</f>
        <v>42465</v>
      </c>
      <c r="J27" s="233">
        <f>_xll.qlInterestRateIndexMaturity(IborIndex,I27)</f>
        <v>42830</v>
      </c>
      <c r="L27" s="232">
        <f>_xll.qlOvernightIndexedSwapFairRate(H27,_xll.ohTrigger($P$2:$P$6))</f>
        <v>6.6277784763438079E-4</v>
      </c>
      <c r="M27" s="209">
        <f>_xll.qlInterpolationInterpolate(BasisInterpolator,I27,,L27)</f>
        <v>4.4752060887975325E-3</v>
      </c>
      <c r="N27" s="232">
        <f t="shared" si="0"/>
        <v>5.1379839364319134E-3</v>
      </c>
      <c r="O27" s="369"/>
      <c r="AB27" s="209"/>
      <c r="AC27" s="209"/>
      <c r="AD27" s="369"/>
    </row>
    <row r="28" spans="1:30" x14ac:dyDescent="0.2">
      <c r="A28" s="234"/>
      <c r="B28" s="235"/>
      <c r="C28" s="236"/>
      <c r="D28" s="231"/>
      <c r="E28" s="232" t="e">
        <v>#N/A</v>
      </c>
      <c r="F28" s="195">
        <v>20</v>
      </c>
      <c r="G28" s="233">
        <f>_xll.qlInterestRateIndexFixingDate(IborIndex,I28)</f>
        <v>42493</v>
      </c>
      <c r="H28" s="195" t="str">
        <f>_xll.qlMakeDatedOIS(,I28,J28,OvernightIndex,0,"Act/360",0)</f>
        <v>obj_00660#0000</v>
      </c>
      <c r="I28" s="233">
        <f>_xll.qlCalendarAdvance(Calendar,$D$2,F28&amp;"M","mf")</f>
        <v>42495</v>
      </c>
      <c r="J28" s="233">
        <f>_xll.qlInterestRateIndexMaturity(IborIndex,I28)</f>
        <v>42860</v>
      </c>
      <c r="L28" s="232">
        <f>_xll.qlOvernightIndexedSwapFairRate(H28,_xll.ohTrigger($P$2:$P$6))</f>
        <v>7.5083801747846495E-4</v>
      </c>
      <c r="M28" s="209">
        <f>_xll.qlInterpolationInterpolate(BasisInterpolator,I28,,L28)</f>
        <v>4.512693156817499E-3</v>
      </c>
      <c r="N28" s="232">
        <f t="shared" si="0"/>
        <v>5.2635311742959641E-3</v>
      </c>
      <c r="O28" s="369"/>
      <c r="AB28" s="209"/>
      <c r="AC28" s="209"/>
      <c r="AD28" s="369"/>
    </row>
    <row r="29" spans="1:30" x14ac:dyDescent="0.2">
      <c r="A29" s="234"/>
      <c r="B29" s="235"/>
      <c r="C29" s="236"/>
      <c r="D29" s="231"/>
      <c r="E29" s="232" t="e">
        <v>#N/A</v>
      </c>
      <c r="F29" s="195">
        <v>21</v>
      </c>
      <c r="G29" s="233">
        <f>_xll.qlInterestRateIndexFixingDate(IborIndex,I29)</f>
        <v>42523</v>
      </c>
      <c r="H29" s="195" t="str">
        <f>_xll.qlMakeDatedOIS(,I29,J29,OvernightIndex,0,"Act/360",0)</f>
        <v>obj_0068a#0000</v>
      </c>
      <c r="I29" s="233">
        <f>_xll.qlCalendarAdvance(Calendar,$D$2,F29&amp;"M","mf")</f>
        <v>42527</v>
      </c>
      <c r="J29" s="233">
        <f>_xll.qlInterestRateIndexMaturity(IborIndex,I29)</f>
        <v>42892</v>
      </c>
      <c r="L29" s="232">
        <f>_xll.qlOvernightIndexedSwapFairRate(H29,_xll.ohTrigger($P$2:$P$6))</f>
        <v>8.4477752550706853E-4</v>
      </c>
      <c r="M29" s="209">
        <f>_xll.qlInterpolationInterpolate(BasisInterpolator,I29,,L29)</f>
        <v>4.5530995423360473E-3</v>
      </c>
      <c r="N29" s="232">
        <f t="shared" si="0"/>
        <v>5.3978770678431154E-3</v>
      </c>
      <c r="O29" s="369"/>
      <c r="AB29" s="209"/>
      <c r="AC29" s="209"/>
      <c r="AD29" s="369"/>
    </row>
    <row r="30" spans="1:30" x14ac:dyDescent="0.2">
      <c r="A30" s="234"/>
      <c r="B30" s="235"/>
      <c r="C30" s="236"/>
      <c r="D30" s="231"/>
      <c r="E30" s="232" t="e">
        <v>#N/A</v>
      </c>
      <c r="F30" s="195">
        <v>22</v>
      </c>
      <c r="G30" s="233">
        <f>_xll.qlInterestRateIndexFixingDate(IborIndex,I30)</f>
        <v>42552</v>
      </c>
      <c r="H30" s="195" t="str">
        <f>_xll.qlMakeDatedOIS(,I30,J30,OvernightIndex,0,"Act/360",0)</f>
        <v>obj_00685#0000</v>
      </c>
      <c r="I30" s="233">
        <f>_xll.qlCalendarAdvance(Calendar,$D$2,F30&amp;"M","mf")</f>
        <v>42556</v>
      </c>
      <c r="J30" s="233">
        <f>_xll.qlInterestRateIndexMaturity(IborIndex,I30)</f>
        <v>42921</v>
      </c>
      <c r="L30" s="232">
        <f>_xll.qlOvernightIndexedSwapFairRate(H30,_xll.ohTrigger($P$2:$P$6))</f>
        <v>9.0757010382782992E-4</v>
      </c>
      <c r="M30" s="209">
        <f>_xll.qlInterpolationInterpolate(BasisInterpolator,I30,,L30)</f>
        <v>4.5894931546784021E-3</v>
      </c>
      <c r="N30" s="232">
        <f t="shared" si="0"/>
        <v>5.497063258506232E-3</v>
      </c>
      <c r="O30" s="369"/>
      <c r="AB30" s="209"/>
      <c r="AC30" s="209"/>
      <c r="AD30" s="369"/>
    </row>
    <row r="31" spans="1:30" x14ac:dyDescent="0.2">
      <c r="A31" s="234"/>
      <c r="B31" s="235"/>
      <c r="C31" s="236"/>
      <c r="D31" s="231"/>
      <c r="E31" s="232" t="e">
        <v>#N/A</v>
      </c>
      <c r="F31" s="195">
        <v>23</v>
      </c>
      <c r="G31" s="233">
        <f>_xll.qlInterestRateIndexFixingDate(IborIndex,I31)</f>
        <v>42585</v>
      </c>
      <c r="H31" s="195" t="str">
        <f>_xll.qlMakeDatedOIS(,I31,J31,OvernightIndex,0,"Act/360",0)</f>
        <v>obj_0068f#0000</v>
      </c>
      <c r="I31" s="233">
        <f>_xll.qlCalendarAdvance(Calendar,$D$2,F31&amp;"M","mf")</f>
        <v>42587</v>
      </c>
      <c r="J31" s="233">
        <f>_xll.qlInterestRateIndexMaturity(IborIndex,I31)</f>
        <v>42954</v>
      </c>
      <c r="L31" s="232">
        <f>_xll.qlOvernightIndexedSwapFairRate(H31,_xll.ohTrigger($P$2:$P$6))</f>
        <v>9.7506609188906268E-4</v>
      </c>
      <c r="M31" s="209">
        <f>_xll.qlInterpolationInterpolate(BasisInterpolator,I31,,L31)</f>
        <v>4.6275233639311497E-3</v>
      </c>
      <c r="N31" s="232">
        <f t="shared" si="0"/>
        <v>5.6025894558202121E-3</v>
      </c>
      <c r="O31" s="369"/>
      <c r="AB31" s="209"/>
      <c r="AC31" s="209"/>
      <c r="AD31" s="369"/>
    </row>
    <row r="32" spans="1:30" x14ac:dyDescent="0.2">
      <c r="A32" s="234"/>
      <c r="B32" s="235"/>
      <c r="C32" s="236"/>
      <c r="D32" s="231"/>
      <c r="E32" s="232" t="e">
        <v>#N/A</v>
      </c>
      <c r="F32" s="374">
        <v>24</v>
      </c>
      <c r="G32" s="375">
        <f>_xll.qlInterestRateIndexFixingDate(IborIndex,I32)</f>
        <v>42614</v>
      </c>
      <c r="H32" s="374" t="str">
        <f>_xll.qlMakeDatedOIS(,I32,J32,OvernightIndex,0,"Act/360",0)</f>
        <v>obj_0066c#0000</v>
      </c>
      <c r="I32" s="375">
        <f>_xll.qlCalendarAdvance(Calendar,$D$2,F32&amp;"M","mf")</f>
        <v>42618</v>
      </c>
      <c r="J32" s="375">
        <f>_xll.qlInterestRateIndexMaturity(IborIndex,I32)</f>
        <v>42983</v>
      </c>
      <c r="K32" s="374"/>
      <c r="L32" s="376">
        <f>_xll.qlOvernightIndexedSwapFairRate(H32,_xll.ohTrigger($P$2:$P$6))</f>
        <v>1.0418297041493122E-3</v>
      </c>
      <c r="M32" s="377">
        <f>_xll.qlInterpolationInterpolate(BasisInterpolator,I32,,L32)</f>
        <v>4.6639999999999997E-3</v>
      </c>
      <c r="N32" s="376">
        <f t="shared" ref="N32" si="2">L32+M32</f>
        <v>5.7058297041493117E-3</v>
      </c>
      <c r="O32" s="369"/>
      <c r="AB32" s="209"/>
      <c r="AC32" s="209"/>
      <c r="AD32" s="369"/>
    </row>
    <row r="33" spans="1:30" x14ac:dyDescent="0.2">
      <c r="A33" s="234"/>
      <c r="B33" s="235"/>
      <c r="C33" s="236"/>
      <c r="D33" s="231"/>
      <c r="E33" s="232" t="e">
        <v>#N/A</v>
      </c>
      <c r="F33" s="195">
        <v>25</v>
      </c>
      <c r="G33" s="233">
        <f>_xll.qlInterestRateIndexFixingDate(IborIndex,I33)</f>
        <v>42646</v>
      </c>
      <c r="H33" s="195" t="str">
        <f>_xll.qlMakeDatedOIS(,I33,J33,OvernightIndex,0,"Act/360",0)</f>
        <v>obj_00691#0000</v>
      </c>
      <c r="I33" s="233">
        <f>_xll.qlCalendarAdvance(Calendar,$D$2,F33&amp;"M","mf")</f>
        <v>42648</v>
      </c>
      <c r="J33" s="233">
        <f>_xll.qlInterestRateIndexMaturity(IborIndex,I33)</f>
        <v>43013</v>
      </c>
      <c r="L33" s="232">
        <f>_xll.qlOvernightIndexedSwapFairRate(H33,_xll.ohTrigger($P$2:$P$6))</f>
        <v>1.2034090389761282E-3</v>
      </c>
      <c r="M33" s="209">
        <f>_xll.qlInterpolationInterpolate(BasisInterpolator,I33,,L33)</f>
        <v>4.6973284018503288E-3</v>
      </c>
      <c r="N33" s="232">
        <f t="shared" si="0"/>
        <v>5.9007374408264566E-3</v>
      </c>
      <c r="O33" s="369"/>
      <c r="AB33" s="209"/>
      <c r="AC33" s="209"/>
      <c r="AD33" s="369"/>
    </row>
    <row r="34" spans="1:30" x14ac:dyDescent="0.2">
      <c r="A34" s="234"/>
      <c r="B34" s="235"/>
      <c r="C34" s="236"/>
      <c r="D34" s="231"/>
      <c r="E34" s="232" t="e">
        <v>#N/A</v>
      </c>
      <c r="F34" s="195">
        <v>26</v>
      </c>
      <c r="G34" s="233">
        <f>_xll.qlInterestRateIndexFixingDate(IborIndex,I34)</f>
        <v>42677</v>
      </c>
      <c r="H34" s="195" t="str">
        <f>_xll.qlMakeDatedOIS(,I34,J34,OvernightIndex,0,"Act/360",0)</f>
        <v>obj_0067b#0000</v>
      </c>
      <c r="I34" s="233">
        <f>_xll.qlCalendarAdvance(Calendar,$D$2,F34&amp;"M","mf")</f>
        <v>42681</v>
      </c>
      <c r="J34" s="233">
        <f>_xll.qlInterestRateIndexMaturity(IborIndex,I34)</f>
        <v>43046</v>
      </c>
      <c r="L34" s="232">
        <f>_xll.qlOvernightIndexedSwapFairRate(H34,_xll.ohTrigger($P$2:$P$6))</f>
        <v>1.3811768486086528E-3</v>
      </c>
      <c r="M34" s="209">
        <f>_xll.qlInterpolationInterpolate(BasisInterpolator,I34,,L34)</f>
        <v>4.7318322385487112E-3</v>
      </c>
      <c r="N34" s="232">
        <f t="shared" si="0"/>
        <v>6.1130090871573638E-3</v>
      </c>
      <c r="O34" s="369"/>
      <c r="AB34" s="209"/>
      <c r="AC34" s="209"/>
      <c r="AD34" s="369"/>
    </row>
    <row r="35" spans="1:30" x14ac:dyDescent="0.2">
      <c r="A35" s="234"/>
      <c r="B35" s="235"/>
      <c r="C35" s="236"/>
      <c r="D35" s="231"/>
      <c r="E35" s="232" t="e">
        <v>#N/A</v>
      </c>
      <c r="F35" s="195">
        <v>27</v>
      </c>
      <c r="G35" s="233">
        <f>_xll.qlInterestRateIndexFixingDate(IborIndex,I35)</f>
        <v>42705</v>
      </c>
      <c r="H35" s="195" t="str">
        <f>_xll.qlMakeDatedOIS(,I35,J35,OvernightIndex,0,"Act/360",0)</f>
        <v>obj_0066d#0000</v>
      </c>
      <c r="I35" s="233">
        <f>_xll.qlCalendarAdvance(Calendar,$D$2,F35&amp;"M","mf")</f>
        <v>42709</v>
      </c>
      <c r="J35" s="233">
        <f>_xll.qlInterestRateIndexMaturity(IborIndex,I35)</f>
        <v>43074</v>
      </c>
      <c r="L35" s="232">
        <f>_xll.qlOvernightIndexedSwapFairRate(H35,_xll.ohTrigger($P$2:$P$6))</f>
        <v>1.5320352369697537E-3</v>
      </c>
      <c r="M35" s="209">
        <f>_xll.qlInterpolationInterpolate(BasisInterpolator,I35,,L35)</f>
        <v>4.7595310688455759E-3</v>
      </c>
      <c r="N35" s="232">
        <f t="shared" si="0"/>
        <v>6.2915663058153298E-3</v>
      </c>
      <c r="O35" s="369"/>
      <c r="AB35" s="209"/>
      <c r="AC35" s="209"/>
      <c r="AD35" s="369"/>
    </row>
    <row r="36" spans="1:30" x14ac:dyDescent="0.2">
      <c r="A36" s="234"/>
      <c r="B36" s="235"/>
      <c r="C36" s="236"/>
      <c r="D36" s="231"/>
      <c r="E36" s="232" t="e">
        <v>#N/A</v>
      </c>
      <c r="F36" s="195">
        <v>28</v>
      </c>
      <c r="G36" s="233">
        <f>_xll.qlInterestRateIndexFixingDate(IborIndex,I36)</f>
        <v>42738</v>
      </c>
      <c r="H36" s="195" t="str">
        <f>_xll.qlMakeDatedOIS(,I36,J36,OvernightIndex,0,"Act/360",0)</f>
        <v>obj_00671#0000</v>
      </c>
      <c r="I36" s="233">
        <f>_xll.qlCalendarAdvance(Calendar,$D$2,F36&amp;"M","mf")</f>
        <v>42740</v>
      </c>
      <c r="J36" s="233">
        <f>_xll.qlInterestRateIndexMaturity(IborIndex,I36)</f>
        <v>43105</v>
      </c>
      <c r="L36" s="232">
        <f>_xll.qlOvernightIndexedSwapFairRate(H36,_xll.ohTrigger($P$2:$P$6))</f>
        <v>1.6990839017505443E-3</v>
      </c>
      <c r="M36" s="209">
        <f>_xll.qlInterpolationInterpolate(BasisInterpolator,I36,,L36)</f>
        <v>4.7887201403767196E-3</v>
      </c>
      <c r="N36" s="232">
        <f t="shared" si="0"/>
        <v>6.4878040421272641E-3</v>
      </c>
      <c r="O36" s="369"/>
      <c r="AB36" s="209"/>
      <c r="AC36" s="209"/>
      <c r="AD36" s="369"/>
    </row>
    <row r="37" spans="1:30" x14ac:dyDescent="0.2">
      <c r="A37" s="234"/>
      <c r="B37" s="235"/>
      <c r="C37" s="236"/>
      <c r="D37" s="231"/>
      <c r="E37" s="232" t="e">
        <v>#N/A</v>
      </c>
      <c r="F37" s="195">
        <v>29</v>
      </c>
      <c r="G37" s="233">
        <f>_xll.qlInterestRateIndexFixingDate(IborIndex,I37)</f>
        <v>42768</v>
      </c>
      <c r="H37" s="195" t="str">
        <f>_xll.qlMakeDatedOIS(,I37,J37,OvernightIndex,0,"Act/360",0)</f>
        <v>obj_00681#0000</v>
      </c>
      <c r="I37" s="233">
        <f>_xll.qlCalendarAdvance(Calendar,$D$2,F37&amp;"M","mf")</f>
        <v>42772</v>
      </c>
      <c r="J37" s="233">
        <f>_xll.qlInterestRateIndexMaturity(IborIndex,I37)</f>
        <v>43137</v>
      </c>
      <c r="L37" s="232">
        <f>_xll.qlOvernightIndexedSwapFairRate(H37,_xll.ohTrigger($P$2:$P$6))</f>
        <v>1.8715508637235118E-3</v>
      </c>
      <c r="M37" s="209">
        <f>_xll.qlInterpolationInterpolate(BasisInterpolator,I37,,L37)</f>
        <v>4.8174527157223536E-3</v>
      </c>
      <c r="N37" s="232">
        <f t="shared" si="0"/>
        <v>6.6890035794458652E-3</v>
      </c>
      <c r="O37" s="369"/>
      <c r="AB37" s="209"/>
      <c r="AC37" s="209"/>
      <c r="AD37" s="369"/>
    </row>
    <row r="38" spans="1:30" x14ac:dyDescent="0.2">
      <c r="A38" s="234"/>
      <c r="B38" s="235"/>
      <c r="C38" s="236"/>
      <c r="D38" s="231"/>
      <c r="E38" s="232" t="e">
        <v>#N/A</v>
      </c>
      <c r="F38" s="195">
        <v>30</v>
      </c>
      <c r="G38" s="233">
        <f>_xll.qlInterestRateIndexFixingDate(IborIndex,I38)</f>
        <v>42796</v>
      </c>
      <c r="H38" s="195" t="str">
        <f>_xll.qlMakeDatedOIS(,I38,J38,OvernightIndex,0,"Act/360",0)</f>
        <v>obj_00674#0000</v>
      </c>
      <c r="I38" s="233">
        <f>_xll.qlCalendarAdvance(Calendar,$D$2,F38&amp;"M","mf")</f>
        <v>42800</v>
      </c>
      <c r="J38" s="233">
        <f>_xll.qlInterestRateIndexMaturity(IborIndex,I38)</f>
        <v>43165</v>
      </c>
      <c r="L38" s="232">
        <f>_xll.qlOvernightIndexedSwapFairRate(H38,_xll.ohTrigger($P$2:$P$6))</f>
        <v>2.0224841516906919E-3</v>
      </c>
      <c r="M38" s="209">
        <f>_xll.qlInterpolationInterpolate(BasisInterpolator,I38,,L38)</f>
        <v>4.8416207136497613E-3</v>
      </c>
      <c r="N38" s="232">
        <f t="shared" si="0"/>
        <v>6.8641048653404532E-3</v>
      </c>
      <c r="O38" s="369"/>
      <c r="AB38" s="209"/>
      <c r="AC38" s="209"/>
      <c r="AD38" s="369"/>
    </row>
    <row r="39" spans="1:30" x14ac:dyDescent="0.2">
      <c r="A39" s="234"/>
      <c r="B39" s="235"/>
      <c r="C39" s="236"/>
      <c r="D39" s="231"/>
      <c r="E39" s="232" t="e">
        <v>#N/A</v>
      </c>
      <c r="F39" s="195">
        <v>31</v>
      </c>
      <c r="G39" s="233">
        <f>_xll.qlInterestRateIndexFixingDate(IborIndex,I39)</f>
        <v>42828</v>
      </c>
      <c r="H39" s="195" t="str">
        <f>_xll.qlMakeDatedOIS(,I39,J39,OvernightIndex,0,"Act/360",0)</f>
        <v>obj_00675#0000</v>
      </c>
      <c r="I39" s="233">
        <f>_xll.qlCalendarAdvance(Calendar,$D$2,F39&amp;"M","mf")</f>
        <v>42830</v>
      </c>
      <c r="J39" s="233">
        <f>_xll.qlInterestRateIndexMaturity(IborIndex,I39)</f>
        <v>43195</v>
      </c>
      <c r="L39" s="232">
        <f>_xll.qlOvernightIndexedSwapFairRate(H39,_xll.ohTrigger($P$2:$P$6))</f>
        <v>2.1842239712338732E-3</v>
      </c>
      <c r="M39" s="209">
        <f>_xll.qlInterpolationInterpolate(BasisInterpolator,I39,,L39)</f>
        <v>4.8667039752657839E-3</v>
      </c>
      <c r="N39" s="232">
        <f t="shared" si="0"/>
        <v>7.0509279464996567E-3</v>
      </c>
      <c r="O39" s="369"/>
      <c r="AB39" s="209"/>
      <c r="AC39" s="209"/>
      <c r="AD39" s="369"/>
    </row>
    <row r="40" spans="1:30" x14ac:dyDescent="0.2">
      <c r="A40" s="234"/>
      <c r="B40" s="235"/>
      <c r="C40" s="236"/>
      <c r="D40" s="231"/>
      <c r="E40" s="232" t="e">
        <v>#N/A</v>
      </c>
      <c r="F40" s="195">
        <v>32</v>
      </c>
      <c r="G40" s="233">
        <f>_xll.qlInterestRateIndexFixingDate(IborIndex,I40)</f>
        <v>42858</v>
      </c>
      <c r="H40" s="195" t="str">
        <f>_xll.qlMakeDatedOIS(,I40,J40,OvernightIndex,0,"Act/360",0)</f>
        <v>obj_0066e#0000</v>
      </c>
      <c r="I40" s="233">
        <f>_xll.qlCalendarAdvance(Calendar,$D$2,F40&amp;"M","mf")</f>
        <v>42860</v>
      </c>
      <c r="J40" s="233">
        <f>_xll.qlInterestRateIndexMaturity(IborIndex,I40)</f>
        <v>43227</v>
      </c>
      <c r="L40" s="232">
        <f>_xll.qlOvernightIndexedSwapFairRate(H40,_xll.ohTrigger($P$2:$P$6))</f>
        <v>2.3496202815992844E-3</v>
      </c>
      <c r="M40" s="209">
        <f>_xll.qlInterpolationInterpolate(BasisInterpolator,I40,,L40)</f>
        <v>4.8911472438596228E-3</v>
      </c>
      <c r="N40" s="232">
        <f t="shared" si="0"/>
        <v>7.2407675254589077E-3</v>
      </c>
      <c r="O40" s="369"/>
      <c r="AB40" s="209"/>
      <c r="AC40" s="209"/>
      <c r="AD40" s="369"/>
    </row>
    <row r="41" spans="1:30" x14ac:dyDescent="0.2">
      <c r="A41" s="234"/>
      <c r="B41" s="235"/>
      <c r="C41" s="236"/>
      <c r="D41" s="231"/>
      <c r="E41" s="232" t="e">
        <v>#N/A</v>
      </c>
      <c r="F41" s="195">
        <v>33</v>
      </c>
      <c r="G41" s="233">
        <f>_xll.qlInterestRateIndexFixingDate(IborIndex,I41)</f>
        <v>42887</v>
      </c>
      <c r="H41" s="195" t="str">
        <f>_xll.qlMakeDatedOIS(,I41,J41,OvernightIndex,0,"Act/360",0)</f>
        <v>obj_0067a#0000</v>
      </c>
      <c r="I41" s="233">
        <f>_xll.qlCalendarAdvance(Calendar,$D$2,F41&amp;"M","mf")</f>
        <v>42891</v>
      </c>
      <c r="J41" s="233">
        <f>_xll.qlInterestRateIndexMaturity(IborIndex,I41)</f>
        <v>43256</v>
      </c>
      <c r="L41" s="232">
        <f>_xll.qlOvernightIndexedSwapFairRate(H41,_xll.ohTrigger($P$2:$P$6))</f>
        <v>2.5131765691487266E-3</v>
      </c>
      <c r="M41" s="209">
        <f>_xll.qlInterpolationInterpolate(BasisInterpolator,I41,,L41)</f>
        <v>4.9159491221744478E-3</v>
      </c>
      <c r="N41" s="232">
        <f t="shared" si="0"/>
        <v>7.429125691323174E-3</v>
      </c>
      <c r="O41" s="369"/>
      <c r="AB41" s="209"/>
      <c r="AC41" s="209"/>
      <c r="AD41" s="369"/>
    </row>
    <row r="42" spans="1:30" x14ac:dyDescent="0.2">
      <c r="A42" s="234"/>
      <c r="B42" s="235"/>
      <c r="C42" s="236"/>
      <c r="D42" s="231"/>
      <c r="E42" s="232" t="e">
        <v>#N/A</v>
      </c>
      <c r="F42" s="195">
        <v>34</v>
      </c>
      <c r="G42" s="233">
        <f>_xll.qlInterestRateIndexFixingDate(IborIndex,I42)</f>
        <v>42919</v>
      </c>
      <c r="H42" s="195" t="str">
        <f>_xll.qlMakeDatedOIS(,I42,J42,OvernightIndex,0,"Act/360",0)</f>
        <v>obj_00680#0000</v>
      </c>
      <c r="I42" s="233">
        <f>_xll.qlCalendarAdvance(Calendar,$D$2,F42&amp;"M","mf")</f>
        <v>42921</v>
      </c>
      <c r="J42" s="233">
        <f>_xll.qlInterestRateIndexMaturity(IborIndex,I42)</f>
        <v>43286</v>
      </c>
      <c r="L42" s="232">
        <f>_xll.qlOvernightIndexedSwapFairRate(H42,_xll.ohTrigger($P$2:$P$6))</f>
        <v>2.6749966908143391E-3</v>
      </c>
      <c r="M42" s="209">
        <f>_xll.qlInterpolationInterpolate(BasisInterpolator,I42,,L42)</f>
        <v>4.9397186977313962E-3</v>
      </c>
      <c r="N42" s="232">
        <f t="shared" si="0"/>
        <v>7.6147153885457348E-3</v>
      </c>
      <c r="O42" s="369"/>
      <c r="AB42" s="209"/>
      <c r="AC42" s="209"/>
      <c r="AD42" s="369"/>
    </row>
    <row r="43" spans="1:30" x14ac:dyDescent="0.2">
      <c r="A43" s="234"/>
      <c r="B43" s="235"/>
      <c r="C43" s="236"/>
      <c r="D43" s="231"/>
      <c r="E43" s="232" t="e">
        <v>#N/A</v>
      </c>
      <c r="F43" s="195">
        <v>35</v>
      </c>
      <c r="G43" s="233">
        <f>_xll.qlInterestRateIndexFixingDate(IborIndex,I43)</f>
        <v>42950</v>
      </c>
      <c r="H43" s="195" t="str">
        <f>_xll.qlMakeDatedOIS(,I43,J43,OvernightIndex,0,"Act/360",0)</f>
        <v>obj_00679#0000</v>
      </c>
      <c r="I43" s="233">
        <f>_xll.qlCalendarAdvance(Calendar,$D$2,F43&amp;"M","mf")</f>
        <v>42954</v>
      </c>
      <c r="J43" s="233">
        <f>_xll.qlInterestRateIndexMaturity(IborIndex,I43)</f>
        <v>43319</v>
      </c>
      <c r="L43" s="232">
        <f>_xll.qlOvernightIndexedSwapFairRate(H43,_xll.ohTrigger($P$2:$P$6))</f>
        <v>2.8530294114822181E-3</v>
      </c>
      <c r="M43" s="209">
        <f>_xll.qlInterpolationInterpolate(BasisInterpolator,I43,,L43)</f>
        <v>4.965846898751289E-3</v>
      </c>
      <c r="N43" s="232">
        <f t="shared" si="0"/>
        <v>7.8188763102335079E-3</v>
      </c>
      <c r="O43" s="369"/>
      <c r="AB43" s="209"/>
      <c r="AC43" s="209"/>
      <c r="AD43" s="369"/>
    </row>
    <row r="44" spans="1:30" x14ac:dyDescent="0.2">
      <c r="A44" s="234"/>
      <c r="B44" s="235"/>
      <c r="C44" s="236"/>
      <c r="D44" s="231"/>
      <c r="E44" s="232" t="e">
        <v>#N/A</v>
      </c>
      <c r="F44" s="374">
        <v>36</v>
      </c>
      <c r="G44" s="375">
        <f>_xll.qlInterestRateIndexFixingDate(IborIndex,I44)</f>
        <v>42979</v>
      </c>
      <c r="H44" s="374" t="str">
        <f>_xll.qlMakeDatedOIS(,I44,J44,OvernightIndex,0,"Act/360",0)</f>
        <v>obj_00665#0000</v>
      </c>
      <c r="I44" s="375">
        <f>_xll.qlCalendarAdvance(Calendar,$D$2,F44&amp;"M","mf")</f>
        <v>42983</v>
      </c>
      <c r="J44" s="375">
        <f>_xll.qlInterestRateIndexMaturity(IborIndex,I44)</f>
        <v>43348</v>
      </c>
      <c r="K44" s="374"/>
      <c r="L44" s="376">
        <f>_xll.qlOvernightIndexedSwapFairRate(H44,_xll.ohTrigger($P$2:$P$6))</f>
        <v>3.009508865542577E-3</v>
      </c>
      <c r="M44" s="377">
        <f>_xll.qlInterpolationInterpolate(BasisInterpolator,I44,,L44)</f>
        <v>4.9890000000000004E-3</v>
      </c>
      <c r="N44" s="376">
        <f t="shared" ref="N44" si="3">L44+M44</f>
        <v>7.9985088655425765E-3</v>
      </c>
      <c r="O44" s="369"/>
      <c r="AB44" s="209"/>
      <c r="AC44" s="209"/>
      <c r="AD44" s="369"/>
    </row>
    <row r="45" spans="1:30" x14ac:dyDescent="0.2">
      <c r="A45" s="234"/>
      <c r="B45" s="235"/>
      <c r="C45" s="236"/>
      <c r="D45" s="231"/>
      <c r="E45" s="209" t="e">
        <v>#N/A</v>
      </c>
      <c r="F45" s="195">
        <v>37</v>
      </c>
      <c r="G45" s="233">
        <f>_xll.qlInterestRateIndexFixingDate(IborIndex,I45)</f>
        <v>43011</v>
      </c>
      <c r="H45" s="195" t="str">
        <f>_xll.qlMakeDatedOIS(,I45,J45,OvernightIndex,0,"Act/360",0)</f>
        <v>obj_00683#0000</v>
      </c>
      <c r="I45" s="233">
        <f>_xll.qlCalendarAdvance(Calendar,$D$2,F45&amp;"M","mf")</f>
        <v>43013</v>
      </c>
      <c r="J45" s="233">
        <f>_xll.qlInterestRateIndexMaturity(IborIndex,I45)</f>
        <v>43378</v>
      </c>
      <c r="L45" s="232">
        <f>_xll.qlOvernightIndexedSwapFairRate(H45,_xll.ohTrigger($P$2:$P$6))</f>
        <v>3.2216628955763771E-3</v>
      </c>
      <c r="M45" s="209">
        <f>_xll.qlInterpolationInterpolate(BasisInterpolator,I45,,L45)</f>
        <v>5.0133056517234374E-3</v>
      </c>
      <c r="N45" s="232">
        <f t="shared" si="0"/>
        <v>8.2349685472998153E-3</v>
      </c>
      <c r="O45" s="369"/>
      <c r="AB45" s="209"/>
      <c r="AC45" s="209"/>
      <c r="AD45" s="369"/>
    </row>
    <row r="46" spans="1:30" x14ac:dyDescent="0.2">
      <c r="A46" s="234"/>
      <c r="B46" s="235"/>
      <c r="C46" s="236"/>
      <c r="D46" s="231"/>
      <c r="E46" s="209" t="e">
        <v>#N/A</v>
      </c>
      <c r="F46" s="195">
        <v>38</v>
      </c>
      <c r="G46" s="233">
        <f>_xll.qlInterestRateIndexFixingDate(IborIndex,I46)</f>
        <v>43041</v>
      </c>
      <c r="H46" s="195" t="str">
        <f>_xll.qlMakeDatedOIS(,I46,J46,OvernightIndex,0,"Act/360",0)</f>
        <v>obj_0068c#0000</v>
      </c>
      <c r="I46" s="233">
        <f>_xll.qlCalendarAdvance(Calendar,$D$2,F46&amp;"M","mf")</f>
        <v>43045</v>
      </c>
      <c r="J46" s="233">
        <f>_xll.qlInterestRateIndexMaturity(IborIndex,I46)</f>
        <v>43410</v>
      </c>
      <c r="L46" s="232">
        <f>_xll.qlOvernightIndexedSwapFairRate(H46,_xll.ohTrigger($P$2:$P$6))</f>
        <v>3.4480106741577431E-3</v>
      </c>
      <c r="M46" s="209">
        <f>_xll.qlInterpolationInterpolate(BasisInterpolator,I46,,L46)</f>
        <v>5.0396334541321858E-3</v>
      </c>
      <c r="N46" s="232">
        <f t="shared" si="0"/>
        <v>8.4876441282899298E-3</v>
      </c>
      <c r="O46" s="369"/>
      <c r="AB46" s="209"/>
      <c r="AC46" s="209"/>
      <c r="AD46" s="369"/>
    </row>
    <row r="47" spans="1:30" x14ac:dyDescent="0.2">
      <c r="A47" s="234"/>
      <c r="B47" s="235"/>
      <c r="C47" s="236"/>
      <c r="D47" s="231"/>
      <c r="E47" s="209" t="e">
        <v>#N/A</v>
      </c>
      <c r="F47" s="195">
        <v>39</v>
      </c>
      <c r="G47" s="233">
        <f>_xll.qlInterestRateIndexFixingDate(IborIndex,I47)</f>
        <v>43070</v>
      </c>
      <c r="H47" s="195" t="str">
        <f>_xll.qlMakeDatedOIS(,I47,J47,OvernightIndex,0,"Act/360",0)</f>
        <v>obj_00672#0000</v>
      </c>
      <c r="I47" s="233">
        <f>_xll.qlCalendarAdvance(Calendar,$D$2,F47&amp;"M","mf")</f>
        <v>43074</v>
      </c>
      <c r="J47" s="233">
        <f>_xll.qlInterestRateIndexMaturity(IborIndex,I47)</f>
        <v>43439</v>
      </c>
      <c r="L47" s="232">
        <f>_xll.qlOvernightIndexedSwapFairRate(H47,_xll.ohTrigger($P$2:$P$6))</f>
        <v>3.6531830705100608E-3</v>
      </c>
      <c r="M47" s="209">
        <f>_xll.qlInterpolationInterpolate(BasisInterpolator,I47,,L47)</f>
        <v>5.0638187580921363E-3</v>
      </c>
      <c r="N47" s="232">
        <f t="shared" si="0"/>
        <v>8.7170018286021975E-3</v>
      </c>
      <c r="O47" s="369"/>
      <c r="AB47" s="209"/>
      <c r="AC47" s="209"/>
      <c r="AD47" s="369"/>
    </row>
    <row r="48" spans="1:30" x14ac:dyDescent="0.2">
      <c r="A48" s="234"/>
      <c r="B48" s="235"/>
      <c r="C48" s="236"/>
      <c r="D48" s="231"/>
      <c r="E48" s="209" t="e">
        <v>#N/A</v>
      </c>
      <c r="F48" s="195">
        <v>40</v>
      </c>
      <c r="G48" s="233">
        <f>_xll.qlInterestRateIndexFixingDate(IborIndex,I48)</f>
        <v>43103</v>
      </c>
      <c r="H48" s="195" t="str">
        <f>_xll.qlMakeDatedOIS(,I48,J48,OvernightIndex,0,"Act/360",0)</f>
        <v>obj_0065e#0000</v>
      </c>
      <c r="I48" s="233">
        <f>_xll.qlCalendarAdvance(Calendar,$D$2,F48&amp;"M","mf")</f>
        <v>43105</v>
      </c>
      <c r="J48" s="233">
        <f>_xll.qlInterestRateIndexMaturity(IborIndex,I48)</f>
        <v>43472</v>
      </c>
      <c r="L48" s="232">
        <f>_xll.qlOvernightIndexedSwapFairRate(H48,_xll.ohTrigger($P$2:$P$6))</f>
        <v>3.8819661713215153E-3</v>
      </c>
      <c r="M48" s="209">
        <f>_xll.qlInterpolationInterpolate(BasisInterpolator,I48,,L48)</f>
        <v>5.0899799539182245E-3</v>
      </c>
      <c r="N48" s="232">
        <f t="shared" si="0"/>
        <v>8.9719461252397402E-3</v>
      </c>
      <c r="O48" s="369"/>
      <c r="AB48" s="209"/>
      <c r="AC48" s="209"/>
      <c r="AD48" s="369"/>
    </row>
    <row r="49" spans="1:30" x14ac:dyDescent="0.2">
      <c r="A49" s="234"/>
      <c r="B49" s="235"/>
      <c r="C49" s="236"/>
      <c r="D49" s="231"/>
      <c r="E49" s="209" t="e">
        <v>#N/A</v>
      </c>
      <c r="F49" s="195">
        <v>41</v>
      </c>
      <c r="G49" s="233">
        <f>_xll.qlInterestRateIndexFixingDate(IborIndex,I49)</f>
        <v>43132</v>
      </c>
      <c r="H49" s="195" t="str">
        <f>_xll.qlMakeDatedOIS(,I49,J49,OvernightIndex,0,"Act/360",0)</f>
        <v>obj_00664#0000</v>
      </c>
      <c r="I49" s="233">
        <f>_xll.qlCalendarAdvance(Calendar,$D$2,F49&amp;"M","mf")</f>
        <v>43136</v>
      </c>
      <c r="J49" s="233">
        <f>_xll.qlInterestRateIndexMaturity(IborIndex,I49)</f>
        <v>43501</v>
      </c>
      <c r="L49" s="232">
        <f>_xll.qlOvernightIndexedSwapFairRate(H49,_xll.ohTrigger($P$2:$P$6))</f>
        <v>4.0919701810552527E-3</v>
      </c>
      <c r="M49" s="209">
        <f>_xll.qlInterpolationInterpolate(BasisInterpolator,I49,,L49)</f>
        <v>5.1164240413336341E-3</v>
      </c>
      <c r="N49" s="232">
        <f t="shared" si="0"/>
        <v>9.2083942223888868E-3</v>
      </c>
      <c r="O49" s="369"/>
      <c r="AB49" s="209"/>
      <c r="AC49" s="209"/>
      <c r="AD49" s="369"/>
    </row>
    <row r="50" spans="1:30" x14ac:dyDescent="0.2">
      <c r="A50" s="234"/>
      <c r="B50" s="235"/>
      <c r="C50" s="236"/>
      <c r="D50" s="231"/>
      <c r="E50" s="209" t="e">
        <v>#N/A</v>
      </c>
      <c r="F50" s="195">
        <v>42</v>
      </c>
      <c r="G50" s="233">
        <f>_xll.qlInterestRateIndexFixingDate(IborIndex,I50)</f>
        <v>43160</v>
      </c>
      <c r="H50" s="195" t="str">
        <f>_xll.qlMakeDatedOIS(,I50,J50,OvernightIndex,0,"Act/360",0)</f>
        <v>obj_0065f#0000</v>
      </c>
      <c r="I50" s="233">
        <f>_xll.qlCalendarAdvance(Calendar,$D$2,F50&amp;"M","mf")</f>
        <v>43164</v>
      </c>
      <c r="J50" s="233">
        <f>_xll.qlInterestRateIndexMaturity(IborIndex,I50)</f>
        <v>43529</v>
      </c>
      <c r="L50" s="232">
        <f>_xll.qlOvernightIndexedSwapFairRate(H50,_xll.ohTrigger($P$2:$P$6))</f>
        <v>4.2901958467004087E-3</v>
      </c>
      <c r="M50" s="209">
        <f>_xll.qlInterpolationInterpolate(BasisInterpolator,I50,,L50)</f>
        <v>5.1405221561850603E-3</v>
      </c>
      <c r="N50" s="232">
        <f t="shared" si="0"/>
        <v>9.430718002885469E-3</v>
      </c>
      <c r="O50" s="369"/>
      <c r="AB50" s="209"/>
      <c r="AC50" s="209"/>
      <c r="AD50" s="369"/>
    </row>
    <row r="51" spans="1:30" x14ac:dyDescent="0.2">
      <c r="A51" s="234"/>
      <c r="B51" s="235"/>
      <c r="C51" s="236"/>
      <c r="D51" s="231"/>
      <c r="E51" s="209" t="e">
        <v>#N/A</v>
      </c>
      <c r="F51" s="195">
        <v>43</v>
      </c>
      <c r="G51" s="233">
        <f>_xll.qlInterestRateIndexFixingDate(IborIndex,I51)</f>
        <v>43193</v>
      </c>
      <c r="H51" s="195" t="str">
        <f>_xll.qlMakeDatedOIS(,I51,J51,OvernightIndex,0,"Act/360",0)</f>
        <v>obj_0067f#0000</v>
      </c>
      <c r="I51" s="233">
        <f>_xll.qlCalendarAdvance(Calendar,$D$2,F51&amp;"M","mf")</f>
        <v>43195</v>
      </c>
      <c r="J51" s="233">
        <f>_xll.qlInterestRateIndexMaturity(IborIndex,I51)</f>
        <v>43560</v>
      </c>
      <c r="L51" s="232">
        <f>_xll.qlOvernightIndexedSwapFairRate(H51,_xll.ohTrigger($P$2:$P$6))</f>
        <v>4.5097062553987903E-3</v>
      </c>
      <c r="M51" s="209">
        <f>_xll.qlInterpolationInterpolate(BasisInterpolator,I51,,L51)</f>
        <v>5.1674049452527255E-3</v>
      </c>
      <c r="N51" s="232">
        <f t="shared" si="0"/>
        <v>9.6771112006515149E-3</v>
      </c>
      <c r="O51" s="369"/>
    </row>
    <row r="52" spans="1:30" x14ac:dyDescent="0.2">
      <c r="A52" s="234"/>
      <c r="B52" s="235"/>
      <c r="C52" s="236"/>
      <c r="D52" s="231"/>
      <c r="E52" s="209" t="e">
        <v>#N/A</v>
      </c>
      <c r="F52" s="195">
        <v>44</v>
      </c>
      <c r="G52" s="233">
        <f>_xll.qlInterestRateIndexFixingDate(IborIndex,I52)</f>
        <v>43223</v>
      </c>
      <c r="H52" s="195" t="str">
        <f>_xll.qlMakeDatedOIS(,I52,J52,OvernightIndex,0,"Act/360",0)</f>
        <v>obj_0066b#0000</v>
      </c>
      <c r="I52" s="233">
        <f>_xll.qlCalendarAdvance(Calendar,$D$2,F52&amp;"M","mf")</f>
        <v>43227</v>
      </c>
      <c r="J52" s="233">
        <f>_xll.qlInterestRateIndexMaturity(IborIndex,I52)</f>
        <v>43592</v>
      </c>
      <c r="L52" s="232">
        <f>_xll.qlOvernightIndexedSwapFairRate(H52,_xll.ohTrigger($P$2:$P$6))</f>
        <v>4.736348666589534E-3</v>
      </c>
      <c r="M52" s="209">
        <f>_xll.qlInterpolationInterpolate(BasisInterpolator,I52,,L52)</f>
        <v>5.1953413421917515E-3</v>
      </c>
      <c r="N52" s="232">
        <f t="shared" si="0"/>
        <v>9.9316900087812847E-3</v>
      </c>
      <c r="O52" s="369"/>
    </row>
    <row r="53" spans="1:30" x14ac:dyDescent="0.2">
      <c r="A53" s="234"/>
      <c r="B53" s="235"/>
      <c r="C53" s="236"/>
      <c r="D53" s="231"/>
      <c r="E53" s="209" t="e">
        <v>#N/A</v>
      </c>
      <c r="F53" s="195">
        <v>45</v>
      </c>
      <c r="G53" s="233">
        <f>_xll.qlInterestRateIndexFixingDate(IborIndex,I53)</f>
        <v>43252</v>
      </c>
      <c r="H53" s="195" t="str">
        <f>_xll.qlMakeDatedOIS(,I53,J53,OvernightIndex,0,"Act/360",0)</f>
        <v>obj_00667#0000</v>
      </c>
      <c r="I53" s="233">
        <f>_xll.qlCalendarAdvance(Calendar,$D$2,F53&amp;"M","mf")</f>
        <v>43256</v>
      </c>
      <c r="J53" s="233">
        <f>_xll.qlInterestRateIndexMaturity(IborIndex,I53)</f>
        <v>43621</v>
      </c>
      <c r="L53" s="232">
        <f>_xll.qlOvernightIndexedSwapFairRate(H53,_xll.ohTrigger($P$2:$P$6))</f>
        <v>4.9417881319579601E-3</v>
      </c>
      <c r="M53" s="209">
        <f>_xll.qlInterpolationInterpolate(BasisInterpolator,I53,,L53)</f>
        <v>5.2207894237246422E-3</v>
      </c>
      <c r="N53" s="232">
        <f t="shared" si="0"/>
        <v>1.0162577555682603E-2</v>
      </c>
      <c r="O53" s="369"/>
    </row>
    <row r="54" spans="1:30" x14ac:dyDescent="0.2">
      <c r="A54" s="234"/>
      <c r="B54" s="235"/>
      <c r="C54" s="236"/>
      <c r="D54" s="231"/>
      <c r="E54" s="209" t="e">
        <v>#N/A</v>
      </c>
      <c r="F54" s="195">
        <v>46</v>
      </c>
      <c r="G54" s="233">
        <f>_xll.qlInterestRateIndexFixingDate(IborIndex,I54)</f>
        <v>43284</v>
      </c>
      <c r="H54" s="195" t="str">
        <f>_xll.qlMakeDatedOIS(,I54,J54,OvernightIndex,0,"Act/360",0)</f>
        <v>obj_00670#0000</v>
      </c>
      <c r="I54" s="233">
        <f>_xll.qlCalendarAdvance(Calendar,$D$2,F54&amp;"M","mf")</f>
        <v>43286</v>
      </c>
      <c r="J54" s="233">
        <f>_xll.qlInterestRateIndexMaturity(IborIndex,I54)</f>
        <v>43651</v>
      </c>
      <c r="L54" s="232">
        <f>_xll.qlOvernightIndexedSwapFairRate(H54,_xll.ohTrigger($P$2:$P$6))</f>
        <v>5.1543565320774018E-3</v>
      </c>
      <c r="M54" s="209">
        <f>_xll.qlInterpolationInterpolate(BasisInterpolator,I54,,L54)</f>
        <v>5.2472133007701247E-3</v>
      </c>
      <c r="N54" s="232">
        <f t="shared" si="0"/>
        <v>1.0401569832847526E-2</v>
      </c>
      <c r="O54" s="369"/>
    </row>
    <row r="55" spans="1:30" x14ac:dyDescent="0.2">
      <c r="A55" s="234"/>
      <c r="B55" s="235"/>
      <c r="C55" s="236"/>
      <c r="D55" s="231"/>
      <c r="E55" s="209" t="e">
        <v>#N/A</v>
      </c>
      <c r="F55" s="195">
        <v>47</v>
      </c>
      <c r="G55" s="233">
        <f>_xll.qlInterestRateIndexFixingDate(IborIndex,I55)</f>
        <v>43314</v>
      </c>
      <c r="H55" s="195" t="str">
        <f>_xll.qlMakeDatedOIS(,I55,J55,OvernightIndex,0,"Act/360",0)</f>
        <v>obj_00673#0000</v>
      </c>
      <c r="I55" s="233">
        <f>_xll.qlCalendarAdvance(Calendar,$D$2,F55&amp;"M","mf")</f>
        <v>43318</v>
      </c>
      <c r="J55" s="233">
        <f>_xll.qlInterestRateIndexMaturity(IborIndex,I55)</f>
        <v>43683</v>
      </c>
      <c r="L55" s="232">
        <f>_xll.qlOvernightIndexedSwapFairRate(H55,_xll.ohTrigger($P$2:$P$6))</f>
        <v>5.3811464033609391E-3</v>
      </c>
      <c r="M55" s="209">
        <f>_xll.qlInterpolationInterpolate(BasisInterpolator,I55,,L55)</f>
        <v>5.2754724749010827E-3</v>
      </c>
      <c r="N55" s="232">
        <f t="shared" si="0"/>
        <v>1.0656618878262022E-2</v>
      </c>
      <c r="O55" s="369"/>
    </row>
    <row r="56" spans="1:30" x14ac:dyDescent="0.2">
      <c r="A56" s="234"/>
      <c r="B56" s="235"/>
      <c r="C56" s="236"/>
      <c r="D56" s="231"/>
      <c r="E56" s="209" t="e">
        <v>#N/A</v>
      </c>
      <c r="F56" s="374">
        <v>48</v>
      </c>
      <c r="G56" s="375">
        <f>_xll.qlInterestRateIndexFixingDate(IborIndex,I56)</f>
        <v>43346</v>
      </c>
      <c r="H56" s="374" t="str">
        <f>_xll.qlMakeDatedOIS(,I56,J56,OvernightIndex,0,"Act/360",0)</f>
        <v>obj_00688#0000</v>
      </c>
      <c r="I56" s="375">
        <f>_xll.qlCalendarAdvance(Calendar,$D$2,F56&amp;"M","mf")</f>
        <v>43348</v>
      </c>
      <c r="J56" s="375">
        <f>_xll.qlInterestRateIndexMaturity(IborIndex,I56)</f>
        <v>43713</v>
      </c>
      <c r="K56" s="374"/>
      <c r="L56" s="376">
        <f>_xll.qlOvernightIndexedSwapFairRate(H56,_xll.ohTrigger($P$2:$P$6))</f>
        <v>5.5938090222236543E-3</v>
      </c>
      <c r="M56" s="377">
        <f>_xll.qlInterpolationInterpolate(BasisInterpolator,I56,,L56)</f>
        <v>5.3020000000000003E-3</v>
      </c>
      <c r="N56" s="376">
        <f t="shared" si="0"/>
        <v>1.0895809022223655E-2</v>
      </c>
      <c r="O56" s="369"/>
    </row>
    <row r="57" spans="1:30" x14ac:dyDescent="0.2">
      <c r="A57" s="234"/>
      <c r="B57" s="235"/>
      <c r="C57" s="236"/>
      <c r="D57" s="231"/>
      <c r="E57" s="209" t="e">
        <v>#N/A</v>
      </c>
    </row>
    <row r="58" spans="1:30" x14ac:dyDescent="0.2">
      <c r="A58" s="234"/>
      <c r="B58" s="235"/>
      <c r="C58" s="236"/>
      <c r="D58" s="231"/>
      <c r="E58" s="209" t="e">
        <v>#N/A</v>
      </c>
    </row>
    <row r="59" spans="1:30" x14ac:dyDescent="0.2">
      <c r="A59" s="234"/>
      <c r="B59" s="235"/>
      <c r="C59" s="236"/>
      <c r="D59" s="231"/>
      <c r="E59" s="209" t="e">
        <v>#N/A</v>
      </c>
    </row>
    <row r="60" spans="1:30" x14ac:dyDescent="0.2">
      <c r="A60" s="234"/>
      <c r="B60" s="235"/>
      <c r="C60" s="236"/>
      <c r="D60" s="231"/>
      <c r="E60" s="209" t="e">
        <v>#N/A</v>
      </c>
    </row>
    <row r="61" spans="1:30" x14ac:dyDescent="0.2">
      <c r="A61" s="234"/>
      <c r="B61" s="235"/>
      <c r="C61" s="236"/>
      <c r="D61" s="231"/>
      <c r="E61" s="209" t="e">
        <v>#N/A</v>
      </c>
    </row>
    <row r="62" spans="1:30" x14ac:dyDescent="0.2">
      <c r="A62" s="234"/>
      <c r="B62" s="235"/>
      <c r="C62" s="236"/>
      <c r="D62" s="231"/>
      <c r="E62" s="209" t="e">
        <v>#N/A</v>
      </c>
    </row>
    <row r="63" spans="1:30" x14ac:dyDescent="0.2">
      <c r="A63" s="234"/>
      <c r="B63" s="235"/>
      <c r="C63" s="236"/>
      <c r="D63" s="231"/>
      <c r="E63" s="209" t="e">
        <v>#N/A</v>
      </c>
    </row>
    <row r="64" spans="1:30" x14ac:dyDescent="0.2">
      <c r="A64" s="234"/>
      <c r="B64" s="235"/>
      <c r="C64" s="236"/>
      <c r="D64" s="231"/>
      <c r="E64" s="209" t="e">
        <v>#N/A</v>
      </c>
    </row>
    <row r="65" spans="1:5" x14ac:dyDescent="0.2">
      <c r="A65" s="234"/>
      <c r="B65" s="235"/>
      <c r="C65" s="236"/>
      <c r="D65" s="231"/>
      <c r="E65" s="209" t="e">
        <v>#N/A</v>
      </c>
    </row>
    <row r="66" spans="1:5" x14ac:dyDescent="0.2">
      <c r="A66" s="234"/>
      <c r="B66" s="235"/>
      <c r="C66" s="236"/>
      <c r="D66" s="231"/>
      <c r="E66" s="209" t="e">
        <v>#N/A</v>
      </c>
    </row>
    <row r="67" spans="1:5" x14ac:dyDescent="0.2">
      <c r="A67" s="234"/>
      <c r="B67" s="235"/>
      <c r="C67" s="236"/>
      <c r="D67" s="231"/>
      <c r="E67" s="209" t="e">
        <v>#N/A</v>
      </c>
    </row>
    <row r="68" spans="1:5" x14ac:dyDescent="0.2">
      <c r="A68" s="234"/>
      <c r="B68" s="235"/>
      <c r="C68" s="236"/>
      <c r="D68" s="231"/>
      <c r="E68" s="209" t="e">
        <v>#N/A</v>
      </c>
    </row>
    <row r="69" spans="1:5" x14ac:dyDescent="0.2">
      <c r="A69" s="234"/>
      <c r="B69" s="235"/>
      <c r="C69" s="236"/>
      <c r="D69" s="231"/>
      <c r="E69" s="209" t="e">
        <v>#N/A</v>
      </c>
    </row>
    <row r="70" spans="1:5" x14ac:dyDescent="0.2">
      <c r="A70" s="234"/>
      <c r="B70" s="235"/>
      <c r="C70" s="236"/>
      <c r="D70" s="231"/>
      <c r="E70" s="209" t="e">
        <v>#N/A</v>
      </c>
    </row>
    <row r="71" spans="1:5" x14ac:dyDescent="0.2">
      <c r="A71" s="234"/>
      <c r="B71" s="235"/>
      <c r="C71" s="236"/>
      <c r="D71" s="231"/>
      <c r="E71" s="209" t="e">
        <v>#N/A</v>
      </c>
    </row>
    <row r="72" spans="1:5" x14ac:dyDescent="0.2">
      <c r="A72" s="234"/>
      <c r="B72" s="235"/>
      <c r="C72" s="236"/>
      <c r="D72" s="231"/>
      <c r="E72" s="209" t="e">
        <v>#N/A</v>
      </c>
    </row>
    <row r="73" spans="1:5" x14ac:dyDescent="0.2">
      <c r="A73" s="234"/>
      <c r="B73" s="235"/>
      <c r="C73" s="236"/>
      <c r="D73" s="231"/>
      <c r="E73" s="209" t="e">
        <v>#N/A</v>
      </c>
    </row>
    <row r="74" spans="1:5" x14ac:dyDescent="0.2">
      <c r="A74" s="234"/>
      <c r="B74" s="235"/>
      <c r="C74" s="236"/>
      <c r="D74" s="231"/>
      <c r="E74" s="209" t="e">
        <v>#N/A</v>
      </c>
    </row>
    <row r="75" spans="1:5" x14ac:dyDescent="0.2">
      <c r="A75" s="234"/>
      <c r="B75" s="235"/>
      <c r="C75" s="236"/>
      <c r="D75" s="231"/>
      <c r="E75" s="209" t="e">
        <v>#N/A</v>
      </c>
    </row>
    <row r="76" spans="1:5" x14ac:dyDescent="0.2">
      <c r="A76" s="234"/>
      <c r="B76" s="235"/>
      <c r="C76" s="236"/>
      <c r="D76" s="231"/>
      <c r="E76" s="209" t="e">
        <v>#N/A</v>
      </c>
    </row>
    <row r="77" spans="1:5" x14ac:dyDescent="0.2">
      <c r="A77" s="234"/>
      <c r="B77" s="235"/>
      <c r="C77" s="236"/>
      <c r="D77" s="231"/>
      <c r="E77" s="209" t="e">
        <v>#N/A</v>
      </c>
    </row>
    <row r="78" spans="1:5" x14ac:dyDescent="0.2">
      <c r="A78" s="234"/>
      <c r="B78" s="235"/>
      <c r="C78" s="236"/>
      <c r="D78" s="231"/>
      <c r="E78" s="209" t="e">
        <v>#N/A</v>
      </c>
    </row>
    <row r="79" spans="1:5" x14ac:dyDescent="0.2">
      <c r="A79" s="234"/>
      <c r="B79" s="235"/>
      <c r="C79" s="236"/>
      <c r="D79" s="231"/>
      <c r="E79" s="209" t="e">
        <v>#N/A</v>
      </c>
    </row>
    <row r="80" spans="1:5" x14ac:dyDescent="0.2">
      <c r="A80" s="234"/>
      <c r="B80" s="235"/>
      <c r="C80" s="236"/>
      <c r="D80" s="231"/>
      <c r="E80" s="209" t="e">
        <v>#N/A</v>
      </c>
    </row>
    <row r="81" spans="1:5" x14ac:dyDescent="0.2">
      <c r="A81" s="234"/>
      <c r="B81" s="235"/>
      <c r="C81" s="236"/>
      <c r="D81" s="231"/>
      <c r="E81" s="209" t="e">
        <v>#N/A</v>
      </c>
    </row>
    <row r="82" spans="1:5" x14ac:dyDescent="0.2">
      <c r="A82" s="234"/>
      <c r="B82" s="235"/>
      <c r="C82" s="236"/>
      <c r="D82" s="231"/>
      <c r="E82" s="209" t="e">
        <v>#N/A</v>
      </c>
    </row>
    <row r="83" spans="1:5" x14ac:dyDescent="0.2">
      <c r="A83" s="234"/>
      <c r="B83" s="235"/>
      <c r="C83" s="236"/>
      <c r="D83" s="231"/>
      <c r="E83" s="209" t="e">
        <v>#N/A</v>
      </c>
    </row>
    <row r="84" spans="1:5" x14ac:dyDescent="0.2">
      <c r="A84" s="234"/>
      <c r="B84" s="235"/>
      <c r="C84" s="236"/>
      <c r="D84" s="231"/>
      <c r="E84" s="209" t="e">
        <v>#N/A</v>
      </c>
    </row>
    <row r="85" spans="1:5" x14ac:dyDescent="0.2">
      <c r="A85" s="234"/>
      <c r="B85" s="235"/>
      <c r="C85" s="236"/>
      <c r="D85" s="231"/>
      <c r="E85" s="209" t="e">
        <v>#N/A</v>
      </c>
    </row>
    <row r="86" spans="1:5" x14ac:dyDescent="0.2">
      <c r="A86" s="234"/>
      <c r="B86" s="235"/>
      <c r="C86" s="236"/>
      <c r="D86" s="231"/>
      <c r="E86" s="209" t="e">
        <v>#N/A</v>
      </c>
    </row>
    <row r="87" spans="1:5" x14ac:dyDescent="0.2">
      <c r="A87" s="234"/>
      <c r="B87" s="235"/>
      <c r="C87" s="236"/>
      <c r="D87" s="231"/>
      <c r="E87" s="209" t="e">
        <v>#N/A</v>
      </c>
    </row>
    <row r="88" spans="1:5" x14ac:dyDescent="0.2">
      <c r="A88" s="234"/>
      <c r="B88" s="235"/>
      <c r="C88" s="236"/>
      <c r="D88" s="231"/>
      <c r="E88" s="209" t="e">
        <v>#N/A</v>
      </c>
    </row>
    <row r="89" spans="1:5" x14ac:dyDescent="0.2">
      <c r="A89" s="234"/>
      <c r="B89" s="235"/>
      <c r="C89" s="236"/>
      <c r="D89" s="231"/>
      <c r="E89" s="209" t="e">
        <v>#N/A</v>
      </c>
    </row>
    <row r="90" spans="1:5" x14ac:dyDescent="0.2">
      <c r="A90" s="234"/>
      <c r="B90" s="235"/>
      <c r="C90" s="236"/>
      <c r="D90" s="231"/>
      <c r="E90" s="209" t="e">
        <v>#N/A</v>
      </c>
    </row>
    <row r="91" spans="1:5" x14ac:dyDescent="0.2">
      <c r="A91" s="234"/>
      <c r="B91" s="235"/>
      <c r="C91" s="236"/>
      <c r="D91" s="231"/>
      <c r="E91" s="209" t="e">
        <v>#N/A</v>
      </c>
    </row>
    <row r="92" spans="1:5" x14ac:dyDescent="0.2">
      <c r="A92" s="234"/>
      <c r="B92" s="235"/>
      <c r="C92" s="236"/>
      <c r="D92" s="231"/>
      <c r="E92" s="209" t="e">
        <v>#N/A</v>
      </c>
    </row>
    <row r="93" spans="1:5" x14ac:dyDescent="0.2">
      <c r="A93" s="234"/>
      <c r="B93" s="235"/>
      <c r="C93" s="236"/>
      <c r="D93" s="231"/>
      <c r="E93" s="209" t="e">
        <v>#N/A</v>
      </c>
    </row>
    <row r="94" spans="1:5" x14ac:dyDescent="0.2">
      <c r="A94" s="234"/>
      <c r="B94" s="235"/>
      <c r="C94" s="236"/>
      <c r="D94" s="231"/>
      <c r="E94" s="209" t="e">
        <v>#N/A</v>
      </c>
    </row>
    <row r="95" spans="1:5" x14ac:dyDescent="0.2">
      <c r="A95" s="234"/>
      <c r="B95" s="235"/>
      <c r="C95" s="236"/>
      <c r="D95" s="231"/>
      <c r="E95" s="209" t="e">
        <v>#N/A</v>
      </c>
    </row>
    <row r="96" spans="1:5" x14ac:dyDescent="0.2">
      <c r="A96" s="234"/>
      <c r="B96" s="235"/>
      <c r="C96" s="236"/>
      <c r="D96" s="231"/>
      <c r="E96" s="209" t="e">
        <v>#N/A</v>
      </c>
    </row>
    <row r="97" spans="1:5" x14ac:dyDescent="0.2">
      <c r="A97" s="234"/>
      <c r="B97" s="235"/>
      <c r="C97" s="236"/>
      <c r="D97" s="231"/>
      <c r="E97" s="209" t="e">
        <v>#N/A</v>
      </c>
    </row>
    <row r="98" spans="1:5" x14ac:dyDescent="0.2">
      <c r="A98" s="234"/>
      <c r="B98" s="235"/>
      <c r="C98" s="236"/>
      <c r="D98" s="231"/>
      <c r="E98" s="209" t="e">
        <v>#N/A</v>
      </c>
    </row>
    <row r="99" spans="1:5" x14ac:dyDescent="0.2">
      <c r="A99" s="234"/>
      <c r="B99" s="235"/>
      <c r="C99" s="236"/>
      <c r="D99" s="231"/>
      <c r="E99" s="209" t="e">
        <v>#N/A</v>
      </c>
    </row>
    <row r="100" spans="1:5" x14ac:dyDescent="0.2">
      <c r="A100" s="234"/>
      <c r="B100" s="235"/>
      <c r="C100" s="236"/>
      <c r="D100" s="231"/>
      <c r="E100" s="209" t="e">
        <v>#N/A</v>
      </c>
    </row>
    <row r="101" spans="1:5" x14ac:dyDescent="0.2">
      <c r="A101" s="234"/>
      <c r="B101" s="235"/>
      <c r="C101" s="236"/>
      <c r="D101" s="231"/>
      <c r="E101" s="209" t="e">
        <v>#N/A</v>
      </c>
    </row>
    <row r="102" spans="1:5" x14ac:dyDescent="0.2">
      <c r="A102" s="234"/>
      <c r="B102" s="235"/>
      <c r="C102" s="236"/>
      <c r="D102" s="231"/>
      <c r="E102" s="209" t="e">
        <v>#N/A</v>
      </c>
    </row>
    <row r="103" spans="1:5" x14ac:dyDescent="0.2">
      <c r="A103" s="234"/>
      <c r="B103" s="235"/>
      <c r="C103" s="236"/>
      <c r="D103" s="231"/>
      <c r="E103" s="209" t="e">
        <v>#N/A</v>
      </c>
    </row>
    <row r="104" spans="1:5" x14ac:dyDescent="0.2">
      <c r="A104" s="234"/>
      <c r="B104" s="235"/>
      <c r="C104" s="236"/>
      <c r="D104" s="231"/>
      <c r="E104" s="209" t="e">
        <v>#N/A</v>
      </c>
    </row>
    <row r="105" spans="1:5" x14ac:dyDescent="0.2">
      <c r="A105" s="234"/>
      <c r="B105" s="235"/>
      <c r="C105" s="236"/>
      <c r="D105" s="231"/>
      <c r="E105" s="209" t="e">
        <v>#N/A</v>
      </c>
    </row>
    <row r="106" spans="1:5" x14ac:dyDescent="0.2">
      <c r="A106" s="234"/>
      <c r="B106" s="235"/>
      <c r="C106" s="236"/>
      <c r="D106" s="231"/>
      <c r="E106" s="209" t="e">
        <v>#N/A</v>
      </c>
    </row>
    <row r="107" spans="1:5" x14ac:dyDescent="0.2">
      <c r="A107" s="234"/>
      <c r="B107" s="235"/>
      <c r="C107" s="236"/>
      <c r="D107" s="231"/>
      <c r="E107" s="209" t="e">
        <v>#N/A</v>
      </c>
    </row>
    <row r="108" spans="1:5" x14ac:dyDescent="0.2">
      <c r="A108" s="234"/>
      <c r="B108" s="235"/>
      <c r="C108" s="236"/>
      <c r="D108" s="231"/>
      <c r="E108" s="209" t="e">
        <v>#N/A</v>
      </c>
    </row>
    <row r="109" spans="1:5" x14ac:dyDescent="0.2">
      <c r="A109" s="234"/>
      <c r="B109" s="235"/>
      <c r="C109" s="236"/>
      <c r="D109" s="231"/>
      <c r="E109" s="209" t="e">
        <v>#N/A</v>
      </c>
    </row>
    <row r="110" spans="1:5" x14ac:dyDescent="0.2">
      <c r="A110" s="234"/>
      <c r="B110" s="235"/>
      <c r="C110" s="236"/>
      <c r="D110" s="231"/>
      <c r="E110" s="209" t="e">
        <v>#N/A</v>
      </c>
    </row>
    <row r="111" spans="1:5" x14ac:dyDescent="0.2">
      <c r="A111" s="234"/>
      <c r="B111" s="235"/>
      <c r="C111" s="236"/>
      <c r="D111" s="231"/>
      <c r="E111" s="209" t="e">
        <v>#N/A</v>
      </c>
    </row>
    <row r="112" spans="1:5" x14ac:dyDescent="0.2">
      <c r="A112" s="234"/>
      <c r="B112" s="235"/>
      <c r="C112" s="236"/>
      <c r="D112" s="231"/>
      <c r="E112" s="209" t="e">
        <v>#N/A</v>
      </c>
    </row>
    <row r="113" spans="1:5" x14ac:dyDescent="0.2">
      <c r="A113" s="234"/>
      <c r="B113" s="235"/>
      <c r="C113" s="236"/>
      <c r="D113" s="231"/>
      <c r="E113" s="209" t="e">
        <v>#N/A</v>
      </c>
    </row>
    <row r="114" spans="1:5" x14ac:dyDescent="0.2">
      <c r="A114" s="234"/>
      <c r="B114" s="235"/>
      <c r="C114" s="236"/>
      <c r="D114" s="231"/>
      <c r="E114" s="209" t="e">
        <v>#N/A</v>
      </c>
    </row>
    <row r="115" spans="1:5" x14ac:dyDescent="0.2">
      <c r="A115" s="234"/>
      <c r="B115" s="235"/>
      <c r="C115" s="236"/>
      <c r="D115" s="231"/>
      <c r="E115" s="209" t="e">
        <v>#N/A</v>
      </c>
    </row>
    <row r="116" spans="1:5" x14ac:dyDescent="0.2">
      <c r="A116" s="234"/>
      <c r="B116" s="235"/>
      <c r="C116" s="236"/>
      <c r="D116" s="231"/>
      <c r="E116" s="209" t="e">
        <v>#N/A</v>
      </c>
    </row>
    <row r="117" spans="1:5" x14ac:dyDescent="0.2">
      <c r="A117" s="234"/>
      <c r="B117" s="235"/>
      <c r="C117" s="236"/>
      <c r="D117" s="231"/>
      <c r="E117" s="209" t="e">
        <v>#N/A</v>
      </c>
    </row>
    <row r="118" spans="1:5" x14ac:dyDescent="0.2">
      <c r="A118" s="234"/>
      <c r="B118" s="235"/>
      <c r="C118" s="236"/>
      <c r="D118" s="231"/>
      <c r="E118" s="209" t="e">
        <v>#N/A</v>
      </c>
    </row>
    <row r="119" spans="1:5" x14ac:dyDescent="0.2">
      <c r="A119" s="234"/>
      <c r="B119" s="235"/>
      <c r="C119" s="236"/>
      <c r="D119" s="231"/>
      <c r="E119" s="209" t="e">
        <v>#N/A</v>
      </c>
    </row>
    <row r="120" spans="1:5" x14ac:dyDescent="0.2">
      <c r="A120" s="234"/>
      <c r="B120" s="235"/>
      <c r="C120" s="236"/>
      <c r="D120" s="231"/>
      <c r="E120" s="209" t="e">
        <v>#N/A</v>
      </c>
    </row>
    <row r="121" spans="1:5" x14ac:dyDescent="0.2">
      <c r="A121" s="234"/>
      <c r="B121" s="235"/>
      <c r="C121" s="236"/>
      <c r="D121" s="231"/>
      <c r="E121" s="209" t="e">
        <v>#N/A</v>
      </c>
    </row>
    <row r="122" spans="1:5" x14ac:dyDescent="0.2">
      <c r="A122" s="234"/>
      <c r="B122" s="235"/>
      <c r="C122" s="236"/>
      <c r="D122" s="231"/>
      <c r="E122" s="209" t="e">
        <v>#N/A</v>
      </c>
    </row>
    <row r="123" spans="1:5" x14ac:dyDescent="0.2">
      <c r="A123" s="234"/>
      <c r="B123" s="235"/>
      <c r="C123" s="236"/>
      <c r="D123" s="231"/>
      <c r="E123" s="209" t="e">
        <v>#N/A</v>
      </c>
    </row>
    <row r="124" spans="1:5" x14ac:dyDescent="0.2">
      <c r="A124" s="234"/>
      <c r="B124" s="235"/>
      <c r="C124" s="236"/>
      <c r="D124" s="231"/>
      <c r="E124" s="209" t="e">
        <v>#N/A</v>
      </c>
    </row>
    <row r="125" spans="1:5" x14ac:dyDescent="0.2">
      <c r="A125" s="234"/>
      <c r="B125" s="235"/>
      <c r="C125" s="236"/>
      <c r="D125" s="231"/>
      <c r="E125" s="209" t="e">
        <v>#N/A</v>
      </c>
    </row>
    <row r="126" spans="1:5" x14ac:dyDescent="0.2">
      <c r="A126" s="234"/>
      <c r="B126" s="235"/>
      <c r="C126" s="236"/>
      <c r="D126" s="231"/>
      <c r="E126" s="209" t="e">
        <v>#N/A</v>
      </c>
    </row>
    <row r="127" spans="1:5" x14ac:dyDescent="0.2">
      <c r="A127" s="237"/>
      <c r="B127" s="238"/>
      <c r="C127" s="239"/>
      <c r="D127" s="240"/>
      <c r="E127" s="209" t="e"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0"/>
  <sheetViews>
    <sheetView workbookViewId="0"/>
  </sheetViews>
  <sheetFormatPr defaultRowHeight="11.25" x14ac:dyDescent="0.2"/>
  <cols>
    <col min="1" max="1" width="2.83203125" style="381" customWidth="1"/>
    <col min="2" max="2" width="28.6640625" style="381" bestFit="1" customWidth="1"/>
    <col min="3" max="3" width="20.83203125" style="381" customWidth="1"/>
    <col min="4" max="5" width="20.83203125" style="381" bestFit="1" customWidth="1"/>
    <col min="6" max="6" width="18.5" style="381" hidden="1" customWidth="1"/>
    <col min="7" max="7" width="11.1640625" style="381" bestFit="1" customWidth="1"/>
    <col min="8" max="8" width="14.1640625" style="381" bestFit="1" customWidth="1"/>
    <col min="9" max="9" width="10" style="381" bestFit="1" customWidth="1"/>
    <col min="10" max="10" width="9.33203125" style="381" hidden="1" customWidth="1"/>
    <col min="11" max="11" width="10.5" style="381" bestFit="1" customWidth="1"/>
    <col min="12" max="16384" width="9.33203125" style="381"/>
  </cols>
  <sheetData>
    <row r="1" spans="1:10" ht="12" thickBot="1" x14ac:dyDescent="0.25"/>
    <row r="2" spans="1:10" ht="23.25" customHeight="1" thickBot="1" x14ac:dyDescent="0.25">
      <c r="B2" s="394" t="s">
        <v>147</v>
      </c>
      <c r="C2" s="394" t="s">
        <v>105</v>
      </c>
      <c r="D2" s="395" t="s">
        <v>126</v>
      </c>
      <c r="E2" s="418" t="s">
        <v>127</v>
      </c>
      <c r="F2" s="418"/>
      <c r="G2" s="418" t="s">
        <v>153</v>
      </c>
      <c r="H2" s="396" t="s">
        <v>44</v>
      </c>
      <c r="I2" s="429" t="s">
        <v>148</v>
      </c>
    </row>
    <row r="3" spans="1:10" x14ac:dyDescent="0.2">
      <c r="B3" s="401" t="s">
        <v>154</v>
      </c>
      <c r="C3" s="400">
        <f>RateHelpersFra!G2</f>
        <v>4.1900000000000001E-3</v>
      </c>
      <c r="D3" s="398">
        <f>RateHelpersFra!K2</f>
        <v>41887</v>
      </c>
      <c r="E3" s="398">
        <f>RateHelpersFra!L2</f>
        <v>42254</v>
      </c>
      <c r="F3" s="398" t="str">
        <f>_xll.qlMakeDatedOIS(,D3,E3,OvernightIndex,0,"Act/360",0)</f>
        <v>obj_00659#0020</v>
      </c>
      <c r="G3" s="420">
        <f>_xll.qlIndexFixing(IborIndex,SynthFra!G2,TRUE,InterestRatesTrigger)</f>
        <v>4.1900000000001259E-3</v>
      </c>
      <c r="H3" s="400">
        <f>SynthFra!L2</f>
        <v>-1.6000000000000272E-4</v>
      </c>
      <c r="I3" s="430">
        <f>SynthFra!M2</f>
        <v>4.3499999999999997E-3</v>
      </c>
      <c r="J3" s="424">
        <f>I3-H11</f>
        <v>0</v>
      </c>
    </row>
    <row r="4" spans="1:10" x14ac:dyDescent="0.2">
      <c r="B4" s="401" t="s">
        <v>149</v>
      </c>
      <c r="C4" s="400">
        <f>RateHelpersFra!G3</f>
        <v>4.2400000000000007E-3</v>
      </c>
      <c r="D4" s="398">
        <f>RateHelpersFra!K3</f>
        <v>42254</v>
      </c>
      <c r="E4" s="398">
        <f>RateHelpersFra!L3</f>
        <v>42620</v>
      </c>
      <c r="F4" s="398" t="str">
        <f>_xll.qlMakeDatedOIS(,D4,E4,OvernightIndex,0,"Act/360",0)</f>
        <v>obj_0065a#0020</v>
      </c>
      <c r="G4" s="420">
        <f>_xll.qlIndexFixing(IborIndex,SynthFra!G3,TRUE,InterestRatesTrigger)</f>
        <v>4.2399999999999088E-3</v>
      </c>
      <c r="H4" s="400">
        <f>SynthFra!L3</f>
        <v>-3.3602177869802283E-5</v>
      </c>
      <c r="I4" s="430">
        <f>SynthFra!M3</f>
        <v>4.274E-3</v>
      </c>
      <c r="J4" s="424">
        <f>I4-H23</f>
        <v>-1.899999999999992E-5</v>
      </c>
    </row>
    <row r="5" spans="1:10" x14ac:dyDescent="0.2">
      <c r="B5" s="401" t="s">
        <v>150</v>
      </c>
      <c r="C5" s="400">
        <f>RateHelpersFra!G4</f>
        <v>4.7799999999999995E-3</v>
      </c>
      <c r="D5" s="398">
        <f>RateHelpersFra!K4</f>
        <v>41887</v>
      </c>
      <c r="E5" s="398">
        <f>RateHelpersFra!L4</f>
        <v>42983</v>
      </c>
      <c r="F5" s="398" t="str">
        <f>_xll.qlMakeDatedOIS(,D5,E5,OvernightIndex,0,"Act/360",0)</f>
        <v>obj_0065c#0020</v>
      </c>
      <c r="G5" s="420">
        <f>_xll.qlIndexFixing(IborIndex,SynthFra!G4,TRUE,InterestRatesTrigger)</f>
        <v>5.7062177647022351E-3</v>
      </c>
      <c r="H5" s="400">
        <f>SynthFra!L4</f>
        <v>1.0418297041493122E-3</v>
      </c>
      <c r="I5" s="430">
        <f>SynthFra!M4</f>
        <v>4.6639999999999997E-3</v>
      </c>
      <c r="J5" s="424">
        <f>I5-H35</f>
        <v>2.0000000000000052E-5</v>
      </c>
    </row>
    <row r="6" spans="1:10" x14ac:dyDescent="0.2">
      <c r="B6" s="401" t="s">
        <v>151</v>
      </c>
      <c r="C6" s="400">
        <f>RateHelpersFra!G5</f>
        <v>5.6100000000000004E-3</v>
      </c>
      <c r="D6" s="398">
        <f>RateHelpersFra!K5</f>
        <v>41887</v>
      </c>
      <c r="E6" s="398">
        <f>RateHelpersFra!L5</f>
        <v>43348</v>
      </c>
      <c r="F6" s="398" t="str">
        <f>_xll.qlMakeDatedOIS(,D6,E6,OvernightIndex,0,"Act/360",0)</f>
        <v>obj_00658#0020</v>
      </c>
      <c r="G6" s="420">
        <f>_xll.qlIndexFixing(IborIndex,SynthFra!G5,TRUE,InterestRatesTrigger)</f>
        <v>7.9982364687277117E-3</v>
      </c>
      <c r="H6" s="400">
        <f>SynthFra!L5</f>
        <v>3.009508865542577E-3</v>
      </c>
      <c r="I6" s="430">
        <f>SynthFra!M5</f>
        <v>4.9890000000000004E-3</v>
      </c>
      <c r="J6" s="424">
        <f>I6-H47</f>
        <v>0</v>
      </c>
    </row>
    <row r="7" spans="1:10" ht="12" thickBot="1" x14ac:dyDescent="0.25">
      <c r="B7" s="403" t="s">
        <v>152</v>
      </c>
      <c r="C7" s="428">
        <f>RateHelpersFra!G6</f>
        <v>6.6899999999999998E-3</v>
      </c>
      <c r="D7" s="426">
        <f>RateHelpersFra!K6</f>
        <v>41887</v>
      </c>
      <c r="E7" s="426">
        <f>RateHelpersFra!L6</f>
        <v>43713</v>
      </c>
      <c r="F7" s="426" t="str">
        <f>_xll.qlMakeDatedOIS(,D7,E7,OvernightIndex,0,"Act/360",0)</f>
        <v>obj_0065b#0020</v>
      </c>
      <c r="G7" s="427">
        <f>_xll.qlIndexFixing(IborIndex,SynthFra!G6,TRUE,InterestRatesTrigger)</f>
        <v>1.089537626050364E-2</v>
      </c>
      <c r="H7" s="428">
        <f>SynthFra!L6</f>
        <v>5.5938090222236543E-3</v>
      </c>
      <c r="I7" s="431">
        <f>SynthFra!M6</f>
        <v>5.3020000000000003E-3</v>
      </c>
      <c r="J7" s="424">
        <f>I7-H59</f>
        <v>0</v>
      </c>
    </row>
    <row r="9" spans="1:10" ht="12" thickBot="1" x14ac:dyDescent="0.25"/>
    <row r="10" spans="1:10" ht="23.25" thickBot="1" x14ac:dyDescent="0.25">
      <c r="A10" s="402"/>
      <c r="B10" s="394" t="s">
        <v>147</v>
      </c>
      <c r="C10" s="394" t="s">
        <v>125</v>
      </c>
      <c r="D10" s="395" t="s">
        <v>126</v>
      </c>
      <c r="E10" s="418" t="s">
        <v>127</v>
      </c>
      <c r="F10" s="418"/>
      <c r="G10" s="418" t="s">
        <v>44</v>
      </c>
      <c r="H10" s="396" t="s">
        <v>148</v>
      </c>
      <c r="I10" s="395" t="s">
        <v>141</v>
      </c>
      <c r="J10" s="423"/>
    </row>
    <row r="11" spans="1:10" x14ac:dyDescent="0.2">
      <c r="A11" s="268"/>
      <c r="B11" s="405" t="s">
        <v>154</v>
      </c>
      <c r="C11" s="414">
        <f>_xll.qlInterestRateIndexFixingDate(IborIndex,D11)</f>
        <v>41885</v>
      </c>
      <c r="D11" s="415">
        <f>SynthFra!I2</f>
        <v>41887</v>
      </c>
      <c r="E11" s="415">
        <f>_xll.qlCalendarAdvance(Calendar,D11,"1Y","mf")</f>
        <v>42254</v>
      </c>
      <c r="F11" s="415" t="str">
        <f>_xll.qlMakeDatedOIS(,D11,E11,OvernightIndex,0,"Act/360",0)</f>
        <v>obj_0062f#0000</v>
      </c>
      <c r="G11" s="419">
        <f>_xll.qlOvernightIndexedSwapFairRate(F11,Contribution!$P$25)</f>
        <v>-1.6000000000000272E-4</v>
      </c>
      <c r="H11" s="417">
        <f t="array" ref="H11:H59">_xll.qlInterpolationInterpolate(BasisInterpolator,D11:D59,FALSE,_xll.ohTrigger(Trigger,InterestRatesTrigger))</f>
        <v>4.3499999999999997E-3</v>
      </c>
      <c r="I11" s="416">
        <f t="shared" ref="I11:I45" si="0">G11+H11</f>
        <v>4.1899999999999967E-3</v>
      </c>
      <c r="J11" s="424">
        <f>SynthFra!N8-FRACharts!I11</f>
        <v>0</v>
      </c>
    </row>
    <row r="12" spans="1:10" x14ac:dyDescent="0.2">
      <c r="A12" s="268"/>
      <c r="B12" s="401" t="str">
        <f>"Synthetic FRA "&amp;SynthFra!F9&amp;"x"&amp;SynthFra!F9+12</f>
        <v>Synthetic FRA 1x13</v>
      </c>
      <c r="C12" s="397">
        <f>_xll.qlInterestRateIndexFixingDate(IborIndex,D12)</f>
        <v>41914</v>
      </c>
      <c r="D12" s="398">
        <f>SynthFra!I9</f>
        <v>41918</v>
      </c>
      <c r="E12" s="398">
        <f>_xll.qlCalendarAdvance(Calendar,D12,"1Y","mf")</f>
        <v>42283</v>
      </c>
      <c r="F12" s="398" t="str">
        <f>_xll.qlMakeDatedOIS(,D12,E12,OvernightIndex,0,"Act/360",0)</f>
        <v>obj_00652#0000</v>
      </c>
      <c r="G12" s="420">
        <f>_xll.qlOvernightIndexedSwapFairRate(F12,Contribution!$P$25)</f>
        <v>-1.8277029119225478E-4</v>
      </c>
      <c r="H12" s="400">
        <v>4.3359268788529162E-3</v>
      </c>
      <c r="I12" s="399">
        <f t="shared" si="0"/>
        <v>4.1531565876606613E-3</v>
      </c>
      <c r="J12" s="424">
        <f>SynthFra!N9-FRACharts!I12</f>
        <v>-3.3069877001506293E-6</v>
      </c>
    </row>
    <row r="13" spans="1:10" x14ac:dyDescent="0.2">
      <c r="A13" s="268"/>
      <c r="B13" s="401" t="str">
        <f>"Synthetic FRA "&amp;SynthFra!F10&amp;"x"&amp;SynthFra!F10+12</f>
        <v>Synthetic FRA 2x14</v>
      </c>
      <c r="C13" s="397">
        <f>_xll.qlInterestRateIndexFixingDate(IborIndex,D13)</f>
        <v>41946</v>
      </c>
      <c r="D13" s="398">
        <f>SynthFra!I10</f>
        <v>41948</v>
      </c>
      <c r="E13" s="398">
        <f>_xll.qlCalendarAdvance(Calendar,D13,"1Y","mf")</f>
        <v>42313</v>
      </c>
      <c r="F13" s="398" t="str">
        <f>_xll.qlMakeDatedOIS(,D13,E13,OvernightIndex,0,"Act/360",0)</f>
        <v>obj_00636#0000</v>
      </c>
      <c r="G13" s="420">
        <f>_xll.qlOvernightIndexedSwapFairRate(F13,Contribution!$P$25)</f>
        <v>-1.9445715716070861E-4</v>
      </c>
      <c r="H13" s="400">
        <v>4.3226837322206573E-3</v>
      </c>
      <c r="I13" s="399">
        <f t="shared" si="0"/>
        <v>4.1282265750599489E-3</v>
      </c>
      <c r="J13" s="424">
        <f>SynthFra!N10-FRACharts!I13</f>
        <v>-6.4381733011695252E-6</v>
      </c>
    </row>
    <row r="14" spans="1:10" x14ac:dyDescent="0.2">
      <c r="A14" s="268"/>
      <c r="B14" s="401" t="str">
        <f>"Synthetic FRA "&amp;SynthFra!F11&amp;"x"&amp;SynthFra!F11+12</f>
        <v>Synthetic FRA 3x15</v>
      </c>
      <c r="C14" s="397">
        <f>_xll.qlInterestRateIndexFixingDate(IborIndex,D14)</f>
        <v>41976</v>
      </c>
      <c r="D14" s="398">
        <f>SynthFra!I11</f>
        <v>41978</v>
      </c>
      <c r="E14" s="398">
        <f>_xll.qlCalendarAdvance(Calendar,D14,"1Y","mf")</f>
        <v>42345</v>
      </c>
      <c r="F14" s="398" t="str">
        <f>_xll.qlMakeDatedOIS(,D14,E14,OvernightIndex,0,"Act/360",0)</f>
        <v>obj_0064d#0000</v>
      </c>
      <c r="G14" s="420">
        <f>_xll.qlOvernightIndexedSwapFairRate(F14,Contribution!$P$25)</f>
        <v>-2.1176203613046781E-4</v>
      </c>
      <c r="H14" s="400">
        <v>4.3101762433675863E-3</v>
      </c>
      <c r="I14" s="399">
        <f t="shared" si="0"/>
        <v>4.0984142072371188E-3</v>
      </c>
      <c r="J14" s="424">
        <f>SynthFra!N11-FRACharts!I14</f>
        <v>-9.4341141872057027E-6</v>
      </c>
    </row>
    <row r="15" spans="1:10" x14ac:dyDescent="0.2">
      <c r="A15" s="268"/>
      <c r="B15" s="401" t="str">
        <f>"Synthetic FRA "&amp;SynthFra!F12&amp;"x"&amp;SynthFra!F12+12</f>
        <v>Synthetic FRA 4x16</v>
      </c>
      <c r="C15" s="397">
        <f>_xll.qlInterestRateIndexFixingDate(IborIndex,D15)</f>
        <v>42004</v>
      </c>
      <c r="D15" s="398">
        <f>SynthFra!I12</f>
        <v>42009</v>
      </c>
      <c r="E15" s="398">
        <f>_xll.qlCalendarAdvance(Calendar,D15,"1Y","mf")</f>
        <v>42374</v>
      </c>
      <c r="F15" s="398" t="str">
        <f>_xll.qlMakeDatedOIS(,D15,E15,OvernightIndex,0,"Act/360",0)</f>
        <v>obj_0063c#0000</v>
      </c>
      <c r="G15" s="420">
        <f>_xll.qlOvernightIndexedSwapFairRate(F15,Contribution!$P$25)</f>
        <v>-2.1347222076746361E-4</v>
      </c>
      <c r="H15" s="400">
        <v>4.2984090006594937E-3</v>
      </c>
      <c r="I15" s="399">
        <f t="shared" si="0"/>
        <v>4.0849367798920302E-3</v>
      </c>
      <c r="J15" s="424">
        <f>SynthFra!N12-FRACharts!I15</f>
        <v>-1.2317184841841022E-5</v>
      </c>
    </row>
    <row r="16" spans="1:10" x14ac:dyDescent="0.2">
      <c r="A16" s="268"/>
      <c r="B16" s="401" t="str">
        <f>"Synthetic FRA "&amp;SynthFra!F13&amp;"x"&amp;SynthFra!F13+12</f>
        <v>Synthetic FRA 5x17</v>
      </c>
      <c r="C16" s="397">
        <f>_xll.qlInterestRateIndexFixingDate(IborIndex,D16)</f>
        <v>42038</v>
      </c>
      <c r="D16" s="398">
        <f>SynthFra!I13</f>
        <v>42040</v>
      </c>
      <c r="E16" s="398">
        <f>_xll.qlCalendarAdvance(Calendar,D16,"1Y","mf")</f>
        <v>42405</v>
      </c>
      <c r="F16" s="398" t="str">
        <f>_xll.qlMakeDatedOIS(,D16,E16,OvernightIndex,0,"Act/360",0)</f>
        <v>obj_00635#0000</v>
      </c>
      <c r="G16" s="420">
        <f>_xll.qlOvernightIndexedSwapFairRate(F16,Contribution!$P$25)</f>
        <v>-2.1651293456974706E-4</v>
      </c>
      <c r="H16" s="400">
        <v>4.2882127960087351E-3</v>
      </c>
      <c r="I16" s="399">
        <f t="shared" si="0"/>
        <v>4.0716998614389877E-3</v>
      </c>
      <c r="J16" s="424">
        <f>SynthFra!N13-FRACharts!I16</f>
        <v>-1.4911432894036854E-5</v>
      </c>
    </row>
    <row r="17" spans="1:10" x14ac:dyDescent="0.2">
      <c r="A17" s="268"/>
      <c r="B17" s="401" t="str">
        <f>"Synthetic FRA "&amp;SynthFra!F14&amp;"x"&amp;SynthFra!F14+12</f>
        <v>Synthetic FRA 6x18</v>
      </c>
      <c r="C17" s="397">
        <f>_xll.qlInterestRateIndexFixingDate(IborIndex,D17)</f>
        <v>42066</v>
      </c>
      <c r="D17" s="398">
        <f>SynthFra!I14</f>
        <v>42068</v>
      </c>
      <c r="E17" s="398">
        <f>_xll.qlCalendarAdvance(Calendar,D17,"1Y","mf")</f>
        <v>42436</v>
      </c>
      <c r="F17" s="398" t="str">
        <f>_xll.qlMakeDatedOIS(,D17,E17,OvernightIndex,0,"Act/360",0)</f>
        <v>obj_0064c#0000</v>
      </c>
      <c r="G17" s="420">
        <f>_xll.qlOvernightIndexedSwapFairRate(F17,Contribution!$P$25)</f>
        <v>-2.2634886663605705E-4</v>
      </c>
      <c r="H17" s="400">
        <v>4.2806857125614866E-3</v>
      </c>
      <c r="I17" s="399">
        <f t="shared" si="0"/>
        <v>4.0543368459254299E-3</v>
      </c>
      <c r="J17" s="424">
        <f>SynthFra!N14-FRACharts!I17</f>
        <v>-1.6945330612890344E-5</v>
      </c>
    </row>
    <row r="18" spans="1:10" x14ac:dyDescent="0.2">
      <c r="A18" s="268"/>
      <c r="B18" s="401" t="str">
        <f>"Synthetic FRA "&amp;SynthFra!F15&amp;"x"&amp;SynthFra!F15+12</f>
        <v>Synthetic FRA 7x19</v>
      </c>
      <c r="C18" s="397">
        <f>_xll.qlInterestRateIndexFixingDate(IborIndex,D18)</f>
        <v>42095</v>
      </c>
      <c r="D18" s="398">
        <f>SynthFra!I15</f>
        <v>42101</v>
      </c>
      <c r="E18" s="398">
        <f>_xll.qlCalendarAdvance(Calendar,D18,"1Y","mf")</f>
        <v>42467</v>
      </c>
      <c r="F18" s="398" t="str">
        <f>_xll.qlMakeDatedOIS(,D18,E18,OvernightIndex,0,"Act/360",0)</f>
        <v>obj_00643#0000</v>
      </c>
      <c r="G18" s="420">
        <f>_xll.qlOvernightIndexedSwapFairRate(F18,Contribution!$P$25)</f>
        <v>-2.13435414478007E-4</v>
      </c>
      <c r="H18" s="400">
        <v>4.2742781432328365E-3</v>
      </c>
      <c r="I18" s="399">
        <f t="shared" si="0"/>
        <v>4.0608427287548293E-3</v>
      </c>
      <c r="J18" s="424">
        <f>SynthFra!N15-FRACharts!I18</f>
        <v>-1.888950482968263E-5</v>
      </c>
    </row>
    <row r="19" spans="1:10" x14ac:dyDescent="0.2">
      <c r="A19" s="268"/>
      <c r="B19" s="401" t="str">
        <f>"Synthetic FRA "&amp;SynthFra!F16&amp;"x"&amp;SynthFra!F16+12</f>
        <v>Synthetic FRA 8x20</v>
      </c>
      <c r="C19" s="397">
        <f>_xll.qlInterestRateIndexFixingDate(IborIndex,D19)</f>
        <v>42124</v>
      </c>
      <c r="D19" s="398">
        <f>SynthFra!I16</f>
        <v>42129</v>
      </c>
      <c r="E19" s="398">
        <f>_xll.qlCalendarAdvance(Calendar,D19,"1Y","mf")</f>
        <v>42495</v>
      </c>
      <c r="F19" s="398" t="str">
        <f>_xll.qlMakeDatedOIS(,D19,E19,OvernightIndex,0,"Act/360",0)</f>
        <v>obj_0063b#0000</v>
      </c>
      <c r="G19" s="420">
        <f>_xll.qlOvernightIndexedSwapFairRate(F19,Contribution!$P$25)</f>
        <v>-1.956095471607894E-4</v>
      </c>
      <c r="H19" s="400">
        <v>4.2712712681399374E-3</v>
      </c>
      <c r="I19" s="399">
        <f t="shared" si="0"/>
        <v>4.0756617209791483E-3</v>
      </c>
      <c r="J19" s="424">
        <f>SynthFra!N16-FRACharts!I19</f>
        <v>-2.0092398910925326E-5</v>
      </c>
    </row>
    <row r="20" spans="1:10" x14ac:dyDescent="0.2">
      <c r="A20" s="268"/>
      <c r="B20" s="401" t="str">
        <f>"Synthetic FRA "&amp;SynthFra!F17&amp;"x"&amp;SynthFra!F17+12</f>
        <v>Synthetic FRA 9x21</v>
      </c>
      <c r="C20" s="397">
        <f>_xll.qlInterestRateIndexFixingDate(IborIndex,D20)</f>
        <v>42158</v>
      </c>
      <c r="D20" s="398">
        <f>SynthFra!I17</f>
        <v>42160</v>
      </c>
      <c r="E20" s="398">
        <f>_xll.qlCalendarAdvance(Calendar,D20,"1Y","mf")</f>
        <v>42527</v>
      </c>
      <c r="F20" s="398" t="str">
        <f>_xll.qlMakeDatedOIS(,D20,E20,OvernightIndex,0,"Act/360",0)</f>
        <v>obj_00626#0000</v>
      </c>
      <c r="G20" s="420">
        <f>_xll.qlOvernightIndexedSwapFairRate(F20,Contribution!$P$25)</f>
        <v>-1.7231622357898724E-4</v>
      </c>
      <c r="H20" s="400">
        <v>4.2709200137691422E-3</v>
      </c>
      <c r="I20" s="399">
        <f t="shared" si="0"/>
        <v>4.0986037901901548E-3</v>
      </c>
      <c r="J20" s="424">
        <f>SynthFra!N17-FRACharts!I20</f>
        <v>-2.087673271726747E-5</v>
      </c>
    </row>
    <row r="21" spans="1:10" x14ac:dyDescent="0.2">
      <c r="A21" s="268"/>
      <c r="B21" s="401" t="str">
        <f>"Synthetic FRA "&amp;SynthFra!F18&amp;"x"&amp;SynthFra!F18+12</f>
        <v>Synthetic FRA 10x22</v>
      </c>
      <c r="C21" s="397">
        <f>_xll.qlInterestRateIndexFixingDate(IborIndex,D21)</f>
        <v>42187</v>
      </c>
      <c r="D21" s="398">
        <f>SynthFra!I18</f>
        <v>42191</v>
      </c>
      <c r="E21" s="398">
        <f>_xll.qlCalendarAdvance(Calendar,D21,"1Y","mf")</f>
        <v>42557</v>
      </c>
      <c r="F21" s="398" t="str">
        <f>_xll.qlMakeDatedOIS(,D21,E21,OvernightIndex,0,"Act/360",0)</f>
        <v>obj_0064f#0000</v>
      </c>
      <c r="G21" s="420">
        <f>_xll.qlOvernightIndexedSwapFairRate(F21,Contribution!$P$25)</f>
        <v>-1.3369338055411404E-4</v>
      </c>
      <c r="H21" s="400">
        <v>4.274084278985661E-3</v>
      </c>
      <c r="I21" s="399">
        <f t="shared" si="0"/>
        <v>4.1403908984315469E-3</v>
      </c>
      <c r="J21" s="424">
        <f>SynthFra!N18-FRACharts!I21</f>
        <v>-2.1014766765693228E-5</v>
      </c>
    </row>
    <row r="22" spans="1:10" x14ac:dyDescent="0.2">
      <c r="A22" s="268"/>
      <c r="B22" s="401" t="str">
        <f>"Synthetic FRA "&amp;SynthFra!F19&amp;"x"&amp;SynthFra!F19+12</f>
        <v>Synthetic FRA 11x23</v>
      </c>
      <c r="C22" s="397">
        <f>_xll.qlInterestRateIndexFixingDate(IborIndex,D22)</f>
        <v>42219</v>
      </c>
      <c r="D22" s="398">
        <f>SynthFra!I19</f>
        <v>42221</v>
      </c>
      <c r="E22" s="398">
        <f>_xll.qlCalendarAdvance(Calendar,D22,"1Y","mf")</f>
        <v>42587</v>
      </c>
      <c r="F22" s="398" t="str">
        <f>_xll.qlMakeDatedOIS(,D22,E22,OvernightIndex,0,"Act/360",0)</f>
        <v>obj_0064e#0000</v>
      </c>
      <c r="G22" s="420">
        <f>_xll.qlOvernightIndexedSwapFairRate(F22,Contribution!$P$25)</f>
        <v>-9.3286307613162889E-5</v>
      </c>
      <c r="H22" s="400">
        <v>4.2808697168909074E-3</v>
      </c>
      <c r="I22" s="399">
        <f t="shared" si="0"/>
        <v>4.1875834092777444E-3</v>
      </c>
      <c r="J22" s="424">
        <f>SynthFra!N19-FRACharts!I22</f>
        <v>-2.0463859573165329E-5</v>
      </c>
    </row>
    <row r="23" spans="1:10" x14ac:dyDescent="0.2">
      <c r="A23" s="268"/>
      <c r="B23" s="405" t="str">
        <f>"FRA "&amp;SynthFra!F20&amp;"x"&amp;SynthFra!F20+12</f>
        <v>FRA 12x24</v>
      </c>
      <c r="C23" s="410">
        <f>_xll.qlInterestRateIndexFixingDate(IborIndex,D23)</f>
        <v>42250</v>
      </c>
      <c r="D23" s="411">
        <f>SynthFra!I3</f>
        <v>42254</v>
      </c>
      <c r="E23" s="411">
        <f>_xll.qlCalendarAdvance(Calendar,D23,"1Y","mf")</f>
        <v>42620</v>
      </c>
      <c r="F23" s="411" t="str">
        <f>_xll.qlMakeDatedOIS(,D23,E23,OvernightIndex,0,"Act/360",0)</f>
        <v>obj_00640#0000</v>
      </c>
      <c r="G23" s="421">
        <f>_xll.qlOvernightIndexedSwapFairRate(F23,Contribution!$P$25)</f>
        <v>-3.3602177869802283E-5</v>
      </c>
      <c r="H23" s="413">
        <v>4.2929999999999999E-3</v>
      </c>
      <c r="I23" s="412">
        <f t="shared" si="0"/>
        <v>4.259397822130198E-3</v>
      </c>
      <c r="J23" s="424">
        <f>SynthFra!N20-FRACharts!I23</f>
        <v>-1.899999999999992E-5</v>
      </c>
    </row>
    <row r="24" spans="1:10" x14ac:dyDescent="0.2">
      <c r="A24" s="268"/>
      <c r="B24" s="401" t="str">
        <f>"Synthetic FRA "&amp;SynthFra!F21&amp;"x"&amp;SynthFra!F21+12</f>
        <v>Synthetic FRA 13x25</v>
      </c>
      <c r="C24" s="397">
        <f>_xll.qlInterestRateIndexFixingDate(IborIndex,D24)</f>
        <v>42278</v>
      </c>
      <c r="D24" s="398">
        <f>SynthFra!I21</f>
        <v>42282</v>
      </c>
      <c r="E24" s="398">
        <f>_xll.qlCalendarAdvance(Calendar,D24,"1Y","mf")</f>
        <v>42648</v>
      </c>
      <c r="F24" s="398" t="str">
        <f>_xll.qlMakeDatedOIS(,D24,E24,OvernightIndex,0,"Act/360",0)</f>
        <v>obj_00641#0000</v>
      </c>
      <c r="G24" s="420">
        <f>_xll.qlOvernightIndexedSwapFairRate(F24,Contribution!$P$25)</f>
        <v>6.6001618081284213E-5</v>
      </c>
      <c r="H24" s="400">
        <v>4.3073615820470841E-3</v>
      </c>
      <c r="I24" s="399">
        <f t="shared" si="0"/>
        <v>4.3733632001283686E-3</v>
      </c>
      <c r="J24" s="424">
        <f>SynthFra!N21-FRACharts!I24</f>
        <v>-1.7017617068324636E-5</v>
      </c>
    </row>
    <row r="25" spans="1:10" x14ac:dyDescent="0.2">
      <c r="A25" s="268"/>
      <c r="B25" s="401" t="str">
        <f>"Synthetic FRA "&amp;SynthFra!F22&amp;"x"&amp;SynthFra!F22+12</f>
        <v>Synthetic FRA 14x26</v>
      </c>
      <c r="C25" s="397">
        <f>_xll.qlInterestRateIndexFixingDate(IborIndex,D25)</f>
        <v>42311</v>
      </c>
      <c r="D25" s="398">
        <f>SynthFra!I22</f>
        <v>42313</v>
      </c>
      <c r="E25" s="398">
        <f>_xll.qlCalendarAdvance(Calendar,D25,"1Y","mf")</f>
        <v>42681</v>
      </c>
      <c r="F25" s="398" t="str">
        <f>_xll.qlMakeDatedOIS(,D25,E25,OvernightIndex,0,"Act/360",0)</f>
        <v>obj_00648#0000</v>
      </c>
      <c r="G25" s="420">
        <f>_xll.qlOvernightIndexedSwapFairRate(F25,Contribution!$P$25)</f>
        <v>1.8099108270630066E-4</v>
      </c>
      <c r="H25" s="400">
        <v>4.3273063996085263E-3</v>
      </c>
      <c r="I25" s="399">
        <f t="shared" si="0"/>
        <v>4.5082974823148266E-3</v>
      </c>
      <c r="J25" s="424">
        <f>SynthFra!N22-FRACharts!I25</f>
        <v>-1.4135631976442721E-5</v>
      </c>
    </row>
    <row r="26" spans="1:10" x14ac:dyDescent="0.2">
      <c r="A26" s="268"/>
      <c r="B26" s="401" t="str">
        <f>"Synthetic FRA "&amp;SynthFra!F23&amp;"x"&amp;SynthFra!F23+12</f>
        <v>Synthetic FRA 15x27</v>
      </c>
      <c r="C26" s="397">
        <f>_xll.qlInterestRateIndexFixingDate(IborIndex,D26)</f>
        <v>42341</v>
      </c>
      <c r="D26" s="398">
        <f>SynthFra!I23</f>
        <v>42345</v>
      </c>
      <c r="E26" s="398">
        <f>_xll.qlCalendarAdvance(Calendar,D26,"1Y","mf")</f>
        <v>42711</v>
      </c>
      <c r="F26" s="398" t="str">
        <f>_xll.qlMakeDatedOIS(,D26,E26,OvernightIndex,0,"Act/360",0)</f>
        <v>obj_00642#0000</v>
      </c>
      <c r="G26" s="420">
        <f>_xll.qlOvernightIndexedSwapFairRate(F26,Contribution!$P$25)</f>
        <v>2.9014703969312057E-4</v>
      </c>
      <c r="H26" s="400">
        <v>4.3518305438960663E-3</v>
      </c>
      <c r="I26" s="399">
        <f t="shared" si="0"/>
        <v>4.6419775835891868E-3</v>
      </c>
      <c r="J26" s="424">
        <f>SynthFra!N23-FRACharts!I26</f>
        <v>-1.0564151707569483E-5</v>
      </c>
    </row>
    <row r="27" spans="1:10" x14ac:dyDescent="0.2">
      <c r="A27" s="268"/>
      <c r="B27" s="401" t="str">
        <f>"Synthetic FRA "&amp;SynthFra!F24&amp;"x"&amp;SynthFra!F24+12</f>
        <v>Synthetic FRA 16x28</v>
      </c>
      <c r="C27" s="397">
        <f>_xll.qlInterestRateIndexFixingDate(IborIndex,D27)</f>
        <v>42369</v>
      </c>
      <c r="D27" s="398">
        <f>SynthFra!I24</f>
        <v>42374</v>
      </c>
      <c r="E27" s="398">
        <f>_xll.qlCalendarAdvance(Calendar,D27,"1Y","mf")</f>
        <v>42740</v>
      </c>
      <c r="F27" s="398" t="str">
        <f>_xll.qlMakeDatedOIS(,D27,E27,OvernightIndex,0,"Act/360",0)</f>
        <v>obj_0063f#0000</v>
      </c>
      <c r="G27" s="420">
        <f>_xll.qlOvernightIndexedSwapFairRate(F27,Contribution!$P$25)</f>
        <v>3.8216721549650469E-4</v>
      </c>
      <c r="H27" s="400">
        <v>4.3770461280636871E-3</v>
      </c>
      <c r="I27" s="399">
        <f t="shared" si="0"/>
        <v>4.7592133435601916E-3</v>
      </c>
      <c r="J27" s="424">
        <f>SynthFra!N24-FRACharts!I27</f>
        <v>-6.9468271417872166E-6</v>
      </c>
    </row>
    <row r="28" spans="1:10" x14ac:dyDescent="0.2">
      <c r="A28" s="268"/>
      <c r="B28" s="401" t="str">
        <f>"Synthetic FRA "&amp;SynthFra!F25&amp;"x"&amp;SynthFra!F25+12</f>
        <v>Synthetic FRA 17x29</v>
      </c>
      <c r="C28" s="397">
        <f>_xll.qlInterestRateIndexFixingDate(IborIndex,D28)</f>
        <v>42403</v>
      </c>
      <c r="D28" s="398">
        <f>SynthFra!I25</f>
        <v>42405</v>
      </c>
      <c r="E28" s="398">
        <f>_xll.qlCalendarAdvance(Calendar,D28,"1Y","mf")</f>
        <v>42772</v>
      </c>
      <c r="F28" s="398" t="str">
        <f>_xll.qlMakeDatedOIS(,D28,E28,OvernightIndex,0,"Act/360",0)</f>
        <v>obj_00625#0000</v>
      </c>
      <c r="G28" s="420">
        <f>_xll.qlOvernightIndexedSwapFairRate(F28,Contribution!$P$25)</f>
        <v>4.8207241065464679E-4</v>
      </c>
      <c r="H28" s="400">
        <v>4.4066581761806429E-3</v>
      </c>
      <c r="I28" s="399">
        <f t="shared" si="0"/>
        <v>4.8887305868352895E-3</v>
      </c>
      <c r="J28" s="424">
        <f>SynthFra!N25-FRACharts!I28</f>
        <v>-2.8298942651118139E-6</v>
      </c>
    </row>
    <row r="29" spans="1:10" x14ac:dyDescent="0.2">
      <c r="A29" s="268"/>
      <c r="B29" s="401" t="str">
        <f>"Synthetic FRA "&amp;SynthFra!F26&amp;"x"&amp;SynthFra!F26+12</f>
        <v>Synthetic FRA 18x30</v>
      </c>
      <c r="C29" s="397">
        <f>_xll.qlInterestRateIndexFixingDate(IborIndex,D29)</f>
        <v>42432</v>
      </c>
      <c r="D29" s="398">
        <f>SynthFra!I26</f>
        <v>42436</v>
      </c>
      <c r="E29" s="398">
        <f>_xll.qlCalendarAdvance(Calendar,D29,"1Y","mf")</f>
        <v>42801</v>
      </c>
      <c r="F29" s="398" t="str">
        <f>_xll.qlMakeDatedOIS(,D29,E29,OvernightIndex,0,"Act/360",0)</f>
        <v>obj_00656#0000</v>
      </c>
      <c r="G29" s="420">
        <f>_xll.qlOvernightIndexedSwapFairRate(F29,Contribution!$P$25)</f>
        <v>5.7766048465687054E-4</v>
      </c>
      <c r="H29" s="400">
        <v>4.4385185417782792E-3</v>
      </c>
      <c r="I29" s="399">
        <f t="shared" si="0"/>
        <v>5.01617902643515E-3</v>
      </c>
      <c r="J29" s="424">
        <f>SynthFra!N26-FRACharts!I29</f>
        <v>1.3920812380842015E-6</v>
      </c>
    </row>
    <row r="30" spans="1:10" x14ac:dyDescent="0.2">
      <c r="A30" s="268"/>
      <c r="B30" s="401" t="str">
        <f>"Synthetic FRA "&amp;SynthFra!F27&amp;"x"&amp;SynthFra!F27+12</f>
        <v>Synthetic FRA 19x31</v>
      </c>
      <c r="C30" s="397">
        <f>_xll.qlInterestRateIndexFixingDate(IborIndex,D30)</f>
        <v>42461</v>
      </c>
      <c r="D30" s="398">
        <f>SynthFra!I27</f>
        <v>42465</v>
      </c>
      <c r="E30" s="398">
        <f>_xll.qlCalendarAdvance(Calendar,D30,"1Y","mf")</f>
        <v>42830</v>
      </c>
      <c r="F30" s="398" t="str">
        <f>_xll.qlMakeDatedOIS(,D30,E30,OvernightIndex,0,"Act/360",0)</f>
        <v>obj_00629#0000</v>
      </c>
      <c r="G30" s="420">
        <f>_xll.qlOvernightIndexedSwapFairRate(F30,Contribution!$P$25)</f>
        <v>6.6277784763438079E-4</v>
      </c>
      <c r="H30" s="400">
        <v>4.4699082256665192E-3</v>
      </c>
      <c r="I30" s="399">
        <f t="shared" si="0"/>
        <v>5.1326860733009001E-3</v>
      </c>
      <c r="J30" s="424">
        <f>SynthFra!N27-FRACharts!I30</f>
        <v>5.2978631310133042E-6</v>
      </c>
    </row>
    <row r="31" spans="1:10" x14ac:dyDescent="0.2">
      <c r="A31" s="268"/>
      <c r="B31" s="401" t="str">
        <f>"Synthetic FRA "&amp;SynthFra!F28&amp;"x"&amp;SynthFra!F28+12</f>
        <v>Synthetic FRA 20x32</v>
      </c>
      <c r="C31" s="397">
        <f>_xll.qlInterestRateIndexFixingDate(IborIndex,D31)</f>
        <v>42493</v>
      </c>
      <c r="D31" s="398">
        <f>SynthFra!I28</f>
        <v>42495</v>
      </c>
      <c r="E31" s="398">
        <f>_xll.qlCalendarAdvance(Calendar,D31,"1Y","mf")</f>
        <v>42860</v>
      </c>
      <c r="F31" s="398" t="str">
        <f>_xll.qlMakeDatedOIS(,D31,E31,OvernightIndex,0,"Act/360",0)</f>
        <v>obj_00651#0000</v>
      </c>
      <c r="G31" s="420">
        <f>_xll.qlOvernightIndexedSwapFairRate(F31,Contribution!$P$25)</f>
        <v>7.5083801747846495E-4</v>
      </c>
      <c r="H31" s="400">
        <v>4.5035391391421951E-3</v>
      </c>
      <c r="I31" s="399">
        <f t="shared" si="0"/>
        <v>5.2543771566206602E-3</v>
      </c>
      <c r="J31" s="424">
        <f>SynthFra!N28-FRACharts!I31</f>
        <v>9.1540176753038618E-6</v>
      </c>
    </row>
    <row r="32" spans="1:10" x14ac:dyDescent="0.2">
      <c r="A32" s="268"/>
      <c r="B32" s="401" t="str">
        <f>"Synthetic FRA "&amp;SynthFra!F29&amp;"x"&amp;SynthFra!F29+12</f>
        <v>Synthetic FRA 21x33</v>
      </c>
      <c r="C32" s="397">
        <f>_xll.qlInterestRateIndexFixingDate(IborIndex,D32)</f>
        <v>42523</v>
      </c>
      <c r="D32" s="398">
        <f>SynthFra!I29</f>
        <v>42527</v>
      </c>
      <c r="E32" s="398">
        <f>_xll.qlCalendarAdvance(Calendar,D32,"1Y","mf")</f>
        <v>42892</v>
      </c>
      <c r="F32" s="398" t="str">
        <f>_xll.qlMakeDatedOIS(,D32,E32,OvernightIndex,0,"Act/360",0)</f>
        <v>obj_00630#0000</v>
      </c>
      <c r="G32" s="420">
        <f>_xll.qlOvernightIndexedSwapFairRate(F32,Contribution!$P$25)</f>
        <v>8.4477752550706853E-4</v>
      </c>
      <c r="H32" s="400">
        <v>4.5401972687713534E-3</v>
      </c>
      <c r="I32" s="399">
        <f t="shared" si="0"/>
        <v>5.3849747942784215E-3</v>
      </c>
      <c r="J32" s="424">
        <f>SynthFra!N29-FRACharts!I32</f>
        <v>1.2902273564693867E-5</v>
      </c>
    </row>
    <row r="33" spans="1:10" x14ac:dyDescent="0.2">
      <c r="A33" s="268"/>
      <c r="B33" s="401" t="str">
        <f>"Synthetic FRA "&amp;SynthFra!F30&amp;"x"&amp;SynthFra!F30+12</f>
        <v>Synthetic FRA 22x34</v>
      </c>
      <c r="C33" s="397">
        <f>_xll.qlInterestRateIndexFixingDate(IborIndex,D33)</f>
        <v>42552</v>
      </c>
      <c r="D33" s="398">
        <f>SynthFra!I30</f>
        <v>42556</v>
      </c>
      <c r="E33" s="398">
        <f>_xll.qlCalendarAdvance(Calendar,D33,"1Y","mf")</f>
        <v>42921</v>
      </c>
      <c r="F33" s="398" t="str">
        <f>_xll.qlMakeDatedOIS(,D33,E33,OvernightIndex,0,"Act/360",0)</f>
        <v>obj_0062b#0000</v>
      </c>
      <c r="G33" s="420">
        <f>_xll.qlOvernightIndexedSwapFairRate(F33,Contribution!$P$25)</f>
        <v>9.0757010382782992E-4</v>
      </c>
      <c r="H33" s="400">
        <v>4.573660667529845E-3</v>
      </c>
      <c r="I33" s="399">
        <f t="shared" si="0"/>
        <v>5.4812307713576749E-3</v>
      </c>
      <c r="J33" s="424">
        <f>SynthFra!N30-FRACharts!I33</f>
        <v>1.5832487148557083E-5</v>
      </c>
    </row>
    <row r="34" spans="1:10" x14ac:dyDescent="0.2">
      <c r="A34" s="268"/>
      <c r="B34" s="401" t="str">
        <f>"Synthetic FRA "&amp;SynthFra!F31&amp;"x"&amp;SynthFra!F31+12</f>
        <v>Synthetic FRA 23x35</v>
      </c>
      <c r="C34" s="397">
        <f>_xll.qlInterestRateIndexFixingDate(IborIndex,D34)</f>
        <v>42585</v>
      </c>
      <c r="D34" s="398">
        <f>SynthFra!I31</f>
        <v>42587</v>
      </c>
      <c r="E34" s="398">
        <f>_xll.qlCalendarAdvance(Calendar,D34,"1Y","mf")</f>
        <v>42954</v>
      </c>
      <c r="F34" s="398" t="str">
        <f>_xll.qlMakeDatedOIS(,D34,E34,OvernightIndex,0,"Act/360",0)</f>
        <v>obj_00631#0000</v>
      </c>
      <c r="G34" s="420">
        <f>_xll.qlOvernightIndexedSwapFairRate(F34,Contribution!$P$25)</f>
        <v>9.7506609188906268E-4</v>
      </c>
      <c r="H34" s="400">
        <v>4.6091993428310253E-3</v>
      </c>
      <c r="I34" s="399">
        <f t="shared" si="0"/>
        <v>5.5842654347200878E-3</v>
      </c>
      <c r="J34" s="424">
        <f>SynthFra!N31-FRACharts!I34</f>
        <v>1.832402110012437E-5</v>
      </c>
    </row>
    <row r="35" spans="1:10" x14ac:dyDescent="0.2">
      <c r="A35" s="268"/>
      <c r="B35" s="405" t="str">
        <f>"Swap/Impl FRA "&amp;SynthFra!F32&amp;"x"&amp;SynthFra!F32+12</f>
        <v>Swap/Impl FRA 24x36</v>
      </c>
      <c r="C35" s="410">
        <f>_xll.qlInterestRateIndexFixingDate(IborIndex,D35)</f>
        <v>42614</v>
      </c>
      <c r="D35" s="411">
        <f>SynthFra!I4</f>
        <v>42618</v>
      </c>
      <c r="E35" s="411">
        <f>_xll.qlCalendarAdvance(Calendar,D35,"1Y","mf")</f>
        <v>42983</v>
      </c>
      <c r="F35" s="411" t="str">
        <f>_xll.qlMakeDatedOIS(,D35,E35,OvernightIndex,0,"Act/360",0)</f>
        <v>obj_00632#0000</v>
      </c>
      <c r="G35" s="421">
        <f>_xll.qlOvernightIndexedSwapFairRate(F35,Contribution!$P$25)</f>
        <v>1.0418297041493122E-3</v>
      </c>
      <c r="H35" s="413">
        <v>4.6439999999999997E-3</v>
      </c>
      <c r="I35" s="412">
        <f t="shared" si="0"/>
        <v>5.6858297041493117E-3</v>
      </c>
      <c r="J35" s="424">
        <f>SynthFra!N32-FRACharts!I35</f>
        <v>2.0000000000000052E-5</v>
      </c>
    </row>
    <row r="36" spans="1:10" x14ac:dyDescent="0.2">
      <c r="A36" s="268"/>
      <c r="B36" s="401" t="str">
        <f>"Synthetic FRA "&amp;SynthFra!F33&amp;"x"&amp;SynthFra!F33+12</f>
        <v>Synthetic FRA 25x37</v>
      </c>
      <c r="C36" s="397">
        <f>_xll.qlInterestRateIndexFixingDate(IborIndex,D36)</f>
        <v>42646</v>
      </c>
      <c r="D36" s="398">
        <f>SynthFra!I33</f>
        <v>42648</v>
      </c>
      <c r="E36" s="398">
        <f>_xll.qlCalendarAdvance(Calendar,D36,"1Y","mf")</f>
        <v>43013</v>
      </c>
      <c r="F36" s="398" t="str">
        <f>_xll.qlMakeDatedOIS(,D36,E36,OvernightIndex,0,"Act/360",0)</f>
        <v>obj_0062e#0000</v>
      </c>
      <c r="G36" s="420">
        <f>_xll.qlOvernightIndexedSwapFairRate(F36,Contribution!$P$25)</f>
        <v>1.2034090389761282E-3</v>
      </c>
      <c r="H36" s="400">
        <v>4.6765886426546732E-3</v>
      </c>
      <c r="I36" s="399">
        <f t="shared" si="0"/>
        <v>5.8799976816308018E-3</v>
      </c>
      <c r="J36" s="424">
        <f>SynthFra!N33-FRACharts!I36</f>
        <v>2.0739759195654781E-5</v>
      </c>
    </row>
    <row r="37" spans="1:10" x14ac:dyDescent="0.2">
      <c r="A37" s="268"/>
      <c r="B37" s="401" t="str">
        <f>"Synthetic FRA "&amp;SynthFra!F34&amp;"x"&amp;SynthFra!F34+12</f>
        <v>Synthetic FRA 26x38</v>
      </c>
      <c r="C37" s="397">
        <f>_xll.qlInterestRateIndexFixingDate(IborIndex,D37)</f>
        <v>42677</v>
      </c>
      <c r="D37" s="398">
        <f>SynthFra!I34</f>
        <v>42681</v>
      </c>
      <c r="E37" s="398">
        <f>_xll.qlCalendarAdvance(Calendar,D37,"1Y","mf")</f>
        <v>43046</v>
      </c>
      <c r="F37" s="398" t="str">
        <f>_xll.qlMakeDatedOIS(,D37,E37,OvernightIndex,0,"Act/360",0)</f>
        <v>obj_00653#0000</v>
      </c>
      <c r="G37" s="420">
        <f>_xll.qlOvernightIndexedSwapFairRate(F37,Contribution!$P$25)</f>
        <v>1.3811768486086528E-3</v>
      </c>
      <c r="H37" s="400">
        <v>4.7111989893434923E-3</v>
      </c>
      <c r="I37" s="399">
        <f t="shared" si="0"/>
        <v>6.0923758379521449E-3</v>
      </c>
      <c r="J37" s="424">
        <f>SynthFra!N34-FRACharts!I37</f>
        <v>2.0633249205218897E-5</v>
      </c>
    </row>
    <row r="38" spans="1:10" x14ac:dyDescent="0.2">
      <c r="A38" s="268"/>
      <c r="B38" s="401" t="str">
        <f>"Synthetic FRA "&amp;SynthFra!F35&amp;"x"&amp;SynthFra!F35+12</f>
        <v>Synthetic FRA 27x39</v>
      </c>
      <c r="C38" s="397">
        <f>_xll.qlInterestRateIndexFixingDate(IborIndex,D38)</f>
        <v>42705</v>
      </c>
      <c r="D38" s="398">
        <f>SynthFra!I35</f>
        <v>42709</v>
      </c>
      <c r="E38" s="398">
        <f>_xll.qlCalendarAdvance(Calendar,D38,"1Y","mf")</f>
        <v>43074</v>
      </c>
      <c r="F38" s="398" t="str">
        <f>_xll.qlMakeDatedOIS(,D38,E38,OvernightIndex,0,"Act/360",0)</f>
        <v>obj_00638#0000</v>
      </c>
      <c r="G38" s="420">
        <f>_xll.qlOvernightIndexedSwapFairRate(F38,Contribution!$P$25)</f>
        <v>1.5320352369697537E-3</v>
      </c>
      <c r="H38" s="400">
        <v>4.7396384730973764E-3</v>
      </c>
      <c r="I38" s="399">
        <f t="shared" si="0"/>
        <v>6.2716737100671303E-3</v>
      </c>
      <c r="J38" s="424">
        <f>SynthFra!N35-FRACharts!I38</f>
        <v>1.9892595748199557E-5</v>
      </c>
    </row>
    <row r="39" spans="1:10" x14ac:dyDescent="0.2">
      <c r="A39" s="268"/>
      <c r="B39" s="401" t="str">
        <f>"Synthetic FRA "&amp;SynthFra!F36&amp;"x"&amp;SynthFra!F36+12</f>
        <v>Synthetic FRA 28x40</v>
      </c>
      <c r="C39" s="397">
        <f>_xll.qlInterestRateIndexFixingDate(IborIndex,D39)</f>
        <v>42738</v>
      </c>
      <c r="D39" s="398">
        <f>SynthFra!I36</f>
        <v>42740</v>
      </c>
      <c r="E39" s="398">
        <f>_xll.qlCalendarAdvance(Calendar,D39,"1Y","mf")</f>
        <v>43105</v>
      </c>
      <c r="F39" s="398" t="str">
        <f>_xll.qlMakeDatedOIS(,D39,E39,OvernightIndex,0,"Act/360",0)</f>
        <v>obj_00646#0000</v>
      </c>
      <c r="G39" s="420">
        <f>_xll.qlOvernightIndexedSwapFairRate(F39,Contribution!$P$25)</f>
        <v>1.6990839017505443E-3</v>
      </c>
      <c r="H39" s="400">
        <v>4.7702294225069148E-3</v>
      </c>
      <c r="I39" s="399">
        <f t="shared" si="0"/>
        <v>6.4693133242574594E-3</v>
      </c>
      <c r="J39" s="424">
        <f>SynthFra!N36-FRACharts!I39</f>
        <v>1.8490717869804746E-5</v>
      </c>
    </row>
    <row r="40" spans="1:10" x14ac:dyDescent="0.2">
      <c r="A40" s="268"/>
      <c r="B40" s="401" t="str">
        <f>"Synthetic FRA "&amp;SynthFra!F37&amp;"x"&amp;SynthFra!F37+12</f>
        <v>Synthetic FRA 29x41</v>
      </c>
      <c r="C40" s="397">
        <f>_xll.qlInterestRateIndexFixingDate(IborIndex,D40)</f>
        <v>42768</v>
      </c>
      <c r="D40" s="398">
        <f>SynthFra!I37</f>
        <v>42772</v>
      </c>
      <c r="E40" s="398">
        <f>_xll.qlCalendarAdvance(Calendar,D40,"1Y","mf")</f>
        <v>43137</v>
      </c>
      <c r="F40" s="398" t="str">
        <f>_xll.qlMakeDatedOIS(,D40,E40,OvernightIndex,0,"Act/360",0)</f>
        <v>obj_0063d#0000</v>
      </c>
      <c r="G40" s="420">
        <f>_xll.qlOvernightIndexedSwapFairRate(F40,Contribution!$P$25)</f>
        <v>1.8715508637235118E-3</v>
      </c>
      <c r="H40" s="400">
        <v>4.8009256438167041E-3</v>
      </c>
      <c r="I40" s="399">
        <f t="shared" si="0"/>
        <v>6.6724765075402157E-3</v>
      </c>
      <c r="J40" s="424">
        <f>SynthFra!N37-FRACharts!I40</f>
        <v>1.6527071905649525E-5</v>
      </c>
    </row>
    <row r="41" spans="1:10" x14ac:dyDescent="0.2">
      <c r="A41" s="268"/>
      <c r="B41" s="401" t="str">
        <f>"Synthetic FRA "&amp;SynthFra!F38&amp;"x"&amp;SynthFra!F38+12</f>
        <v>Synthetic FRA 30x42</v>
      </c>
      <c r="C41" s="397">
        <f>_xll.qlInterestRateIndexFixingDate(IborIndex,D41)</f>
        <v>42796</v>
      </c>
      <c r="D41" s="398">
        <f>SynthFra!I38</f>
        <v>42800</v>
      </c>
      <c r="E41" s="398">
        <f>_xll.qlCalendarAdvance(Calendar,D41,"1Y","mf")</f>
        <v>43165</v>
      </c>
      <c r="F41" s="398" t="str">
        <f>_xll.qlMakeDatedOIS(,D41,E41,OvernightIndex,0,"Act/360",0)</f>
        <v>obj_00649#0000</v>
      </c>
      <c r="G41" s="420">
        <f>_xll.qlOvernightIndexedSwapFairRate(F41,Contribution!$P$25)</f>
        <v>2.0224841516906919E-3</v>
      </c>
      <c r="H41" s="400">
        <v>4.8271382757304193E-3</v>
      </c>
      <c r="I41" s="399">
        <f t="shared" si="0"/>
        <v>6.8496224274211112E-3</v>
      </c>
      <c r="J41" s="424">
        <f>SynthFra!N38-FRACharts!I41</f>
        <v>1.4482437919341971E-5</v>
      </c>
    </row>
    <row r="42" spans="1:10" x14ac:dyDescent="0.2">
      <c r="A42" s="268"/>
      <c r="B42" s="401" t="str">
        <f>"Synthetic FRA "&amp;SynthFra!F39&amp;"x"&amp;SynthFra!F39+12</f>
        <v>Synthetic FRA 31x43</v>
      </c>
      <c r="C42" s="397">
        <f>_xll.qlInterestRateIndexFixingDate(IborIndex,D42)</f>
        <v>42828</v>
      </c>
      <c r="D42" s="398">
        <f>SynthFra!I39</f>
        <v>42830</v>
      </c>
      <c r="E42" s="398">
        <f>_xll.qlCalendarAdvance(Calendar,D42,"1Y","mf")</f>
        <v>43195</v>
      </c>
      <c r="F42" s="398" t="str">
        <f>_xll.qlMakeDatedOIS(,D42,E42,OvernightIndex,0,"Act/360",0)</f>
        <v>obj_00654#0000</v>
      </c>
      <c r="G42" s="420">
        <f>_xll.qlOvernightIndexedSwapFairRate(F42,Contribution!$P$25)</f>
        <v>2.1842239712338732E-3</v>
      </c>
      <c r="H42" s="400">
        <v>4.8546437767865627E-3</v>
      </c>
      <c r="I42" s="399">
        <f t="shared" si="0"/>
        <v>7.0388677480204363E-3</v>
      </c>
      <c r="J42" s="424">
        <f>SynthFra!N39-FRACharts!I42</f>
        <v>1.2060198479220408E-5</v>
      </c>
    </row>
    <row r="43" spans="1:10" x14ac:dyDescent="0.2">
      <c r="A43" s="268"/>
      <c r="B43" s="401" t="str">
        <f>"Synthetic FRA "&amp;SynthFra!F40&amp;"x"&amp;SynthFra!F40+12</f>
        <v>Synthetic FRA 32x44</v>
      </c>
      <c r="C43" s="397">
        <f>_xll.qlInterestRateIndexFixingDate(IborIndex,D43)</f>
        <v>42858</v>
      </c>
      <c r="D43" s="398">
        <f>SynthFra!I40</f>
        <v>42860</v>
      </c>
      <c r="E43" s="398">
        <f>_xll.qlCalendarAdvance(Calendar,D43,"1Y","mf")</f>
        <v>43227</v>
      </c>
      <c r="F43" s="398" t="str">
        <f>_xll.qlMakeDatedOIS(,D43,E43,OvernightIndex,0,"Act/360",0)</f>
        <v>obj_00628#0000</v>
      </c>
      <c r="G43" s="420">
        <f>_xll.qlOvernightIndexedSwapFairRate(F43,Contribution!$P$25)</f>
        <v>2.3496202815992844E-3</v>
      </c>
      <c r="H43" s="400">
        <v>4.881641062894241E-3</v>
      </c>
      <c r="I43" s="399">
        <f t="shared" si="0"/>
        <v>7.231261344493525E-3</v>
      </c>
      <c r="J43" s="424">
        <f>SynthFra!N40-FRACharts!I43</f>
        <v>9.5061809653827073E-6</v>
      </c>
    </row>
    <row r="44" spans="1:10" x14ac:dyDescent="0.2">
      <c r="A44" s="268"/>
      <c r="B44" s="401" t="str">
        <f>"Synthetic FRA "&amp;SynthFra!F41&amp;"x"&amp;SynthFra!F41+12</f>
        <v>Synthetic FRA 33x45</v>
      </c>
      <c r="C44" s="397">
        <f>_xll.qlInterestRateIndexFixingDate(IborIndex,D44)</f>
        <v>42887</v>
      </c>
      <c r="D44" s="398">
        <f>SynthFra!I41</f>
        <v>42891</v>
      </c>
      <c r="E44" s="398">
        <f>_xll.qlCalendarAdvance(Calendar,D44,"1Y","mf")</f>
        <v>43256</v>
      </c>
      <c r="F44" s="398" t="str">
        <f>_xll.qlMakeDatedOIS(,D44,E44,OvernightIndex,0,"Act/360",0)</f>
        <v>obj_00650#0000</v>
      </c>
      <c r="G44" s="420">
        <f>_xll.qlOvernightIndexedSwapFairRate(F44,Contribution!$P$25)</f>
        <v>2.5131765691487266E-3</v>
      </c>
      <c r="H44" s="400">
        <v>4.9091034580745069E-3</v>
      </c>
      <c r="I44" s="399">
        <f t="shared" si="0"/>
        <v>7.4222800272232339E-3</v>
      </c>
      <c r="J44" s="424">
        <f>SynthFra!N41-FRACharts!I44</f>
        <v>6.8456640999400853E-6</v>
      </c>
    </row>
    <row r="45" spans="1:10" x14ac:dyDescent="0.2">
      <c r="A45" s="268"/>
      <c r="B45" s="401" t="str">
        <f>"Synthetic FRA "&amp;SynthFra!F42&amp;"x"&amp;SynthFra!F42+12</f>
        <v>Synthetic FRA 34x46</v>
      </c>
      <c r="C45" s="397">
        <f>_xll.qlInterestRateIndexFixingDate(IborIndex,D45)</f>
        <v>42919</v>
      </c>
      <c r="D45" s="398">
        <f>SynthFra!I42</f>
        <v>42921</v>
      </c>
      <c r="E45" s="398">
        <f>_xll.qlCalendarAdvance(Calendar,D45,"1Y","mf")</f>
        <v>43286</v>
      </c>
      <c r="F45" s="398" t="str">
        <f>_xll.qlMakeDatedOIS(,D45,E45,OvernightIndex,0,"Act/360",0)</f>
        <v>obj_00637#0000</v>
      </c>
      <c r="G45" s="420">
        <f>_xll.qlOvernightIndexedSwapFairRate(F45,Contribution!$P$25)</f>
        <v>2.6749966908143391E-3</v>
      </c>
      <c r="H45" s="400">
        <v>4.9353551054510782E-3</v>
      </c>
      <c r="I45" s="399">
        <f t="shared" si="0"/>
        <v>7.6103517962654178E-3</v>
      </c>
      <c r="J45" s="424">
        <f>SynthFra!N42-FRACharts!I45</f>
        <v>4.3635922803170885E-6</v>
      </c>
    </row>
    <row r="46" spans="1:10" x14ac:dyDescent="0.2">
      <c r="A46" s="268"/>
      <c r="B46" s="401" t="str">
        <f>"Synthetic FRA "&amp;SynthFra!F43&amp;"x"&amp;SynthFra!F43+12</f>
        <v>Synthetic FRA 35x47</v>
      </c>
      <c r="C46" s="397">
        <f>_xll.qlInterestRateIndexFixingDate(IborIndex,D46)</f>
        <v>42950</v>
      </c>
      <c r="D46" s="398">
        <f>SynthFra!I43</f>
        <v>42954</v>
      </c>
      <c r="E46" s="398">
        <f>_xll.qlCalendarAdvance(Calendar,D46,"1Y","mf")</f>
        <v>43319</v>
      </c>
      <c r="F46" s="398" t="str">
        <f>_xll.qlMakeDatedOIS(,D46,E46,OvernightIndex,0,"Act/360",0)</f>
        <v>obj_00639#0000</v>
      </c>
      <c r="G46" s="420">
        <f>_xll.qlOvernightIndexedSwapFairRate(F46,Contribution!$P$25)</f>
        <v>2.8530294114822181E-3</v>
      </c>
      <c r="H46" s="400">
        <v>4.9639754034482139E-3</v>
      </c>
      <c r="I46" s="399">
        <f t="shared" ref="I46:I59" si="1">G46+H46</f>
        <v>7.8170048149304311E-3</v>
      </c>
      <c r="J46" s="424">
        <f>SynthFra!N43-FRACharts!I46</f>
        <v>1.8714953030768422E-6</v>
      </c>
    </row>
    <row r="47" spans="1:10" x14ac:dyDescent="0.2">
      <c r="A47" s="268"/>
      <c r="B47" s="405" t="str">
        <f>"Swap/Impl FRA "&amp;SynthFra!F44&amp;"x"&amp;SynthFra!F44+12</f>
        <v>Swap/Impl FRA 36x48</v>
      </c>
      <c r="C47" s="410">
        <f>_xll.qlInterestRateIndexFixingDate(IborIndex,D47)</f>
        <v>42979</v>
      </c>
      <c r="D47" s="411">
        <f>SynthFra!I5</f>
        <v>42983</v>
      </c>
      <c r="E47" s="411">
        <f>_xll.qlCalendarAdvance(Calendar,D47,"1Y","mf")</f>
        <v>43348</v>
      </c>
      <c r="F47" s="411" t="str">
        <f>_xll.qlMakeDatedOIS(,D47,E47,OvernightIndex,0,"Act/360",0)</f>
        <v>obj_00647#0000</v>
      </c>
      <c r="G47" s="421">
        <f>_xll.qlOvernightIndexedSwapFairRate(F47,Contribution!$P$25)</f>
        <v>3.009508865542577E-3</v>
      </c>
      <c r="H47" s="413">
        <v>4.9890000000000004E-3</v>
      </c>
      <c r="I47" s="412">
        <f t="shared" si="1"/>
        <v>7.9985088655425765E-3</v>
      </c>
      <c r="J47" s="424">
        <f>SynthFra!N44-FRACharts!I47</f>
        <v>0</v>
      </c>
    </row>
    <row r="48" spans="1:10" x14ac:dyDescent="0.2">
      <c r="A48" s="268"/>
      <c r="B48" s="401" t="str">
        <f>"Synthetic FRA "&amp;SynthFra!F45&amp;"x"&amp;SynthFra!F45+12</f>
        <v>Synthetic FRA 37x49</v>
      </c>
      <c r="C48" s="397">
        <f>_xll.qlInterestRateIndexFixingDate(IborIndex,D48)</f>
        <v>43011</v>
      </c>
      <c r="D48" s="398">
        <f>SynthFra!I45</f>
        <v>43013</v>
      </c>
      <c r="E48" s="398">
        <f>_xll.qlCalendarAdvance(Calendar,D48,"1Y","mf")</f>
        <v>43378</v>
      </c>
      <c r="F48" s="398" t="str">
        <f>_xll.qlMakeDatedOIS(,D48,E48,OvernightIndex,0,"Act/360",0)</f>
        <v>obj_0063a#0000</v>
      </c>
      <c r="G48" s="420">
        <f>_xll.qlOvernightIndexedSwapFairRate(F48,Contribution!$P$25)</f>
        <v>3.2216628955763771E-3</v>
      </c>
      <c r="H48" s="400">
        <v>5.0148415889956326E-3</v>
      </c>
      <c r="I48" s="399">
        <f t="shared" si="1"/>
        <v>8.2365044845720096E-3</v>
      </c>
      <c r="J48" s="424">
        <f>SynthFra!N45-FRACharts!I48</f>
        <v>-1.5359372721943099E-6</v>
      </c>
    </row>
    <row r="49" spans="1:10" x14ac:dyDescent="0.2">
      <c r="A49" s="268"/>
      <c r="B49" s="401" t="str">
        <f>"Synthetic FRA "&amp;SynthFra!F46&amp;"x"&amp;SynthFra!F46+12</f>
        <v>Synthetic FRA 38x50</v>
      </c>
      <c r="C49" s="397">
        <f>_xll.qlInterestRateIndexFixingDate(IborIndex,D49)</f>
        <v>43041</v>
      </c>
      <c r="D49" s="398">
        <f>SynthFra!I46</f>
        <v>43045</v>
      </c>
      <c r="E49" s="398">
        <f>_xll.qlCalendarAdvance(Calendar,D49,"1Y","mf")</f>
        <v>43410</v>
      </c>
      <c r="F49" s="398" t="str">
        <f>_xll.qlMakeDatedOIS(,D49,E49,OvernightIndex,0,"Act/360",0)</f>
        <v>obj_0062c#0000</v>
      </c>
      <c r="G49" s="420">
        <f>_xll.qlOvernightIndexedSwapFairRate(F49,Contribution!$P$25)</f>
        <v>3.4480106741577431E-3</v>
      </c>
      <c r="H49" s="400">
        <v>5.0423732623132477E-3</v>
      </c>
      <c r="I49" s="399">
        <f t="shared" si="1"/>
        <v>8.4903839364709917E-3</v>
      </c>
      <c r="J49" s="424">
        <f>SynthFra!N46-FRACharts!I49</f>
        <v>-2.7398081810618702E-6</v>
      </c>
    </row>
    <row r="50" spans="1:10" x14ac:dyDescent="0.2">
      <c r="A50" s="268"/>
      <c r="B50" s="401" t="str">
        <f>"Synthetic FRA "&amp;SynthFra!F47&amp;"x"&amp;SynthFra!F47+12</f>
        <v>Synthetic FRA 39x51</v>
      </c>
      <c r="C50" s="397">
        <f>_xll.qlInterestRateIndexFixingDate(IborIndex,D50)</f>
        <v>43070</v>
      </c>
      <c r="D50" s="398">
        <f>SynthFra!I47</f>
        <v>43074</v>
      </c>
      <c r="E50" s="398">
        <f>_xll.qlCalendarAdvance(Calendar,D50,"1Y","mf")</f>
        <v>43439</v>
      </c>
      <c r="F50" s="398" t="str">
        <f>_xll.qlMakeDatedOIS(,D50,E50,OvernightIndex,0,"Act/360",0)</f>
        <v>obj_0064a#0000</v>
      </c>
      <c r="G50" s="420">
        <f>_xll.qlOvernightIndexedSwapFairRate(F50,Contribution!$P$25)</f>
        <v>3.6531830705100608E-3</v>
      </c>
      <c r="H50" s="400">
        <v>5.0672973396564298E-3</v>
      </c>
      <c r="I50" s="399">
        <f t="shared" si="1"/>
        <v>8.7204804101664903E-3</v>
      </c>
      <c r="J50" s="424">
        <f>SynthFra!N47-FRACharts!I50</f>
        <v>-3.4785815642927181E-6</v>
      </c>
    </row>
    <row r="51" spans="1:10" x14ac:dyDescent="0.2">
      <c r="A51" s="268"/>
      <c r="B51" s="401" t="str">
        <f>"Synthetic FRA "&amp;SynthFra!F48&amp;"x"&amp;SynthFra!F48+12</f>
        <v>Synthetic FRA 40x52</v>
      </c>
      <c r="C51" s="397">
        <f>_xll.qlInterestRateIndexFixingDate(IborIndex,D51)</f>
        <v>43103</v>
      </c>
      <c r="D51" s="398">
        <f>SynthFra!I48</f>
        <v>43105</v>
      </c>
      <c r="E51" s="398">
        <f>_xll.qlCalendarAdvance(Calendar,D51,"1Y","mf")</f>
        <v>43472</v>
      </c>
      <c r="F51" s="398" t="str">
        <f>_xll.qlMakeDatedOIS(,D51,E51,OvernightIndex,0,"Act/360",0)</f>
        <v>obj_0062d#0000</v>
      </c>
      <c r="G51" s="420">
        <f>_xll.qlOvernightIndexedSwapFairRate(F51,Contribution!$P$25)</f>
        <v>3.8819661713215153E-3</v>
      </c>
      <c r="H51" s="400">
        <v>5.0939152649337009E-3</v>
      </c>
      <c r="I51" s="399">
        <f t="shared" si="1"/>
        <v>8.9758814362552158E-3</v>
      </c>
      <c r="J51" s="424">
        <f>SynthFra!N48-FRACharts!I51</f>
        <v>-3.935311015475576E-6</v>
      </c>
    </row>
    <row r="52" spans="1:10" x14ac:dyDescent="0.2">
      <c r="A52" s="268"/>
      <c r="B52" s="401" t="str">
        <f>"Synthetic FRA "&amp;SynthFra!F49&amp;"x"&amp;SynthFra!F49+12</f>
        <v>Synthetic FRA 41x53</v>
      </c>
      <c r="C52" s="397">
        <f>_xll.qlInterestRateIndexFixingDate(IborIndex,D52)</f>
        <v>43132</v>
      </c>
      <c r="D52" s="398">
        <f>SynthFra!I49</f>
        <v>43136</v>
      </c>
      <c r="E52" s="398">
        <f>_xll.qlCalendarAdvance(Calendar,D52,"1Y","mf")</f>
        <v>43501</v>
      </c>
      <c r="F52" s="398" t="str">
        <f>_xll.qlMakeDatedOIS(,D52,E52,OvernightIndex,0,"Act/360",0)</f>
        <v>obj_00644#0000</v>
      </c>
      <c r="G52" s="420">
        <f>_xll.qlOvernightIndexedSwapFairRate(F52,Contribution!$P$25)</f>
        <v>4.0919701810552527E-3</v>
      </c>
      <c r="H52" s="400">
        <v>5.1205101741844169E-3</v>
      </c>
      <c r="I52" s="399">
        <f t="shared" si="1"/>
        <v>9.2124803552396696E-3</v>
      </c>
      <c r="J52" s="424">
        <f>SynthFra!N49-FRACharts!I52</f>
        <v>-4.0861328507828254E-6</v>
      </c>
    </row>
    <row r="53" spans="1:10" x14ac:dyDescent="0.2">
      <c r="A53" s="268"/>
      <c r="B53" s="401" t="str">
        <f>"Synthetic FRA "&amp;SynthFra!F50&amp;"x"&amp;SynthFra!F50+12</f>
        <v>Synthetic FRA 42x54</v>
      </c>
      <c r="C53" s="397">
        <f>_xll.qlInterestRateIndexFixingDate(IborIndex,D53)</f>
        <v>43160</v>
      </c>
      <c r="D53" s="398">
        <f>SynthFra!I50</f>
        <v>43164</v>
      </c>
      <c r="E53" s="398">
        <f>_xll.qlCalendarAdvance(Calendar,D53,"1Y","mf")</f>
        <v>43529</v>
      </c>
      <c r="F53" s="398" t="str">
        <f>_xll.qlMakeDatedOIS(,D53,E53,OvernightIndex,0,"Act/360",0)</f>
        <v>obj_00633#0000</v>
      </c>
      <c r="G53" s="420">
        <f>_xll.qlOvernightIndexedSwapFairRate(F53,Contribution!$P$25)</f>
        <v>4.2901958467004087E-3</v>
      </c>
      <c r="H53" s="400">
        <v>5.1445140420908666E-3</v>
      </c>
      <c r="I53" s="399">
        <f t="shared" si="1"/>
        <v>9.4347098887912761E-3</v>
      </c>
      <c r="J53" s="424">
        <f>SynthFra!N50-FRACharts!I53</f>
        <v>-3.9918859058071104E-6</v>
      </c>
    </row>
    <row r="54" spans="1:10" x14ac:dyDescent="0.2">
      <c r="A54" s="268"/>
      <c r="B54" s="401" t="str">
        <f>"Synthetic FRA "&amp;SynthFra!F51&amp;"x"&amp;SynthFra!F51+12</f>
        <v>Synthetic FRA 43x55</v>
      </c>
      <c r="C54" s="397">
        <f>_xll.qlInterestRateIndexFixingDate(IborIndex,D54)</f>
        <v>43193</v>
      </c>
      <c r="D54" s="398">
        <f>SynthFra!I51</f>
        <v>43195</v>
      </c>
      <c r="E54" s="398">
        <f>_xll.qlCalendarAdvance(Calendar,D54,"1Y","mf")</f>
        <v>43560</v>
      </c>
      <c r="F54" s="398" t="str">
        <f>_xll.qlMakeDatedOIS(,D54,E54,OvernightIndex,0,"Act/360",0)</f>
        <v>obj_00627#0000</v>
      </c>
      <c r="G54" s="420">
        <f>_xll.qlOvernightIndexedSwapFairRate(F54,Contribution!$P$25)</f>
        <v>4.5097062553987903E-3</v>
      </c>
      <c r="H54" s="400">
        <v>5.1710732586265646E-3</v>
      </c>
      <c r="I54" s="399">
        <f t="shared" si="1"/>
        <v>9.680779514025354E-3</v>
      </c>
      <c r="J54" s="424">
        <f>SynthFra!N51-FRACharts!I54</f>
        <v>-3.6683133738391049E-6</v>
      </c>
    </row>
    <row r="55" spans="1:10" x14ac:dyDescent="0.2">
      <c r="A55" s="268"/>
      <c r="B55" s="401" t="str">
        <f>"Synthetic FRA "&amp;SynthFra!F52&amp;"x"&amp;SynthFra!F52+12</f>
        <v>Synthetic FRA 44x56</v>
      </c>
      <c r="C55" s="397">
        <f>_xll.qlInterestRateIndexFixingDate(IborIndex,D55)</f>
        <v>43223</v>
      </c>
      <c r="D55" s="398">
        <f>SynthFra!I52</f>
        <v>43227</v>
      </c>
      <c r="E55" s="398">
        <f>_xll.qlCalendarAdvance(Calendar,D55,"1Y","mf")</f>
        <v>43592</v>
      </c>
      <c r="F55" s="398" t="str">
        <f>_xll.qlMakeDatedOIS(,D55,E55,OvernightIndex,0,"Act/360",0)</f>
        <v>obj_0063e#0000</v>
      </c>
      <c r="G55" s="420">
        <f>_xll.qlOvernightIndexedSwapFairRate(F55,Contribution!$P$25)</f>
        <v>4.736348666589534E-3</v>
      </c>
      <c r="H55" s="400">
        <v>5.1984740568817031E-3</v>
      </c>
      <c r="I55" s="399">
        <f t="shared" si="1"/>
        <v>9.9348227234712372E-3</v>
      </c>
      <c r="J55" s="424">
        <f>SynthFra!N52-FRACharts!I55</f>
        <v>-3.1327146899524927E-6</v>
      </c>
    </row>
    <row r="56" spans="1:10" x14ac:dyDescent="0.2">
      <c r="A56" s="268"/>
      <c r="B56" s="401" t="str">
        <f>"Synthetic FRA "&amp;SynthFra!F53&amp;"x"&amp;SynthFra!F53+12</f>
        <v>Synthetic FRA 45x57</v>
      </c>
      <c r="C56" s="397">
        <f>_xll.qlInterestRateIndexFixingDate(IborIndex,D56)</f>
        <v>43252</v>
      </c>
      <c r="D56" s="398">
        <f>SynthFra!I53</f>
        <v>43256</v>
      </c>
      <c r="E56" s="398">
        <f>_xll.qlCalendarAdvance(Calendar,D56,"1Y","mf")</f>
        <v>43621</v>
      </c>
      <c r="F56" s="398" t="str">
        <f>_xll.qlMakeDatedOIS(,D56,E56,OvernightIndex,0,"Act/360",0)</f>
        <v>obj_00634#0000</v>
      </c>
      <c r="G56" s="420">
        <f>_xll.qlOvernightIndexedSwapFairRate(F56,Contribution!$P$25)</f>
        <v>4.9417881319579601E-3</v>
      </c>
      <c r="H56" s="400">
        <v>5.2232953947895329E-3</v>
      </c>
      <c r="I56" s="399">
        <f t="shared" si="1"/>
        <v>1.0165083526747493E-2</v>
      </c>
      <c r="J56" s="424">
        <f>SynthFra!N53-FRACharts!I56</f>
        <v>-2.5059710648898254E-6</v>
      </c>
    </row>
    <row r="57" spans="1:10" x14ac:dyDescent="0.2">
      <c r="A57" s="268"/>
      <c r="B57" s="401" t="str">
        <f>"Synthetic FRA "&amp;SynthFra!F54&amp;"x"&amp;SynthFra!F54+12</f>
        <v>Synthetic FRA 46x58</v>
      </c>
      <c r="C57" s="397">
        <f>_xll.qlInterestRateIndexFixingDate(IborIndex,D57)</f>
        <v>43284</v>
      </c>
      <c r="D57" s="398">
        <f>SynthFra!I54</f>
        <v>43286</v>
      </c>
      <c r="E57" s="398">
        <f>_xll.qlCalendarAdvance(Calendar,D57,"1Y","mf")</f>
        <v>43651</v>
      </c>
      <c r="F57" s="398" t="str">
        <f>_xll.qlMakeDatedOIS(,D57,E57,OvernightIndex,0,"Act/360",0)</f>
        <v>obj_0064b#0000</v>
      </c>
      <c r="G57" s="420">
        <f>_xll.qlOvernightIndexedSwapFairRate(F57,Contribution!$P$25)</f>
        <v>5.1543565320774018E-3</v>
      </c>
      <c r="H57" s="400">
        <v>5.2489646452211925E-3</v>
      </c>
      <c r="I57" s="399">
        <f t="shared" si="1"/>
        <v>1.0403321177298594E-2</v>
      </c>
      <c r="J57" s="424">
        <f>SynthFra!N54-FRACharts!I57</f>
        <v>-1.7513444510678516E-6</v>
      </c>
    </row>
    <row r="58" spans="1:10" x14ac:dyDescent="0.2">
      <c r="A58" s="268"/>
      <c r="B58" s="401" t="str">
        <f>"Synthetic FRA "&amp;SynthFra!F55&amp;"x"&amp;SynthFra!F55+12</f>
        <v>Synthetic FRA 47x59</v>
      </c>
      <c r="C58" s="397">
        <f>_xll.qlInterestRateIndexFixingDate(IborIndex,D58)</f>
        <v>43314</v>
      </c>
      <c r="D58" s="398">
        <f>SynthFra!I55</f>
        <v>43318</v>
      </c>
      <c r="E58" s="398">
        <f>_xll.qlCalendarAdvance(Calendar,D58,"1Y","mf")</f>
        <v>43683</v>
      </c>
      <c r="F58" s="398" t="str">
        <f>_xll.qlMakeDatedOIS(,D58,E58,OvernightIndex,0,"Act/360",0)</f>
        <v>obj_00655#0000</v>
      </c>
      <c r="G58" s="420">
        <f>_xll.qlOvernightIndexedSwapFairRate(F58,Contribution!$P$25)</f>
        <v>5.3811464033609391E-3</v>
      </c>
      <c r="H58" s="400">
        <v>5.2763391823618215E-3</v>
      </c>
      <c r="I58" s="399">
        <f t="shared" si="1"/>
        <v>1.065748558572276E-2</v>
      </c>
      <c r="J58" s="424">
        <f>SynthFra!N55-FRACharts!I58</f>
        <v>-8.6670746073796989E-7</v>
      </c>
    </row>
    <row r="59" spans="1:10" ht="12" thickBot="1" x14ac:dyDescent="0.25">
      <c r="A59" s="268"/>
      <c r="B59" s="404" t="str">
        <f>"Swap/Impl FRA "&amp;SynthFra!F56&amp;"x"&amp;SynthFra!F56+12</f>
        <v>Swap/Impl FRA 48x60</v>
      </c>
      <c r="C59" s="406">
        <f>_xll.qlInterestRateIndexFixingDate(IborIndex,D59)</f>
        <v>43346</v>
      </c>
      <c r="D59" s="407">
        <f>SynthFra!I6</f>
        <v>43348</v>
      </c>
      <c r="E59" s="407">
        <f>_xll.qlCalendarAdvance(Calendar,D59,"1Y","mf")</f>
        <v>43713</v>
      </c>
      <c r="F59" s="407" t="str">
        <f>_xll.qlMakeDatedOIS(,D59,E59,OvernightIndex,0,"Act/360",0)</f>
        <v>obj_00645#0000</v>
      </c>
      <c r="G59" s="422">
        <f>_xll.qlOvernightIndexedSwapFairRate(F59,Contribution!$P$25)</f>
        <v>5.5938090222236543E-3</v>
      </c>
      <c r="H59" s="409">
        <v>5.3020000000000003E-3</v>
      </c>
      <c r="I59" s="408">
        <f t="shared" si="1"/>
        <v>1.0895809022223655E-2</v>
      </c>
      <c r="J59" s="424">
        <f>SynthFra!N56-FRACharts!I59</f>
        <v>0</v>
      </c>
    </row>
    <row r="60" spans="1:10" x14ac:dyDescent="0.2">
      <c r="A60" s="268"/>
      <c r="B60" s="268"/>
      <c r="C60" s="268"/>
      <c r="D60" s="268"/>
      <c r="E60" s="268"/>
      <c r="F60" s="268"/>
      <c r="G60" s="268"/>
      <c r="H60" s="268"/>
      <c r="I60" s="268"/>
      <c r="J60" s="26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Z130"/>
  <sheetViews>
    <sheetView workbookViewId="0"/>
  </sheetViews>
  <sheetFormatPr defaultColWidth="9.5" defaultRowHeight="11.25" x14ac:dyDescent="0.2"/>
  <cols>
    <col min="1" max="1" width="9.5" style="432"/>
    <col min="2" max="2" width="31.1640625" style="432" bestFit="1" customWidth="1"/>
    <col min="3" max="3" width="22.6640625" style="432" bestFit="1" customWidth="1"/>
    <col min="4" max="4" width="20.1640625" style="432" bestFit="1" customWidth="1"/>
    <col min="5" max="5" width="10.6640625" style="432" customWidth="1"/>
    <col min="6" max="6" width="11.6640625" style="432" bestFit="1" customWidth="1"/>
    <col min="7" max="7" width="9.33203125" style="432" bestFit="1" customWidth="1"/>
    <col min="8" max="8" width="12.1640625" style="432" bestFit="1" customWidth="1"/>
    <col min="9" max="11" width="20.1640625" style="432" bestFit="1" customWidth="1"/>
    <col min="12" max="12" width="15.33203125" style="432" customWidth="1"/>
    <col min="13" max="13" width="11.6640625" style="432" bestFit="1" customWidth="1"/>
    <col min="14" max="14" width="9.5" style="432"/>
    <col min="15" max="15" width="12.1640625" style="432" bestFit="1" customWidth="1"/>
    <col min="16" max="17" width="12.1640625" style="432" customWidth="1"/>
    <col min="18" max="19" width="12.1640625" style="432" bestFit="1" customWidth="1"/>
    <col min="20" max="20" width="9.5" style="432"/>
    <col min="21" max="21" width="12.1640625" style="432" bestFit="1" customWidth="1"/>
    <col min="22" max="23" width="12.83203125" style="432" bestFit="1" customWidth="1"/>
    <col min="24" max="16384" width="9.5" style="432"/>
  </cols>
  <sheetData>
    <row r="1" spans="2:25" ht="12" thickBot="1" x14ac:dyDescent="0.25"/>
    <row r="2" spans="2:25" ht="22.5" x14ac:dyDescent="0.2">
      <c r="B2" s="443" t="s">
        <v>147</v>
      </c>
      <c r="C2" s="444" t="s">
        <v>126</v>
      </c>
      <c r="D2" s="444" t="s">
        <v>127</v>
      </c>
      <c r="E2" s="444" t="s">
        <v>105</v>
      </c>
      <c r="F2" s="444" t="s">
        <v>44</v>
      </c>
      <c r="G2" s="463"/>
      <c r="H2" s="463"/>
      <c r="I2" s="445"/>
      <c r="S2" s="487" t="s">
        <v>163</v>
      </c>
      <c r="U2" s="381"/>
      <c r="W2" s="518" t="s">
        <v>162</v>
      </c>
      <c r="X2" s="527"/>
      <c r="Y2" s="527"/>
    </row>
    <row r="3" spans="2:25" x14ac:dyDescent="0.2">
      <c r="B3" s="433" t="str">
        <f t="array" ref="B3:B6">_xll.ohFilter(SynthDepo!D6:D14,SynthDepo!J6:J14)</f>
        <v>Euribor3MLastFixing_Quote</v>
      </c>
      <c r="C3" s="434">
        <f t="array" ref="C3:C6">_xll.ohFilter(SynthDepo!E6:E14,SynthDepo!J6:J14)</f>
        <v>41887</v>
      </c>
      <c r="D3" s="434">
        <f t="array" ref="D3:D6">_xll.ohFilter(SynthDepo!F6:F14,SynthDepo!J6:J14)</f>
        <v>41978</v>
      </c>
      <c r="E3" s="435">
        <f t="array" ref="E3:E6">_xll.ohFilter(SynthDepo!G6:G14,SynthDepo!J6:J14)</f>
        <v>1.5E-3</v>
      </c>
      <c r="F3" s="436">
        <f t="array" ref="F3:F6">_xll.ohFilter(SynthDepo!H6:H14,SynthDepo!J6:J14)</f>
        <v>-5.186812264306002E-5</v>
      </c>
      <c r="G3" s="464">
        <f>E3*_xll.qlDayCounterYearFraction(DayCounter3M,C3,D3,,,Trigger)</f>
        <v>3.7916666666666665E-4</v>
      </c>
      <c r="H3" s="464">
        <f>F3*_xll.qlDayCounterYearFraction(DayCounterOIS,C3,D3,,,Trigger)</f>
        <v>-1.3111108779217949E-5</v>
      </c>
      <c r="I3" s="489">
        <f>G3-H3</f>
        <v>3.922777754458846E-4</v>
      </c>
      <c r="M3" s="558" t="s">
        <v>155</v>
      </c>
      <c r="N3" s="532"/>
      <c r="O3" s="455">
        <f>I9</f>
        <v>5.165642289839947E-3</v>
      </c>
      <c r="P3" s="456">
        <f>H9</f>
        <v>3.1079001688872208E-2</v>
      </c>
      <c r="Q3" s="457">
        <f>G9</f>
        <v>0.24931506849315069</v>
      </c>
      <c r="R3" s="446"/>
      <c r="S3" s="459">
        <f t="array" ref="S3:S5">MMULT(W3:Y5,U3:U5)</f>
        <v>2.2955248629867114E-2</v>
      </c>
      <c r="T3" s="460"/>
      <c r="U3" s="435">
        <f>I3</f>
        <v>3.922777754458846E-4</v>
      </c>
      <c r="W3" s="453">
        <f t="array" ref="W3:Y5">MINVERSE(O3:Q5)</f>
        <v>1085.1770210336938</v>
      </c>
      <c r="X3" s="432">
        <v>-1542.0936614689329</v>
      </c>
      <c r="Y3" s="432">
        <v>451.95015521311677</v>
      </c>
    </row>
    <row r="4" spans="2:25" x14ac:dyDescent="0.2">
      <c r="B4" s="433" t="str">
        <v>EURFUT3MU4_Quote</v>
      </c>
      <c r="C4" s="434">
        <v>41899</v>
      </c>
      <c r="D4" s="434">
        <v>41990</v>
      </c>
      <c r="E4" s="435">
        <v>1.3750000000000151E-3</v>
      </c>
      <c r="F4" s="436">
        <v>-6.4285599970325874E-5</v>
      </c>
      <c r="G4" s="464">
        <f>E4*_xll.qlDayCounterYearFraction(DayCounter3M,C4,D4,,,Trigger)</f>
        <v>3.4756944444444825E-4</v>
      </c>
      <c r="H4" s="464">
        <f>F4*_xll.qlDayCounterYearFraction(DayCounterOIS,C4,D4,,,Trigger)</f>
        <v>-1.624997110361015E-5</v>
      </c>
      <c r="I4" s="489">
        <f t="shared" ref="I4:I5" si="0">G4-H4</f>
        <v>3.638194155480584E-4</v>
      </c>
      <c r="M4" s="558"/>
      <c r="N4" s="532"/>
      <c r="O4" s="455">
        <f>I10</f>
        <v>7.4786723116641862E-3</v>
      </c>
      <c r="P4" s="456">
        <f>H10</f>
        <v>3.9275661474948396E-2</v>
      </c>
      <c r="Q4" s="457">
        <f>G10</f>
        <v>0.24931506849315069</v>
      </c>
      <c r="R4" s="447" t="str">
        <f>SynthDepo!AA10</f>
        <v>x</v>
      </c>
      <c r="S4" s="459">
        <v>-9.9497284583760573E-3</v>
      </c>
      <c r="T4" s="447" t="str">
        <f>SynthDepo!AC10</f>
        <v>=</v>
      </c>
      <c r="U4" s="435">
        <f>I4</f>
        <v>3.638194155480584E-4</v>
      </c>
      <c r="W4" s="453">
        <v>-428.22895182343774</v>
      </c>
      <c r="X4" s="432">
        <v>557.16707227502582</v>
      </c>
      <c r="Y4" s="432">
        <v>-127.53661914233166</v>
      </c>
    </row>
    <row r="5" spans="2:25" x14ac:dyDescent="0.2">
      <c r="B5" s="433" t="str">
        <v>EURFUT3MV4_Quote</v>
      </c>
      <c r="C5" s="434">
        <v>41927</v>
      </c>
      <c r="D5" s="434">
        <v>42019</v>
      </c>
      <c r="E5" s="435">
        <v>1.2750000000000261E-3</v>
      </c>
      <c r="F5" s="436">
        <v>-9.5651649709946199E-5</v>
      </c>
      <c r="G5" s="464">
        <f>E5*_xll.qlDayCounterYearFraction(DayCounter3M,C5,D5,,,Trigger)</f>
        <v>3.2583333333333997E-4</v>
      </c>
      <c r="H5" s="464">
        <f>F5*_xll.qlDayCounterYearFraction(DayCounterOIS,C5,D5,,,Trigger)</f>
        <v>-2.4444310481430694E-5</v>
      </c>
      <c r="I5" s="489">
        <f t="shared" si="0"/>
        <v>3.5027764381477067E-4</v>
      </c>
      <c r="M5" s="558"/>
      <c r="N5" s="532"/>
      <c r="O5" s="455">
        <f>I11</f>
        <v>1.5327302748551694E-2</v>
      </c>
      <c r="P5" s="456">
        <f>H11</f>
        <v>5.9388252955526376E-2</v>
      </c>
      <c r="Q5" s="457">
        <f>G11</f>
        <v>0.25205479452054796</v>
      </c>
      <c r="R5" s="449"/>
      <c r="S5" s="459">
        <v>2.3381129886553805E-3</v>
      </c>
      <c r="T5" s="447"/>
      <c r="U5" s="435">
        <f>I5</f>
        <v>3.5027764381477067E-4</v>
      </c>
      <c r="W5" s="453">
        <v>34.908808592006615</v>
      </c>
      <c r="X5" s="432">
        <v>-37.503919053726761</v>
      </c>
      <c r="Y5" s="432">
        <v>6.5342940436579697</v>
      </c>
    </row>
    <row r="6" spans="2:25" ht="12" thickBot="1" x14ac:dyDescent="0.25">
      <c r="B6" s="438" t="str">
        <v>EUR2x5F_Quote</v>
      </c>
      <c r="C6" s="439">
        <v>41948</v>
      </c>
      <c r="D6" s="439">
        <v>42040</v>
      </c>
      <c r="E6" s="440">
        <v>1.31E-3</v>
      </c>
      <c r="F6" s="441">
        <v>-8.1195408490198289E-5</v>
      </c>
      <c r="G6" s="465">
        <f>E6*_xll.qlDayCounterYearFraction(DayCounter3M,C6,D6,,,Trigger)</f>
        <v>3.3477777777777775E-4</v>
      </c>
      <c r="H6" s="465">
        <f>F6*_xll.qlDayCounterYearFraction(DayCounterOIS,C6,D6,,,Trigger)</f>
        <v>-2.0749937725272893E-5</v>
      </c>
      <c r="I6" s="490">
        <f>G6-H6</f>
        <v>3.5552771550305065E-4</v>
      </c>
      <c r="N6" s="532"/>
      <c r="S6" s="461"/>
      <c r="T6" s="451"/>
      <c r="U6" s="462"/>
    </row>
    <row r="7" spans="2:25" ht="12" thickBot="1" x14ac:dyDescent="0.25">
      <c r="S7" s="461"/>
      <c r="T7" s="451"/>
      <c r="U7" s="462"/>
    </row>
    <row r="8" spans="2:25" ht="13.5" thickBot="1" x14ac:dyDescent="0.25">
      <c r="E8" s="443"/>
      <c r="F8" s="444"/>
      <c r="G8" s="471" t="s">
        <v>165</v>
      </c>
      <c r="H8" s="472" t="s">
        <v>166</v>
      </c>
      <c r="I8" s="473" t="s">
        <v>167</v>
      </c>
      <c r="J8" s="473" t="s">
        <v>170</v>
      </c>
      <c r="S8" s="488" t="s">
        <v>164</v>
      </c>
      <c r="T8" s="451"/>
      <c r="U8" s="462"/>
    </row>
    <row r="9" spans="2:25" x14ac:dyDescent="0.2">
      <c r="B9" s="443" t="s">
        <v>158</v>
      </c>
      <c r="C9" s="466" t="s">
        <v>17</v>
      </c>
      <c r="E9" s="491">
        <f>_xll.qlDayCounterYearFraction(DayCounterON,SettlementDate,C3,,,Trigger)</f>
        <v>0</v>
      </c>
      <c r="F9" s="492">
        <f>_xll.qlDayCounterYearFraction(DayCounterON,SettlementDate,D3,,,Trigger)</f>
        <v>0.24931506849315069</v>
      </c>
      <c r="G9" s="492">
        <f>F9-E9</f>
        <v>0.24931506849315069</v>
      </c>
      <c r="H9" s="492">
        <f>(F9^2-E9^2)/2</f>
        <v>3.1079001688872208E-2</v>
      </c>
      <c r="I9" s="492">
        <f>(F9^3-E9^3)/3</f>
        <v>5.165642289839947E-3</v>
      </c>
      <c r="J9" s="528">
        <f>(F9^4-E9^4)/4</f>
        <v>9.6590434597692155E-4</v>
      </c>
      <c r="M9" s="559" t="s">
        <v>156</v>
      </c>
      <c r="O9" s="450"/>
      <c r="P9" s="455">
        <f>H9</f>
        <v>3.1079001688872208E-2</v>
      </c>
      <c r="Q9" s="457">
        <f>G9</f>
        <v>0.24931506849315069</v>
      </c>
      <c r="R9" s="517" t="s">
        <v>55</v>
      </c>
      <c r="S9" s="459">
        <f t="array" ref="S9:S10">MMULT(W9:X10,U9:U10)</f>
        <v>-3.4719459683039203E-3</v>
      </c>
      <c r="T9" s="518" t="s">
        <v>56</v>
      </c>
      <c r="U9" s="435">
        <f>I3</f>
        <v>3.922777754458846E-4</v>
      </c>
      <c r="W9" s="432">
        <f t="array" ref="W9:X10">MINVERSE(P9:Q10)</f>
        <v>-122.00091575091571</v>
      </c>
      <c r="X9" s="432">
        <v>122.00091575091574</v>
      </c>
    </row>
    <row r="10" spans="2:25" x14ac:dyDescent="0.2">
      <c r="B10" s="467" t="s">
        <v>159</v>
      </c>
      <c r="C10" s="468" t="s">
        <v>17</v>
      </c>
      <c r="E10" s="493">
        <f>_xll.qlDayCounterYearFraction(DayCounterON,SettlementDate,C4,,,Trigger)</f>
        <v>3.287671232876712E-2</v>
      </c>
      <c r="F10" s="494">
        <f>_xll.qlDayCounterYearFraction(DayCounterON,SettlementDate,D4,,,Trigger)</f>
        <v>0.28219178082191781</v>
      </c>
      <c r="G10" s="494">
        <f t="shared" ref="G10:G11" si="1">F10-E10</f>
        <v>0.24931506849315069</v>
      </c>
      <c r="H10" s="494">
        <f t="shared" ref="H10:H11" si="2">(F10^2-E10^2)/2</f>
        <v>3.9275661474948396E-2</v>
      </c>
      <c r="I10" s="494">
        <f t="shared" ref="I10:I11" si="3">(F10^3-E10^3)/3</f>
        <v>7.4786723116641862E-3</v>
      </c>
      <c r="J10" s="529">
        <f t="shared" ref="J10:J12" si="4">(F10^4-E10^4)/4</f>
        <v>1.5850297911057236E-3</v>
      </c>
      <c r="M10" s="559"/>
      <c r="O10" s="450"/>
      <c r="P10" s="455">
        <f>H10</f>
        <v>3.9275661474948396E-2</v>
      </c>
      <c r="Q10" s="457">
        <f>G10</f>
        <v>0.24931506849315069</v>
      </c>
      <c r="R10" s="517"/>
      <c r="S10" s="459">
        <v>2.0062260700147638E-3</v>
      </c>
      <c r="T10" s="518"/>
      <c r="U10" s="435">
        <f>I4</f>
        <v>3.638194155480584E-4</v>
      </c>
      <c r="W10" s="432">
        <v>19.21932234432234</v>
      </c>
      <c r="X10" s="432">
        <v>-15.20833333333333</v>
      </c>
    </row>
    <row r="11" spans="2:25" ht="12" thickBot="1" x14ac:dyDescent="0.25">
      <c r="B11" s="469" t="s">
        <v>160</v>
      </c>
      <c r="C11" s="470" t="s">
        <v>161</v>
      </c>
      <c r="E11" s="493">
        <f>_xll.qlDayCounterYearFraction(DayCounterON,SettlementDate,C5,,,Trigger)</f>
        <v>0.1095890410958904</v>
      </c>
      <c r="F11" s="494">
        <f>_xll.qlDayCounterYearFraction(DayCounterON,SettlementDate,D5,,,Trigger)</f>
        <v>0.36164383561643837</v>
      </c>
      <c r="G11" s="494">
        <f t="shared" si="1"/>
        <v>0.25205479452054796</v>
      </c>
      <c r="H11" s="494">
        <f t="shared" si="2"/>
        <v>5.9388252955526376E-2</v>
      </c>
      <c r="I11" s="494">
        <f t="shared" si="3"/>
        <v>1.5327302748551694E-2</v>
      </c>
      <c r="J11" s="529">
        <f t="shared" si="4"/>
        <v>4.2402031308911006E-3</v>
      </c>
      <c r="S11" s="461"/>
      <c r="T11" s="451"/>
      <c r="U11" s="462"/>
    </row>
    <row r="12" spans="2:25" ht="12.75" thickBot="1" x14ac:dyDescent="0.25">
      <c r="E12" s="495">
        <f>_xll.qlDayCounterYearFraction(DayCounterON,SettlementDate,C6,,,Trigger)</f>
        <v>0.16712328767123288</v>
      </c>
      <c r="F12" s="496">
        <f>_xll.qlDayCounterYearFraction(DayCounterON,SettlementDate,D6,,,Trigger)</f>
        <v>0.41917808219178082</v>
      </c>
      <c r="G12" s="496">
        <f t="shared" ref="G12" si="5">F12-E12</f>
        <v>0.25205479452054791</v>
      </c>
      <c r="H12" s="496">
        <f t="shared" ref="H12" si="6">(F12^2-E12^2)/2</f>
        <v>7.3890035653968844E-2</v>
      </c>
      <c r="I12" s="496">
        <f t="shared" ref="I12" si="7">(F12^3-E12^3)/3</f>
        <v>2.2995368668550047E-2</v>
      </c>
      <c r="J12" s="530">
        <f t="shared" si="4"/>
        <v>7.5235003463770865E-3</v>
      </c>
      <c r="S12" s="487" t="s">
        <v>47</v>
      </c>
      <c r="T12" s="451"/>
      <c r="U12" s="462"/>
    </row>
    <row r="13" spans="2:25" x14ac:dyDescent="0.2">
      <c r="M13" s="454" t="s">
        <v>157</v>
      </c>
      <c r="P13" s="381"/>
      <c r="Q13" s="458">
        <f>G9</f>
        <v>0.24931506849315069</v>
      </c>
      <c r="R13" s="519" t="s">
        <v>55</v>
      </c>
      <c r="S13" s="459">
        <f>MMULT(W13,U13)</f>
        <v>1.573421846568658E-3</v>
      </c>
      <c r="T13" s="519" t="s">
        <v>56</v>
      </c>
      <c r="U13" s="435">
        <f>I3</f>
        <v>3.922777754458846E-4</v>
      </c>
      <c r="W13" s="432">
        <f>MINVERSE(Q13)</f>
        <v>4.0109890109890109</v>
      </c>
    </row>
    <row r="15" spans="2:25" ht="12" thickBot="1" x14ac:dyDescent="0.25"/>
    <row r="16" spans="2:25" ht="24.75" customHeight="1" x14ac:dyDescent="0.2">
      <c r="B16" s="443" t="s">
        <v>126</v>
      </c>
      <c r="C16" s="443"/>
      <c r="D16" s="444" t="s">
        <v>57</v>
      </c>
      <c r="E16" s="444" t="s">
        <v>142</v>
      </c>
      <c r="F16" s="445" t="s">
        <v>143</v>
      </c>
      <c r="G16" s="445" t="s">
        <v>171</v>
      </c>
    </row>
    <row r="17" spans="2:26" x14ac:dyDescent="0.2">
      <c r="B17" s="480">
        <f>SettlementDate</f>
        <v>41887</v>
      </c>
      <c r="C17" s="476">
        <f>_xll.qlDayCounterYearFraction(DayCounterON,SettlementDate,B17,,,Trigger)</f>
        <v>0</v>
      </c>
      <c r="D17" s="481">
        <f t="shared" ref="D17:D48" si="8">$S$13</f>
        <v>1.573421846568658E-3</v>
      </c>
      <c r="E17" s="481">
        <f t="shared" ref="E17:E48" si="9">$S$10+$S$9*C17</f>
        <v>2.0062260700147638E-3</v>
      </c>
      <c r="F17" s="482">
        <f t="shared" ref="F17:F48" si="10">($S$5+$S$4*C17+$S$3*C17^2)</f>
        <v>2.3381129886553805E-3</v>
      </c>
      <c r="G17" s="482">
        <f>($S$20+$S$19*C17+$S$18*C17^2+$S$17*C17^3)</f>
        <v>2.49824692004336E-3</v>
      </c>
      <c r="H17" s="448"/>
      <c r="I17" s="448"/>
      <c r="M17" s="560" t="s">
        <v>171</v>
      </c>
      <c r="N17" s="533">
        <f>J9</f>
        <v>9.6590434597692155E-4</v>
      </c>
      <c r="O17" s="534">
        <f>I9</f>
        <v>5.165642289839947E-3</v>
      </c>
      <c r="P17" s="534">
        <f>H9</f>
        <v>3.1079001688872208E-2</v>
      </c>
      <c r="Q17" s="535">
        <f>G9</f>
        <v>0.24931506849315069</v>
      </c>
      <c r="R17" s="561" t="s">
        <v>55</v>
      </c>
      <c r="S17" s="459">
        <f t="array" ref="S17:S20">MMULT(W17:Z20,U17:U20)</f>
        <v>-8.085632513951202E-2</v>
      </c>
      <c r="T17" s="561" t="s">
        <v>56</v>
      </c>
      <c r="U17" s="435">
        <f>I3</f>
        <v>3.922777754458846E-4</v>
      </c>
      <c r="W17" s="432">
        <f t="array" ref="W17:Z20">MINVERSE(N17:Q20)</f>
        <v>-6445.4451098067248</v>
      </c>
      <c r="X17" s="432">
        <v>11433.679232767154</v>
      </c>
      <c r="Y17" s="432">
        <v>-7987.0986267941389</v>
      </c>
      <c r="Z17" s="432">
        <v>3053.084439952851</v>
      </c>
    </row>
    <row r="18" spans="2:26" x14ac:dyDescent="0.2">
      <c r="B18" s="483">
        <f>_xll.qlCalendarAdvance(Calendar,B17,"1d","mf")</f>
        <v>41890</v>
      </c>
      <c r="C18" s="476">
        <f>_xll.qlDayCounterYearFraction(DayCounterON,SettlementDate,B18,,,Trigger)</f>
        <v>8.21917808219178E-3</v>
      </c>
      <c r="D18" s="484">
        <f t="shared" si="8"/>
        <v>1.573421846568658E-3</v>
      </c>
      <c r="E18" s="484">
        <f t="shared" si="9"/>
        <v>1.977689527809526E-3</v>
      </c>
      <c r="F18" s="437">
        <f t="shared" si="10"/>
        <v>2.2578851378446995E-3</v>
      </c>
      <c r="G18" s="437">
        <f t="shared" ref="G18:G81" si="11">($S$20+$S$19*C18+$S$18*C18^2+$S$17*C18^3)</f>
        <v>2.3734433279779029E-3</v>
      </c>
      <c r="H18" s="448"/>
      <c r="I18" s="448"/>
      <c r="M18" s="560"/>
      <c r="N18" s="533">
        <f t="shared" ref="N18:N20" si="12">J10</f>
        <v>1.5850297911057236E-3</v>
      </c>
      <c r="O18" s="534">
        <f t="shared" ref="O18:O20" si="13">I10</f>
        <v>7.4786723116641862E-3</v>
      </c>
      <c r="P18" s="534">
        <f t="shared" ref="P18:P20" si="14">H10</f>
        <v>3.9275661474948396E-2</v>
      </c>
      <c r="Q18" s="535">
        <f t="shared" ref="Q18:Q20" si="15">G10</f>
        <v>0.24931506849315069</v>
      </c>
      <c r="R18" s="561"/>
      <c r="S18" s="459">
        <v>6.5022633294904653E-2</v>
      </c>
      <c r="T18" s="561"/>
      <c r="U18" s="435">
        <f t="shared" ref="U18:U20" si="16">I4</f>
        <v>3.638194155480584E-4</v>
      </c>
      <c r="W18" s="432">
        <v>4438.5698236843482</v>
      </c>
      <c r="X18" s="432">
        <v>-7490.7313418427802</v>
      </c>
      <c r="Y18" s="432">
        <v>4607.4240740586629</v>
      </c>
      <c r="Z18" s="432">
        <v>-1588.4382245758679</v>
      </c>
    </row>
    <row r="19" spans="2:26" x14ac:dyDescent="0.2">
      <c r="B19" s="483">
        <f>_xll.qlCalendarAdvance(Calendar,B18,"1d","mf")</f>
        <v>41891</v>
      </c>
      <c r="C19" s="476">
        <f>_xll.qlDayCounterYearFraction(DayCounterON,SettlementDate,B19,,,Trigger)</f>
        <v>1.0958904109589041E-2</v>
      </c>
      <c r="D19" s="484">
        <f t="shared" si="8"/>
        <v>1.573421846568658E-3</v>
      </c>
      <c r="E19" s="484">
        <f t="shared" si="9"/>
        <v>1.9681773470744466E-3</v>
      </c>
      <c r="F19" s="437">
        <f t="shared" si="10"/>
        <v>2.2318317383558783E-3</v>
      </c>
      <c r="G19" s="437">
        <f t="shared" si="11"/>
        <v>2.3337478379313087E-3</v>
      </c>
      <c r="H19" s="448"/>
      <c r="I19" s="448"/>
      <c r="M19" s="560"/>
      <c r="N19" s="533">
        <f t="shared" si="12"/>
        <v>4.2402031308911006E-3</v>
      </c>
      <c r="O19" s="534">
        <f t="shared" si="13"/>
        <v>1.5327302748551694E-2</v>
      </c>
      <c r="P19" s="534">
        <f t="shared" si="14"/>
        <v>5.9388252955526376E-2</v>
      </c>
      <c r="Q19" s="535">
        <f t="shared" si="15"/>
        <v>0.25205479452054796</v>
      </c>
      <c r="R19" s="561"/>
      <c r="S19" s="459">
        <v>-1.5713407397037554E-2</v>
      </c>
      <c r="T19" s="561"/>
      <c r="U19" s="435">
        <f t="shared" si="16"/>
        <v>3.5027764381477067E-4</v>
      </c>
      <c r="W19" s="432">
        <v>-887.67941739421099</v>
      </c>
      <c r="X19" s="432">
        <v>1372.1936774491217</v>
      </c>
      <c r="Y19" s="432">
        <v>-696.88072496007544</v>
      </c>
      <c r="Z19" s="432">
        <v>217.63292425358779</v>
      </c>
    </row>
    <row r="20" spans="2:26" x14ac:dyDescent="0.2">
      <c r="B20" s="483">
        <f>_xll.qlCalendarAdvance(Calendar,B19,"1d","mf")</f>
        <v>41892</v>
      </c>
      <c r="C20" s="476">
        <f>_xll.qlDayCounterYearFraction(DayCounterON,SettlementDate,B20,,,Trigger)</f>
        <v>1.3698630136986301E-2</v>
      </c>
      <c r="D20" s="484">
        <f t="shared" si="8"/>
        <v>1.573421846568658E-3</v>
      </c>
      <c r="E20" s="484">
        <f t="shared" si="9"/>
        <v>1.9586651663393677E-3</v>
      </c>
      <c r="F20" s="437">
        <f t="shared" si="10"/>
        <v>2.2061229475910937E-3</v>
      </c>
      <c r="G20" s="437">
        <f t="shared" si="11"/>
        <v>2.2949885737155009E-3</v>
      </c>
      <c r="H20" s="448"/>
      <c r="I20" s="448"/>
      <c r="M20" s="560"/>
      <c r="N20" s="533">
        <f t="shared" si="12"/>
        <v>7.5235003463770865E-3</v>
      </c>
      <c r="O20" s="534">
        <f t="shared" si="13"/>
        <v>2.2995368668550047E-2</v>
      </c>
      <c r="P20" s="534">
        <f t="shared" si="14"/>
        <v>7.3890035653968844E-2</v>
      </c>
      <c r="Q20" s="535">
        <f t="shared" si="15"/>
        <v>0.25205479452054791</v>
      </c>
      <c r="R20" s="561"/>
      <c r="S20" s="459">
        <v>2.49824692004336E-3</v>
      </c>
      <c r="T20" s="561"/>
      <c r="U20" s="435">
        <f t="shared" si="16"/>
        <v>3.5552771550305065E-4</v>
      </c>
      <c r="W20" s="432">
        <v>47.673851564190628</v>
      </c>
      <c r="X20" s="432">
        <v>-60.148035053469947</v>
      </c>
      <c r="Y20" s="432">
        <v>22.352543281243527</v>
      </c>
      <c r="Z20" s="432">
        <v>-6.0465574385868086</v>
      </c>
    </row>
    <row r="21" spans="2:26" x14ac:dyDescent="0.2">
      <c r="B21" s="483">
        <f>_xll.qlCalendarAdvance(Calendar,B20,"1d","mf")</f>
        <v>41893</v>
      </c>
      <c r="C21" s="476">
        <f>_xll.qlDayCounterYearFraction(DayCounterON,SettlementDate,B21,,,Trigger)</f>
        <v>1.643835616438356E-2</v>
      </c>
      <c r="D21" s="484">
        <f t="shared" si="8"/>
        <v>1.573421846568658E-3</v>
      </c>
      <c r="E21" s="484">
        <f t="shared" si="9"/>
        <v>1.9491529856042883E-3</v>
      </c>
      <c r="F21" s="437">
        <f t="shared" si="10"/>
        <v>2.180758765550345E-3</v>
      </c>
      <c r="G21" s="437">
        <f t="shared" si="11"/>
        <v>2.2571555586363874E-3</v>
      </c>
      <c r="H21" s="448"/>
      <c r="I21" s="448"/>
    </row>
    <row r="22" spans="2:26" x14ac:dyDescent="0.2">
      <c r="B22" s="483">
        <f>_xll.qlCalendarAdvance(Calendar,B21,"1d","mf")</f>
        <v>41894</v>
      </c>
      <c r="C22" s="476">
        <f>_xll.qlDayCounterYearFraction(DayCounterON,SettlementDate,B22,,,Trigger)</f>
        <v>1.9178082191780823E-2</v>
      </c>
      <c r="D22" s="484">
        <f t="shared" si="8"/>
        <v>1.573421846568658E-3</v>
      </c>
      <c r="E22" s="484">
        <f t="shared" si="9"/>
        <v>1.9396408048692091E-3</v>
      </c>
      <c r="F22" s="437">
        <f t="shared" si="10"/>
        <v>2.1557391922336325E-3</v>
      </c>
      <c r="G22" s="437">
        <f t="shared" si="11"/>
        <v>2.2202388159998704E-3</v>
      </c>
      <c r="H22" s="448"/>
      <c r="I22" s="448"/>
    </row>
    <row r="23" spans="2:26" x14ac:dyDescent="0.2">
      <c r="B23" s="483">
        <f>_xll.qlCalendarAdvance(Calendar,B22,"1d","mf")</f>
        <v>41897</v>
      </c>
      <c r="C23" s="476">
        <f>_xll.qlDayCounterYearFraction(DayCounterON,SettlementDate,B23,,,Trigger)</f>
        <v>2.7397260273972601E-2</v>
      </c>
      <c r="D23" s="484">
        <f t="shared" si="8"/>
        <v>1.573421846568658E-3</v>
      </c>
      <c r="E23" s="484">
        <f t="shared" si="9"/>
        <v>1.9111042626639716E-3</v>
      </c>
      <c r="F23" s="437">
        <f t="shared" si="10"/>
        <v>2.0827481246277137E-3</v>
      </c>
      <c r="G23" s="437">
        <f t="shared" si="11"/>
        <v>2.1148864558049587E-3</v>
      </c>
      <c r="H23" s="448"/>
      <c r="I23" s="448"/>
    </row>
    <row r="24" spans="2:26" x14ac:dyDescent="0.2">
      <c r="B24" s="483">
        <f>_xll.qlCalendarAdvance(Calendar,B23,"1d","mf")</f>
        <v>41898</v>
      </c>
      <c r="C24" s="476">
        <f>_xll.qlDayCounterYearFraction(DayCounterON,SettlementDate,B24,,,Trigger)</f>
        <v>3.0136986301369864E-2</v>
      </c>
      <c r="D24" s="484">
        <f t="shared" si="8"/>
        <v>1.573421846568658E-3</v>
      </c>
      <c r="E24" s="484">
        <f t="shared" si="9"/>
        <v>1.9015920819288922E-3</v>
      </c>
      <c r="F24" s="437">
        <f t="shared" si="10"/>
        <v>2.0591069862071465E-3</v>
      </c>
      <c r="G24" s="437">
        <f t="shared" si="11"/>
        <v>2.081535035997885E-3</v>
      </c>
      <c r="H24" s="448"/>
      <c r="I24" s="448"/>
    </row>
    <row r="25" spans="2:26" x14ac:dyDescent="0.2">
      <c r="B25" s="483">
        <f>_xll.qlCalendarAdvance(Calendar,B24,"1d","mf")</f>
        <v>41899</v>
      </c>
      <c r="C25" s="476">
        <f>_xll.qlDayCounterYearFraction(DayCounterON,SettlementDate,B25,,,Trigger)</f>
        <v>3.287671232876712E-2</v>
      </c>
      <c r="D25" s="484">
        <f t="shared" si="8"/>
        <v>1.573421846568658E-3</v>
      </c>
      <c r="E25" s="484">
        <f t="shared" si="9"/>
        <v>1.892079901193813E-3</v>
      </c>
      <c r="F25" s="437">
        <f t="shared" si="10"/>
        <v>2.0358104565106161E-3</v>
      </c>
      <c r="G25" s="437">
        <f t="shared" si="11"/>
        <v>2.0490500051629345E-3</v>
      </c>
      <c r="H25" s="448"/>
      <c r="I25" s="448"/>
    </row>
    <row r="26" spans="2:26" x14ac:dyDescent="0.2">
      <c r="B26" s="483">
        <f>_xll.qlCalendarAdvance(Calendar,B25,"1d","mf")</f>
        <v>41900</v>
      </c>
      <c r="C26" s="476">
        <f>_xll.qlDayCounterYearFraction(DayCounterON,SettlementDate,B26,,,Trigger)</f>
        <v>3.5616438356164383E-2</v>
      </c>
      <c r="D26" s="484">
        <f t="shared" si="8"/>
        <v>1.573421846568658E-3</v>
      </c>
      <c r="E26" s="484">
        <f t="shared" si="9"/>
        <v>1.8825677204587338E-3</v>
      </c>
      <c r="F26" s="437">
        <f t="shared" si="10"/>
        <v>2.0128585355381214E-3</v>
      </c>
      <c r="G26" s="437">
        <f t="shared" si="11"/>
        <v>2.0174213866060121E-3</v>
      </c>
      <c r="H26" s="448"/>
      <c r="I26" s="448"/>
    </row>
    <row r="27" spans="2:26" x14ac:dyDescent="0.2">
      <c r="B27" s="483">
        <f>_xll.qlCalendarAdvance(Calendar,B26,"1d","mf")</f>
        <v>41901</v>
      </c>
      <c r="C27" s="476">
        <f>_xll.qlDayCounterYearFraction(DayCounterON,SettlementDate,B27,,,Trigger)</f>
        <v>3.8356164383561646E-2</v>
      </c>
      <c r="D27" s="484">
        <f t="shared" si="8"/>
        <v>1.573421846568658E-3</v>
      </c>
      <c r="E27" s="484">
        <f t="shared" si="9"/>
        <v>1.8730555397236544E-3</v>
      </c>
      <c r="F27" s="437">
        <f t="shared" si="10"/>
        <v>1.990251223289663E-3</v>
      </c>
      <c r="G27" s="437">
        <f t="shared" si="11"/>
        <v>1.9866392036330246E-3</v>
      </c>
      <c r="H27" s="448"/>
      <c r="I27" s="448"/>
    </row>
    <row r="28" spans="2:26" x14ac:dyDescent="0.2">
      <c r="B28" s="483">
        <f>_xll.qlCalendarAdvance(Calendar,B27,"1d","mf")</f>
        <v>41904</v>
      </c>
      <c r="C28" s="476">
        <f>_xll.qlDayCounterYearFraction(DayCounterON,SettlementDate,B28,,,Trigger)</f>
        <v>4.6575342465753428E-2</v>
      </c>
      <c r="D28" s="484">
        <f t="shared" si="8"/>
        <v>1.573421846568658E-3</v>
      </c>
      <c r="E28" s="484">
        <f t="shared" si="9"/>
        <v>1.8445189975184169E-3</v>
      </c>
      <c r="F28" s="437">
        <f t="shared" si="10"/>
        <v>1.9244969388885059E-3</v>
      </c>
      <c r="G28" s="437">
        <f t="shared" si="11"/>
        <v>1.8992715012767151E-3</v>
      </c>
      <c r="H28" s="448"/>
      <c r="I28" s="448"/>
    </row>
    <row r="29" spans="2:26" x14ac:dyDescent="0.2">
      <c r="B29" s="483">
        <f>_xll.qlCalendarAdvance(Calendar,B28,"1d","mf")</f>
        <v>41905</v>
      </c>
      <c r="C29" s="476">
        <f>_xll.qlDayCounterYearFraction(DayCounterON,SettlementDate,B29,,,Trigger)</f>
        <v>4.9315068493150684E-2</v>
      </c>
      <c r="D29" s="484">
        <f t="shared" si="8"/>
        <v>1.573421846568658E-3</v>
      </c>
      <c r="E29" s="484">
        <f t="shared" si="9"/>
        <v>1.8350068167833375E-3</v>
      </c>
      <c r="F29" s="437">
        <f t="shared" si="10"/>
        <v>1.9032680615361931E-3</v>
      </c>
      <c r="G29" s="437">
        <f t="shared" si="11"/>
        <v>1.8717752936985143E-3</v>
      </c>
      <c r="H29" s="448"/>
      <c r="I29" s="448"/>
    </row>
    <row r="30" spans="2:26" x14ac:dyDescent="0.2">
      <c r="B30" s="483">
        <f>_xll.qlCalendarAdvance(Calendar,B29,"1d","mf")</f>
        <v>41906</v>
      </c>
      <c r="C30" s="476">
        <f>_xll.qlDayCounterYearFraction(DayCounterON,SettlementDate,B30,,,Trigger)</f>
        <v>5.2054794520547946E-2</v>
      </c>
      <c r="D30" s="484">
        <f t="shared" si="8"/>
        <v>1.573421846568658E-3</v>
      </c>
      <c r="E30" s="484">
        <f t="shared" si="9"/>
        <v>1.8254946360482583E-3</v>
      </c>
      <c r="F30" s="437">
        <f t="shared" si="10"/>
        <v>1.8823837929079163E-3</v>
      </c>
      <c r="G30" s="437">
        <f t="shared" si="11"/>
        <v>1.8450756382337725E-3</v>
      </c>
      <c r="H30" s="448"/>
      <c r="I30" s="448"/>
    </row>
    <row r="31" spans="2:26" x14ac:dyDescent="0.2">
      <c r="B31" s="483">
        <f>_xll.qlCalendarAdvance(Calendar,B30,"1d","mf")</f>
        <v>41907</v>
      </c>
      <c r="C31" s="476">
        <f>_xll.qlDayCounterYearFraction(DayCounterON,SettlementDate,B31,,,Trigger)</f>
        <v>5.4794520547945202E-2</v>
      </c>
      <c r="D31" s="484">
        <f t="shared" si="8"/>
        <v>1.573421846568658E-3</v>
      </c>
      <c r="E31" s="484">
        <f t="shared" si="9"/>
        <v>1.8159824553131791E-3</v>
      </c>
      <c r="F31" s="437">
        <f t="shared" si="10"/>
        <v>1.8618441330036757E-3</v>
      </c>
      <c r="G31" s="437">
        <f t="shared" si="11"/>
        <v>1.8191625581883957E-3</v>
      </c>
      <c r="H31" s="448"/>
      <c r="I31" s="448"/>
    </row>
    <row r="32" spans="2:26" x14ac:dyDescent="0.2">
      <c r="B32" s="483">
        <f>_xll.qlCalendarAdvance(Calendar,B31,"1d","mf")</f>
        <v>41908</v>
      </c>
      <c r="C32" s="476">
        <f>_xll.qlDayCounterYearFraction(DayCounterON,SettlementDate,B32,,,Trigger)</f>
        <v>5.7534246575342465E-2</v>
      </c>
      <c r="D32" s="484">
        <f t="shared" si="8"/>
        <v>1.573421846568658E-3</v>
      </c>
      <c r="E32" s="484">
        <f t="shared" si="9"/>
        <v>1.8064702745781E-3</v>
      </c>
      <c r="F32" s="437">
        <f t="shared" si="10"/>
        <v>1.8416490818234715E-3</v>
      </c>
      <c r="G32" s="437">
        <f t="shared" si="11"/>
        <v>1.7940260768682886E-3</v>
      </c>
      <c r="H32" s="448"/>
      <c r="I32" s="448"/>
    </row>
    <row r="33" spans="2:21" x14ac:dyDescent="0.2">
      <c r="B33" s="483">
        <f>_xll.qlCalendarAdvance(Calendar,B32,"1d","mf")</f>
        <v>41911</v>
      </c>
      <c r="C33" s="476">
        <f>_xll.qlDayCounterYearFraction(DayCounterON,SettlementDate,B33,,,Trigger)</f>
        <v>6.575342465753424E-2</v>
      </c>
      <c r="D33" s="484">
        <f t="shared" si="8"/>
        <v>1.573421846568658E-3</v>
      </c>
      <c r="E33" s="484">
        <f t="shared" si="9"/>
        <v>1.7779337323728622E-3</v>
      </c>
      <c r="F33" s="437">
        <f t="shared" si="10"/>
        <v>1.7831315806270767E-3</v>
      </c>
      <c r="G33" s="437">
        <f t="shared" si="11"/>
        <v>1.723176458318639E-3</v>
      </c>
      <c r="H33" s="448"/>
      <c r="I33" s="448"/>
    </row>
    <row r="34" spans="2:21" x14ac:dyDescent="0.2">
      <c r="B34" s="483">
        <f>_xll.qlCalendarAdvance(Calendar,B33,"1d","mf")</f>
        <v>41912</v>
      </c>
      <c r="C34" s="476">
        <f>_xll.qlDayCounterYearFraction(DayCounterON,SettlementDate,B34,,,Trigger)</f>
        <v>6.8493150684931503E-2</v>
      </c>
      <c r="D34" s="484">
        <f t="shared" si="8"/>
        <v>1.573421846568658E-3</v>
      </c>
      <c r="E34" s="484">
        <f t="shared" si="9"/>
        <v>1.768421551637783E-3</v>
      </c>
      <c r="F34" s="437">
        <f t="shared" si="10"/>
        <v>1.7643149643430174E-3</v>
      </c>
      <c r="G34" s="437">
        <f t="shared" si="11"/>
        <v>1.7010466049586629E-3</v>
      </c>
      <c r="H34" s="448"/>
      <c r="I34" s="448"/>
    </row>
    <row r="35" spans="2:21" x14ac:dyDescent="0.2">
      <c r="B35" s="483">
        <f>_xll.qlCalendarAdvance(Calendar,B34,"1d","mf")</f>
        <v>41913</v>
      </c>
      <c r="C35" s="476">
        <f>_xll.qlDayCounterYearFraction(DayCounterON,SettlementDate,B35,,,Trigger)</f>
        <v>7.1232876712328766E-2</v>
      </c>
      <c r="D35" s="484">
        <f t="shared" si="8"/>
        <v>1.573421846568658E-3</v>
      </c>
      <c r="E35" s="484">
        <f t="shared" si="9"/>
        <v>1.7589093709027039E-3</v>
      </c>
      <c r="F35" s="437">
        <f t="shared" si="10"/>
        <v>1.7458429567829945E-3</v>
      </c>
      <c r="G35" s="437">
        <f t="shared" si="11"/>
        <v>1.6796434668534825E-3</v>
      </c>
      <c r="H35" s="448"/>
      <c r="I35" s="448"/>
    </row>
    <row r="36" spans="2:21" x14ac:dyDescent="0.2">
      <c r="B36" s="483">
        <f>_xll.qlCalendarAdvance(Calendar,B35,"1d","mf")</f>
        <v>41914</v>
      </c>
      <c r="C36" s="476">
        <f>_xll.qlDayCounterYearFraction(DayCounterON,SettlementDate,B36,,,Trigger)</f>
        <v>7.3972602739726029E-2</v>
      </c>
      <c r="D36" s="484">
        <f t="shared" si="8"/>
        <v>1.573421846568658E-3</v>
      </c>
      <c r="E36" s="484">
        <f t="shared" si="9"/>
        <v>1.7493971901676245E-3</v>
      </c>
      <c r="F36" s="437">
        <f t="shared" si="10"/>
        <v>1.7277155579470081E-3</v>
      </c>
      <c r="G36" s="437">
        <f t="shared" si="11"/>
        <v>1.658957067309003E-3</v>
      </c>
      <c r="H36" s="448"/>
      <c r="I36" s="448"/>
    </row>
    <row r="37" spans="2:21" x14ac:dyDescent="0.2">
      <c r="B37" s="483">
        <f>_xll.qlCalendarAdvance(Calendar,B36,"1d","mf")</f>
        <v>41915</v>
      </c>
      <c r="C37" s="476">
        <f>_xll.qlDayCounterYearFraction(DayCounterON,SettlementDate,B37,,,Trigger)</f>
        <v>7.6712328767123292E-2</v>
      </c>
      <c r="D37" s="484">
        <f t="shared" si="8"/>
        <v>1.573421846568658E-3</v>
      </c>
      <c r="E37" s="484">
        <f t="shared" si="9"/>
        <v>1.7398850094325453E-3</v>
      </c>
      <c r="F37" s="437">
        <f t="shared" si="10"/>
        <v>1.7099327678350579E-3</v>
      </c>
      <c r="G37" s="437">
        <f t="shared" si="11"/>
        <v>1.6389774296311295E-3</v>
      </c>
      <c r="H37" s="448"/>
      <c r="I37" s="448"/>
    </row>
    <row r="38" spans="2:21" x14ac:dyDescent="0.2">
      <c r="B38" s="483">
        <f>_xll.qlCalendarAdvance(Calendar,B37,"1d","mf")</f>
        <v>41918</v>
      </c>
      <c r="C38" s="476">
        <f>_xll.qlDayCounterYearFraction(DayCounterON,SettlementDate,B38,,,Trigger)</f>
        <v>8.4931506849315067E-2</v>
      </c>
      <c r="D38" s="484">
        <f t="shared" si="8"/>
        <v>1.573421846568658E-3</v>
      </c>
      <c r="E38" s="484">
        <f t="shared" si="9"/>
        <v>1.7113484672273075E-3</v>
      </c>
      <c r="F38" s="437">
        <f t="shared" si="10"/>
        <v>1.658652049843425E-3</v>
      </c>
      <c r="G38" s="437">
        <f t="shared" si="11"/>
        <v>1.5831793208561957E-3</v>
      </c>
      <c r="H38" s="448"/>
      <c r="I38" s="448"/>
    </row>
    <row r="39" spans="2:21" x14ac:dyDescent="0.2">
      <c r="B39" s="483">
        <f>_xll.qlCalendarAdvance(Calendar,B38,"1d","mf")</f>
        <v>41919</v>
      </c>
      <c r="C39" s="476">
        <f>_xll.qlDayCounterYearFraction(DayCounterON,SettlementDate,B39,,,Trigger)</f>
        <v>8.7671232876712329E-2</v>
      </c>
      <c r="D39" s="484">
        <f t="shared" si="8"/>
        <v>1.573421846568658E-3</v>
      </c>
      <c r="E39" s="484">
        <f t="shared" si="9"/>
        <v>1.7018362864922284E-3</v>
      </c>
      <c r="F39" s="437">
        <f t="shared" si="10"/>
        <v>1.6422476946276196E-3</v>
      </c>
      <c r="G39" s="437">
        <f t="shared" si="11"/>
        <v>1.5659269637037969E-3</v>
      </c>
      <c r="H39" s="448"/>
      <c r="I39" s="448"/>
    </row>
    <row r="40" spans="2:21" x14ac:dyDescent="0.2">
      <c r="B40" s="483">
        <f>_xll.qlCalendarAdvance(Calendar,B39,"1d","mf")</f>
        <v>41920</v>
      </c>
      <c r="C40" s="476">
        <f>_xll.qlDayCounterYearFraction(DayCounterON,SettlementDate,B40,,,Trigger)</f>
        <v>9.0410958904109592E-2</v>
      </c>
      <c r="D40" s="484">
        <f t="shared" si="8"/>
        <v>1.573421846568658E-3</v>
      </c>
      <c r="E40" s="484">
        <f t="shared" si="9"/>
        <v>1.692324105757149E-3</v>
      </c>
      <c r="F40" s="437">
        <f t="shared" si="10"/>
        <v>1.6261879481358509E-3</v>
      </c>
      <c r="G40" s="437">
        <f t="shared" si="11"/>
        <v>1.5493314849475306E-3</v>
      </c>
      <c r="H40" s="448"/>
      <c r="I40" s="448"/>
    </row>
    <row r="41" spans="2:21" x14ac:dyDescent="0.2">
      <c r="B41" s="483">
        <f>_xll.qlCalendarAdvance(Calendar,B40,"1d","mf")</f>
        <v>41921</v>
      </c>
      <c r="C41" s="476">
        <f>_xll.qlDayCounterYearFraction(DayCounterON,SettlementDate,B41,,,Trigger)</f>
        <v>9.3150684931506855E-2</v>
      </c>
      <c r="D41" s="484">
        <f t="shared" si="8"/>
        <v>1.573421846568658E-3</v>
      </c>
      <c r="E41" s="484">
        <f t="shared" si="9"/>
        <v>1.6828119250220698E-3</v>
      </c>
      <c r="F41" s="437">
        <f t="shared" si="10"/>
        <v>1.6104728103681185E-3</v>
      </c>
      <c r="G41" s="437">
        <f t="shared" si="11"/>
        <v>1.5333829078933005E-3</v>
      </c>
      <c r="H41" s="448"/>
      <c r="I41" s="448"/>
    </row>
    <row r="42" spans="2:21" ht="12" thickBot="1" x14ac:dyDescent="0.25">
      <c r="B42" s="483">
        <f>_xll.qlCalendarAdvance(Calendar,B41,"1d","mf")</f>
        <v>41922</v>
      </c>
      <c r="C42" s="476">
        <f>_xll.qlDayCounterYearFraction(DayCounterON,SettlementDate,B42,,,Trigger)</f>
        <v>9.5890410958904104E-2</v>
      </c>
      <c r="D42" s="484">
        <f t="shared" si="8"/>
        <v>1.573421846568658E-3</v>
      </c>
      <c r="E42" s="484">
        <f t="shared" si="9"/>
        <v>1.6732997442869906E-3</v>
      </c>
      <c r="F42" s="437">
        <f t="shared" si="10"/>
        <v>1.5951022813244222E-3</v>
      </c>
      <c r="G42" s="437">
        <f t="shared" si="11"/>
        <v>1.5180712558470124E-3</v>
      </c>
      <c r="H42" s="448"/>
      <c r="I42" s="448"/>
    </row>
    <row r="43" spans="2:21" ht="19.5" customHeight="1" x14ac:dyDescent="0.2">
      <c r="B43" s="483">
        <f>_xll.qlCalendarAdvance(Calendar,B42,"1d","mf")</f>
        <v>41925</v>
      </c>
      <c r="C43" s="476">
        <f>_xll.qlDayCounterYearFraction(DayCounterON,SettlementDate,B43,,,Trigger)</f>
        <v>0.10410958904109589</v>
      </c>
      <c r="D43" s="484">
        <f t="shared" si="8"/>
        <v>1.573421846568658E-3</v>
      </c>
      <c r="E43" s="484">
        <f t="shared" si="9"/>
        <v>1.6447632020817528E-3</v>
      </c>
      <c r="F43" s="437">
        <f t="shared" si="10"/>
        <v>1.5510583465375514E-3</v>
      </c>
      <c r="G43" s="437">
        <f t="shared" si="11"/>
        <v>1.4758580828148516E-3</v>
      </c>
      <c r="I43" s="443" t="s">
        <v>168</v>
      </c>
      <c r="J43" s="444" t="s">
        <v>126</v>
      </c>
      <c r="K43" s="471" t="s">
        <v>127</v>
      </c>
      <c r="L43" s="472"/>
      <c r="M43" s="473"/>
      <c r="N43" s="443" t="s">
        <v>44</v>
      </c>
      <c r="O43" s="473"/>
      <c r="P43" s="473"/>
      <c r="Q43" s="473"/>
      <c r="R43" s="473" t="s">
        <v>157</v>
      </c>
      <c r="S43" s="473" t="s">
        <v>156</v>
      </c>
      <c r="T43" s="473" t="s">
        <v>155</v>
      </c>
      <c r="U43" s="473" t="s">
        <v>171</v>
      </c>
    </row>
    <row r="44" spans="2:21" x14ac:dyDescent="0.2">
      <c r="B44" s="483">
        <f>_xll.qlCalendarAdvance(Calendar,B43,"1d","mf")</f>
        <v>41926</v>
      </c>
      <c r="C44" s="476">
        <f>_xll.qlDayCounterYearFraction(DayCounterON,SettlementDate,B44,,,Trigger)</f>
        <v>0.10684931506849316</v>
      </c>
      <c r="D44" s="484">
        <f t="shared" si="8"/>
        <v>1.573421846568658E-3</v>
      </c>
      <c r="E44" s="484">
        <f t="shared" si="9"/>
        <v>1.6352510213466737E-3</v>
      </c>
      <c r="F44" s="437">
        <f t="shared" si="10"/>
        <v>1.5370662523900001E-3</v>
      </c>
      <c r="G44" s="437">
        <f t="shared" si="11"/>
        <v>1.462994363859383E-3</v>
      </c>
      <c r="I44" s="526" t="s">
        <v>65</v>
      </c>
      <c r="J44" s="498">
        <f t="shared" ref="J44:J50" si="17">SettlementDate</f>
        <v>41887</v>
      </c>
      <c r="K44" s="499">
        <f>_xll.qlCalendarAdvance(Calendar,SettlementDate,I44,"Following")</f>
        <v>41890</v>
      </c>
      <c r="L44" s="500" t="str">
        <f>_xll.qlMakeDatedOIS(,J44,K44,OvernightIndex,0,,,,EvaluationDate)</f>
        <v>obj_003af#0000</v>
      </c>
      <c r="M44" s="500" t="b">
        <f>_xll.qlInstrumentSetPricingEngine(L44,OisEngine)</f>
        <v>1</v>
      </c>
      <c r="N44" s="497">
        <f>_xll.qlOvernightIndexedSwapFairRate(L44,_xll.ohTrigger(InterestRatesTrigger))</f>
        <v>2.9999999793695054E-4</v>
      </c>
      <c r="O44" s="474">
        <f>_xll.qlDayCounterYearFraction(DayCounterOIS,J44,K44,,,Trigger)</f>
        <v>8.3333333333333332E-3</v>
      </c>
      <c r="P44" s="474">
        <f>_xll.qlDayCounterYearFraction(DayCounter3M,J44,K44,,,Trigger)</f>
        <v>8.3333333333333332E-3</v>
      </c>
      <c r="Q44" s="474">
        <f>_xll.qlDayCounterYearFraction(DayCounterON,J44,K44,,,Trigger)</f>
        <v>8.21917808219178E-3</v>
      </c>
      <c r="R44" s="474">
        <f t="shared" ref="R44:R50" si="18">$S$13*Q44</f>
        <v>1.2932234355358832E-5</v>
      </c>
      <c r="S44" s="474">
        <f t="shared" ref="S44:S50" si="19">$S$10*Q44+$S$9*Q44^2/2</f>
        <v>1.6372255881469684E-5</v>
      </c>
      <c r="T44" s="474">
        <f t="shared" ref="T44:T50" si="20">$S$5*Q44+$S$4*Q44^2/2+$S$3*Q44^3/3</f>
        <v>1.888553923320832E-5</v>
      </c>
      <c r="U44" s="475">
        <f>$S$20*Q44+$S$19*Q44^2/2+$S$18*Q44^3/3+$S$17*Q44^4/4</f>
        <v>2.0014719849337912E-5</v>
      </c>
    </row>
    <row r="45" spans="2:21" x14ac:dyDescent="0.2">
      <c r="B45" s="483">
        <f>_xll.qlCalendarAdvance(Calendar,B44,"1d","mf")</f>
        <v>41927</v>
      </c>
      <c r="C45" s="476">
        <f>_xll.qlDayCounterYearFraction(DayCounterON,SettlementDate,B45,,,Trigger)</f>
        <v>0.1095890410958904</v>
      </c>
      <c r="D45" s="484">
        <f t="shared" si="8"/>
        <v>1.573421846568658E-3</v>
      </c>
      <c r="E45" s="484">
        <f t="shared" si="9"/>
        <v>1.6257388406115945E-3</v>
      </c>
      <c r="F45" s="437">
        <f t="shared" si="10"/>
        <v>1.5234187669664855E-3</v>
      </c>
      <c r="G45" s="437">
        <f t="shared" si="11"/>
        <v>1.4507176864413823E-3</v>
      </c>
      <c r="I45" s="524" t="s">
        <v>66</v>
      </c>
      <c r="J45" s="434">
        <f t="shared" si="17"/>
        <v>41887</v>
      </c>
      <c r="K45" s="501">
        <f>_xll.qlCalendarAdvance(Calendar,SettlementDate,I45,"Following")</f>
        <v>41894</v>
      </c>
      <c r="L45" s="502" t="str">
        <f>_xll.qlMakeDatedOIS(,J45,K45,OvernightIndex,0,,,,EvaluationDate)</f>
        <v>obj_003a7#0000</v>
      </c>
      <c r="M45" s="502" t="b">
        <f>_xll.qlInstrumentSetPricingEngine(L45,OisEngine)</f>
        <v>1</v>
      </c>
      <c r="N45" s="436">
        <f>_xll.qlOvernightIndexedSwapFairRate(L45,_xll.ohTrigger(InterestRatesTrigger))</f>
        <v>2.0000008951827555E-5</v>
      </c>
      <c r="O45" s="476">
        <f>_xll.qlDayCounterYearFraction(DayCounterOIS,J45,K45,,,Trigger)</f>
        <v>1.9444444444444445E-2</v>
      </c>
      <c r="P45" s="476">
        <f>_xll.qlDayCounterYearFraction(DayCounter3M,J45,K45,,,Trigger)</f>
        <v>1.9444444444444445E-2</v>
      </c>
      <c r="Q45" s="476">
        <f>_xll.qlDayCounterYearFraction(DayCounterON,J45,K45,,,Trigger)</f>
        <v>1.9178082191780823E-2</v>
      </c>
      <c r="R45" s="476">
        <f t="shared" si="18"/>
        <v>3.0175213495837279E-5</v>
      </c>
      <c r="S45" s="476">
        <f t="shared" si="19"/>
        <v>3.7837079622175081E-5</v>
      </c>
      <c r="T45" s="476">
        <f t="shared" si="20"/>
        <v>4.306474675913108E-5</v>
      </c>
      <c r="U45" s="477">
        <f t="shared" ref="U45:U50" si="21">$S$20*Q45+$S$19*Q45^2/2+$S$18*Q45^3/3+$S$17*Q45^4/4</f>
        <v>4.5172046678269025E-5</v>
      </c>
    </row>
    <row r="46" spans="2:21" x14ac:dyDescent="0.2">
      <c r="B46" s="483">
        <f>_xll.qlCalendarAdvance(Calendar,B45,"1d","mf")</f>
        <v>41928</v>
      </c>
      <c r="C46" s="476">
        <f>_xll.qlDayCounterYearFraction(DayCounterON,SettlementDate,B46,,,Trigger)</f>
        <v>0.11232876712328767</v>
      </c>
      <c r="D46" s="484">
        <f t="shared" si="8"/>
        <v>1.573421846568658E-3</v>
      </c>
      <c r="E46" s="484">
        <f t="shared" si="9"/>
        <v>1.6162266598765151E-3</v>
      </c>
      <c r="F46" s="437">
        <f t="shared" si="10"/>
        <v>1.5101158902670071E-3</v>
      </c>
      <c r="G46" s="437">
        <f t="shared" si="11"/>
        <v>1.4390180738667539E-3</v>
      </c>
      <c r="I46" s="524" t="s">
        <v>67</v>
      </c>
      <c r="J46" s="434">
        <f t="shared" si="17"/>
        <v>41887</v>
      </c>
      <c r="K46" s="501">
        <f>_xll.qlCalendarAdvance(Calendar,SettlementDate,I46,"Following")</f>
        <v>41901</v>
      </c>
      <c r="L46" s="502" t="str">
        <f>_xll.qlMakeDatedOIS(,J46,K46,OvernightIndex,0,,,,EvaluationDate)</f>
        <v>obj_003d0#0000</v>
      </c>
      <c r="M46" s="502" t="b">
        <f>_xll.qlInstrumentSetPricingEngine(L46,OisEngine)</f>
        <v>1</v>
      </c>
      <c r="N46" s="436">
        <f>_xll.qlOvernightIndexedSwapFairRate(L46,_xll.ohTrigger(InterestRatesTrigger))</f>
        <v>9.9999987262273333E-6</v>
      </c>
      <c r="O46" s="476">
        <f>_xll.qlDayCounterYearFraction(DayCounterOIS,J46,K46,,,Trigger)</f>
        <v>3.888888888888889E-2</v>
      </c>
      <c r="P46" s="476">
        <f>_xll.qlDayCounterYearFraction(DayCounter3M,J46,K46,,,Trigger)</f>
        <v>3.888888888888889E-2</v>
      </c>
      <c r="Q46" s="476">
        <f>_xll.qlDayCounterYearFraction(DayCounterON,J46,K46,,,Trigger)</f>
        <v>3.8356164383561646E-2</v>
      </c>
      <c r="R46" s="476">
        <f t="shared" si="18"/>
        <v>6.0350426991674558E-5</v>
      </c>
      <c r="S46" s="476">
        <f t="shared" si="19"/>
        <v>7.4397181556627194E-5</v>
      </c>
      <c r="T46" s="476">
        <f t="shared" si="20"/>
        <v>8.2793832754481317E-5</v>
      </c>
      <c r="U46" s="477">
        <f t="shared" si="21"/>
        <v>8.5443734898384539E-5</v>
      </c>
    </row>
    <row r="47" spans="2:21" x14ac:dyDescent="0.2">
      <c r="B47" s="483">
        <f>_xll.qlCalendarAdvance(Calendar,B46,"1d","mf")</f>
        <v>41929</v>
      </c>
      <c r="C47" s="476">
        <f>_xll.qlDayCounterYearFraction(DayCounterON,SettlementDate,B47,,,Trigger)</f>
        <v>0.11506849315068493</v>
      </c>
      <c r="D47" s="484">
        <f t="shared" si="8"/>
        <v>1.573421846568658E-3</v>
      </c>
      <c r="E47" s="484">
        <f t="shared" si="9"/>
        <v>1.6067144791414359E-3</v>
      </c>
      <c r="F47" s="437">
        <f t="shared" si="10"/>
        <v>1.4971576222915645E-3</v>
      </c>
      <c r="G47" s="437">
        <f t="shared" si="11"/>
        <v>1.4278855494414039E-3</v>
      </c>
      <c r="I47" s="524" t="s">
        <v>68</v>
      </c>
      <c r="J47" s="434">
        <f t="shared" si="17"/>
        <v>41887</v>
      </c>
      <c r="K47" s="501">
        <f>_xll.qlCalendarAdvance(Calendar,SettlementDate,I47,"Following")</f>
        <v>41908</v>
      </c>
      <c r="L47" s="502" t="str">
        <f>_xll.qlMakeDatedOIS(,J47,K47,OvernightIndex,0,,,,EvaluationDate)</f>
        <v>obj_0039f#0000</v>
      </c>
      <c r="M47" s="502" t="b">
        <f>_xll.qlInstrumentSetPricingEngine(L47,OisEngine)</f>
        <v>1</v>
      </c>
      <c r="N47" s="436">
        <f>_xll.qlOvernightIndexedSwapFairRate(L47,_xll.ohTrigger(InterestRatesTrigger))</f>
        <v>-5.5003620705714903E-13</v>
      </c>
      <c r="O47" s="476">
        <f>_xll.qlDayCounterYearFraction(DayCounterOIS,J47,K47,,,Trigger)</f>
        <v>5.8333333333333334E-2</v>
      </c>
      <c r="P47" s="476">
        <f>_xll.qlDayCounterYearFraction(DayCounter3M,J47,K47,,,Trigger)</f>
        <v>5.8333333333333334E-2</v>
      </c>
      <c r="Q47" s="476">
        <f>_xll.qlDayCounterYearFraction(DayCounterON,J47,K47,,,Trigger)</f>
        <v>5.7534246575342465E-2</v>
      </c>
      <c r="R47" s="476">
        <f t="shared" si="18"/>
        <v>9.0525640487511828E-5</v>
      </c>
      <c r="S47" s="476">
        <f t="shared" si="19"/>
        <v>1.0968030580335635E-4</v>
      </c>
      <c r="T47" s="476">
        <f t="shared" si="20"/>
        <v>1.1951109577329572E-4</v>
      </c>
      <c r="U47" s="477">
        <f t="shared" si="21"/>
        <v>1.2163392060685516E-4</v>
      </c>
    </row>
    <row r="48" spans="2:21" x14ac:dyDescent="0.2">
      <c r="B48" s="483">
        <f>_xll.qlCalendarAdvance(Calendar,B47,"1d","mf")</f>
        <v>41932</v>
      </c>
      <c r="C48" s="476">
        <f>_xll.qlDayCounterYearFraction(DayCounterON,SettlementDate,B48,,,Trigger)</f>
        <v>0.12328767123287671</v>
      </c>
      <c r="D48" s="484">
        <f t="shared" si="8"/>
        <v>1.573421846568658E-3</v>
      </c>
      <c r="E48" s="484">
        <f t="shared" si="9"/>
        <v>1.5781779369361984E-3</v>
      </c>
      <c r="F48" s="437">
        <f t="shared" si="10"/>
        <v>1.4603504707094556E-3</v>
      </c>
      <c r="G48" s="437">
        <f t="shared" si="11"/>
        <v>1.3977907381200732E-3</v>
      </c>
      <c r="I48" s="524" t="s">
        <v>61</v>
      </c>
      <c r="J48" s="434">
        <f t="shared" si="17"/>
        <v>41887</v>
      </c>
      <c r="K48" s="501">
        <f>_xll.qlCalendarAdvance(Calendar,SettlementDate,I48,"mf",TRUE)</f>
        <v>41918</v>
      </c>
      <c r="L48" s="502" t="str">
        <f>_xll.qlMakeDatedOIS(,J48,K48,OvernightIndex,0,,,,EvaluationDate)</f>
        <v>obj_003bd#0000</v>
      </c>
      <c r="M48" s="502" t="b">
        <f>_xll.qlInstrumentSetPricingEngine(L48,OisEngine)</f>
        <v>1</v>
      </c>
      <c r="N48" s="436">
        <f>_xll.qlOvernightIndexedSwapFairRate(L48,_xll.ohTrigger(InterestRatesTrigger))</f>
        <v>1.397848825078082E-5</v>
      </c>
      <c r="O48" s="476">
        <f>_xll.qlDayCounterYearFraction(DayCounterOIS,J48,K48,,,Trigger)</f>
        <v>8.611111111111111E-2</v>
      </c>
      <c r="P48" s="476">
        <f>_xll.qlDayCounterYearFraction(DayCounter3M,J48,K48,,,Trigger)</f>
        <v>8.611111111111111E-2</v>
      </c>
      <c r="Q48" s="476">
        <f>_xll.qlDayCounterYearFraction(DayCounterON,J48,K48,,,Trigger)</f>
        <v>8.4931506849315067E-2</v>
      </c>
      <c r="R48" s="476">
        <f t="shared" si="18"/>
        <v>1.3363308833870793E-4</v>
      </c>
      <c r="S48" s="476">
        <f t="shared" si="19"/>
        <v>1.5786960363630716E-4</v>
      </c>
      <c r="T48" s="476">
        <f t="shared" si="20"/>
        <v>1.6738174855319925E-4</v>
      </c>
      <c r="U48" s="477">
        <f t="shared" si="21"/>
        <v>1.677333693061173E-4</v>
      </c>
    </row>
    <row r="49" spans="2:21" x14ac:dyDescent="0.2">
      <c r="B49" s="483">
        <f>_xll.qlCalendarAdvance(Calendar,B48,"1d","mf")</f>
        <v>41933</v>
      </c>
      <c r="C49" s="476">
        <f>_xll.qlDayCounterYearFraction(DayCounterON,SettlementDate,B49,,,Trigger)</f>
        <v>0.12602739726027398</v>
      </c>
      <c r="D49" s="484">
        <f t="shared" ref="D49:D83" si="22">$S$13</f>
        <v>1.573421846568658E-3</v>
      </c>
      <c r="E49" s="484">
        <f t="shared" ref="E49:E83" si="23">$S$10+$S$9*C49</f>
        <v>1.568665756201119E-3</v>
      </c>
      <c r="F49" s="437">
        <f t="shared" ref="F49:F83" si="24">($S$5+$S$4*C49+$S$3*C49^2)</f>
        <v>1.4487706376301586E-3</v>
      </c>
      <c r="G49" s="437">
        <f t="shared" si="11"/>
        <v>1.3888267993508868E-3</v>
      </c>
      <c r="I49" s="524" t="s">
        <v>69</v>
      </c>
      <c r="J49" s="434">
        <f t="shared" si="17"/>
        <v>41887</v>
      </c>
      <c r="K49" s="501">
        <f>_xll.qlCalendarAdvance(Calendar,SettlementDate,I49,"mf",TRUE)</f>
        <v>41948</v>
      </c>
      <c r="L49" s="502" t="str">
        <f>_xll.qlMakeDatedOIS(,J49,K49,OvernightIndex,0,,,,EvaluationDate)</f>
        <v>obj_003b1#0000</v>
      </c>
      <c r="M49" s="502" t="b">
        <f>_xll.qlInstrumentSetPricingEngine(L49,OisEngine)</f>
        <v>1</v>
      </c>
      <c r="N49" s="436">
        <f>_xll.qlOvernightIndexedSwapFairRate(L49,_xll.ohTrigger(InterestRatesTrigger))</f>
        <v>-5.114770541857148E-5</v>
      </c>
      <c r="O49" s="476">
        <f>_xll.qlDayCounterYearFraction(DayCounterOIS,J49,K49,,,Trigger)</f>
        <v>0.16944444444444445</v>
      </c>
      <c r="P49" s="476">
        <f>_xll.qlDayCounterYearFraction(DayCounter3M,J49,K49,,,Trigger)</f>
        <v>0.16944444444444445</v>
      </c>
      <c r="Q49" s="476">
        <f>_xll.qlDayCounterYearFraction(DayCounterON,J49,K49,,,Trigger)</f>
        <v>0.16712328767123288</v>
      </c>
      <c r="R49" s="476">
        <f t="shared" si="18"/>
        <v>2.6295543189229628E-4</v>
      </c>
      <c r="S49" s="476">
        <f t="shared" si="19"/>
        <v>2.868010356528375E-4</v>
      </c>
      <c r="T49" s="476">
        <f t="shared" si="20"/>
        <v>2.8752093743935161E-4</v>
      </c>
      <c r="U49" s="477">
        <f t="shared" si="21"/>
        <v>2.8347764120798257E-4</v>
      </c>
    </row>
    <row r="50" spans="2:21" ht="12" thickBot="1" x14ac:dyDescent="0.25">
      <c r="B50" s="483">
        <f>_xll.qlCalendarAdvance(Calendar,B49,"1d","mf")</f>
        <v>41934</v>
      </c>
      <c r="C50" s="476">
        <f>_xll.qlDayCounterYearFraction(DayCounterON,SettlementDate,B50,,,Trigger)</f>
        <v>0.12876712328767123</v>
      </c>
      <c r="D50" s="484">
        <f t="shared" si="22"/>
        <v>1.573421846568658E-3</v>
      </c>
      <c r="E50" s="484">
        <f t="shared" si="23"/>
        <v>1.5591535754660398E-3</v>
      </c>
      <c r="F50" s="437">
        <f t="shared" si="24"/>
        <v>1.4375354132748976E-3</v>
      </c>
      <c r="G50" s="437">
        <f t="shared" si="11"/>
        <v>1.3803800652605041E-3</v>
      </c>
      <c r="I50" s="525" t="s">
        <v>62</v>
      </c>
      <c r="J50" s="439">
        <f t="shared" si="17"/>
        <v>41887</v>
      </c>
      <c r="K50" s="503">
        <f>_xll.qlCalendarAdvance(Calendar,SettlementDate,I50,"mf",TRUE)</f>
        <v>41978</v>
      </c>
      <c r="L50" s="504" t="str">
        <f>_xll.qlMakeDatedOIS(,J50,K50,OvernightIndex,0,,,,EvaluationDate)</f>
        <v>obj_0039a#0000</v>
      </c>
      <c r="M50" s="504" t="b">
        <f>_xll.qlInstrumentSetPricingEngine(L50,OisEngine)</f>
        <v>1</v>
      </c>
      <c r="N50" s="441">
        <f>_xll.qlOvernightIndexedSwapFairRate(L50,_xll.ohTrigger(InterestRatesTrigger))</f>
        <v>-5.186812264306002E-5</v>
      </c>
      <c r="O50" s="478">
        <f>_xll.qlDayCounterYearFraction(DayCounterOIS,J50,K50,,,Trigger)</f>
        <v>0.25277777777777777</v>
      </c>
      <c r="P50" s="478">
        <f>_xll.qlDayCounterYearFraction(DayCounter3M,J50,K50,,,Trigger)</f>
        <v>0.25277777777777777</v>
      </c>
      <c r="Q50" s="478">
        <f>_xll.qlDayCounterYearFraction(DayCounterON,J50,K50,,,Trigger)</f>
        <v>0.24931506849315069</v>
      </c>
      <c r="R50" s="478">
        <f t="shared" si="18"/>
        <v>3.922777754458846E-4</v>
      </c>
      <c r="S50" s="478">
        <f t="shared" si="19"/>
        <v>3.9227777544588482E-4</v>
      </c>
      <c r="T50" s="478">
        <f t="shared" si="20"/>
        <v>3.9227777544588422E-4</v>
      </c>
      <c r="U50" s="479">
        <f t="shared" si="21"/>
        <v>3.9227777544588265E-4</v>
      </c>
    </row>
    <row r="51" spans="2:21" x14ac:dyDescent="0.2">
      <c r="B51" s="483">
        <f>_xll.qlCalendarAdvance(Calendar,B50,"1d","mf")</f>
        <v>41935</v>
      </c>
      <c r="C51" s="476">
        <f>_xll.qlDayCounterYearFraction(DayCounterON,SettlementDate,B51,,,Trigger)</f>
        <v>0.13150684931506848</v>
      </c>
      <c r="D51" s="484">
        <f t="shared" si="22"/>
        <v>1.573421846568658E-3</v>
      </c>
      <c r="E51" s="484">
        <f t="shared" si="23"/>
        <v>1.5496413947309606E-3</v>
      </c>
      <c r="F51" s="437">
        <f t="shared" si="24"/>
        <v>1.4266447976436735E-3</v>
      </c>
      <c r="G51" s="437">
        <f t="shared" si="11"/>
        <v>1.3724405591548307E-3</v>
      </c>
    </row>
    <row r="52" spans="2:21" ht="12" thickBot="1" x14ac:dyDescent="0.25">
      <c r="B52" s="483">
        <f>_xll.qlCalendarAdvance(Calendar,B51,"1d","mf")</f>
        <v>41936</v>
      </c>
      <c r="C52" s="476">
        <f>_xll.qlDayCounterYearFraction(DayCounterON,SettlementDate,B52,,,Trigger)</f>
        <v>0.13424657534246576</v>
      </c>
      <c r="D52" s="484">
        <f t="shared" si="22"/>
        <v>1.573421846568658E-3</v>
      </c>
      <c r="E52" s="484">
        <f t="shared" si="23"/>
        <v>1.5401292139958812E-3</v>
      </c>
      <c r="F52" s="437">
        <f t="shared" si="24"/>
        <v>1.4160987907364849E-3</v>
      </c>
      <c r="G52" s="437">
        <f t="shared" si="11"/>
        <v>1.3649983043397703E-3</v>
      </c>
    </row>
    <row r="53" spans="2:21" ht="12" thickBot="1" x14ac:dyDescent="0.25">
      <c r="B53" s="483">
        <f>_xll.qlCalendarAdvance(Calendar,B52,"1d","mf")</f>
        <v>41939</v>
      </c>
      <c r="C53" s="476">
        <f>_xll.qlDayCounterYearFraction(DayCounterON,SettlementDate,B53,,,Trigger)</f>
        <v>0.14246575342465753</v>
      </c>
      <c r="D53" s="484">
        <f t="shared" si="22"/>
        <v>1.573421846568658E-3</v>
      </c>
      <c r="E53" s="484">
        <f t="shared" si="23"/>
        <v>1.5115926717906437E-3</v>
      </c>
      <c r="F53" s="437">
        <f t="shared" si="24"/>
        <v>1.3865284223591383E-3</v>
      </c>
      <c r="G53" s="437">
        <f t="shared" si="11"/>
        <v>1.3455552806973267E-3</v>
      </c>
      <c r="N53" s="520" t="s">
        <v>169</v>
      </c>
      <c r="O53" s="521"/>
      <c r="P53" s="522"/>
      <c r="Q53" s="522"/>
    </row>
    <row r="54" spans="2:21" ht="12" thickBot="1" x14ac:dyDescent="0.25">
      <c r="B54" s="483">
        <f>_xll.qlCalendarAdvance(Calendar,B53,"1d","mf")</f>
        <v>41940</v>
      </c>
      <c r="C54" s="476">
        <f>_xll.qlDayCounterYearFraction(DayCounterON,SettlementDate,B54,,,Trigger)</f>
        <v>0.14520547945205478</v>
      </c>
      <c r="D54" s="484">
        <f t="shared" si="22"/>
        <v>1.573421846568658E-3</v>
      </c>
      <c r="E54" s="484">
        <f t="shared" si="23"/>
        <v>1.5020804910555645E-3</v>
      </c>
      <c r="F54" s="437">
        <f t="shared" si="24"/>
        <v>1.3773608503480951E-3</v>
      </c>
      <c r="G54" s="437">
        <f t="shared" si="11"/>
        <v>1.3400022641037747E-3</v>
      </c>
      <c r="I54" s="505" t="s">
        <v>168</v>
      </c>
      <c r="J54" s="506" t="s">
        <v>126</v>
      </c>
      <c r="K54" s="507" t="s">
        <v>127</v>
      </c>
      <c r="N54" s="508" t="s">
        <v>157</v>
      </c>
      <c r="O54" s="508" t="s">
        <v>156</v>
      </c>
      <c r="P54" s="508" t="s">
        <v>155</v>
      </c>
      <c r="Q54" s="508" t="s">
        <v>171</v>
      </c>
    </row>
    <row r="55" spans="2:21" x14ac:dyDescent="0.2">
      <c r="B55" s="483">
        <f>_xll.qlCalendarAdvance(Calendar,B54,"1d","mf")</f>
        <v>41941</v>
      </c>
      <c r="C55" s="476">
        <f>_xll.qlDayCounterYearFraction(DayCounterON,SettlementDate,B55,,,Trigger)</f>
        <v>0.14794520547945206</v>
      </c>
      <c r="D55" s="484">
        <f t="shared" si="22"/>
        <v>1.573421846568658E-3</v>
      </c>
      <c r="E55" s="484">
        <f t="shared" si="23"/>
        <v>1.4925683103204851E-3</v>
      </c>
      <c r="F55" s="437">
        <f t="shared" si="24"/>
        <v>1.3685378870610882E-3</v>
      </c>
      <c r="G55" s="437">
        <f t="shared" si="11"/>
        <v>1.3348966153303625E-3</v>
      </c>
      <c r="I55" s="523" t="s">
        <v>65</v>
      </c>
      <c r="J55" s="515">
        <f t="shared" ref="J55:J61" si="25">SettlementDate</f>
        <v>41887</v>
      </c>
      <c r="K55" s="516">
        <f>_xll.qlCalendarAdvance(Calendar,SettlementDate,I55,"Following")</f>
        <v>41890</v>
      </c>
      <c r="N55" s="509">
        <f>($N44*$O44+R44)/$P44</f>
        <v>1.8518681205800106E-3</v>
      </c>
      <c r="O55" s="509">
        <f>($N44*$O44+S44)/$P44</f>
        <v>2.2646707037133128E-3</v>
      </c>
      <c r="P55" s="509">
        <f>($N44*$O44+T44)/$P44</f>
        <v>2.5662647059219489E-3</v>
      </c>
      <c r="Q55" s="510">
        <f>($N44*$O44+U44)/$P44</f>
        <v>2.7017663798575E-3</v>
      </c>
    </row>
    <row r="56" spans="2:21" x14ac:dyDescent="0.2">
      <c r="B56" s="483">
        <f>_xll.qlCalendarAdvance(Calendar,B55,"1d","mf")</f>
        <v>41942</v>
      </c>
      <c r="C56" s="476">
        <f>_xll.qlDayCounterYearFraction(DayCounterON,SettlementDate,B56,,,Trigger)</f>
        <v>0.15068493150684931</v>
      </c>
      <c r="D56" s="484">
        <f t="shared" si="22"/>
        <v>1.573421846568658E-3</v>
      </c>
      <c r="E56" s="484">
        <f t="shared" si="23"/>
        <v>1.4830561295854059E-3</v>
      </c>
      <c r="F56" s="437">
        <f t="shared" si="24"/>
        <v>1.3600595324981179E-3</v>
      </c>
      <c r="G56" s="437">
        <f t="shared" si="11"/>
        <v>1.3302283576829949E-3</v>
      </c>
      <c r="I56" s="524" t="s">
        <v>66</v>
      </c>
      <c r="J56" s="434">
        <f t="shared" si="25"/>
        <v>41887</v>
      </c>
      <c r="K56" s="501">
        <f>_xll.qlCalendarAdvance(Calendar,SettlementDate,I56,"Following")</f>
        <v>41894</v>
      </c>
      <c r="N56" s="511">
        <f t="shared" ref="N56:P61" si="26">($N45*$O45+R45)/$P45</f>
        <v>1.5718681315948877E-3</v>
      </c>
      <c r="O56" s="511">
        <f t="shared" si="26"/>
        <v>1.9659069609494033E-3</v>
      </c>
      <c r="P56" s="511">
        <f t="shared" si="26"/>
        <v>2.23475841370714E-3</v>
      </c>
      <c r="Q56" s="512">
        <f t="shared" ref="Q56:Q61" si="27">($N45*$O45+U45)/$P45</f>
        <v>2.3431338381199487E-3</v>
      </c>
    </row>
    <row r="57" spans="2:21" x14ac:dyDescent="0.2">
      <c r="B57" s="483">
        <f>_xll.qlCalendarAdvance(Calendar,B56,"1d","mf")</f>
        <v>41943</v>
      </c>
      <c r="C57" s="476">
        <f>_xll.qlDayCounterYearFraction(DayCounterON,SettlementDate,B57,,,Trigger)</f>
        <v>0.15342465753424658</v>
      </c>
      <c r="D57" s="484">
        <f t="shared" si="22"/>
        <v>1.573421846568658E-3</v>
      </c>
      <c r="E57" s="484">
        <f t="shared" si="23"/>
        <v>1.4735439488503268E-3</v>
      </c>
      <c r="F57" s="437">
        <f t="shared" si="24"/>
        <v>1.3519257866591835E-3</v>
      </c>
      <c r="G57" s="437">
        <f t="shared" si="11"/>
        <v>1.325987514467578E-3</v>
      </c>
      <c r="I57" s="524" t="s">
        <v>67</v>
      </c>
      <c r="J57" s="434">
        <f t="shared" si="25"/>
        <v>41887</v>
      </c>
      <c r="K57" s="501">
        <f>_xll.qlCalendarAdvance(Calendar,SettlementDate,I57,"Following")</f>
        <v>41901</v>
      </c>
      <c r="N57" s="511">
        <f t="shared" si="26"/>
        <v>1.5618681213692873E-3</v>
      </c>
      <c r="O57" s="511">
        <f t="shared" si="26"/>
        <v>1.9230703816109265E-3</v>
      </c>
      <c r="P57" s="511">
        <f t="shared" si="26"/>
        <v>2.1389842695557467E-3</v>
      </c>
      <c r="Q57" s="512">
        <f t="shared" si="27"/>
        <v>2.2071246103989727E-3</v>
      </c>
    </row>
    <row r="58" spans="2:21" x14ac:dyDescent="0.2">
      <c r="B58" s="483">
        <f>_xll.qlCalendarAdvance(Calendar,B57,"1d","mf")</f>
        <v>41946</v>
      </c>
      <c r="C58" s="476">
        <f>_xll.qlDayCounterYearFraction(DayCounterON,SettlementDate,B58,,,Trigger)</f>
        <v>0.16164383561643836</v>
      </c>
      <c r="D58" s="484">
        <f t="shared" si="22"/>
        <v>1.573421846568658E-3</v>
      </c>
      <c r="E58" s="484">
        <f t="shared" si="23"/>
        <v>1.445007406645089E-3</v>
      </c>
      <c r="F58" s="437">
        <f t="shared" si="24"/>
        <v>1.3295922014865988E-3</v>
      </c>
      <c r="G58" s="437">
        <f t="shared" si="11"/>
        <v>1.3157297044720782E-3</v>
      </c>
      <c r="I58" s="524" t="s">
        <v>68</v>
      </c>
      <c r="J58" s="434">
        <f t="shared" si="25"/>
        <v>41887</v>
      </c>
      <c r="K58" s="501">
        <f>_xll.qlCalendarAdvance(Calendar,SettlementDate,I58,"Following")</f>
        <v>41908</v>
      </c>
      <c r="N58" s="511">
        <f t="shared" si="26"/>
        <v>1.5518681220930237E-3</v>
      </c>
      <c r="O58" s="511">
        <f t="shared" si="26"/>
        <v>1.8802338132217868E-3</v>
      </c>
      <c r="P58" s="511">
        <f t="shared" si="26"/>
        <v>2.0487616412778902E-3</v>
      </c>
      <c r="Q58" s="512">
        <f t="shared" si="27"/>
        <v>2.0851529241389093E-3</v>
      </c>
    </row>
    <row r="59" spans="2:21" x14ac:dyDescent="0.2">
      <c r="B59" s="483">
        <f>_xll.qlCalendarAdvance(Calendar,B58,"1d","mf")</f>
        <v>41947</v>
      </c>
      <c r="C59" s="476">
        <f>_xll.qlDayCounterYearFraction(DayCounterON,SettlementDate,B59,,,Trigger)</f>
        <v>0.16438356164383561</v>
      </c>
      <c r="D59" s="484">
        <f t="shared" si="22"/>
        <v>1.573421846568658E-3</v>
      </c>
      <c r="E59" s="484">
        <f t="shared" si="23"/>
        <v>1.4354952259100098E-3</v>
      </c>
      <c r="F59" s="437">
        <f t="shared" si="24"/>
        <v>1.3228368905438097E-3</v>
      </c>
      <c r="G59" s="437">
        <f t="shared" si="11"/>
        <v>1.3130987520435129E-3</v>
      </c>
      <c r="I59" s="524" t="s">
        <v>61</v>
      </c>
      <c r="J59" s="434">
        <f t="shared" si="25"/>
        <v>41887</v>
      </c>
      <c r="K59" s="501">
        <f>_xll.qlCalendarAdvance(Calendar,SettlementDate,I59,"mf",TRUE)</f>
        <v>41918</v>
      </c>
      <c r="N59" s="511">
        <f t="shared" si="26"/>
        <v>1.5658466108938406E-3</v>
      </c>
      <c r="O59" s="511">
        <f t="shared" si="26"/>
        <v>1.8473029175756382E-3</v>
      </c>
      <c r="P59" s="511">
        <f t="shared" si="26"/>
        <v>1.9577665359653525E-3</v>
      </c>
      <c r="Q59" s="512">
        <f t="shared" si="27"/>
        <v>1.9618498737411752E-3</v>
      </c>
    </row>
    <row r="60" spans="2:21" x14ac:dyDescent="0.2">
      <c r="B60" s="483">
        <f>_xll.qlCalendarAdvance(Calendar,B59,"1d","mf")</f>
        <v>41948</v>
      </c>
      <c r="C60" s="476">
        <f>_xll.qlDayCounterYearFraction(DayCounterON,SettlementDate,B60,,,Trigger)</f>
        <v>0.16712328767123288</v>
      </c>
      <c r="D60" s="484">
        <f t="shared" si="22"/>
        <v>1.573421846568658E-3</v>
      </c>
      <c r="E60" s="484">
        <f t="shared" si="23"/>
        <v>1.4259830451749307E-3</v>
      </c>
      <c r="F60" s="437">
        <f t="shared" si="24"/>
        <v>1.3164261883250568E-3</v>
      </c>
      <c r="G60" s="437">
        <f t="shared" si="11"/>
        <v>1.3108453305764229E-3</v>
      </c>
      <c r="I60" s="524" t="s">
        <v>69</v>
      </c>
      <c r="J60" s="434">
        <f t="shared" si="25"/>
        <v>41887</v>
      </c>
      <c r="K60" s="501">
        <f>_xll.qlCalendarAdvance(Calendar,SettlementDate,I60,"mf",TRUE)</f>
        <v>41948</v>
      </c>
      <c r="N60" s="511">
        <f t="shared" si="26"/>
        <v>1.5007204172244883E-3</v>
      </c>
      <c r="O60" s="511">
        <f t="shared" si="26"/>
        <v>1.6414485705653875E-3</v>
      </c>
      <c r="P60" s="511">
        <f t="shared" si="26"/>
        <v>1.6456971712726838E-3</v>
      </c>
      <c r="Q60" s="512">
        <f t="shared" si="27"/>
        <v>1.6218350951531289E-3</v>
      </c>
    </row>
    <row r="61" spans="2:21" ht="12" thickBot="1" x14ac:dyDescent="0.25">
      <c r="B61" s="483">
        <f>_xll.qlCalendarAdvance(Calendar,B60,"1d","mf")</f>
        <v>41949</v>
      </c>
      <c r="C61" s="476">
        <f>_xll.qlDayCounterYearFraction(DayCounterON,SettlementDate,B61,,,Trigger)</f>
        <v>0.16986301369863013</v>
      </c>
      <c r="D61" s="484">
        <f t="shared" si="22"/>
        <v>1.573421846568658E-3</v>
      </c>
      <c r="E61" s="484">
        <f t="shared" si="23"/>
        <v>1.4164708644398513E-3</v>
      </c>
      <c r="F61" s="437">
        <f t="shared" si="24"/>
        <v>1.3103600948303402E-3</v>
      </c>
      <c r="G61" s="437">
        <f t="shared" si="11"/>
        <v>1.3089594633767148E-3</v>
      </c>
      <c r="I61" s="525" t="s">
        <v>62</v>
      </c>
      <c r="J61" s="439">
        <f t="shared" si="25"/>
        <v>41887</v>
      </c>
      <c r="K61" s="503">
        <f>_xll.qlCalendarAdvance(Calendar,SettlementDate,I61,"mf",TRUE)</f>
        <v>41978</v>
      </c>
      <c r="N61" s="513">
        <f t="shared" si="26"/>
        <v>1.5E-3</v>
      </c>
      <c r="O61" s="513">
        <f t="shared" si="26"/>
        <v>1.5000000000000009E-3</v>
      </c>
      <c r="P61" s="513">
        <f t="shared" si="26"/>
        <v>1.4999999999999985E-3</v>
      </c>
      <c r="Q61" s="514">
        <f t="shared" si="27"/>
        <v>1.4999999999999922E-3</v>
      </c>
    </row>
    <row r="62" spans="2:21" x14ac:dyDescent="0.2">
      <c r="B62" s="483">
        <f>_xll.qlCalendarAdvance(Calendar,B61,"1d","mf")</f>
        <v>41950</v>
      </c>
      <c r="C62" s="476">
        <f>_xll.qlDayCounterYearFraction(DayCounterON,SettlementDate,B62,,,Trigger)</f>
        <v>0.17260273972602741</v>
      </c>
      <c r="D62" s="484">
        <f t="shared" si="22"/>
        <v>1.573421846568658E-3</v>
      </c>
      <c r="E62" s="484">
        <f t="shared" si="23"/>
        <v>1.4069586837047719E-3</v>
      </c>
      <c r="F62" s="437">
        <f t="shared" si="24"/>
        <v>1.30463861005966E-3</v>
      </c>
      <c r="G62" s="437">
        <f t="shared" si="11"/>
        <v>1.3074311737502923E-3</v>
      </c>
      <c r="H62" s="448"/>
      <c r="I62" s="448"/>
    </row>
    <row r="63" spans="2:21" x14ac:dyDescent="0.2">
      <c r="B63" s="483">
        <f>_xll.qlCalendarAdvance(Calendar,B62,"1d","mf")</f>
        <v>41953</v>
      </c>
      <c r="C63" s="476">
        <f>_xll.qlDayCounterYearFraction(DayCounterON,SettlementDate,B63,,,Trigger)</f>
        <v>0.18082191780821918</v>
      </c>
      <c r="D63" s="484">
        <f t="shared" si="22"/>
        <v>1.573421846568658E-3</v>
      </c>
      <c r="E63" s="484">
        <f t="shared" si="23"/>
        <v>1.3784221414995343E-3</v>
      </c>
      <c r="F63" s="437">
        <f t="shared" si="24"/>
        <v>1.2895418080918371E-3</v>
      </c>
      <c r="G63" s="437">
        <f t="shared" si="11"/>
        <v>1.3048920033697938E-3</v>
      </c>
      <c r="H63" s="448"/>
      <c r="I63" s="448"/>
    </row>
    <row r="64" spans="2:21" x14ac:dyDescent="0.2">
      <c r="B64" s="483">
        <f>_xll.qlCalendarAdvance(Calendar,B63,"1d","mf")</f>
        <v>41954</v>
      </c>
      <c r="C64" s="476">
        <f>_xll.qlDayCounterYearFraction(DayCounterON,SettlementDate,B64,,,Trigger)</f>
        <v>0.18356164383561643</v>
      </c>
      <c r="D64" s="484">
        <f t="shared" si="22"/>
        <v>1.573421846568658E-3</v>
      </c>
      <c r="E64" s="484">
        <f t="shared" si="23"/>
        <v>1.3689099607644552E-3</v>
      </c>
      <c r="F64" s="437">
        <f t="shared" si="24"/>
        <v>1.2851987582173021E-3</v>
      </c>
      <c r="G64" s="437">
        <f t="shared" si="11"/>
        <v>1.3046942570955674E-3</v>
      </c>
      <c r="H64" s="448"/>
      <c r="I64" s="448"/>
    </row>
    <row r="65" spans="2:9" x14ac:dyDescent="0.2">
      <c r="B65" s="483">
        <f>_xll.qlCalendarAdvance(Calendar,B64,"1d","mf")</f>
        <v>41955</v>
      </c>
      <c r="C65" s="476">
        <f>_xll.qlDayCounterYearFraction(DayCounterON,SettlementDate,B65,,,Trigger)</f>
        <v>0.18630136986301371</v>
      </c>
      <c r="D65" s="484">
        <f t="shared" si="22"/>
        <v>1.573421846568658E-3</v>
      </c>
      <c r="E65" s="484">
        <f t="shared" si="23"/>
        <v>1.3593977800293758E-3</v>
      </c>
      <c r="F65" s="437">
        <f t="shared" si="24"/>
        <v>1.2812003170668033E-3</v>
      </c>
      <c r="G65" s="437">
        <f t="shared" si="11"/>
        <v>1.3048042049241526E-3</v>
      </c>
      <c r="H65" s="448"/>
      <c r="I65" s="448"/>
    </row>
    <row r="66" spans="2:9" x14ac:dyDescent="0.2">
      <c r="B66" s="483">
        <f>_xll.qlCalendarAdvance(Calendar,B65,"1d","mf")</f>
        <v>41956</v>
      </c>
      <c r="C66" s="476">
        <f>_xll.qlDayCounterYearFraction(DayCounterON,SettlementDate,B66,,,Trigger)</f>
        <v>0.18904109589041096</v>
      </c>
      <c r="D66" s="484">
        <f t="shared" si="22"/>
        <v>1.573421846568658E-3</v>
      </c>
      <c r="E66" s="484">
        <f t="shared" si="23"/>
        <v>1.3498855992942968E-3</v>
      </c>
      <c r="F66" s="437">
        <f t="shared" si="24"/>
        <v>1.2775464846403407E-3</v>
      </c>
      <c r="G66" s="437">
        <f t="shared" si="11"/>
        <v>1.3052118701614556E-3</v>
      </c>
      <c r="H66" s="448"/>
      <c r="I66" s="448"/>
    </row>
    <row r="67" spans="2:9" x14ac:dyDescent="0.2">
      <c r="B67" s="483">
        <f>_xll.qlCalendarAdvance(Calendar,B66,"1d","mf")</f>
        <v>41957</v>
      </c>
      <c r="C67" s="476">
        <f>_xll.qlDayCounterYearFraction(DayCounterON,SettlementDate,B67,,,Trigger)</f>
        <v>0.19178082191780821</v>
      </c>
      <c r="D67" s="484">
        <f t="shared" si="22"/>
        <v>1.573421846568658E-3</v>
      </c>
      <c r="E67" s="484">
        <f t="shared" si="23"/>
        <v>1.3403734185592174E-3</v>
      </c>
      <c r="F67" s="437">
        <f t="shared" si="24"/>
        <v>1.2742372609379146E-3</v>
      </c>
      <c r="G67" s="437">
        <f t="shared" si="11"/>
        <v>1.3059072761133802E-3</v>
      </c>
      <c r="H67" s="448"/>
      <c r="I67" s="448"/>
    </row>
    <row r="68" spans="2:9" x14ac:dyDescent="0.2">
      <c r="B68" s="483">
        <f>_xll.qlCalendarAdvance(Calendar,B67,"1d","mf")</f>
        <v>41960</v>
      </c>
      <c r="C68" s="476">
        <f>_xll.qlDayCounterYearFraction(DayCounterON,SettlementDate,B68,,,Trigger)</f>
        <v>0.2</v>
      </c>
      <c r="D68" s="484">
        <f t="shared" si="22"/>
        <v>1.573421846568658E-3</v>
      </c>
      <c r="E68" s="484">
        <f t="shared" si="23"/>
        <v>1.3118368763539797E-3</v>
      </c>
      <c r="F68" s="437">
        <f t="shared" si="24"/>
        <v>1.2663772421748539E-3</v>
      </c>
      <c r="G68" s="437">
        <f t="shared" si="11"/>
        <v>1.3096201713159394E-3</v>
      </c>
      <c r="H68" s="448"/>
      <c r="I68" s="448"/>
    </row>
    <row r="69" spans="2:9" x14ac:dyDescent="0.2">
      <c r="B69" s="483">
        <f>_xll.qlCalendarAdvance(Calendar,B68,"1d","mf")</f>
        <v>41961</v>
      </c>
      <c r="C69" s="476">
        <f>_xll.qlDayCounterYearFraction(DayCounterON,SettlementDate,B69,,,Trigger)</f>
        <v>0.20273972602739726</v>
      </c>
      <c r="D69" s="484">
        <f t="shared" si="22"/>
        <v>1.573421846568658E-3</v>
      </c>
      <c r="E69" s="484">
        <f t="shared" si="23"/>
        <v>1.3023246956189005E-3</v>
      </c>
      <c r="F69" s="437">
        <f t="shared" si="24"/>
        <v>1.2644464533685725E-3</v>
      </c>
      <c r="G69" s="437">
        <f t="shared" si="11"/>
        <v>1.3113667731854042E-3</v>
      </c>
      <c r="H69" s="448"/>
      <c r="I69" s="448"/>
    </row>
    <row r="70" spans="2:9" x14ac:dyDescent="0.2">
      <c r="B70" s="483">
        <f>_xll.qlCalendarAdvance(Calendar,B69,"1d","mf")</f>
        <v>41962</v>
      </c>
      <c r="C70" s="476">
        <f>_xll.qlDayCounterYearFraction(DayCounterON,SettlementDate,B70,,,Trigger)</f>
        <v>0.20547945205479451</v>
      </c>
      <c r="D70" s="484">
        <f t="shared" si="22"/>
        <v>1.573421846568658E-3</v>
      </c>
      <c r="E70" s="484">
        <f t="shared" si="23"/>
        <v>1.2928125148838213E-3</v>
      </c>
      <c r="F70" s="437">
        <f t="shared" si="24"/>
        <v>1.2628602732863278E-3</v>
      </c>
      <c r="G70" s="437">
        <f t="shared" si="11"/>
        <v>1.3133512322990172E-3</v>
      </c>
      <c r="H70" s="448"/>
      <c r="I70" s="448"/>
    </row>
    <row r="71" spans="2:9" x14ac:dyDescent="0.2">
      <c r="B71" s="483">
        <f>_xll.qlCalendarAdvance(Calendar,B70,"1d","mf")</f>
        <v>41963</v>
      </c>
      <c r="C71" s="476">
        <f>_xll.qlDayCounterYearFraction(DayCounterON,SettlementDate,B71,,,Trigger)</f>
        <v>0.20821917808219179</v>
      </c>
      <c r="D71" s="484">
        <f t="shared" si="22"/>
        <v>1.573421846568658E-3</v>
      </c>
      <c r="E71" s="484">
        <f t="shared" si="23"/>
        <v>1.2833003341487419E-3</v>
      </c>
      <c r="F71" s="437">
        <f t="shared" si="24"/>
        <v>1.2616187019281193E-3</v>
      </c>
      <c r="G71" s="437">
        <f t="shared" si="11"/>
        <v>1.315563571962683E-3</v>
      </c>
      <c r="H71" s="448"/>
      <c r="I71" s="448"/>
    </row>
    <row r="72" spans="2:9" x14ac:dyDescent="0.2">
      <c r="B72" s="483">
        <f>_xll.qlCalendarAdvance(Calendar,B71,"1d","mf")</f>
        <v>41964</v>
      </c>
      <c r="C72" s="476">
        <f>_xll.qlDayCounterYearFraction(DayCounterON,SettlementDate,B72,,,Trigger)</f>
        <v>0.21095890410958903</v>
      </c>
      <c r="D72" s="484">
        <f t="shared" si="22"/>
        <v>1.573421846568658E-3</v>
      </c>
      <c r="E72" s="484">
        <f t="shared" si="23"/>
        <v>1.2737881534136629E-3</v>
      </c>
      <c r="F72" s="437">
        <f t="shared" si="24"/>
        <v>1.260721739293947E-3</v>
      </c>
      <c r="G72" s="437">
        <f t="shared" si="11"/>
        <v>1.3179938154823077E-3</v>
      </c>
      <c r="H72" s="448"/>
      <c r="I72" s="448"/>
    </row>
    <row r="73" spans="2:9" x14ac:dyDescent="0.2">
      <c r="B73" s="483">
        <f>_xll.qlCalendarAdvance(Calendar,B72,"1d","mf")</f>
        <v>41967</v>
      </c>
      <c r="C73" s="476">
        <f>_xll.qlDayCounterYearFraction(DayCounterON,SettlementDate,B73,,,Trigger)</f>
        <v>0.21917808219178081</v>
      </c>
      <c r="D73" s="484">
        <f t="shared" si="22"/>
        <v>1.573421846568658E-3</v>
      </c>
      <c r="E73" s="484">
        <f t="shared" si="23"/>
        <v>1.2452516112084252E-3</v>
      </c>
      <c r="F73" s="437">
        <f t="shared" si="24"/>
        <v>1.2600985037356481E-3</v>
      </c>
      <c r="G73" s="437">
        <f t="shared" si="11"/>
        <v>1.3264922022359811E-3</v>
      </c>
      <c r="H73" s="448"/>
      <c r="I73" s="448"/>
    </row>
    <row r="74" spans="2:9" x14ac:dyDescent="0.2">
      <c r="B74" s="483">
        <f>_xll.qlCalendarAdvance(Calendar,B73,"1d","mf")</f>
        <v>41968</v>
      </c>
      <c r="C74" s="476">
        <f>_xll.qlDayCounterYearFraction(DayCounterON,SettlementDate,B74,,,Trigger)</f>
        <v>0.22191780821917809</v>
      </c>
      <c r="D74" s="484">
        <f t="shared" si="22"/>
        <v>1.573421846568658E-3</v>
      </c>
      <c r="E74" s="484">
        <f t="shared" si="23"/>
        <v>1.2357394304733458E-3</v>
      </c>
      <c r="F74" s="437">
        <f t="shared" si="24"/>
        <v>1.260579975997621E-3</v>
      </c>
      <c r="G74" s="437">
        <f t="shared" si="11"/>
        <v>1.3296942942384899E-3</v>
      </c>
      <c r="H74" s="448"/>
      <c r="I74" s="448"/>
    </row>
    <row r="75" spans="2:9" x14ac:dyDescent="0.2">
      <c r="B75" s="483">
        <f>_xll.qlCalendarAdvance(Calendar,B74,"1d","mf")</f>
        <v>41969</v>
      </c>
      <c r="C75" s="476">
        <f>_xll.qlDayCounterYearFraction(DayCounterON,SettlementDate,B75,,,Trigger)</f>
        <v>0.22465753424657534</v>
      </c>
      <c r="D75" s="484">
        <f t="shared" si="22"/>
        <v>1.573421846568658E-3</v>
      </c>
      <c r="E75" s="484">
        <f t="shared" si="23"/>
        <v>1.2262272497382666E-3</v>
      </c>
      <c r="F75" s="437">
        <f t="shared" si="24"/>
        <v>1.2614060569836306E-3</v>
      </c>
      <c r="G75" s="437">
        <f t="shared" si="11"/>
        <v>1.3330644066264824E-3</v>
      </c>
      <c r="H75" s="448"/>
      <c r="I75" s="448"/>
    </row>
    <row r="76" spans="2:9" x14ac:dyDescent="0.2">
      <c r="B76" s="483">
        <f>_xll.qlCalendarAdvance(Calendar,B75,"1d","mf")</f>
        <v>41970</v>
      </c>
      <c r="C76" s="476">
        <f>_xll.qlDayCounterYearFraction(DayCounterON,SettlementDate,B76,,,Trigger)</f>
        <v>0.22739726027397261</v>
      </c>
      <c r="D76" s="484">
        <f t="shared" si="22"/>
        <v>1.573421846568658E-3</v>
      </c>
      <c r="E76" s="484">
        <f t="shared" si="23"/>
        <v>1.2167150690031874E-3</v>
      </c>
      <c r="F76" s="437">
        <f t="shared" si="24"/>
        <v>1.2625767466936759E-3</v>
      </c>
      <c r="G76" s="437">
        <f t="shared" si="11"/>
        <v>1.3365925627058643E-3</v>
      </c>
      <c r="H76" s="448"/>
      <c r="I76" s="448"/>
    </row>
    <row r="77" spans="2:9" x14ac:dyDescent="0.2">
      <c r="B77" s="483">
        <f>_xll.qlCalendarAdvance(Calendar,B76,"1d","mf")</f>
        <v>41971</v>
      </c>
      <c r="C77" s="476">
        <f>_xll.qlDayCounterYearFraction(DayCounterON,SettlementDate,B77,,,Trigger)</f>
        <v>0.23013698630136986</v>
      </c>
      <c r="D77" s="484">
        <f t="shared" si="22"/>
        <v>1.573421846568658E-3</v>
      </c>
      <c r="E77" s="484">
        <f t="shared" si="23"/>
        <v>1.207202888268108E-3</v>
      </c>
      <c r="F77" s="437">
        <f t="shared" si="24"/>
        <v>1.2640920451277575E-3</v>
      </c>
      <c r="G77" s="437">
        <f t="shared" si="11"/>
        <v>1.3402687857825401E-3</v>
      </c>
      <c r="H77" s="448"/>
      <c r="I77" s="448"/>
    </row>
    <row r="78" spans="2:9" x14ac:dyDescent="0.2">
      <c r="B78" s="483">
        <f>_xll.qlCalendarAdvance(Calendar,B77,"1d","mf")</f>
        <v>41974</v>
      </c>
      <c r="C78" s="476">
        <f>_xll.qlDayCounterYearFraction(DayCounterON,SettlementDate,B78,,,Trigger)</f>
        <v>0.23835616438356164</v>
      </c>
      <c r="D78" s="484">
        <f t="shared" si="22"/>
        <v>1.573421846568658E-3</v>
      </c>
      <c r="E78" s="484">
        <f t="shared" si="23"/>
        <v>1.1786663460628705E-3</v>
      </c>
      <c r="F78" s="437">
        <f t="shared" si="24"/>
        <v>1.2707055927742206E-3</v>
      </c>
      <c r="G78" s="437">
        <f t="shared" si="11"/>
        <v>1.3520860900553854E-3</v>
      </c>
      <c r="H78" s="448"/>
      <c r="I78" s="448"/>
    </row>
    <row r="79" spans="2:9" x14ac:dyDescent="0.2">
      <c r="B79" s="483">
        <f>_xll.qlCalendarAdvance(Calendar,B78,"1d","mf")</f>
        <v>41975</v>
      </c>
      <c r="C79" s="476">
        <f>_xll.qlDayCounterYearFraction(DayCounterON,SettlementDate,B79,,,Trigger)</f>
        <v>0.24109589041095891</v>
      </c>
      <c r="D79" s="484">
        <f t="shared" si="22"/>
        <v>1.573421846568658E-3</v>
      </c>
      <c r="E79" s="484">
        <f t="shared" si="23"/>
        <v>1.1691541653277913E-3</v>
      </c>
      <c r="F79" s="437">
        <f t="shared" si="24"/>
        <v>1.2735993261044475E-3</v>
      </c>
      <c r="G79" s="437">
        <f t="shared" si="11"/>
        <v>1.3562548141802906E-3</v>
      </c>
      <c r="H79" s="448"/>
      <c r="I79" s="448"/>
    </row>
    <row r="80" spans="2:9" x14ac:dyDescent="0.2">
      <c r="B80" s="483">
        <f>_xll.qlCalendarAdvance(Calendar,B79,"1d","mf")</f>
        <v>41976</v>
      </c>
      <c r="C80" s="476">
        <f>_xll.qlDayCounterYearFraction(DayCounterON,SettlementDate,B80,,,Trigger)</f>
        <v>0.24383561643835616</v>
      </c>
      <c r="D80" s="484">
        <f t="shared" si="22"/>
        <v>1.573421846568658E-3</v>
      </c>
      <c r="E80" s="484">
        <f t="shared" si="23"/>
        <v>1.1596419845927119E-3</v>
      </c>
      <c r="F80" s="437">
        <f t="shared" si="24"/>
        <v>1.2768376681587109E-3</v>
      </c>
      <c r="G80" s="437">
        <f t="shared" si="11"/>
        <v>1.3605217218320149E-3</v>
      </c>
      <c r="H80" s="448"/>
      <c r="I80" s="448"/>
    </row>
    <row r="81" spans="2:9" x14ac:dyDescent="0.2">
      <c r="B81" s="483">
        <f>_xll.qlCalendarAdvance(Calendar,B80,"1d","mf")</f>
        <v>41977</v>
      </c>
      <c r="C81" s="476">
        <f>_xll.qlDayCounterYearFraction(DayCounterON,SettlementDate,B81,,,Trigger)</f>
        <v>0.24657534246575341</v>
      </c>
      <c r="D81" s="484">
        <f t="shared" si="22"/>
        <v>1.573421846568658E-3</v>
      </c>
      <c r="E81" s="484">
        <f t="shared" si="23"/>
        <v>1.150129803857633E-3</v>
      </c>
      <c r="F81" s="437">
        <f t="shared" si="24"/>
        <v>1.2804206189370101E-3</v>
      </c>
      <c r="G81" s="437">
        <f t="shared" si="11"/>
        <v>1.3648768363164645E-3</v>
      </c>
      <c r="H81" s="448"/>
      <c r="I81" s="448"/>
    </row>
    <row r="82" spans="2:9" x14ac:dyDescent="0.2">
      <c r="B82" s="483">
        <f>_xll.qlCalendarAdvance(Calendar,B81,"1d","mf")</f>
        <v>41978</v>
      </c>
      <c r="C82" s="476">
        <f>_xll.qlDayCounterYearFraction(DayCounterON,SettlementDate,B82,,,Trigger)</f>
        <v>0.24931506849315069</v>
      </c>
      <c r="D82" s="484">
        <f t="shared" si="22"/>
        <v>1.573421846568658E-3</v>
      </c>
      <c r="E82" s="484">
        <f t="shared" si="23"/>
        <v>1.1406176231225536E-3</v>
      </c>
      <c r="F82" s="437">
        <f t="shared" si="24"/>
        <v>1.284348178439346E-3</v>
      </c>
      <c r="G82" s="437">
        <f t="shared" ref="G82:G83" si="28">($S$20+$S$19*C82+$S$18*C82^2+$S$17*C82^3)</f>
        <v>1.3693101809395449E-3</v>
      </c>
      <c r="H82" s="448"/>
      <c r="I82" s="448"/>
    </row>
    <row r="83" spans="2:9" x14ac:dyDescent="0.2">
      <c r="B83" s="483">
        <f>_xll.qlCalendarAdvance(Calendar,B82,"1d","mf")</f>
        <v>41981</v>
      </c>
      <c r="C83" s="476">
        <f>_xll.qlDayCounterYearFraction(DayCounterON,SettlementDate,B83,,,Trigger)</f>
        <v>0.25753424657534246</v>
      </c>
      <c r="D83" s="484">
        <f t="shared" si="22"/>
        <v>1.573421846568658E-3</v>
      </c>
      <c r="E83" s="484">
        <f t="shared" si="23"/>
        <v>1.1120810809173158E-3</v>
      </c>
      <c r="F83" s="437">
        <f t="shared" si="24"/>
        <v>1.2981985092905711E-3</v>
      </c>
      <c r="G83" s="437">
        <f t="shared" si="28"/>
        <v>1.382979828699619E-3</v>
      </c>
      <c r="H83" s="448"/>
      <c r="I83" s="448"/>
    </row>
    <row r="84" spans="2:9" x14ac:dyDescent="0.2">
      <c r="B84" s="483"/>
      <c r="C84" s="476"/>
      <c r="D84" s="484"/>
      <c r="E84" s="484"/>
      <c r="F84" s="437"/>
      <c r="H84" s="448"/>
      <c r="I84" s="448"/>
    </row>
    <row r="85" spans="2:9" x14ac:dyDescent="0.2">
      <c r="B85" s="483"/>
      <c r="C85" s="476"/>
      <c r="D85" s="484"/>
      <c r="E85" s="484"/>
      <c r="F85" s="437"/>
      <c r="H85" s="448"/>
      <c r="I85" s="448"/>
    </row>
    <row r="86" spans="2:9" x14ac:dyDescent="0.2">
      <c r="B86" s="483"/>
      <c r="C86" s="476"/>
      <c r="D86" s="484"/>
      <c r="E86" s="484"/>
      <c r="F86" s="437"/>
      <c r="H86" s="448"/>
      <c r="I86" s="448"/>
    </row>
    <row r="87" spans="2:9" x14ac:dyDescent="0.2">
      <c r="B87" s="483"/>
      <c r="C87" s="476"/>
      <c r="D87" s="484"/>
      <c r="E87" s="484"/>
      <c r="F87" s="437"/>
      <c r="H87" s="448"/>
      <c r="I87" s="448"/>
    </row>
    <row r="88" spans="2:9" x14ac:dyDescent="0.2">
      <c r="B88" s="483"/>
      <c r="C88" s="476"/>
      <c r="D88" s="484"/>
      <c r="E88" s="484"/>
      <c r="F88" s="437"/>
      <c r="H88" s="448"/>
      <c r="I88" s="448"/>
    </row>
    <row r="89" spans="2:9" x14ac:dyDescent="0.2">
      <c r="B89" s="483"/>
      <c r="C89" s="476"/>
      <c r="D89" s="484"/>
      <c r="E89" s="484"/>
      <c r="F89" s="437"/>
      <c r="H89" s="448"/>
      <c r="I89" s="448"/>
    </row>
    <row r="90" spans="2:9" x14ac:dyDescent="0.2">
      <c r="B90" s="483"/>
      <c r="C90" s="476"/>
      <c r="D90" s="484"/>
      <c r="E90" s="484"/>
      <c r="F90" s="437"/>
      <c r="H90" s="448"/>
      <c r="I90" s="448"/>
    </row>
    <row r="91" spans="2:9" x14ac:dyDescent="0.2">
      <c r="B91" s="483"/>
      <c r="C91" s="476"/>
      <c r="D91" s="484"/>
      <c r="E91" s="484"/>
      <c r="F91" s="437"/>
      <c r="H91" s="448"/>
      <c r="I91" s="448"/>
    </row>
    <row r="92" spans="2:9" x14ac:dyDescent="0.2">
      <c r="B92" s="483"/>
      <c r="C92" s="476"/>
      <c r="D92" s="484"/>
      <c r="E92" s="484"/>
      <c r="F92" s="437"/>
      <c r="H92" s="448"/>
      <c r="I92" s="448"/>
    </row>
    <row r="93" spans="2:9" x14ac:dyDescent="0.2">
      <c r="B93" s="483"/>
      <c r="C93" s="476"/>
      <c r="D93" s="484"/>
      <c r="E93" s="484"/>
      <c r="F93" s="437"/>
      <c r="H93" s="448"/>
      <c r="I93" s="448"/>
    </row>
    <row r="94" spans="2:9" x14ac:dyDescent="0.2">
      <c r="B94" s="483"/>
      <c r="C94" s="476"/>
      <c r="D94" s="484"/>
      <c r="E94" s="484"/>
      <c r="F94" s="437"/>
      <c r="H94" s="448"/>
      <c r="I94" s="448"/>
    </row>
    <row r="95" spans="2:9" x14ac:dyDescent="0.2">
      <c r="B95" s="483"/>
      <c r="C95" s="476"/>
      <c r="D95" s="484"/>
      <c r="E95" s="484"/>
      <c r="F95" s="437"/>
      <c r="H95" s="448"/>
      <c r="I95" s="448"/>
    </row>
    <row r="96" spans="2:9" x14ac:dyDescent="0.2">
      <c r="B96" s="483"/>
      <c r="C96" s="476"/>
      <c r="D96" s="484"/>
      <c r="E96" s="484"/>
      <c r="F96" s="437"/>
      <c r="H96" s="448"/>
      <c r="I96" s="448"/>
    </row>
    <row r="97" spans="2:9" x14ac:dyDescent="0.2">
      <c r="B97" s="483"/>
      <c r="C97" s="476"/>
      <c r="D97" s="484"/>
      <c r="E97" s="484"/>
      <c r="F97" s="437"/>
      <c r="H97" s="448"/>
      <c r="I97" s="448"/>
    </row>
    <row r="98" spans="2:9" x14ac:dyDescent="0.2">
      <c r="B98" s="483"/>
      <c r="C98" s="476"/>
      <c r="D98" s="484"/>
      <c r="E98" s="484"/>
      <c r="F98" s="437"/>
      <c r="H98" s="448"/>
      <c r="I98" s="448"/>
    </row>
    <row r="99" spans="2:9" x14ac:dyDescent="0.2">
      <c r="B99" s="483"/>
      <c r="C99" s="476"/>
      <c r="D99" s="484"/>
      <c r="E99" s="484"/>
      <c r="F99" s="437"/>
      <c r="H99" s="448"/>
      <c r="I99" s="448"/>
    </row>
    <row r="100" spans="2:9" x14ac:dyDescent="0.2">
      <c r="B100" s="483"/>
      <c r="C100" s="476"/>
      <c r="D100" s="484"/>
      <c r="E100" s="484"/>
      <c r="F100" s="437"/>
      <c r="H100" s="448"/>
      <c r="I100" s="448"/>
    </row>
    <row r="101" spans="2:9" x14ac:dyDescent="0.2">
      <c r="B101" s="483"/>
      <c r="C101" s="476"/>
      <c r="D101" s="484"/>
      <c r="E101" s="484"/>
      <c r="F101" s="437"/>
      <c r="H101" s="448"/>
      <c r="I101" s="448"/>
    </row>
    <row r="102" spans="2:9" x14ac:dyDescent="0.2">
      <c r="B102" s="483"/>
      <c r="C102" s="476"/>
      <c r="D102" s="484"/>
      <c r="E102" s="484"/>
      <c r="F102" s="437"/>
      <c r="H102" s="448"/>
      <c r="I102" s="448"/>
    </row>
    <row r="103" spans="2:9" x14ac:dyDescent="0.2">
      <c r="B103" s="483"/>
      <c r="C103" s="476"/>
      <c r="D103" s="484"/>
      <c r="E103" s="484"/>
      <c r="F103" s="437"/>
      <c r="H103" s="448"/>
      <c r="I103" s="448"/>
    </row>
    <row r="104" spans="2:9" x14ac:dyDescent="0.2">
      <c r="B104" s="483"/>
      <c r="C104" s="476"/>
      <c r="D104" s="484"/>
      <c r="E104" s="484"/>
      <c r="F104" s="437"/>
      <c r="H104" s="448"/>
      <c r="I104" s="448"/>
    </row>
    <row r="105" spans="2:9" x14ac:dyDescent="0.2">
      <c r="B105" s="483"/>
      <c r="C105" s="476"/>
      <c r="D105" s="484"/>
      <c r="E105" s="484"/>
      <c r="F105" s="437"/>
      <c r="H105" s="448"/>
      <c r="I105" s="448"/>
    </row>
    <row r="106" spans="2:9" x14ac:dyDescent="0.2">
      <c r="B106" s="483"/>
      <c r="C106" s="476"/>
      <c r="D106" s="484"/>
      <c r="E106" s="484"/>
      <c r="F106" s="437"/>
      <c r="H106" s="448"/>
      <c r="I106" s="448"/>
    </row>
    <row r="107" spans="2:9" x14ac:dyDescent="0.2">
      <c r="B107" s="483"/>
      <c r="C107" s="476"/>
      <c r="D107" s="484"/>
      <c r="E107" s="484"/>
      <c r="F107" s="437"/>
      <c r="H107" s="448"/>
      <c r="I107" s="448"/>
    </row>
    <row r="108" spans="2:9" x14ac:dyDescent="0.2">
      <c r="B108" s="483"/>
      <c r="C108" s="476"/>
      <c r="D108" s="484"/>
      <c r="E108" s="484"/>
      <c r="F108" s="437"/>
      <c r="H108" s="448"/>
      <c r="I108" s="448"/>
    </row>
    <row r="109" spans="2:9" x14ac:dyDescent="0.2">
      <c r="B109" s="483"/>
      <c r="C109" s="476"/>
      <c r="D109" s="484"/>
      <c r="E109" s="484"/>
      <c r="F109" s="437"/>
      <c r="H109" s="448"/>
      <c r="I109" s="448"/>
    </row>
    <row r="110" spans="2:9" x14ac:dyDescent="0.2">
      <c r="B110" s="483"/>
      <c r="C110" s="476"/>
      <c r="D110" s="484"/>
      <c r="E110" s="484"/>
      <c r="F110" s="437"/>
      <c r="H110" s="448"/>
      <c r="I110" s="448"/>
    </row>
    <row r="111" spans="2:9" x14ac:dyDescent="0.2">
      <c r="B111" s="483"/>
      <c r="C111" s="476"/>
      <c r="D111" s="484"/>
      <c r="E111" s="484"/>
      <c r="F111" s="437"/>
      <c r="H111" s="448"/>
      <c r="I111" s="448"/>
    </row>
    <row r="112" spans="2:9" x14ac:dyDescent="0.2">
      <c r="B112" s="483"/>
      <c r="C112" s="476"/>
      <c r="D112" s="484"/>
      <c r="E112" s="484"/>
      <c r="F112" s="437"/>
      <c r="H112" s="448"/>
      <c r="I112" s="448"/>
    </row>
    <row r="113" spans="2:9" x14ac:dyDescent="0.2">
      <c r="B113" s="483"/>
      <c r="C113" s="476"/>
      <c r="D113" s="484"/>
      <c r="E113" s="484"/>
      <c r="F113" s="437"/>
      <c r="H113" s="448"/>
      <c r="I113" s="448"/>
    </row>
    <row r="114" spans="2:9" ht="12" thickBot="1" x14ac:dyDescent="0.25">
      <c r="B114" s="485"/>
      <c r="C114" s="478"/>
      <c r="D114" s="486"/>
      <c r="E114" s="486"/>
      <c r="F114" s="442"/>
      <c r="H114" s="448"/>
      <c r="I114" s="448"/>
    </row>
    <row r="115" spans="2:9" x14ac:dyDescent="0.2">
      <c r="C115" s="452"/>
      <c r="D115" s="425"/>
      <c r="E115" s="425"/>
      <c r="F115" s="425"/>
      <c r="G115" s="425"/>
      <c r="H115" s="425"/>
      <c r="I115" s="425"/>
    </row>
    <row r="116" spans="2:9" x14ac:dyDescent="0.2">
      <c r="C116" s="452"/>
      <c r="D116" s="425"/>
      <c r="E116" s="425"/>
      <c r="F116" s="425"/>
      <c r="G116" s="425"/>
      <c r="H116" s="425"/>
      <c r="I116" s="425"/>
    </row>
    <row r="117" spans="2:9" x14ac:dyDescent="0.2">
      <c r="C117" s="452"/>
      <c r="D117" s="425"/>
      <c r="E117" s="425"/>
      <c r="F117" s="425"/>
      <c r="G117" s="425"/>
      <c r="H117" s="425"/>
      <c r="I117" s="425"/>
    </row>
    <row r="118" spans="2:9" x14ac:dyDescent="0.2">
      <c r="C118" s="452"/>
      <c r="D118" s="425"/>
      <c r="E118" s="425"/>
      <c r="F118" s="425"/>
      <c r="G118" s="425"/>
      <c r="H118" s="425"/>
      <c r="I118" s="425"/>
    </row>
    <row r="119" spans="2:9" x14ac:dyDescent="0.2">
      <c r="C119" s="452"/>
      <c r="D119" s="425"/>
      <c r="E119" s="425"/>
      <c r="F119" s="425"/>
      <c r="G119" s="425"/>
      <c r="H119" s="425"/>
      <c r="I119" s="425"/>
    </row>
    <row r="120" spans="2:9" x14ac:dyDescent="0.2">
      <c r="C120" s="452"/>
      <c r="D120" s="425"/>
      <c r="E120" s="425"/>
      <c r="F120" s="425"/>
      <c r="G120" s="425"/>
      <c r="H120" s="425"/>
      <c r="I120" s="425"/>
    </row>
    <row r="121" spans="2:9" x14ac:dyDescent="0.2">
      <c r="C121" s="452"/>
      <c r="D121" s="425"/>
      <c r="E121" s="425"/>
      <c r="F121" s="425"/>
      <c r="G121" s="425"/>
      <c r="H121" s="425"/>
      <c r="I121" s="425"/>
    </row>
    <row r="122" spans="2:9" x14ac:dyDescent="0.2">
      <c r="C122" s="452"/>
      <c r="D122" s="425"/>
      <c r="E122" s="425"/>
      <c r="F122" s="425"/>
      <c r="G122" s="425"/>
      <c r="H122" s="425"/>
      <c r="I122" s="425"/>
    </row>
    <row r="123" spans="2:9" x14ac:dyDescent="0.2">
      <c r="C123" s="452"/>
      <c r="D123" s="425"/>
      <c r="E123" s="425"/>
      <c r="F123" s="425"/>
      <c r="G123" s="425"/>
      <c r="H123" s="425"/>
      <c r="I123" s="425"/>
    </row>
    <row r="124" spans="2:9" x14ac:dyDescent="0.2">
      <c r="C124" s="452"/>
      <c r="D124" s="425"/>
      <c r="E124" s="425"/>
      <c r="F124" s="425"/>
      <c r="G124" s="425"/>
      <c r="H124" s="425"/>
      <c r="I124" s="425"/>
    </row>
    <row r="125" spans="2:9" x14ac:dyDescent="0.2">
      <c r="C125" s="452"/>
      <c r="D125" s="425"/>
      <c r="E125" s="425"/>
      <c r="F125" s="425"/>
      <c r="G125" s="425"/>
      <c r="H125" s="425"/>
      <c r="I125" s="425"/>
    </row>
    <row r="126" spans="2:9" x14ac:dyDescent="0.2">
      <c r="C126" s="452"/>
      <c r="D126" s="425"/>
      <c r="E126" s="425"/>
      <c r="F126" s="425"/>
      <c r="G126" s="425"/>
      <c r="H126" s="425"/>
      <c r="I126" s="425"/>
    </row>
    <row r="127" spans="2:9" x14ac:dyDescent="0.2">
      <c r="C127" s="452"/>
      <c r="D127" s="425"/>
      <c r="E127" s="425"/>
      <c r="F127" s="425"/>
      <c r="G127" s="425"/>
      <c r="H127" s="425"/>
      <c r="I127" s="425"/>
    </row>
    <row r="128" spans="2:9" x14ac:dyDescent="0.2">
      <c r="C128" s="452"/>
      <c r="D128" s="425"/>
      <c r="E128" s="425"/>
      <c r="F128" s="425"/>
      <c r="G128" s="425"/>
      <c r="H128" s="425"/>
      <c r="I128" s="425"/>
    </row>
    <row r="129" spans="3:9" x14ac:dyDescent="0.2">
      <c r="C129" s="452"/>
      <c r="D129" s="425"/>
      <c r="E129" s="425"/>
      <c r="F129" s="425"/>
      <c r="G129" s="425"/>
      <c r="H129" s="425"/>
      <c r="I129" s="425"/>
    </row>
    <row r="130" spans="3:9" x14ac:dyDescent="0.2">
      <c r="C130" s="452"/>
      <c r="D130" s="425"/>
      <c r="E130" s="425"/>
      <c r="F130" s="425"/>
      <c r="G130" s="425"/>
      <c r="H130" s="425"/>
      <c r="I130" s="425"/>
    </row>
  </sheetData>
  <mergeCells count="5">
    <mergeCell ref="M3:M5"/>
    <mergeCell ref="M9:M10"/>
    <mergeCell ref="M17:M20"/>
    <mergeCell ref="R17:R20"/>
    <mergeCell ref="T17:T20"/>
  </mergeCells>
  <dataValidations disablePrompts="1" count="1">
    <dataValidation type="list" allowBlank="1" showInputMessage="1" showErrorMessage="1" sqref="C9:C1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36"/>
  <sheetViews>
    <sheetView tabSelected="1" workbookViewId="0"/>
  </sheetViews>
  <sheetFormatPr defaultColWidth="9.5" defaultRowHeight="11.25" x14ac:dyDescent="0.2"/>
  <cols>
    <col min="1" max="1" width="2.83203125" style="432" customWidth="1"/>
    <col min="2" max="2" width="31.1640625" style="432" bestFit="1" customWidth="1"/>
    <col min="3" max="3" width="22.6640625" style="432" bestFit="1" customWidth="1"/>
    <col min="4" max="4" width="20.1640625" style="432" bestFit="1" customWidth="1"/>
    <col min="5" max="5" width="10.6640625" style="432" hidden="1" customWidth="1"/>
    <col min="6" max="6" width="11.6640625" style="432" hidden="1" customWidth="1"/>
    <col min="7" max="8" width="10.5" style="432" bestFit="1" customWidth="1"/>
    <col min="9" max="9" width="9.33203125" style="432" bestFit="1" customWidth="1"/>
    <col min="10" max="10" width="10.5" style="432" bestFit="1" customWidth="1"/>
    <col min="11" max="11" width="9.33203125" style="432" bestFit="1" customWidth="1"/>
    <col min="12" max="12" width="9.6640625" style="432" customWidth="1"/>
    <col min="13" max="13" width="9.33203125" style="432" customWidth="1"/>
    <col min="14" max="14" width="7" style="432" customWidth="1"/>
    <col min="15" max="15" width="13.1640625" style="432" customWidth="1"/>
    <col min="16" max="16" width="6.6640625" style="432" customWidth="1"/>
    <col min="17" max="18" width="7" style="432" customWidth="1"/>
    <col min="19" max="19" width="3.6640625" style="432" customWidth="1"/>
    <col min="20" max="20" width="10.5" style="432" bestFit="1" customWidth="1"/>
    <col min="21" max="21" width="3.1640625" style="432" customWidth="1"/>
    <col min="22" max="22" width="9.33203125" style="432" bestFit="1" customWidth="1"/>
    <col min="23" max="23" width="12.5" style="432" bestFit="1" customWidth="1"/>
    <col min="24" max="26" width="12.1640625" style="432" bestFit="1" customWidth="1"/>
    <col min="27" max="28" width="9.5" style="432"/>
    <col min="29" max="29" width="20.1640625" style="432" bestFit="1" customWidth="1"/>
    <col min="30" max="30" width="12.1640625" style="432" bestFit="1" customWidth="1"/>
    <col min="31" max="32" width="9.33203125" style="432" bestFit="1" customWidth="1"/>
    <col min="33" max="33" width="12.1640625" style="432" customWidth="1"/>
    <col min="34" max="16384" width="9.5" style="432"/>
  </cols>
  <sheetData>
    <row r="1" spans="2:33" ht="12" thickBot="1" x14ac:dyDescent="0.25">
      <c r="L1" s="555" t="str">
        <f>_xll.qlInterpolation(,C12,C4:C6,K4:K6)</f>
        <v>obj_008c8#0045</v>
      </c>
    </row>
    <row r="2" spans="2:33" ht="22.5" x14ac:dyDescent="0.2">
      <c r="B2" s="443" t="s">
        <v>147</v>
      </c>
      <c r="C2" s="444" t="s">
        <v>126</v>
      </c>
      <c r="D2" s="444" t="s">
        <v>127</v>
      </c>
      <c r="G2" s="444" t="s">
        <v>105</v>
      </c>
      <c r="H2" s="444" t="s">
        <v>44</v>
      </c>
      <c r="I2" s="463"/>
      <c r="J2" s="463"/>
      <c r="K2" s="445"/>
      <c r="L2" s="444" t="s">
        <v>191</v>
      </c>
      <c r="T2" s="487" t="s">
        <v>163</v>
      </c>
      <c r="V2" s="381"/>
      <c r="X2" s="518" t="s">
        <v>162</v>
      </c>
      <c r="Y2" s="527"/>
      <c r="Z2" s="527"/>
      <c r="AC2" s="443" t="s">
        <v>126</v>
      </c>
      <c r="AD2" s="443"/>
      <c r="AE2" s="444" t="s">
        <v>57</v>
      </c>
      <c r="AF2" s="444" t="s">
        <v>142</v>
      </c>
      <c r="AG2" s="445" t="s">
        <v>143</v>
      </c>
    </row>
    <row r="3" spans="2:33" x14ac:dyDescent="0.2">
      <c r="B3" s="433" t="str">
        <f t="array" ref="B3:B6">_xll.ohFilter(SynthDepo!D15:D24,SynthDepo!J15:J24)</f>
        <v>Euribor6MLastFixing_Quote</v>
      </c>
      <c r="C3" s="434">
        <f t="array" ref="C3:C6">_xll.ohFilter(SynthDepo!E15:E24,SynthDepo!J15:J24)</f>
        <v>41887</v>
      </c>
      <c r="D3" s="434">
        <f t="array" ref="D3:D6">_xll.ohFilter(SynthDepo!F15:F24,SynthDepo!J15:J24)</f>
        <v>42068</v>
      </c>
      <c r="G3" s="435">
        <f t="array" ref="G3:G6">_xll.ohFilter(SynthDepo!G15:G24,SynthDepo!J15:J24)</f>
        <v>2.5000000000000001E-3</v>
      </c>
      <c r="H3" s="436">
        <f t="array" ref="H3:H6">_xll.ohFilter(SynthDepo!H15:H24,SynthDepo!J15:J24)</f>
        <v>-5.5414031765884372E-5</v>
      </c>
      <c r="I3" s="464">
        <f>G3*_xll.qlDayCounterYearFraction(DayCounter3M,C3,D3,,,Trigger)</f>
        <v>1.2569444444444444E-3</v>
      </c>
      <c r="J3" s="464">
        <f>H3*_xll.qlDayCounterYearFraction(DayCounterOIS,C3,D3,,,Trigger)</f>
        <v>-2.786094374895853E-5</v>
      </c>
      <c r="K3" s="489">
        <f>I3-J3</f>
        <v>1.284805388193403E-3</v>
      </c>
      <c r="L3" s="489">
        <f>_xll.qlInterpolationInterpolate(L1,C3:C6,TRUE,Trigger)</f>
        <v>1.2587511069205659E-3</v>
      </c>
      <c r="O3" s="558" t="s">
        <v>155</v>
      </c>
      <c r="P3" s="455">
        <f>K9</f>
        <v>4.0647690632200313E-2</v>
      </c>
      <c r="Q3" s="456">
        <f>J9</f>
        <v>0.12295364984049541</v>
      </c>
      <c r="R3" s="457">
        <f>I9</f>
        <v>0.49589041095890413</v>
      </c>
      <c r="S3" s="446"/>
      <c r="T3" s="459">
        <f t="array" ref="T3:T5">MMULT(X3:Z5,V3:V5)</f>
        <v>4.0179172589730472E-3</v>
      </c>
      <c r="U3" s="460"/>
      <c r="V3" s="435">
        <f>L3</f>
        <v>1.2587511069205659E-3</v>
      </c>
      <c r="X3" s="455">
        <f t="array" ref="X3:Z5">MINVERSE(P3:R5)</f>
        <v>147.25910067854801</v>
      </c>
      <c r="Y3" s="456">
        <v>-306.36663474502512</v>
      </c>
      <c r="Z3" s="457">
        <v>162.49280074874261</v>
      </c>
      <c r="AC3" s="480">
        <f>SettlementDate</f>
        <v>41887</v>
      </c>
      <c r="AD3" s="476">
        <f>_xll.qlDayCounterYearFraction(DayCounterON,SettlementDate,AC3,,,Trigger)</f>
        <v>0</v>
      </c>
      <c r="AE3" s="481">
        <f>$T$13</f>
        <v>2.5383654918563901E-3</v>
      </c>
      <c r="AF3" s="481">
        <f>$T$10+$T$9*AD3</f>
        <v>2.7194110616238741E-3</v>
      </c>
      <c r="AG3" s="482">
        <f>($T$5+$T$4*AD3+$T$3*AD3^2)</f>
        <v>2.9765981665358793E-3</v>
      </c>
    </row>
    <row r="4" spans="2:33" x14ac:dyDescent="0.2">
      <c r="B4" s="433" t="str">
        <v>EUR1x7F_Quote</v>
      </c>
      <c r="C4" s="434">
        <v>41918</v>
      </c>
      <c r="D4" s="434">
        <v>42101</v>
      </c>
      <c r="G4" s="435">
        <v>2.3499999999999997E-3</v>
      </c>
      <c r="H4" s="436">
        <v>-9.0454181819716223E-5</v>
      </c>
      <c r="I4" s="464">
        <f>G4*_xll.qlDayCounterYearFraction(DayCounter3M,C4,D4,,,Trigger)</f>
        <v>1.1945833333333331E-3</v>
      </c>
      <c r="J4" s="464">
        <f>H4*_xll.qlDayCounterYearFraction(DayCounterOIS,C4,D4,,,Trigger)</f>
        <v>-4.5980875758355744E-5</v>
      </c>
      <c r="K4" s="489">
        <f>I4-J4</f>
        <v>1.2405642090916888E-3</v>
      </c>
      <c r="L4" s="489">
        <f>K4</f>
        <v>1.2405642090916888E-3</v>
      </c>
      <c r="O4" s="558"/>
      <c r="P4" s="455">
        <f>K10</f>
        <v>6.69760139017061E-2</v>
      </c>
      <c r="Q4" s="456">
        <f>J10</f>
        <v>0.16826796772377559</v>
      </c>
      <c r="R4" s="457">
        <f>I10</f>
        <v>0.50136986301369868</v>
      </c>
      <c r="S4" s="447" t="str">
        <f>SynthDepo!AA10</f>
        <v>x</v>
      </c>
      <c r="T4" s="459">
        <v>-3.0957555092080286E-3</v>
      </c>
      <c r="U4" s="447" t="str">
        <f>SynthDepo!AC10</f>
        <v>=</v>
      </c>
      <c r="V4" s="435">
        <f>K4</f>
        <v>1.2405642090916888E-3</v>
      </c>
      <c r="X4" s="455">
        <v>-109.70118991187947</v>
      </c>
      <c r="Y4" s="456">
        <v>203.12527563916737</v>
      </c>
      <c r="Z4" s="457">
        <v>-95.668563911146109</v>
      </c>
      <c r="AC4" s="483">
        <f>_xll.qlCalendarAdvance(Calendar,AC3,"1d","mf",,Trigger)</f>
        <v>41890</v>
      </c>
      <c r="AD4" s="476">
        <f>_xll.qlDayCounterYearFraction(DayCounterON,SettlementDate,AC4,,,Trigger)</f>
        <v>8.21917808219178E-3</v>
      </c>
      <c r="AE4" s="484">
        <f>$T$13</f>
        <v>2.5383654918563901E-3</v>
      </c>
      <c r="AF4" s="484">
        <f>$T$10+$T$9*AD4</f>
        <v>2.7134095510238472E-3</v>
      </c>
      <c r="AG4" s="437">
        <f>($T$5+$T$4*AD4+$T$3*AD4^2)</f>
        <v>2.9514250306585887E-3</v>
      </c>
    </row>
    <row r="5" spans="2:33" x14ac:dyDescent="0.2">
      <c r="B5" s="433" t="str">
        <v>EUR2x8F_Quote</v>
      </c>
      <c r="C5" s="434">
        <v>41948</v>
      </c>
      <c r="D5" s="434">
        <v>42129</v>
      </c>
      <c r="G5" s="435">
        <v>2.32E-3</v>
      </c>
      <c r="H5" s="436">
        <v>-1.124145565694841E-4</v>
      </c>
      <c r="I5" s="464">
        <f>G5*_xll.qlDayCounterYearFraction(DayCounter3M,C5,D5,,,Trigger)</f>
        <v>1.1664444444444443E-3</v>
      </c>
      <c r="J5" s="464">
        <f>H5*_xll.qlDayCounterYearFraction(DayCounterOIS,C5,D5,,,Trigger)</f>
        <v>-5.6519540941879505E-5</v>
      </c>
      <c r="K5" s="489">
        <f>I5-J5</f>
        <v>1.2229639853863238E-3</v>
      </c>
      <c r="L5" s="489">
        <f>K5</f>
        <v>1.2229639853863238E-3</v>
      </c>
      <c r="O5" s="558"/>
      <c r="P5" s="455">
        <f>K11</f>
        <v>9.5594842042035888E-2</v>
      </c>
      <c r="Q5" s="456">
        <f>J11</f>
        <v>0.20582848564458625</v>
      </c>
      <c r="R5" s="457">
        <f>I11</f>
        <v>0.49589041095890418</v>
      </c>
      <c r="S5" s="449"/>
      <c r="T5" s="459">
        <v>2.9765981665358793E-3</v>
      </c>
      <c r="U5" s="447"/>
      <c r="V5" s="435">
        <f>K5</f>
        <v>1.2229639853863238E-3</v>
      </c>
      <c r="X5" s="455">
        <v>17.145762725905737</v>
      </c>
      <c r="Y5" s="456">
        <v>-25.251340918923169</v>
      </c>
      <c r="Z5" s="457">
        <v>10.401173120298351</v>
      </c>
      <c r="AC5" s="483">
        <f>_xll.qlCalendarAdvance(Calendar,AC4,"1d","mf",,Trigger)</f>
        <v>41891</v>
      </c>
      <c r="AD5" s="476">
        <f>_xll.qlDayCounterYearFraction(DayCounterON,SettlementDate,AC5,,,Trigger)</f>
        <v>1.0958904109589041E-2</v>
      </c>
      <c r="AE5" s="484">
        <f>$T$13</f>
        <v>2.5383654918563901E-3</v>
      </c>
      <c r="AF5" s="484">
        <f>$T$10+$T$9*AD5</f>
        <v>2.7114090474905047E-3</v>
      </c>
      <c r="AG5" s="437">
        <f>($T$5+$T$4*AD5+$T$3*AD5^2)</f>
        <v>2.943154620900299E-3</v>
      </c>
    </row>
    <row r="6" spans="2:33" ht="12" thickBot="1" x14ac:dyDescent="0.25">
      <c r="B6" s="438" t="str">
        <v>EUR3x9F_Quote</v>
      </c>
      <c r="C6" s="439">
        <v>41978</v>
      </c>
      <c r="D6" s="439">
        <v>42160</v>
      </c>
      <c r="G6" s="440">
        <v>2.2899999999999999E-3</v>
      </c>
      <c r="H6" s="441">
        <v>-1.5406795868012381E-4</v>
      </c>
      <c r="I6" s="465">
        <f>G6*_xll.qlDayCounterYearFraction(DayCounter3M,C6,D6,,,Trigger)</f>
        <v>1.1577222222222221E-3</v>
      </c>
      <c r="J6" s="465">
        <f>H6*_xll.qlDayCounterYearFraction(DayCounterOIS,C6,D6,,,Trigger)</f>
        <v>-7.7889912443840372E-5</v>
      </c>
      <c r="K6" s="490">
        <f>I6-J6</f>
        <v>1.2356121346660625E-3</v>
      </c>
      <c r="L6" s="490">
        <f>K6</f>
        <v>1.2356121346660625E-3</v>
      </c>
      <c r="T6" s="461"/>
      <c r="U6" s="451"/>
      <c r="V6" s="462"/>
      <c r="AC6" s="483">
        <f>_xll.qlCalendarAdvance(Calendar,AC5,"1d","mf",,Trigger)</f>
        <v>41892</v>
      </c>
      <c r="AD6" s="476">
        <f>_xll.qlDayCounterYearFraction(DayCounterON,SettlementDate,AC6,,,Trigger)</f>
        <v>1.3698630136986301E-2</v>
      </c>
      <c r="AE6" s="484">
        <f>$T$13</f>
        <v>2.5383654918563901E-3</v>
      </c>
      <c r="AF6" s="484">
        <f>$T$10+$T$9*AD6</f>
        <v>2.7094085439571623E-3</v>
      </c>
      <c r="AG6" s="437">
        <f>($T$5+$T$4*AD6+$T$3*AD6^2)</f>
        <v>2.9349445289090803E-3</v>
      </c>
    </row>
    <row r="7" spans="2:33" ht="12" thickBot="1" x14ac:dyDescent="0.25">
      <c r="T7" s="461"/>
      <c r="U7" s="451"/>
      <c r="V7" s="462"/>
      <c r="AC7" s="483">
        <f>_xll.qlCalendarAdvance(Calendar,AC6,"1d","mf",,Trigger)</f>
        <v>41893</v>
      </c>
      <c r="AD7" s="476">
        <f>_xll.qlDayCounterYearFraction(DayCounterON,SettlementDate,AC7,,,Trigger)</f>
        <v>1.643835616438356E-2</v>
      </c>
      <c r="AE7" s="484">
        <f>$T$13</f>
        <v>2.5383654918563901E-3</v>
      </c>
      <c r="AF7" s="484">
        <f>$T$10+$T$9*AD7</f>
        <v>2.7074080404238198E-3</v>
      </c>
      <c r="AG7" s="437">
        <f>($T$5+$T$4*AD7+$T$3*AD7^2)</f>
        <v>2.9267947546849312E-3</v>
      </c>
    </row>
    <row r="8" spans="2:33" ht="18.75" customHeight="1" thickBot="1" x14ac:dyDescent="0.25">
      <c r="G8" s="443"/>
      <c r="H8" s="444"/>
      <c r="I8" s="471" t="s">
        <v>165</v>
      </c>
      <c r="J8" s="472" t="s">
        <v>166</v>
      </c>
      <c r="K8" s="473" t="s">
        <v>167</v>
      </c>
      <c r="L8" s="473" t="s">
        <v>170</v>
      </c>
      <c r="T8" s="488" t="s">
        <v>164</v>
      </c>
      <c r="U8" s="451"/>
      <c r="V8" s="462"/>
      <c r="AC8" s="483">
        <f>_xll.qlCalendarAdvance(Calendar,AC7,"1d","mf",,Trigger)</f>
        <v>41894</v>
      </c>
      <c r="AD8" s="476">
        <f>_xll.qlDayCounterYearFraction(DayCounterON,SettlementDate,AC8,,,Trigger)</f>
        <v>1.9178082191780823E-2</v>
      </c>
      <c r="AE8" s="484">
        <f>$T$13</f>
        <v>2.5383654918563901E-3</v>
      </c>
      <c r="AF8" s="484">
        <f>$T$10+$T$9*AD8</f>
        <v>2.7054075368904773E-3</v>
      </c>
      <c r="AG8" s="437">
        <f>($T$5+$T$4*AD8+$T$3*AD8^2)</f>
        <v>2.9187052982278527E-3</v>
      </c>
    </row>
    <row r="9" spans="2:33" x14ac:dyDescent="0.2">
      <c r="B9" s="443" t="s">
        <v>190</v>
      </c>
      <c r="C9" s="466" t="s">
        <v>17</v>
      </c>
      <c r="G9" s="491">
        <f>_xll.qlDayCounterYearFraction(DayCounterON,SettlementDate,C3,,,Trigger)</f>
        <v>0</v>
      </c>
      <c r="H9" s="492">
        <f>_xll.qlDayCounterYearFraction(DayCounterON,SettlementDate,D3,,,Trigger)</f>
        <v>0.49589041095890413</v>
      </c>
      <c r="I9" s="492">
        <f>H9-G9</f>
        <v>0.49589041095890413</v>
      </c>
      <c r="J9" s="492">
        <f>(H9^2-G9^2)/2</f>
        <v>0.12295364984049541</v>
      </c>
      <c r="K9" s="492">
        <f>(H9^3-G9^3)/3</f>
        <v>4.0647690632200313E-2</v>
      </c>
      <c r="L9" s="528">
        <f>(H9^4-G9^4)/4</f>
        <v>1.5117600009099156E-2</v>
      </c>
      <c r="O9" s="559" t="s">
        <v>156</v>
      </c>
      <c r="P9" s="450"/>
      <c r="Q9" s="455">
        <f>J9</f>
        <v>0.12295364984049541</v>
      </c>
      <c r="R9" s="457">
        <f>I9</f>
        <v>0.49589041095890413</v>
      </c>
      <c r="S9" s="517" t="s">
        <v>55</v>
      </c>
      <c r="T9" s="459">
        <f t="array" ref="T9:T10">MMULT(X9:Y10,V9:V10)</f>
        <v>-7.3018378966997061E-4</v>
      </c>
      <c r="U9" s="562" t="s">
        <v>56</v>
      </c>
      <c r="V9" s="435">
        <f>L3</f>
        <v>1.2587511069205659E-3</v>
      </c>
      <c r="X9" s="455">
        <f t="array" ref="X9:Y10">MINVERSE(Q9:R10)</f>
        <v>-23.001553867403313</v>
      </c>
      <c r="Y9" s="457">
        <v>22.750170765027317</v>
      </c>
      <c r="AC9" s="483">
        <f>_xll.qlCalendarAdvance(Calendar,AC8,"1d","mf",,Trigger)</f>
        <v>41897</v>
      </c>
      <c r="AD9" s="476">
        <f>_xll.qlDayCounterYearFraction(DayCounterON,SettlementDate,AC9,,,Trigger)</f>
        <v>2.7397260273972601E-2</v>
      </c>
      <c r="AE9" s="484">
        <f>$T$13</f>
        <v>2.5383654918563901E-3</v>
      </c>
      <c r="AF9" s="484">
        <f>$T$10+$T$9*AD9</f>
        <v>2.6994060262904504E-3</v>
      </c>
      <c r="AG9" s="437">
        <f>($T$5+$T$4*AD9+$T$3*AD9^2)</f>
        <v>2.8947988354590393E-3</v>
      </c>
    </row>
    <row r="10" spans="2:33" x14ac:dyDescent="0.2">
      <c r="B10" s="467" t="s">
        <v>159</v>
      </c>
      <c r="C10" s="468" t="s">
        <v>17</v>
      </c>
      <c r="G10" s="493">
        <f>_xll.qlDayCounterYearFraction(DayCounterON,SettlementDate,C4,,,Trigger)</f>
        <v>8.4931506849315067E-2</v>
      </c>
      <c r="H10" s="494">
        <f>_xll.qlDayCounterYearFraction(DayCounterON,SettlementDate,D4,,,Trigger)</f>
        <v>0.58630136986301373</v>
      </c>
      <c r="I10" s="494">
        <f>H10-G10</f>
        <v>0.50136986301369868</v>
      </c>
      <c r="J10" s="494">
        <f>(H10^2-G10^2)/2</f>
        <v>0.16826796772377559</v>
      </c>
      <c r="K10" s="494">
        <f>(H10^3-G10^3)/3</f>
        <v>6.69760139017061E-2</v>
      </c>
      <c r="L10" s="529">
        <f>(H10^4-G10^4)/4</f>
        <v>2.9527886533535653E-2</v>
      </c>
      <c r="O10" s="559"/>
      <c r="P10" s="450"/>
      <c r="Q10" s="455">
        <f>J10</f>
        <v>0.16826796772377559</v>
      </c>
      <c r="R10" s="457">
        <f>I10</f>
        <v>0.50136986301369868</v>
      </c>
      <c r="S10" s="517"/>
      <c r="T10" s="459">
        <v>2.7194110616238741E-3</v>
      </c>
      <c r="U10" s="562"/>
      <c r="V10" s="435">
        <f>K4</f>
        <v>1.2405642090916888E-3</v>
      </c>
      <c r="X10" s="455">
        <v>7.7196995856353583</v>
      </c>
      <c r="Y10" s="457">
        <v>-5.6407957650273213</v>
      </c>
      <c r="AC10" s="483">
        <f>_xll.qlCalendarAdvance(Calendar,AC9,"1d","mf",,Trigger)</f>
        <v>41898</v>
      </c>
      <c r="AD10" s="476">
        <f>_xll.qlDayCounterYearFraction(DayCounterON,SettlementDate,AC10,,,Trigger)</f>
        <v>3.0136986301369864E-2</v>
      </c>
      <c r="AE10" s="484">
        <f>$T$13</f>
        <v>2.5383654918563901E-3</v>
      </c>
      <c r="AF10" s="484">
        <f>$T$10+$T$9*AD10</f>
        <v>2.6974055227571079E-3</v>
      </c>
      <c r="AG10" s="437">
        <f>($T$5+$T$4*AD10+$T$3*AD10^2)</f>
        <v>2.8869506500702425E-3</v>
      </c>
    </row>
    <row r="11" spans="2:33" x14ac:dyDescent="0.2">
      <c r="B11" s="467" t="s">
        <v>160</v>
      </c>
      <c r="C11" s="468" t="s">
        <v>161</v>
      </c>
      <c r="G11" s="493">
        <f>_xll.qlDayCounterYearFraction(DayCounterON,SettlementDate,C5,,,Trigger)</f>
        <v>0.16712328767123288</v>
      </c>
      <c r="H11" s="494">
        <f>_xll.qlDayCounterYearFraction(DayCounterON,SettlementDate,D5,,,Trigger)</f>
        <v>0.66301369863013704</v>
      </c>
      <c r="I11" s="494">
        <f>H11-G11</f>
        <v>0.49589041095890418</v>
      </c>
      <c r="J11" s="494">
        <f>(H11^2-G11^2)/2</f>
        <v>0.20582848564458625</v>
      </c>
      <c r="K11" s="494">
        <f>(H11^3-G11^3)/3</f>
        <v>9.5594842042035888E-2</v>
      </c>
      <c r="L11" s="529">
        <f>(H11^4-G11^4)/4</f>
        <v>4.8114194889746879E-2</v>
      </c>
      <c r="T11" s="461"/>
      <c r="U11" s="451"/>
      <c r="V11" s="462"/>
      <c r="AC11" s="483">
        <f>_xll.qlCalendarAdvance(Calendar,AC10,"1d","mf",,Trigger)</f>
        <v>41899</v>
      </c>
      <c r="AD11" s="476">
        <f>_xll.qlDayCounterYearFraction(DayCounterON,SettlementDate,AC11,,,Trigger)</f>
        <v>3.287671232876712E-2</v>
      </c>
      <c r="AE11" s="484">
        <f>$T$13</f>
        <v>2.5383654918563901E-3</v>
      </c>
      <c r="AF11" s="484">
        <f>$T$10+$T$9*AD11</f>
        <v>2.6954050192237655E-3</v>
      </c>
      <c r="AG11" s="437">
        <f>($T$5+$T$4*AD11+$T$3*AD11^2)</f>
        <v>2.8791627824485155E-3</v>
      </c>
    </row>
    <row r="12" spans="2:33" ht="12.75" thickBot="1" x14ac:dyDescent="0.25">
      <c r="B12" s="469" t="s">
        <v>188</v>
      </c>
      <c r="C12" s="470" t="s">
        <v>156</v>
      </c>
      <c r="G12" s="495">
        <f>_xll.qlDayCounterYearFraction(DayCounterON,SettlementDate,C6,,,Trigger)</f>
        <v>0.24931506849315069</v>
      </c>
      <c r="H12" s="496">
        <f>_xll.qlDayCounterYearFraction(DayCounterON,SettlementDate,D6,,,Trigger)</f>
        <v>0.74794520547945209</v>
      </c>
      <c r="I12" s="496">
        <f>H12-G12</f>
        <v>0.49863013698630143</v>
      </c>
      <c r="J12" s="496">
        <f>(H12^2-G12^2)/2</f>
        <v>0.24863201351097772</v>
      </c>
      <c r="K12" s="496">
        <f>(H12^3-G12^3)/3</f>
        <v>0.13430669953583865</v>
      </c>
      <c r="L12" s="530">
        <f>(H12^4-G12^4)/4</f>
        <v>7.727234767815376E-2</v>
      </c>
      <c r="T12" s="487" t="s">
        <v>47</v>
      </c>
      <c r="U12" s="451"/>
      <c r="V12" s="462"/>
      <c r="AC12" s="483">
        <f>_xll.qlCalendarAdvance(Calendar,AC11,"1d","mf",,Trigger)</f>
        <v>41900</v>
      </c>
      <c r="AD12" s="476">
        <f>_xll.qlDayCounterYearFraction(DayCounterON,SettlementDate,AC12,,,Trigger)</f>
        <v>3.5616438356164383E-2</v>
      </c>
      <c r="AE12" s="484">
        <f>$T$13</f>
        <v>2.5383654918563901E-3</v>
      </c>
      <c r="AF12" s="484">
        <f>$T$10+$T$9*AD12</f>
        <v>2.693404515690423E-3</v>
      </c>
      <c r="AG12" s="437">
        <f>($T$5+$T$4*AD12+$T$3*AD12^2)</f>
        <v>2.871435232593859E-3</v>
      </c>
    </row>
    <row r="13" spans="2:33" ht="12" thickBot="1" x14ac:dyDescent="0.25">
      <c r="O13" s="531" t="s">
        <v>157</v>
      </c>
      <c r="Q13" s="381"/>
      <c r="R13" s="458">
        <f>I9</f>
        <v>0.49589041095890413</v>
      </c>
      <c r="S13" s="531" t="s">
        <v>55</v>
      </c>
      <c r="T13" s="459">
        <f>MMULT(X13,V13)</f>
        <v>2.5383654918563901E-3</v>
      </c>
      <c r="U13" s="531" t="s">
        <v>56</v>
      </c>
      <c r="V13" s="435">
        <f>L3</f>
        <v>1.2587511069205659E-3</v>
      </c>
      <c r="X13" s="458">
        <f>MINVERSE(R13)</f>
        <v>2.0165745856353592</v>
      </c>
      <c r="AC13" s="483">
        <f>_xll.qlCalendarAdvance(Calendar,AC12,"1d","mf",,Trigger)</f>
        <v>41901</v>
      </c>
      <c r="AD13" s="476">
        <f>_xll.qlDayCounterYearFraction(DayCounterON,SettlementDate,AC13,,,Trigger)</f>
        <v>3.8356164383561646E-2</v>
      </c>
      <c r="AE13" s="484">
        <f>$T$13</f>
        <v>2.5383654918563901E-3</v>
      </c>
      <c r="AF13" s="484">
        <f>$T$10+$T$9*AD13</f>
        <v>2.6914040121570806E-3</v>
      </c>
      <c r="AG13" s="437">
        <f>($T$5+$T$4*AD13+$T$3*AD13^2)</f>
        <v>2.8637680005062726E-3</v>
      </c>
    </row>
    <row r="14" spans="2:33" ht="13.5" customHeight="1" thickBot="1" x14ac:dyDescent="0.25">
      <c r="K14" s="520" t="s">
        <v>192</v>
      </c>
      <c r="L14" s="521"/>
      <c r="M14" s="522"/>
      <c r="AC14" s="483">
        <f>_xll.qlCalendarAdvance(Calendar,AC13,"1d","mf",,Trigger)</f>
        <v>41904</v>
      </c>
      <c r="AD14" s="476">
        <f>_xll.qlDayCounterYearFraction(DayCounterON,SettlementDate,AC14,,,Trigger)</f>
        <v>4.6575342465753428E-2</v>
      </c>
      <c r="AE14" s="484">
        <f>$T$13</f>
        <v>2.5383654918563901E-3</v>
      </c>
      <c r="AF14" s="484">
        <f>$T$10+$T$9*AD14</f>
        <v>2.6854025015570536E-3</v>
      </c>
      <c r="AG14" s="437">
        <f>($T$5+$T$4*AD14+$T$3*AD14^2)</f>
        <v>2.8411282108459367E-3</v>
      </c>
    </row>
    <row r="15" spans="2:33" ht="14.25" customHeight="1" x14ac:dyDescent="0.2">
      <c r="B15" s="443" t="s">
        <v>168</v>
      </c>
      <c r="C15" s="444" t="s">
        <v>126</v>
      </c>
      <c r="D15" s="471" t="s">
        <v>127</v>
      </c>
      <c r="E15" s="472"/>
      <c r="F15" s="472"/>
      <c r="G15" s="444" t="s">
        <v>44</v>
      </c>
      <c r="H15" s="471"/>
      <c r="I15" s="471"/>
      <c r="J15" s="471"/>
      <c r="K15" s="566" t="s">
        <v>157</v>
      </c>
      <c r="L15" s="473" t="s">
        <v>156</v>
      </c>
      <c r="M15" s="473" t="s">
        <v>155</v>
      </c>
      <c r="AC15" s="483">
        <f>_xll.qlCalendarAdvance(Calendar,AC14,"1d","mf",,Trigger)</f>
        <v>41905</v>
      </c>
      <c r="AD15" s="476">
        <f>_xll.qlDayCounterYearFraction(DayCounterON,SettlementDate,AC15,,,Trigger)</f>
        <v>4.9315068493150684E-2</v>
      </c>
      <c r="AE15" s="484">
        <f>$T$13</f>
        <v>2.5383654918563901E-3</v>
      </c>
      <c r="AF15" s="484">
        <f>$T$10+$T$9*AD15</f>
        <v>2.6834019980237112E-3</v>
      </c>
      <c r="AG15" s="437">
        <f>($T$5+$T$4*AD15+$T$3*AD15^2)</f>
        <v>2.833702249826632E-3</v>
      </c>
    </row>
    <row r="16" spans="2:33" ht="11.25" customHeight="1" x14ac:dyDescent="0.2">
      <c r="B16" s="526" t="s">
        <v>65</v>
      </c>
      <c r="C16" s="498">
        <f t="shared" ref="C16:C25" si="0">SettlementDate</f>
        <v>41887</v>
      </c>
      <c r="D16" s="499">
        <f>_xll.qlCalendarAdvance(Calendar,SettlementDate,B16,"Following",,Trigger)</f>
        <v>41890</v>
      </c>
      <c r="E16" s="500" t="str">
        <f>_xll.qlMakeDatedOIS(,C16,D16,OvernightIndex,0,,,,EvaluationDate)</f>
        <v>obj_003a1#0021</v>
      </c>
      <c r="F16" s="563" t="b">
        <f>_xll.qlInstrumentSetPricingEngine(E16,OisEngine)</f>
        <v>1</v>
      </c>
      <c r="G16" s="497">
        <f>_xll.qlOvernightIndexedSwapFairRate(E16,_xll.ohTrigger(InterestRatesTrigger))</f>
        <v>2.9999999793695054E-4</v>
      </c>
      <c r="H16" s="494">
        <f>_xll.qlDayCounterYearFraction(DayCounterOIS,C16,D16,,,Trigger)</f>
        <v>8.3333333333333332E-3</v>
      </c>
      <c r="I16" s="494">
        <f>_xll.qlDayCounterYearFraction(DayCounter3M,C16,D16,,,Trigger)</f>
        <v>8.3333333333333332E-3</v>
      </c>
      <c r="J16" s="494">
        <f>_xll.qlDayCounterYearFraction(DayCounterON,C16,D16,,,Trigger)</f>
        <v>8.21917808219178E-3</v>
      </c>
      <c r="K16" s="567">
        <f>$T$13*J16</f>
        <v>2.0863278015257998E-5</v>
      </c>
      <c r="L16" s="568">
        <f>$T$10*J16+$T$9*J16^2/2</f>
        <v>2.2326660051976931E-5</v>
      </c>
      <c r="M16" s="569">
        <f>$T$5*J16+$T$4*J16^2/2+$T$3*J16^3/3</f>
        <v>2.43613673447008E-5</v>
      </c>
      <c r="AC16" s="483">
        <f>_xll.qlCalendarAdvance(Calendar,AC15,"1d","mf",,Trigger)</f>
        <v>41906</v>
      </c>
      <c r="AD16" s="476">
        <f>_xll.qlDayCounterYearFraction(DayCounterON,SettlementDate,AC16,,,Trigger)</f>
        <v>5.2054794520547946E-2</v>
      </c>
      <c r="AE16" s="484">
        <f>$T$13</f>
        <v>2.5383654918563901E-3</v>
      </c>
      <c r="AF16" s="484">
        <f>$T$10+$T$9*AD16</f>
        <v>2.6814014944903687E-3</v>
      </c>
      <c r="AG16" s="437">
        <f>($T$5+$T$4*AD16+$T$3*AD16^2)</f>
        <v>2.8263366065743975E-3</v>
      </c>
    </row>
    <row r="17" spans="2:33" ht="11.25" customHeight="1" x14ac:dyDescent="0.2">
      <c r="B17" s="524" t="s">
        <v>66</v>
      </c>
      <c r="C17" s="434">
        <f t="shared" si="0"/>
        <v>41887</v>
      </c>
      <c r="D17" s="501">
        <f>_xll.qlCalendarAdvance(Calendar,SettlementDate,B17,"Following",,Trigger)</f>
        <v>41894</v>
      </c>
      <c r="E17" s="502" t="str">
        <f>_xll.qlMakeDatedOIS(,C17,D17,OvernightIndex,0,,,,EvaluationDate)</f>
        <v>obj_003a6#0021</v>
      </c>
      <c r="F17" s="564" t="b">
        <f>_xll.qlInstrumentSetPricingEngine(E17,OisEngine)</f>
        <v>1</v>
      </c>
      <c r="G17" s="436">
        <f>_xll.qlOvernightIndexedSwapFairRate(E17,_xll.ohTrigger(InterestRatesTrigger))</f>
        <v>2.0000008951827555E-5</v>
      </c>
      <c r="H17" s="494">
        <f>_xll.qlDayCounterYearFraction(DayCounterOIS,C17,D17,,,Trigger)</f>
        <v>1.9444444444444445E-2</v>
      </c>
      <c r="I17" s="494">
        <f>_xll.qlDayCounterYearFraction(DayCounter3M,C17,D17,,,Trigger)</f>
        <v>1.9444444444444445E-2</v>
      </c>
      <c r="J17" s="494">
        <f>_xll.qlDayCounterYearFraction(DayCounterON,C17,D17,,,Trigger)</f>
        <v>1.9178082191780823E-2</v>
      </c>
      <c r="K17" s="570">
        <f>$T$13*J17</f>
        <v>4.8680982035602002E-5</v>
      </c>
      <c r="L17" s="571">
        <f>$T$10*J17+$T$9*J17^2/2</f>
        <v>5.2018808478904743E-5</v>
      </c>
      <c r="M17" s="572">
        <f>$T$5*J17+$T$4*J17^2/2+$T$3*J17^3/3</f>
        <v>5.6525583681728681E-5</v>
      </c>
      <c r="AC17" s="483">
        <f>_xll.qlCalendarAdvance(Calendar,AC16,"1d","mf",,Trigger)</f>
        <v>41907</v>
      </c>
      <c r="AD17" s="476">
        <f>_xll.qlDayCounterYearFraction(DayCounterON,SettlementDate,AC17,,,Trigger)</f>
        <v>5.4794520547945202E-2</v>
      </c>
      <c r="AE17" s="484">
        <f>$T$13</f>
        <v>2.5383654918563901E-3</v>
      </c>
      <c r="AF17" s="484">
        <f>$T$10+$T$9*AD17</f>
        <v>2.6794009909570263E-3</v>
      </c>
      <c r="AG17" s="437">
        <f>($T$5+$T$4*AD17+$T$3*AD17^2)</f>
        <v>2.8190312810892335E-3</v>
      </c>
    </row>
    <row r="18" spans="2:33" ht="11.25" customHeight="1" x14ac:dyDescent="0.2">
      <c r="B18" s="524" t="s">
        <v>67</v>
      </c>
      <c r="C18" s="434">
        <f t="shared" si="0"/>
        <v>41887</v>
      </c>
      <c r="D18" s="501">
        <f>_xll.qlCalendarAdvance(Calendar,SettlementDate,B18,"Following",,Trigger)</f>
        <v>41901</v>
      </c>
      <c r="E18" s="502" t="str">
        <f>_xll.qlMakeDatedOIS(,C18,D18,OvernightIndex,0,,,,EvaluationDate)</f>
        <v>obj_003aa#0021</v>
      </c>
      <c r="F18" s="564" t="b">
        <f>_xll.qlInstrumentSetPricingEngine(E18,OisEngine)</f>
        <v>1</v>
      </c>
      <c r="G18" s="436">
        <f>_xll.qlOvernightIndexedSwapFairRate(E18,_xll.ohTrigger(InterestRatesTrigger))</f>
        <v>9.9999987262273333E-6</v>
      </c>
      <c r="H18" s="494">
        <f>_xll.qlDayCounterYearFraction(DayCounterOIS,C18,D18,,,Trigger)</f>
        <v>3.888888888888889E-2</v>
      </c>
      <c r="I18" s="494">
        <f>_xll.qlDayCounterYearFraction(DayCounter3M,C18,D18,,,Trigger)</f>
        <v>3.888888888888889E-2</v>
      </c>
      <c r="J18" s="494">
        <f>_xll.qlDayCounterYearFraction(DayCounterON,C18,D18,,,Trigger)</f>
        <v>3.8356164383561646E-2</v>
      </c>
      <c r="K18" s="570">
        <f>$T$13*J18</f>
        <v>9.7361964071204004E-5</v>
      </c>
      <c r="L18" s="571">
        <f>$T$10*J18+$T$9*J18^2/2</f>
        <v>1.0376905620949778E-4</v>
      </c>
      <c r="M18" s="572">
        <f>$T$5*J18+$T$4*J18^2/2+$T$3*J18^3/3</f>
        <v>1.1196923426454334E-4</v>
      </c>
      <c r="AC18" s="483">
        <f>_xll.qlCalendarAdvance(Calendar,AC17,"1d","mf",,Trigger)</f>
        <v>41908</v>
      </c>
      <c r="AD18" s="476">
        <f>_xll.qlDayCounterYearFraction(DayCounterON,SettlementDate,AC18,,,Trigger)</f>
        <v>5.7534246575342465E-2</v>
      </c>
      <c r="AE18" s="484">
        <f>$T$13</f>
        <v>2.5383654918563901E-3</v>
      </c>
      <c r="AF18" s="484">
        <f>$T$10+$T$9*AD18</f>
        <v>2.6774004874236842E-3</v>
      </c>
      <c r="AG18" s="437">
        <f>($T$5+$T$4*AD18+$T$3*AD18^2)</f>
        <v>2.8117862733711401E-3</v>
      </c>
    </row>
    <row r="19" spans="2:33" ht="11.25" customHeight="1" x14ac:dyDescent="0.2">
      <c r="B19" s="524" t="s">
        <v>68</v>
      </c>
      <c r="C19" s="434">
        <f t="shared" si="0"/>
        <v>41887</v>
      </c>
      <c r="D19" s="501">
        <f>_xll.qlCalendarAdvance(Calendar,SettlementDate,B19,"Following",,Trigger)</f>
        <v>41908</v>
      </c>
      <c r="E19" s="502" t="str">
        <f>_xll.qlMakeDatedOIS(,C19,D19,OvernightIndex,0,,,,EvaluationDate)</f>
        <v>obj_003c0#0021</v>
      </c>
      <c r="F19" s="564" t="b">
        <f>_xll.qlInstrumentSetPricingEngine(E19,OisEngine)</f>
        <v>1</v>
      </c>
      <c r="G19" s="436">
        <f>_xll.qlOvernightIndexedSwapFairRate(E19,_xll.ohTrigger(InterestRatesTrigger))</f>
        <v>-5.5003620705714903E-13</v>
      </c>
      <c r="H19" s="494">
        <f>_xll.qlDayCounterYearFraction(DayCounterOIS,C19,D19,,,Trigger)</f>
        <v>5.8333333333333334E-2</v>
      </c>
      <c r="I19" s="494">
        <f>_xll.qlDayCounterYearFraction(DayCounter3M,C19,D19,,,Trigger)</f>
        <v>5.8333333333333334E-2</v>
      </c>
      <c r="J19" s="494">
        <f>_xll.qlDayCounterYearFraction(DayCounterON,C19,D19,,,Trigger)</f>
        <v>5.7534246575342465E-2</v>
      </c>
      <c r="K19" s="570">
        <f>$T$13*J19</f>
        <v>1.46042946106806E-4</v>
      </c>
      <c r="L19" s="571">
        <f>$T$10*J19+$T$9*J19^2/2</f>
        <v>1.5525074319177907E-4</v>
      </c>
      <c r="M19" s="572">
        <f>$T$5*J19+$T$4*J19^2/2+$T$3*J19^3/3</f>
        <v>1.6638763392407441E-4</v>
      </c>
      <c r="AC19" s="483">
        <f>_xll.qlCalendarAdvance(Calendar,AC18,"1d","mf",,Trigger)</f>
        <v>41911</v>
      </c>
      <c r="AD19" s="476">
        <f>_xll.qlDayCounterYearFraction(DayCounterON,SettlementDate,AC19,,,Trigger)</f>
        <v>6.575342465753424E-2</v>
      </c>
      <c r="AE19" s="484">
        <f>$T$13</f>
        <v>2.5383654918563901E-3</v>
      </c>
      <c r="AF19" s="484">
        <f>$T$10+$T$9*AD19</f>
        <v>2.6713989768236569E-3</v>
      </c>
      <c r="AG19" s="437">
        <f>($T$5+$T$4*AD19+$T$3*AD19^2)</f>
        <v>2.7904131568192805E-3</v>
      </c>
    </row>
    <row r="20" spans="2:33" ht="11.25" customHeight="1" x14ac:dyDescent="0.2">
      <c r="B20" s="524" t="s">
        <v>61</v>
      </c>
      <c r="C20" s="434">
        <f t="shared" si="0"/>
        <v>41887</v>
      </c>
      <c r="D20" s="501">
        <f>_xll.qlCalendarAdvance(Calendar,SettlementDate,B20,"mf",TRUE,Trigger)</f>
        <v>41918</v>
      </c>
      <c r="E20" s="502" t="str">
        <f>_xll.qlMakeDatedOIS(,C20,D20,OvernightIndex,0,,,,EvaluationDate)</f>
        <v>obj_003ac#0021</v>
      </c>
      <c r="F20" s="564" t="b">
        <f>_xll.qlInstrumentSetPricingEngine(E20,OisEngine)</f>
        <v>1</v>
      </c>
      <c r="G20" s="436">
        <f>_xll.qlOvernightIndexedSwapFairRate(E20,_xll.ohTrigger(InterestRatesTrigger))</f>
        <v>1.397848825078082E-5</v>
      </c>
      <c r="H20" s="494">
        <f>_xll.qlDayCounterYearFraction(DayCounterOIS,C20,D20,,,Trigger)</f>
        <v>8.611111111111111E-2</v>
      </c>
      <c r="I20" s="494">
        <f>_xll.qlDayCounterYearFraction(DayCounter3M,C20,D20,,,Trigger)</f>
        <v>8.611111111111111E-2</v>
      </c>
      <c r="J20" s="494">
        <f>_xll.qlDayCounterYearFraction(DayCounterON,C20,D20,,,Trigger)</f>
        <v>8.4931506849315067E-2</v>
      </c>
      <c r="K20" s="570">
        <f>$T$13*J20</f>
        <v>2.1558720615766602E-4</v>
      </c>
      <c r="L20" s="571">
        <f>$T$10*J20+$T$9*J20^2/2</f>
        <v>2.2833013962347693E-4</v>
      </c>
      <c r="M20" s="572">
        <f>$T$5*J20+$T$4*J20^2/2+$T$3*J20^3/3</f>
        <v>2.4246208119301101E-4</v>
      </c>
      <c r="AC20" s="483">
        <f>_xll.qlCalendarAdvance(Calendar,AC19,"1d","mf",,Trigger)</f>
        <v>41912</v>
      </c>
      <c r="AD20" s="476">
        <f>_xll.qlDayCounterYearFraction(DayCounterON,SettlementDate,AC20,,,Trigger)</f>
        <v>6.8493150684931503E-2</v>
      </c>
      <c r="AE20" s="484">
        <f>$T$13</f>
        <v>2.5383654918563901E-3</v>
      </c>
      <c r="AF20" s="484">
        <f>$T$10+$T$9*AD20</f>
        <v>2.6693984732903144E-3</v>
      </c>
      <c r="AG20" s="437">
        <f>($T$5+$T$4*AD20+$T$3*AD20^2)</f>
        <v>2.7834094201694684E-3</v>
      </c>
    </row>
    <row r="21" spans="2:33" ht="11.25" customHeight="1" x14ac:dyDescent="0.2">
      <c r="B21" s="524" t="s">
        <v>69</v>
      </c>
      <c r="C21" s="434">
        <f t="shared" si="0"/>
        <v>41887</v>
      </c>
      <c r="D21" s="501">
        <f>_xll.qlCalendarAdvance(Calendar,SettlementDate,B21,"mf",TRUE,Trigger)</f>
        <v>41948</v>
      </c>
      <c r="E21" s="502" t="str">
        <f>_xll.qlMakeDatedOIS(,C21,D21,OvernightIndex,0,,,,EvaluationDate)</f>
        <v>obj_003d3#0021</v>
      </c>
      <c r="F21" s="564" t="b">
        <f>_xll.qlInstrumentSetPricingEngine(E21,OisEngine)</f>
        <v>1</v>
      </c>
      <c r="G21" s="436">
        <f>_xll.qlOvernightIndexedSwapFairRate(E21,_xll.ohTrigger(InterestRatesTrigger))</f>
        <v>-5.114770541857148E-5</v>
      </c>
      <c r="H21" s="494">
        <f>_xll.qlDayCounterYearFraction(DayCounterOIS,C21,D21,,,Trigger)</f>
        <v>0.16944444444444445</v>
      </c>
      <c r="I21" s="494">
        <f>_xll.qlDayCounterYearFraction(DayCounter3M,C21,D21,,,Trigger)</f>
        <v>0.16944444444444445</v>
      </c>
      <c r="J21" s="494">
        <f>_xll.qlDayCounterYearFraction(DayCounterON,C21,D21,,,Trigger)</f>
        <v>0.16712328767123288</v>
      </c>
      <c r="K21" s="570">
        <f>$T$13*J21</f>
        <v>4.2421998631024603E-4</v>
      </c>
      <c r="L21" s="571">
        <f>$T$10*J21+$T$9*J21^2/2</f>
        <v>4.4427982995965158E-4</v>
      </c>
      <c r="M21" s="572">
        <f>$T$5*J21+$T$4*J21^2/2+$T$3*J21^3/3</f>
        <v>4.6047793908192565E-4</v>
      </c>
      <c r="AC21" s="483">
        <f>_xll.qlCalendarAdvance(Calendar,AC20,"1d","mf",,Trigger)</f>
        <v>41913</v>
      </c>
      <c r="AD21" s="476">
        <f>_xll.qlDayCounterYearFraction(DayCounterON,SettlementDate,AC21,,,Trigger)</f>
        <v>7.1232876712328766E-2</v>
      </c>
      <c r="AE21" s="484">
        <f>$T$13</f>
        <v>2.5383654918563901E-3</v>
      </c>
      <c r="AF21" s="484">
        <f>$T$10+$T$9*AD21</f>
        <v>2.6673979697569719E-3</v>
      </c>
      <c r="AG21" s="437">
        <f>($T$5+$T$4*AD21+$T$3*AD21^2)</f>
        <v>2.7764660012867264E-3</v>
      </c>
    </row>
    <row r="22" spans="2:33" ht="11.25" customHeight="1" x14ac:dyDescent="0.2">
      <c r="B22" s="524" t="s">
        <v>62</v>
      </c>
      <c r="C22" s="434">
        <f t="shared" si="0"/>
        <v>41887</v>
      </c>
      <c r="D22" s="501">
        <f>_xll.qlCalendarAdvance(Calendar,SettlementDate,B22,"mf",TRUE,Trigger)</f>
        <v>41978</v>
      </c>
      <c r="E22" s="502" t="str">
        <f>_xll.qlMakeDatedOIS(,C22,D22,OvernightIndex,0,,,,EvaluationDate)</f>
        <v>obj_003d2#0021</v>
      </c>
      <c r="F22" s="564" t="b">
        <f>_xll.qlInstrumentSetPricingEngine(E22,OisEngine)</f>
        <v>1</v>
      </c>
      <c r="G22" s="436">
        <f>_xll.qlOvernightIndexedSwapFairRate(E22,_xll.ohTrigger(InterestRatesTrigger))</f>
        <v>-5.186812264306002E-5</v>
      </c>
      <c r="H22" s="494">
        <f>_xll.qlDayCounterYearFraction(DayCounterOIS,C22,D22,,,Trigger)</f>
        <v>0.25277777777777777</v>
      </c>
      <c r="I22" s="494">
        <f>_xll.qlDayCounterYearFraction(DayCounter3M,C22,D22,,,Trigger)</f>
        <v>0.25277777777777777</v>
      </c>
      <c r="J22" s="494">
        <f>_xll.qlDayCounterYearFraction(DayCounterON,C22,D22,,,Trigger)</f>
        <v>0.24931506849315069</v>
      </c>
      <c r="K22" s="570">
        <f>$T$13*J22</f>
        <v>6.3285276646282609E-4</v>
      </c>
      <c r="L22" s="571">
        <f>$T$10*J22+$T$9*J22^2/2</f>
        <v>6.5529677185744762E-4</v>
      </c>
      <c r="M22" s="572">
        <f>$T$5*J22+$T$4*J22^2/2+$T$3*J22^3/3</f>
        <v>6.666529083774967E-4</v>
      </c>
      <c r="AC22" s="483">
        <f>_xll.qlCalendarAdvance(Calendar,AC21,"1d","mf",,Trigger)</f>
        <v>41914</v>
      </c>
      <c r="AD22" s="476">
        <f>_xll.qlDayCounterYearFraction(DayCounterON,SettlementDate,AC22,,,Trigger)</f>
        <v>7.3972602739726029E-2</v>
      </c>
      <c r="AE22" s="484">
        <f>$T$13</f>
        <v>2.5383654918563901E-3</v>
      </c>
      <c r="AF22" s="484">
        <f>$T$10+$T$9*AD22</f>
        <v>2.6653974662236299E-3</v>
      </c>
      <c r="AG22" s="437">
        <f>($T$5+$T$4*AD22+$T$3*AD22^2)</f>
        <v>2.7695829001710545E-3</v>
      </c>
    </row>
    <row r="23" spans="2:33" ht="11.25" customHeight="1" x14ac:dyDescent="0.2">
      <c r="B23" s="524" t="s">
        <v>70</v>
      </c>
      <c r="C23" s="434">
        <f t="shared" si="0"/>
        <v>41887</v>
      </c>
      <c r="D23" s="501">
        <f>_xll.qlCalendarAdvance(Calendar,SettlementDate,B23,"mf",TRUE,Trigger)</f>
        <v>42009</v>
      </c>
      <c r="E23" s="502" t="str">
        <f>_xll.qlMakeDatedOIS(,C23,D23,OvernightIndex,0,,,,EvaluationDate)</f>
        <v>obj_003a4#0021</v>
      </c>
      <c r="F23" s="564" t="b">
        <f>_xll.qlInstrumentSetPricingEngine(E23,OisEngine)</f>
        <v>1</v>
      </c>
      <c r="G23" s="436">
        <f>_xll.qlOvernightIndexedSwapFairRate(E23,_xll.ohTrigger(InterestRatesTrigger))</f>
        <v>-6.5491533941876539E-5</v>
      </c>
      <c r="H23" s="494">
        <f>_xll.qlDayCounterYearFraction(DayCounterOIS,C23,D23,,,Trigger)</f>
        <v>0.33888888888888891</v>
      </c>
      <c r="I23" s="494">
        <f>_xll.qlDayCounterYearFraction(DayCounter3M,C23,D23,,,Trigger)</f>
        <v>0.33888888888888891</v>
      </c>
      <c r="J23" s="494">
        <f>_xll.qlDayCounterYearFraction(DayCounterON,C23,D23,,,Trigger)</f>
        <v>0.33424657534246577</v>
      </c>
      <c r="K23" s="570">
        <f>$T$13*J23</f>
        <v>8.4843997262049205E-4</v>
      </c>
      <c r="L23" s="571">
        <f>$T$10*J23+$T$9*J23^2/2</f>
        <v>8.6816548554240723E-4</v>
      </c>
      <c r="M23" s="572">
        <f>$T$5*J23+$T$4*J23^2/2+$T$3*J23^3/3</f>
        <v>8.7200038210181606E-4</v>
      </c>
      <c r="AC23" s="483">
        <f>_xll.qlCalendarAdvance(Calendar,AC22,"1d","mf",,Trigger)</f>
        <v>41915</v>
      </c>
      <c r="AD23" s="476">
        <f>_xll.qlDayCounterYearFraction(DayCounterON,SettlementDate,AC23,,,Trigger)</f>
        <v>7.6712328767123292E-2</v>
      </c>
      <c r="AE23" s="484">
        <f>$T$13</f>
        <v>2.5383654918563901E-3</v>
      </c>
      <c r="AF23" s="484">
        <f>$T$10+$T$9*AD23</f>
        <v>2.6633969626902875E-3</v>
      </c>
      <c r="AG23" s="437">
        <f>($T$5+$T$4*AD23+$T$3*AD23^2)</f>
        <v>2.7627601168224536E-3</v>
      </c>
    </row>
    <row r="24" spans="2:33" ht="11.25" customHeight="1" x14ac:dyDescent="0.2">
      <c r="B24" s="524" t="s">
        <v>71</v>
      </c>
      <c r="C24" s="434">
        <f t="shared" si="0"/>
        <v>41887</v>
      </c>
      <c r="D24" s="501">
        <f>_xll.qlCalendarAdvance(Calendar,SettlementDate,B24,"mf",TRUE,Trigger)</f>
        <v>42040</v>
      </c>
      <c r="E24" s="502" t="str">
        <f>_xll.qlMakeDatedOIS(,C24,D24,OvernightIndex,0,,,,EvaluationDate)</f>
        <v>obj_003a9#0021</v>
      </c>
      <c r="F24" s="564" t="b">
        <f>_xll.qlInstrumentSetPricingEngine(E24,OisEngine)</f>
        <v>1</v>
      </c>
      <c r="G24" s="436">
        <f>_xll.qlOvernightIndexedSwapFairRate(E24,_xll.ohTrigger(InterestRatesTrigger))</f>
        <v>-6.9215182167436294E-5</v>
      </c>
      <c r="H24" s="494">
        <f>_xll.qlDayCounterYearFraction(DayCounterOIS,C24,D24,,,Trigger)</f>
        <v>0.42499999999999999</v>
      </c>
      <c r="I24" s="494">
        <f>_xll.qlDayCounterYearFraction(DayCounter3M,C24,D24,,,Trigger)</f>
        <v>0.42499999999999999</v>
      </c>
      <c r="J24" s="494">
        <f>_xll.qlDayCounterYearFraction(DayCounterON,C24,D24,,,Trigger)</f>
        <v>0.41917808219178082</v>
      </c>
      <c r="K24" s="570">
        <f>$T$13*J24</f>
        <v>1.064027178778158E-3</v>
      </c>
      <c r="L24" s="571">
        <f>$T$10*J24+$T$9*J24^2/2</f>
        <v>1.0757671200614981E-3</v>
      </c>
      <c r="M24" s="572">
        <f>$T$5*J24+$T$4*J24^2/2+$T$3*J24^3/3</f>
        <v>1.07439178201683E-3</v>
      </c>
      <c r="AC24" s="483">
        <f>_xll.qlCalendarAdvance(Calendar,AC23,"1d","mf",,Trigger)</f>
        <v>41918</v>
      </c>
      <c r="AD24" s="476">
        <f>_xll.qlDayCounterYearFraction(DayCounterON,SettlementDate,AC24,,,Trigger)</f>
        <v>8.4931506849315067E-2</v>
      </c>
      <c r="AE24" s="484">
        <f>$T$13</f>
        <v>2.5383654918563901E-3</v>
      </c>
      <c r="AF24" s="484">
        <f>$T$10+$T$9*AD24</f>
        <v>2.6573954520902601E-3</v>
      </c>
      <c r="AG24" s="437">
        <f>($T$5+$T$4*AD24+$T$3*AD24^2)</f>
        <v>2.7426536733790711E-3</v>
      </c>
    </row>
    <row r="25" spans="2:33" ht="12" thickBot="1" x14ac:dyDescent="0.25">
      <c r="B25" s="525" t="s">
        <v>63</v>
      </c>
      <c r="C25" s="439">
        <f t="shared" si="0"/>
        <v>41887</v>
      </c>
      <c r="D25" s="503">
        <f>_xll.qlCalendarAdvance(Calendar,SettlementDate,B25,"mf",TRUE,Trigger)</f>
        <v>42068</v>
      </c>
      <c r="E25" s="504" t="str">
        <f>_xll.qlMakeDatedOIS(,C25,D25,OvernightIndex,0,,,,EvaluationDate)</f>
        <v>obj_003c4#0021</v>
      </c>
      <c r="F25" s="565" t="b">
        <f>_xll.qlInstrumentSetPricingEngine(E25,OisEngine)</f>
        <v>1</v>
      </c>
      <c r="G25" s="441">
        <f>_xll.qlOvernightIndexedSwapFairRate(E25,_xll.ohTrigger(InterestRatesTrigger))</f>
        <v>-5.5414031765884372E-5</v>
      </c>
      <c r="H25" s="496">
        <f>_xll.qlDayCounterYearFraction(DayCounterOIS,C25,D25,,,Trigger)</f>
        <v>0.50277777777777777</v>
      </c>
      <c r="I25" s="496">
        <f>_xll.qlDayCounterYearFraction(DayCounter3M,C25,D25,,,Trigger)</f>
        <v>0.50277777777777777</v>
      </c>
      <c r="J25" s="496">
        <f>_xll.qlDayCounterYearFraction(DayCounterON,C25,D25,,,Trigger)</f>
        <v>0.49589041095890413</v>
      </c>
      <c r="K25" s="573">
        <f>$T$13*J25</f>
        <v>1.2587511069205662E-3</v>
      </c>
      <c r="L25" s="574">
        <f>$T$10*J25+$T$9*J25^2/2</f>
        <v>1.2587511069205651E-3</v>
      </c>
      <c r="M25" s="575">
        <f>$T$5*J25+$T$4*J25^2/2+$T$3*J25^3/3</f>
        <v>1.2587511069205638E-3</v>
      </c>
      <c r="AC25" s="483">
        <f>_xll.qlCalendarAdvance(Calendar,AC24,"1d","mf",,Trigger)</f>
        <v>41919</v>
      </c>
      <c r="AD25" s="476">
        <f>_xll.qlDayCounterYearFraction(DayCounterON,SettlementDate,AC25,,,Trigger)</f>
        <v>8.7671232876712329E-2</v>
      </c>
      <c r="AE25" s="484">
        <f>$T$13</f>
        <v>2.5383654918563901E-3</v>
      </c>
      <c r="AF25" s="484">
        <f>$T$10+$T$9*AD25</f>
        <v>2.6553949485569176E-3</v>
      </c>
      <c r="AG25" s="437">
        <f>($T$5+$T$4*AD25+$T$3*AD25^2)</f>
        <v>2.7360721610987511E-3</v>
      </c>
    </row>
    <row r="26" spans="2:33" ht="12" thickBot="1" x14ac:dyDescent="0.25">
      <c r="AC26" s="483">
        <f>_xll.qlCalendarAdvance(Calendar,AC25,"1d","mf",,Trigger)</f>
        <v>41920</v>
      </c>
      <c r="AD26" s="476">
        <f>_xll.qlDayCounterYearFraction(DayCounterON,SettlementDate,AC26,,,Trigger)</f>
        <v>9.0410958904109592E-2</v>
      </c>
      <c r="AE26" s="484">
        <f>$T$13</f>
        <v>2.5383654918563901E-3</v>
      </c>
      <c r="AF26" s="484">
        <f>$T$10+$T$9*AD26</f>
        <v>2.6533944450235752E-3</v>
      </c>
      <c r="AG26" s="437">
        <f>($T$5+$T$4*AD26+$T$3*AD26^2)</f>
        <v>2.7295509665855016E-3</v>
      </c>
    </row>
    <row r="27" spans="2:33" ht="12" thickBot="1" x14ac:dyDescent="0.25">
      <c r="G27" s="520" t="s">
        <v>189</v>
      </c>
      <c r="H27" s="521"/>
      <c r="I27" s="522"/>
      <c r="AC27" s="483">
        <f>_xll.qlCalendarAdvance(Calendar,AC26,"1d","mf",,Trigger)</f>
        <v>41921</v>
      </c>
      <c r="AD27" s="476">
        <f>_xll.qlDayCounterYearFraction(DayCounterON,SettlementDate,AC27,,,Trigger)</f>
        <v>9.3150684931506855E-2</v>
      </c>
      <c r="AE27" s="484">
        <f>$T$13</f>
        <v>2.5383654918563901E-3</v>
      </c>
      <c r="AF27" s="484">
        <f>$T$10+$T$9*AD27</f>
        <v>2.6513939414902331E-3</v>
      </c>
      <c r="AG27" s="437">
        <f>($T$5+$T$4*AD27+$T$3*AD27^2)</f>
        <v>2.7230900898393222E-3</v>
      </c>
    </row>
    <row r="28" spans="2:33" ht="12" thickBot="1" x14ac:dyDescent="0.25">
      <c r="B28" s="505" t="s">
        <v>168</v>
      </c>
      <c r="C28" s="506" t="s">
        <v>126</v>
      </c>
      <c r="D28" s="507" t="s">
        <v>127</v>
      </c>
      <c r="G28" s="508" t="s">
        <v>157</v>
      </c>
      <c r="H28" s="508" t="s">
        <v>156</v>
      </c>
      <c r="I28" s="508" t="s">
        <v>155</v>
      </c>
      <c r="AC28" s="483">
        <f>_xll.qlCalendarAdvance(Calendar,AC27,"1d","mf",,Trigger)</f>
        <v>41922</v>
      </c>
      <c r="AD28" s="476">
        <f>_xll.qlDayCounterYearFraction(DayCounterON,SettlementDate,AC28,,,Trigger)</f>
        <v>9.5890410958904104E-2</v>
      </c>
      <c r="AE28" s="484">
        <f>$T$13</f>
        <v>2.5383654918563901E-3</v>
      </c>
      <c r="AF28" s="484">
        <f>$T$10+$T$9*AD28</f>
        <v>2.6493934379568907E-3</v>
      </c>
      <c r="AG28" s="437">
        <f>($T$5+$T$4*AD28+$T$3*AD28^2)</f>
        <v>2.7166895308602134E-3</v>
      </c>
    </row>
    <row r="29" spans="2:33" x14ac:dyDescent="0.2">
      <c r="B29" s="526" t="s">
        <v>65</v>
      </c>
      <c r="C29" s="515">
        <f t="shared" ref="C29:C38" si="1">SettlementDate</f>
        <v>41887</v>
      </c>
      <c r="D29" s="516">
        <f>D16</f>
        <v>41890</v>
      </c>
      <c r="G29" s="509">
        <f>($G16*$H16+K16)/$I16</f>
        <v>2.8035933597679104E-3</v>
      </c>
      <c r="H29" s="509">
        <f>($G16*$H16+L16)/$I16</f>
        <v>2.9791992041741824E-3</v>
      </c>
      <c r="I29" s="509">
        <f>($G16*$H16+M16)/$I16</f>
        <v>3.2233640793010465E-3</v>
      </c>
      <c r="AC29" s="483">
        <f>_xll.qlCalendarAdvance(Calendar,AC28,"1d","mf",,Trigger)</f>
        <v>41925</v>
      </c>
      <c r="AD29" s="476">
        <f>_xll.qlDayCounterYearFraction(DayCounterON,SettlementDate,AC29,,,Trigger)</f>
        <v>0.10410958904109589</v>
      </c>
      <c r="AE29" s="484">
        <f>$T$13</f>
        <v>2.5383654918563901E-3</v>
      </c>
      <c r="AF29" s="484">
        <f>$T$10+$T$9*AD29</f>
        <v>2.6433919273568633E-3</v>
      </c>
      <c r="AG29" s="437">
        <f>($T$5+$T$4*AD29+$T$3*AD29^2)</f>
        <v>2.697849760525309E-3</v>
      </c>
    </row>
    <row r="30" spans="2:33" ht="12.75" customHeight="1" x14ac:dyDescent="0.2">
      <c r="B30" s="524" t="s">
        <v>66</v>
      </c>
      <c r="C30" s="434">
        <f t="shared" si="1"/>
        <v>41887</v>
      </c>
      <c r="D30" s="501">
        <f>D17</f>
        <v>41894</v>
      </c>
      <c r="G30" s="511">
        <f>($G17*$H17+K17)/$I17</f>
        <v>2.5235933707827875E-3</v>
      </c>
      <c r="H30" s="511">
        <f>($G17*$H17+L17)/$I17</f>
        <v>2.6952530164383571E-3</v>
      </c>
      <c r="I30" s="511">
        <f>($G17*$H17+M17)/$I17</f>
        <v>2.9270300268693025E-3</v>
      </c>
      <c r="AC30" s="483">
        <f>_xll.qlCalendarAdvance(Calendar,AC29,"1d","mf",,Trigger)</f>
        <v>41926</v>
      </c>
      <c r="AD30" s="476">
        <f>_xll.qlDayCounterYearFraction(DayCounterON,SettlementDate,AC30,,,Trigger)</f>
        <v>0.10684931506849316</v>
      </c>
      <c r="AE30" s="484">
        <f>$T$13</f>
        <v>2.5383654918563901E-3</v>
      </c>
      <c r="AF30" s="484">
        <f>$T$10+$T$9*AD30</f>
        <v>2.6413914238235213E-3</v>
      </c>
      <c r="AG30" s="437">
        <f>($T$5+$T$4*AD30+$T$3*AD30^2)</f>
        <v>2.691690472614481E-3</v>
      </c>
    </row>
    <row r="31" spans="2:33" x14ac:dyDescent="0.2">
      <c r="B31" s="524" t="s">
        <v>67</v>
      </c>
      <c r="C31" s="434">
        <f t="shared" si="1"/>
        <v>41887</v>
      </c>
      <c r="D31" s="501">
        <f>D18</f>
        <v>41901</v>
      </c>
      <c r="G31" s="511">
        <f>($G18*$H18+K18)/$I18</f>
        <v>2.5135933605571876E-3</v>
      </c>
      <c r="H31" s="511">
        <f>($G18*$H18+L18)/$I18</f>
        <v>2.6783471583990272E-3</v>
      </c>
      <c r="I31" s="511">
        <f>($G18*$H18+M18)/$I18</f>
        <v>2.8892088798144846E-3</v>
      </c>
      <c r="AC31" s="483">
        <f>_xll.qlCalendarAdvance(Calendar,AC30,"1d","mf",,Trigger)</f>
        <v>41927</v>
      </c>
      <c r="AD31" s="476">
        <f>_xll.qlDayCounterYearFraction(DayCounterON,SettlementDate,AC31,,,Trigger)</f>
        <v>0.1095890410958904</v>
      </c>
      <c r="AE31" s="484">
        <f>$T$13</f>
        <v>2.5383654918563901E-3</v>
      </c>
      <c r="AF31" s="484">
        <f>$T$10+$T$9*AD31</f>
        <v>2.6393909202901788E-3</v>
      </c>
      <c r="AG31" s="437">
        <f>($T$5+$T$4*AD31+$T$3*AD31^2)</f>
        <v>2.6855915024707236E-3</v>
      </c>
    </row>
    <row r="32" spans="2:33" x14ac:dyDescent="0.2">
      <c r="B32" s="524" t="s">
        <v>68</v>
      </c>
      <c r="C32" s="434">
        <f t="shared" si="1"/>
        <v>41887</v>
      </c>
      <c r="D32" s="501">
        <f>D19</f>
        <v>41908</v>
      </c>
      <c r="G32" s="511">
        <f>($G19*$H19+K19)/$I19</f>
        <v>2.5035933612809237E-3</v>
      </c>
      <c r="H32" s="511">
        <f>($G19*$H19+L19)/$I19</f>
        <v>2.6614413113090333E-3</v>
      </c>
      <c r="I32" s="511">
        <f>($G19*$H19+M19)/$I19</f>
        <v>2.8523594381483822E-3</v>
      </c>
      <c r="AC32" s="483">
        <f>_xll.qlCalendarAdvance(Calendar,AC31,"1d","mf",,Trigger)</f>
        <v>41928</v>
      </c>
      <c r="AD32" s="476">
        <f>_xll.qlDayCounterYearFraction(DayCounterON,SettlementDate,AC32,,,Trigger)</f>
        <v>0.11232876712328767</v>
      </c>
      <c r="AE32" s="484">
        <f>$T$13</f>
        <v>2.5383654918563901E-3</v>
      </c>
      <c r="AF32" s="484">
        <f>$T$10+$T$9*AD32</f>
        <v>2.6373904167568364E-3</v>
      </c>
      <c r="AG32" s="437">
        <f>($T$5+$T$4*AD32+$T$3*AD32^2)</f>
        <v>2.6795528500940368E-3</v>
      </c>
    </row>
    <row r="33" spans="2:33" x14ac:dyDescent="0.2">
      <c r="B33" s="524" t="s">
        <v>61</v>
      </c>
      <c r="C33" s="434">
        <f t="shared" si="1"/>
        <v>41887</v>
      </c>
      <c r="D33" s="501">
        <f>D20</f>
        <v>41918</v>
      </c>
      <c r="G33" s="511">
        <f>($G20*$H20+K20)/$I20</f>
        <v>2.5175718500817412E-3</v>
      </c>
      <c r="H33" s="511">
        <f>($G20*$H20+L20)/$I20</f>
        <v>2.6655543032330937E-3</v>
      </c>
      <c r="I33" s="511">
        <f>($G20*$H20+M20)/$I20</f>
        <v>2.8296671730728444E-3</v>
      </c>
      <c r="AC33" s="483">
        <f>_xll.qlCalendarAdvance(Calendar,AC32,"1d","mf",,Trigger)</f>
        <v>41929</v>
      </c>
      <c r="AD33" s="476">
        <f>_xll.qlDayCounterYearFraction(DayCounterON,SettlementDate,AC33,,,Trigger)</f>
        <v>0.11506849315068493</v>
      </c>
      <c r="AE33" s="484">
        <f>$T$13</f>
        <v>2.5383654918563901E-3</v>
      </c>
      <c r="AF33" s="484">
        <f>$T$10+$T$9*AD33</f>
        <v>2.6353899132234939E-3</v>
      </c>
      <c r="AG33" s="437">
        <f>($T$5+$T$4*AD33+$T$3*AD33^2)</f>
        <v>2.6735745154844201E-3</v>
      </c>
    </row>
    <row r="34" spans="2:33" x14ac:dyDescent="0.2">
      <c r="B34" s="524" t="s">
        <v>69</v>
      </c>
      <c r="C34" s="434">
        <f t="shared" si="1"/>
        <v>41887</v>
      </c>
      <c r="D34" s="501">
        <f>D21</f>
        <v>41948</v>
      </c>
      <c r="G34" s="511">
        <f>($G21*$H21+K21)/$I21</f>
        <v>2.4524456564123886E-3</v>
      </c>
      <c r="H34" s="511">
        <f>($G21*$H21+L21)/$I21</f>
        <v>2.5708316189334704E-3</v>
      </c>
      <c r="I34" s="511">
        <f>($G21*$H21+M21)/$I21</f>
        <v>2.6664270170321373E-3</v>
      </c>
      <c r="AC34" s="483">
        <f>_xll.qlCalendarAdvance(Calendar,AC33,"1d","mf",,Trigger)</f>
        <v>41932</v>
      </c>
      <c r="AD34" s="476">
        <f>_xll.qlDayCounterYearFraction(DayCounterON,SettlementDate,AC34,,,Trigger)</f>
        <v>0.12328767123287671</v>
      </c>
      <c r="AE34" s="484">
        <f>$T$13</f>
        <v>2.5383654918563901E-3</v>
      </c>
      <c r="AF34" s="484">
        <f>$T$10+$T$9*AD34</f>
        <v>2.629388402623467E-3</v>
      </c>
      <c r="AG34" s="437">
        <f>($T$5+$T$4*AD34+$T$3*AD34^2)</f>
        <v>2.6560014182579928E-3</v>
      </c>
    </row>
    <row r="35" spans="2:33" x14ac:dyDescent="0.2">
      <c r="B35" s="524" t="s">
        <v>62</v>
      </c>
      <c r="C35" s="434">
        <f t="shared" si="1"/>
        <v>41887</v>
      </c>
      <c r="D35" s="501">
        <f>D22</f>
        <v>41978</v>
      </c>
      <c r="G35" s="511">
        <f>($G22*$H22+K22)/$I22</f>
        <v>2.4517252391879005E-3</v>
      </c>
      <c r="H35" s="511">
        <f>($G22*$H22+L22)/$I22</f>
        <v>2.5405147110787109E-3</v>
      </c>
      <c r="I35" s="511">
        <f>($G22*$H22+M22)/$I22</f>
        <v>2.5854400863228612E-3</v>
      </c>
      <c r="AC35" s="483">
        <f>_xll.qlCalendarAdvance(Calendar,AC34,"1d","mf",,Trigger)</f>
        <v>41933</v>
      </c>
      <c r="AD35" s="476">
        <f>_xll.qlDayCounterYearFraction(DayCounterON,SettlementDate,AC35,,,Trigger)</f>
        <v>0.12602739726027398</v>
      </c>
      <c r="AE35" s="484">
        <f>$T$13</f>
        <v>2.5383654918563901E-3</v>
      </c>
      <c r="AF35" s="484">
        <f>$T$10+$T$9*AD35</f>
        <v>2.6273878990901245E-3</v>
      </c>
      <c r="AG35" s="437">
        <f>($T$5+$T$4*AD35+$T$3*AD35^2)</f>
        <v>2.6502643547166574E-3</v>
      </c>
    </row>
    <row r="36" spans="2:33" x14ac:dyDescent="0.2">
      <c r="B36" s="524" t="s">
        <v>70</v>
      </c>
      <c r="C36" s="434">
        <f t="shared" si="1"/>
        <v>41887</v>
      </c>
      <c r="D36" s="501">
        <f>D23</f>
        <v>42009</v>
      </c>
      <c r="G36" s="511">
        <f>($G23*$H23+K23)/$I23</f>
        <v>2.4381018278890835E-3</v>
      </c>
      <c r="H36" s="511">
        <f>($G23*$H23+L23)/$I23</f>
        <v>2.4963082594619481E-3</v>
      </c>
      <c r="I36" s="511">
        <f>($G23*$H23+M23)/$I23</f>
        <v>2.5076243476700394E-3</v>
      </c>
      <c r="AC36" s="483">
        <f>_xll.qlCalendarAdvance(Calendar,AC35,"1d","mf",,Trigger)</f>
        <v>41934</v>
      </c>
      <c r="AD36" s="476">
        <f>_xll.qlDayCounterYearFraction(DayCounterON,SettlementDate,AC36,,,Trigger)</f>
        <v>0.12876712328767123</v>
      </c>
      <c r="AE36" s="484">
        <f>$T$13</f>
        <v>2.5383654918563901E-3</v>
      </c>
      <c r="AF36" s="484">
        <f>$T$10+$T$9*AD36</f>
        <v>2.6253873955567821E-3</v>
      </c>
      <c r="AG36" s="437">
        <f>($T$5+$T$4*AD36+$T$3*AD36^2)</f>
        <v>2.6445876089423925E-3</v>
      </c>
    </row>
    <row r="37" spans="2:33" x14ac:dyDescent="0.2">
      <c r="B37" s="524" t="s">
        <v>71</v>
      </c>
      <c r="C37" s="434">
        <f t="shared" si="1"/>
        <v>41887</v>
      </c>
      <c r="D37" s="501">
        <f>D24</f>
        <v>42040</v>
      </c>
      <c r="G37" s="511">
        <f>($G24*$H24+K24)/$I24</f>
        <v>2.4343781796635237E-3</v>
      </c>
      <c r="H37" s="511">
        <f>($G24*$H24+L24)/$I24</f>
        <v>2.4620015709184415E-3</v>
      </c>
      <c r="I37" s="511">
        <f>($G24*$H24+M24)/$I24</f>
        <v>2.4587654814015756E-3</v>
      </c>
      <c r="AC37" s="483">
        <f>_xll.qlCalendarAdvance(Calendar,AC36,"1d","mf",,Trigger)</f>
        <v>41935</v>
      </c>
      <c r="AD37" s="476">
        <f>_xll.qlDayCounterYearFraction(DayCounterON,SettlementDate,AC37,,,Trigger)</f>
        <v>0.13150684931506848</v>
      </c>
      <c r="AE37" s="484">
        <f>$T$13</f>
        <v>2.5383654918563901E-3</v>
      </c>
      <c r="AF37" s="484">
        <f>$T$10+$T$9*AD37</f>
        <v>2.6233868920234396E-3</v>
      </c>
      <c r="AG37" s="437">
        <f>($T$5+$T$4*AD37+$T$3*AD37^2)</f>
        <v>2.6389711809351982E-3</v>
      </c>
    </row>
    <row r="38" spans="2:33" ht="12" thickBot="1" x14ac:dyDescent="0.25">
      <c r="B38" s="525" t="s">
        <v>63</v>
      </c>
      <c r="C38" s="439">
        <f t="shared" si="1"/>
        <v>41887</v>
      </c>
      <c r="D38" s="503">
        <f>D25</f>
        <v>42068</v>
      </c>
      <c r="G38" s="513">
        <f>($G25*$H25+K25)/$I25</f>
        <v>2.4481793300650759E-3</v>
      </c>
      <c r="H38" s="513">
        <f>($G25*$H25+L25)/$I25</f>
        <v>2.4481793300650738E-3</v>
      </c>
      <c r="I38" s="513">
        <f>($G25*$H25+M25)/$I25</f>
        <v>2.4481793300650712E-3</v>
      </c>
      <c r="AC38" s="483">
        <f>_xll.qlCalendarAdvance(Calendar,AC37,"1d","mf",,Trigger)</f>
        <v>41936</v>
      </c>
      <c r="AD38" s="476">
        <f>_xll.qlDayCounterYearFraction(DayCounterON,SettlementDate,AC38,,,Trigger)</f>
        <v>0.13424657534246576</v>
      </c>
      <c r="AE38" s="484">
        <f>$T$13</f>
        <v>2.5383654918563901E-3</v>
      </c>
      <c r="AF38" s="484">
        <f>$T$10+$T$9*AD38</f>
        <v>2.6213863884900972E-3</v>
      </c>
      <c r="AG38" s="437">
        <f>($T$5+$T$4*AD38+$T$3*AD38^2)</f>
        <v>2.6334150706950736E-3</v>
      </c>
    </row>
    <row r="39" spans="2:33" x14ac:dyDescent="0.2">
      <c r="AC39" s="483">
        <f>_xll.qlCalendarAdvance(Calendar,AC38,"1d","mf",,Trigger)</f>
        <v>41939</v>
      </c>
      <c r="AD39" s="476">
        <f>_xll.qlDayCounterYearFraction(DayCounterON,SettlementDate,AC39,,,Trigger)</f>
        <v>0.14246575342465753</v>
      </c>
      <c r="AE39" s="484">
        <f>$T$13</f>
        <v>2.5383654918563901E-3</v>
      </c>
      <c r="AF39" s="484">
        <f>$T$10+$T$9*AD39</f>
        <v>2.6153848778900702E-3</v>
      </c>
      <c r="AG39" s="437">
        <f>($T$5+$T$4*AD39+$T$3*AD39^2)</f>
        <v>2.6171086465771234E-3</v>
      </c>
    </row>
    <row r="40" spans="2:33" x14ac:dyDescent="0.2">
      <c r="AC40" s="483">
        <f>_xll.qlCalendarAdvance(Calendar,AC39,"1d","mf",,Trigger)</f>
        <v>41940</v>
      </c>
      <c r="AD40" s="476">
        <f>_xll.qlDayCounterYearFraction(DayCounterON,SettlementDate,AC40,,,Trigger)</f>
        <v>0.14520547945205478</v>
      </c>
      <c r="AE40" s="484">
        <f>$T$13</f>
        <v>2.5383654918563901E-3</v>
      </c>
      <c r="AF40" s="484">
        <f>$T$10+$T$9*AD40</f>
        <v>2.6133843743567278E-3</v>
      </c>
      <c r="AG40" s="437">
        <f>($T$5+$T$4*AD40+$T$3*AD40^2)</f>
        <v>2.6117938074052805E-3</v>
      </c>
    </row>
    <row r="41" spans="2:33" x14ac:dyDescent="0.2">
      <c r="AC41" s="483">
        <f>_xll.qlCalendarAdvance(Calendar,AC40,"1d","mf",,Trigger)</f>
        <v>41941</v>
      </c>
      <c r="AD41" s="476">
        <f>_xll.qlDayCounterYearFraction(DayCounterON,SettlementDate,AC41,,,Trigger)</f>
        <v>0.14794520547945206</v>
      </c>
      <c r="AE41" s="484">
        <f>$T$13</f>
        <v>2.5383654918563901E-3</v>
      </c>
      <c r="AF41" s="484">
        <f>$T$10+$T$9*AD41</f>
        <v>2.6113838708233853E-3</v>
      </c>
      <c r="AG41" s="437">
        <f>($T$5+$T$4*AD41+$T$3*AD41^2)</f>
        <v>2.6065392860005077E-3</v>
      </c>
    </row>
    <row r="42" spans="2:33" x14ac:dyDescent="0.2">
      <c r="H42" s="448"/>
      <c r="I42" s="448"/>
      <c r="AC42" s="483">
        <f>_xll.qlCalendarAdvance(Calendar,AC41,"1d","mf",,Trigger)</f>
        <v>41942</v>
      </c>
      <c r="AD42" s="476">
        <f>_xll.qlDayCounterYearFraction(DayCounterON,SettlementDate,AC42,,,Trigger)</f>
        <v>0.15068493150684931</v>
      </c>
      <c r="AE42" s="484">
        <f>$T$13</f>
        <v>2.5383654918563901E-3</v>
      </c>
      <c r="AF42" s="484">
        <f>$T$10+$T$9*AD42</f>
        <v>2.6093833672900428E-3</v>
      </c>
      <c r="AG42" s="437">
        <f>($T$5+$T$4*AD42+$T$3*AD42^2)</f>
        <v>2.6013450823628059E-3</v>
      </c>
    </row>
    <row r="43" spans="2:33" ht="11.25" customHeight="1" x14ac:dyDescent="0.2">
      <c r="AC43" s="483">
        <f>_xll.qlCalendarAdvance(Calendar,AC42,"1d","mf",,Trigger)</f>
        <v>41943</v>
      </c>
      <c r="AD43" s="476">
        <f>_xll.qlDayCounterYearFraction(DayCounterON,SettlementDate,AC43,,,Trigger)</f>
        <v>0.15342465753424658</v>
      </c>
      <c r="AE43" s="484">
        <f>$T$13</f>
        <v>2.5383654918563901E-3</v>
      </c>
      <c r="AF43" s="484">
        <f>$T$10+$T$9*AD43</f>
        <v>2.6073828637567004E-3</v>
      </c>
      <c r="AG43" s="437">
        <f>($T$5+$T$4*AD43+$T$3*AD43^2)</f>
        <v>2.5962111964921738E-3</v>
      </c>
    </row>
    <row r="44" spans="2:33" x14ac:dyDescent="0.2">
      <c r="AC44" s="483">
        <f>_xll.qlCalendarAdvance(Calendar,AC43,"1d","mf",,Trigger)</f>
        <v>41946</v>
      </c>
      <c r="AD44" s="476">
        <f>_xll.qlDayCounterYearFraction(DayCounterON,SettlementDate,AC44,,,Trigger)</f>
        <v>0.16164383561643836</v>
      </c>
      <c r="AE44" s="484">
        <f>$T$13</f>
        <v>2.5383654918563901E-3</v>
      </c>
      <c r="AF44" s="484">
        <f>$T$10+$T$9*AD44</f>
        <v>2.6013813531566734E-3</v>
      </c>
      <c r="AG44" s="437">
        <f>($T$5+$T$4*AD44+$T$3*AD44^2)</f>
        <v>2.5811714454827004E-3</v>
      </c>
    </row>
    <row r="45" spans="2:33" x14ac:dyDescent="0.2">
      <c r="AC45" s="483">
        <f>_xll.qlCalendarAdvance(Calendar,AC44,"1d","mf",,Trigger)</f>
        <v>41947</v>
      </c>
      <c r="AD45" s="476">
        <f>_xll.qlDayCounterYearFraction(DayCounterON,SettlementDate,AC45,,,Trigger)</f>
        <v>0.16438356164383561</v>
      </c>
      <c r="AE45" s="484">
        <f>$T$13</f>
        <v>2.5383654918563901E-3</v>
      </c>
      <c r="AF45" s="484">
        <f>$T$10+$T$9*AD45</f>
        <v>2.599380849623331E-3</v>
      </c>
      <c r="AG45" s="437">
        <f>($T$5+$T$4*AD45+$T$3*AD45^2)</f>
        <v>2.5762788306803504E-3</v>
      </c>
    </row>
    <row r="46" spans="2:33" x14ac:dyDescent="0.2">
      <c r="AC46" s="483">
        <f>_xll.qlCalendarAdvance(Calendar,AC45,"1d","mf",,Trigger)</f>
        <v>41948</v>
      </c>
      <c r="AD46" s="476">
        <f>_xll.qlDayCounterYearFraction(DayCounterON,SettlementDate,AC46,,,Trigger)</f>
        <v>0.16712328767123288</v>
      </c>
      <c r="AE46" s="484">
        <f>$T$13</f>
        <v>2.5383654918563901E-3</v>
      </c>
      <c r="AF46" s="484">
        <f>$T$10+$T$9*AD46</f>
        <v>2.5973803460899885E-3</v>
      </c>
      <c r="AG46" s="437">
        <f>($T$5+$T$4*AD46+$T$3*AD46^2)</f>
        <v>2.5714465336450698E-3</v>
      </c>
    </row>
    <row r="47" spans="2:33" x14ac:dyDescent="0.2">
      <c r="AC47" s="483">
        <f>_xll.qlCalendarAdvance(Calendar,AC46,"1d","mf",,Trigger)</f>
        <v>41949</v>
      </c>
      <c r="AD47" s="476">
        <f>_xll.qlDayCounterYearFraction(DayCounterON,SettlementDate,AC47,,,Trigger)</f>
        <v>0.16986301369863013</v>
      </c>
      <c r="AE47" s="484">
        <f>$T$13</f>
        <v>2.5383654918563901E-3</v>
      </c>
      <c r="AF47" s="484">
        <f>$T$10+$T$9*AD47</f>
        <v>2.5953798425566461E-3</v>
      </c>
      <c r="AG47" s="437">
        <f>($T$5+$T$4*AD47+$T$3*AD47^2)</f>
        <v>2.5666745543768605E-3</v>
      </c>
    </row>
    <row r="48" spans="2:33" x14ac:dyDescent="0.2">
      <c r="AC48" s="483">
        <f>_xll.qlCalendarAdvance(Calendar,AC47,"1d","mf",,Trigger)</f>
        <v>41950</v>
      </c>
      <c r="AD48" s="476">
        <f>_xll.qlDayCounterYearFraction(DayCounterON,SettlementDate,AC48,,,Trigger)</f>
        <v>0.17260273972602741</v>
      </c>
      <c r="AE48" s="484">
        <f>$T$13</f>
        <v>2.5383654918563901E-3</v>
      </c>
      <c r="AF48" s="484">
        <f>$T$10+$T$9*AD48</f>
        <v>2.593379339023304E-3</v>
      </c>
      <c r="AG48" s="437">
        <f>($T$5+$T$4*AD48+$T$3*AD48^2)</f>
        <v>2.5619628928757209E-3</v>
      </c>
    </row>
    <row r="49" spans="8:33" x14ac:dyDescent="0.2">
      <c r="AC49" s="483">
        <f>_xll.qlCalendarAdvance(Calendar,AC48,"1d","mf",,Trigger)</f>
        <v>41953</v>
      </c>
      <c r="AD49" s="476">
        <f>_xll.qlDayCounterYearFraction(DayCounterON,SettlementDate,AC49,,,Trigger)</f>
        <v>0.18082191780821918</v>
      </c>
      <c r="AE49" s="484">
        <f>$T$13</f>
        <v>2.5383654918563901E-3</v>
      </c>
      <c r="AF49" s="484">
        <f>$T$10+$T$9*AD49</f>
        <v>2.5873778284232767E-3</v>
      </c>
      <c r="AG49" s="437">
        <f>($T$5+$T$4*AD49+$T$3*AD49^2)</f>
        <v>2.5481898149747246E-3</v>
      </c>
    </row>
    <row r="50" spans="8:33" x14ac:dyDescent="0.2">
      <c r="AC50" s="483">
        <f>_xll.qlCalendarAdvance(Calendar,AC49,"1d","mf",,Trigger)</f>
        <v>41954</v>
      </c>
      <c r="AD50" s="476">
        <f>_xll.qlDayCounterYearFraction(DayCounterON,SettlementDate,AC50,,,Trigger)</f>
        <v>0.18356164383561643</v>
      </c>
      <c r="AE50" s="484">
        <f>$T$13</f>
        <v>2.5383654918563901E-3</v>
      </c>
      <c r="AF50" s="484">
        <f>$T$10+$T$9*AD50</f>
        <v>2.5853773248899342E-3</v>
      </c>
      <c r="AG50" s="437">
        <f>($T$5+$T$4*AD50+$T$3*AD50^2)</f>
        <v>2.5437194245418668E-3</v>
      </c>
    </row>
    <row r="51" spans="8:33" x14ac:dyDescent="0.2">
      <c r="AC51" s="483">
        <f>_xll.qlCalendarAdvance(Calendar,AC50,"1d","mf",,Trigger)</f>
        <v>41955</v>
      </c>
      <c r="AD51" s="476">
        <f>_xll.qlDayCounterYearFraction(DayCounterON,SettlementDate,AC51,,,Trigger)</f>
        <v>0.18630136986301371</v>
      </c>
      <c r="AE51" s="484">
        <f>$T$13</f>
        <v>2.5383654918563901E-3</v>
      </c>
      <c r="AF51" s="484">
        <f>$T$10+$T$9*AD51</f>
        <v>2.5833768213565918E-3</v>
      </c>
      <c r="AG51" s="437">
        <f>($T$5+$T$4*AD51+$T$3*AD51^2)</f>
        <v>2.5393093518760786E-3</v>
      </c>
    </row>
    <row r="52" spans="8:33" x14ac:dyDescent="0.2">
      <c r="AC52" s="483">
        <f>_xll.qlCalendarAdvance(Calendar,AC51,"1d","mf",,Trigger)</f>
        <v>41956</v>
      </c>
      <c r="AD52" s="476">
        <f>_xll.qlDayCounterYearFraction(DayCounterON,SettlementDate,AC52,,,Trigger)</f>
        <v>0.18904109589041096</v>
      </c>
      <c r="AE52" s="484">
        <f>$T$13</f>
        <v>2.5383654918563901E-3</v>
      </c>
      <c r="AF52" s="484">
        <f>$T$10+$T$9*AD52</f>
        <v>2.5813763178232493E-3</v>
      </c>
      <c r="AG52" s="437">
        <f>($T$5+$T$4*AD52+$T$3*AD52^2)</f>
        <v>2.5349595969773615E-3</v>
      </c>
    </row>
    <row r="53" spans="8:33" x14ac:dyDescent="0.2">
      <c r="AC53" s="483">
        <f>_xll.qlCalendarAdvance(Calendar,AC52,"1d","mf",,Trigger)</f>
        <v>41957</v>
      </c>
      <c r="AD53" s="476">
        <f>_xll.qlDayCounterYearFraction(DayCounterON,SettlementDate,AC53,,,Trigger)</f>
        <v>0.19178082191780821</v>
      </c>
      <c r="AE53" s="484">
        <f>$T$13</f>
        <v>2.5383654918563901E-3</v>
      </c>
      <c r="AF53" s="484">
        <f>$T$10+$T$9*AD53</f>
        <v>2.5793758142899073E-3</v>
      </c>
      <c r="AG53" s="437">
        <f>($T$5+$T$4*AD53+$T$3*AD53^2)</f>
        <v>2.5306701598457144E-3</v>
      </c>
    </row>
    <row r="54" spans="8:33" x14ac:dyDescent="0.2">
      <c r="AC54" s="483">
        <f>_xll.qlCalendarAdvance(Calendar,AC53,"1d","mf",,Trigger)</f>
        <v>41960</v>
      </c>
      <c r="AD54" s="476">
        <f>_xll.qlDayCounterYearFraction(DayCounterON,SettlementDate,AC54,,,Trigger)</f>
        <v>0.2</v>
      </c>
      <c r="AE54" s="484">
        <f>$T$13</f>
        <v>2.5383654918563901E-3</v>
      </c>
      <c r="AF54" s="484">
        <f>$T$10+$T$9*AD54</f>
        <v>2.5733743036898799E-3</v>
      </c>
      <c r="AG54" s="437">
        <f>($T$5+$T$4*AD54+$T$3*AD54^2)</f>
        <v>2.5181637550531957E-3</v>
      </c>
    </row>
    <row r="55" spans="8:33" x14ac:dyDescent="0.2">
      <c r="AC55" s="483">
        <f>_xll.qlCalendarAdvance(Calendar,AC54,"1d","mf",,Trigger)</f>
        <v>41961</v>
      </c>
      <c r="AD55" s="476">
        <f>_xll.qlDayCounterYearFraction(DayCounterON,SettlementDate,AC55,,,Trigger)</f>
        <v>0.20273972602739726</v>
      </c>
      <c r="AE55" s="484">
        <f>$T$13</f>
        <v>2.5383654918563901E-3</v>
      </c>
      <c r="AF55" s="484">
        <f>$T$10+$T$9*AD55</f>
        <v>2.5713738001565374E-3</v>
      </c>
      <c r="AG55" s="437">
        <f>($T$5+$T$4*AD55+$T$3*AD55^2)</f>
        <v>2.5141155889898295E-3</v>
      </c>
    </row>
    <row r="56" spans="8:33" x14ac:dyDescent="0.2">
      <c r="AC56" s="483">
        <f>_xll.qlCalendarAdvance(Calendar,AC55,"1d","mf",,Trigger)</f>
        <v>41962</v>
      </c>
      <c r="AD56" s="476">
        <f>_xll.qlDayCounterYearFraction(DayCounterON,SettlementDate,AC56,,,Trigger)</f>
        <v>0.20547945205479451</v>
      </c>
      <c r="AE56" s="484">
        <f>$T$13</f>
        <v>2.5383654918563901E-3</v>
      </c>
      <c r="AF56" s="484">
        <f>$T$10+$T$9*AD56</f>
        <v>2.5693732966231954E-3</v>
      </c>
      <c r="AG56" s="437">
        <f>($T$5+$T$4*AD56+$T$3*AD56^2)</f>
        <v>2.5101277406935343E-3</v>
      </c>
    </row>
    <row r="57" spans="8:33" x14ac:dyDescent="0.2">
      <c r="AC57" s="483">
        <f>_xll.qlCalendarAdvance(Calendar,AC56,"1d","mf",,Trigger)</f>
        <v>41963</v>
      </c>
      <c r="AD57" s="476">
        <f>_xll.qlDayCounterYearFraction(DayCounterON,SettlementDate,AC57,,,Trigger)</f>
        <v>0.20821917808219179</v>
      </c>
      <c r="AE57" s="484">
        <f>$T$13</f>
        <v>2.5383654918563901E-3</v>
      </c>
      <c r="AF57" s="484">
        <f>$T$10+$T$9*AD57</f>
        <v>2.567372793089853E-3</v>
      </c>
      <c r="AG57" s="437">
        <f>($T$5+$T$4*AD57+$T$3*AD57^2)</f>
        <v>2.5062002101643092E-3</v>
      </c>
    </row>
    <row r="58" spans="8:33" x14ac:dyDescent="0.2">
      <c r="AC58" s="483">
        <f>_xll.qlCalendarAdvance(Calendar,AC57,"1d","mf",,Trigger)</f>
        <v>41964</v>
      </c>
      <c r="AD58" s="476">
        <f>_xll.qlDayCounterYearFraction(DayCounterON,SettlementDate,AC58,,,Trigger)</f>
        <v>0.21095890410958903</v>
      </c>
      <c r="AE58" s="484">
        <f>$T$13</f>
        <v>2.5383654918563901E-3</v>
      </c>
      <c r="AF58" s="484">
        <f>$T$10+$T$9*AD58</f>
        <v>2.5653722895565105E-3</v>
      </c>
      <c r="AG58" s="437">
        <f>($T$5+$T$4*AD58+$T$3*AD58^2)</f>
        <v>2.5023329974021547E-3</v>
      </c>
    </row>
    <row r="59" spans="8:33" x14ac:dyDescent="0.2">
      <c r="AC59" s="483">
        <f>_xll.qlCalendarAdvance(Calendar,AC58,"1d","mf",,Trigger)</f>
        <v>41967</v>
      </c>
      <c r="AD59" s="476">
        <f>_xll.qlDayCounterYearFraction(DayCounterON,SettlementDate,AC59,,,Trigger)</f>
        <v>0.21917808219178081</v>
      </c>
      <c r="AE59" s="484">
        <f>$T$13</f>
        <v>2.5383654918563901E-3</v>
      </c>
      <c r="AF59" s="484">
        <f>$T$10+$T$9*AD59</f>
        <v>2.5593707789564831E-3</v>
      </c>
      <c r="AG59" s="437">
        <f>($T$5+$T$4*AD59+$T$3*AD59^2)</f>
        <v>2.4910932657181131E-3</v>
      </c>
    </row>
    <row r="60" spans="8:33" x14ac:dyDescent="0.2">
      <c r="AC60" s="483">
        <f>_xll.qlCalendarAdvance(Calendar,AC59,"1d","mf",,Trigger)</f>
        <v>41968</v>
      </c>
      <c r="AD60" s="476">
        <f>_xll.qlDayCounterYearFraction(DayCounterON,SettlementDate,AC60,,,Trigger)</f>
        <v>0.22191780821917809</v>
      </c>
      <c r="AE60" s="484">
        <f>$T$13</f>
        <v>2.5383654918563901E-3</v>
      </c>
      <c r="AF60" s="484">
        <f>$T$10+$T$9*AD60</f>
        <v>2.5573702754231407E-3</v>
      </c>
      <c r="AG60" s="437">
        <f>($T$5+$T$4*AD60+$T$3*AD60^2)</f>
        <v>2.4874673240242394E-3</v>
      </c>
    </row>
    <row r="61" spans="8:33" x14ac:dyDescent="0.2">
      <c r="AC61" s="483">
        <f>_xll.qlCalendarAdvance(Calendar,AC60,"1d","mf",,Trigger)</f>
        <v>41969</v>
      </c>
      <c r="AD61" s="476">
        <f>_xll.qlDayCounterYearFraction(DayCounterON,SettlementDate,AC61,,,Trigger)</f>
        <v>0.22465753424657534</v>
      </c>
      <c r="AE61" s="484">
        <f>$T$13</f>
        <v>2.5383654918563901E-3</v>
      </c>
      <c r="AF61" s="484">
        <f>$T$10+$T$9*AD61</f>
        <v>2.5553697718897986E-3</v>
      </c>
      <c r="AG61" s="437">
        <f>($T$5+$T$4*AD61+$T$3*AD61^2)</f>
        <v>2.4839017000974368E-3</v>
      </c>
    </row>
    <row r="62" spans="8:33" x14ac:dyDescent="0.2">
      <c r="H62" s="448"/>
      <c r="AC62" s="483">
        <f>_xll.qlCalendarAdvance(Calendar,AC61,"1d","mf",,Trigger)</f>
        <v>41970</v>
      </c>
      <c r="AD62" s="476">
        <f>_xll.qlDayCounterYearFraction(DayCounterON,SettlementDate,AC62,,,Trigger)</f>
        <v>0.22739726027397261</v>
      </c>
      <c r="AE62" s="484">
        <f>$T$13</f>
        <v>2.5383654918563901E-3</v>
      </c>
      <c r="AF62" s="484">
        <f>$T$10+$T$9*AD62</f>
        <v>2.5533692683564562E-3</v>
      </c>
      <c r="AG62" s="437">
        <f>($T$5+$T$4*AD62+$T$3*AD62^2)</f>
        <v>2.4803963939377042E-3</v>
      </c>
    </row>
    <row r="63" spans="8:33" x14ac:dyDescent="0.2">
      <c r="H63" s="448"/>
      <c r="AC63" s="483">
        <f>_xll.qlCalendarAdvance(Calendar,AC62,"1d","mf",,Trigger)</f>
        <v>41971</v>
      </c>
      <c r="AD63" s="476">
        <f>_xll.qlDayCounterYearFraction(DayCounterON,SettlementDate,AC63,,,Trigger)</f>
        <v>0.23013698630136986</v>
      </c>
      <c r="AE63" s="484">
        <f>$T$13</f>
        <v>2.5383654918563901E-3</v>
      </c>
      <c r="AF63" s="484">
        <f>$T$10+$T$9*AD63</f>
        <v>2.5513687648231137E-3</v>
      </c>
      <c r="AG63" s="437">
        <f>($T$5+$T$4*AD63+$T$3*AD63^2)</f>
        <v>2.4769514055450418E-3</v>
      </c>
    </row>
    <row r="64" spans="8:33" x14ac:dyDescent="0.2">
      <c r="H64" s="448"/>
      <c r="AC64" s="483">
        <f>_xll.qlCalendarAdvance(Calendar,AC63,"1d","mf",,Trigger)</f>
        <v>41974</v>
      </c>
      <c r="AD64" s="476">
        <f>_xll.qlDayCounterYearFraction(DayCounterON,SettlementDate,AC64,,,Trigger)</f>
        <v>0.23835616438356164</v>
      </c>
      <c r="AE64" s="484">
        <f>$T$13</f>
        <v>2.5383654918563901E-3</v>
      </c>
      <c r="AF64" s="484">
        <f>$T$10+$T$9*AD64</f>
        <v>2.5453672542230868E-3</v>
      </c>
      <c r="AG64" s="437">
        <f>($T$5+$T$4*AD64+$T$3*AD64^2)</f>
        <v>2.4669783469694769E-3</v>
      </c>
    </row>
    <row r="65" spans="8:33" x14ac:dyDescent="0.2">
      <c r="H65" s="448"/>
      <c r="AC65" s="483">
        <f>_xll.qlCalendarAdvance(Calendar,AC64,"1d","mf",,Trigger)</f>
        <v>41975</v>
      </c>
      <c r="AD65" s="476">
        <f>_xll.qlDayCounterYearFraction(DayCounterON,SettlementDate,AC65,,,Trigger)</f>
        <v>0.24109589041095891</v>
      </c>
      <c r="AE65" s="484">
        <f>$T$13</f>
        <v>2.5383654918563901E-3</v>
      </c>
      <c r="AF65" s="484">
        <f>$T$10+$T$9*AD65</f>
        <v>2.5433667506897443E-3</v>
      </c>
      <c r="AG65" s="437">
        <f>($T$5+$T$4*AD65+$T$3*AD65^2)</f>
        <v>2.4637746296450958E-3</v>
      </c>
    </row>
    <row r="66" spans="8:33" x14ac:dyDescent="0.2">
      <c r="H66" s="448"/>
      <c r="AC66" s="483">
        <f>_xll.qlCalendarAdvance(Calendar,AC65,"1d","mf",,Trigger)</f>
        <v>41976</v>
      </c>
      <c r="AD66" s="476">
        <f>_xll.qlDayCounterYearFraction(DayCounterON,SettlementDate,AC66,,,Trigger)</f>
        <v>0.24383561643835616</v>
      </c>
      <c r="AE66" s="484">
        <f>$T$13</f>
        <v>2.5383654918563901E-3</v>
      </c>
      <c r="AF66" s="484">
        <f>$T$10+$T$9*AD66</f>
        <v>2.5413662471564019E-3</v>
      </c>
      <c r="AG66" s="437">
        <f>($T$5+$T$4*AD66+$T$3*AD66^2)</f>
        <v>2.4606312300877852E-3</v>
      </c>
    </row>
    <row r="67" spans="8:33" x14ac:dyDescent="0.2">
      <c r="H67" s="448"/>
      <c r="AC67" s="483">
        <f>_xll.qlCalendarAdvance(Calendar,AC66,"1d","mf",,Trigger)</f>
        <v>41977</v>
      </c>
      <c r="AD67" s="476">
        <f>_xll.qlDayCounterYearFraction(DayCounterON,SettlementDate,AC67,,,Trigger)</f>
        <v>0.24657534246575341</v>
      </c>
      <c r="AE67" s="484">
        <f>$T$13</f>
        <v>2.5383654918563901E-3</v>
      </c>
      <c r="AF67" s="484">
        <f>$T$10+$T$9*AD67</f>
        <v>2.5393657436230594E-3</v>
      </c>
      <c r="AG67" s="437">
        <f>($T$5+$T$4*AD67+$T$3*AD67^2)</f>
        <v>2.4575481482975452E-3</v>
      </c>
    </row>
    <row r="68" spans="8:33" x14ac:dyDescent="0.2">
      <c r="H68" s="448"/>
      <c r="I68" s="448"/>
      <c r="AC68" s="483">
        <f>_xll.qlCalendarAdvance(Calendar,AC67,"1d","mf",,Trigger)</f>
        <v>41978</v>
      </c>
      <c r="AD68" s="476">
        <f>_xll.qlDayCounterYearFraction(DayCounterON,SettlementDate,AC68,,,Trigger)</f>
        <v>0.24931506849315069</v>
      </c>
      <c r="AE68" s="484">
        <f>$T$13</f>
        <v>2.5383654918563901E-3</v>
      </c>
      <c r="AF68" s="484">
        <f>$T$10+$T$9*AD68</f>
        <v>2.537365240089717E-3</v>
      </c>
      <c r="AG68" s="437">
        <f>($T$5+$T$4*AD68+$T$3*AD68^2)</f>
        <v>2.4545253842743753E-3</v>
      </c>
    </row>
    <row r="69" spans="8:33" x14ac:dyDescent="0.2">
      <c r="H69" s="448"/>
      <c r="I69" s="448"/>
      <c r="AC69" s="483">
        <f>_xll.qlCalendarAdvance(Calendar,AC68,"1d","mf",,Trigger)</f>
        <v>41981</v>
      </c>
      <c r="AD69" s="476">
        <f>_xll.qlDayCounterYearFraction(DayCounterON,SettlementDate,AC69,,,Trigger)</f>
        <v>0.25753424657534246</v>
      </c>
      <c r="AE69" s="484">
        <f>$T$13</f>
        <v>2.5383654918563901E-3</v>
      </c>
      <c r="AF69" s="484">
        <f>$T$10+$T$9*AD69</f>
        <v>2.53136372948969E-3</v>
      </c>
      <c r="AG69" s="437">
        <f>($T$5+$T$4*AD69+$T$3*AD69^2)</f>
        <v>2.4458189988072875E-3</v>
      </c>
    </row>
    <row r="70" spans="8:33" x14ac:dyDescent="0.2">
      <c r="H70" s="448"/>
      <c r="I70" s="448"/>
      <c r="AC70" s="483">
        <f>_xll.qlCalendarAdvance(Calendar,AC69,"1d","mf",,Trigger)</f>
        <v>41982</v>
      </c>
      <c r="AD70" s="476">
        <f>_xll.qlDayCounterYearFraction(DayCounterON,SettlementDate,AC70,,,Trigger)</f>
        <v>0.26027397260273971</v>
      </c>
      <c r="AE70" s="484">
        <f>$T$13</f>
        <v>2.5383654918563901E-3</v>
      </c>
      <c r="AF70" s="484">
        <f>$T$10+$T$9*AD70</f>
        <v>2.5293632259563476E-3</v>
      </c>
      <c r="AG70" s="437">
        <f>($T$5+$T$4*AD70+$T$3*AD70^2)</f>
        <v>2.4430375058523994E-3</v>
      </c>
    </row>
    <row r="71" spans="8:33" x14ac:dyDescent="0.2">
      <c r="H71" s="448"/>
      <c r="I71" s="448"/>
      <c r="AC71" s="483">
        <f>_xll.qlCalendarAdvance(Calendar,AC70,"1d","mf",,Trigger)</f>
        <v>41983</v>
      </c>
      <c r="AD71" s="476">
        <f>_xll.qlDayCounterYearFraction(DayCounterON,SettlementDate,AC71,,,Trigger)</f>
        <v>0.26301369863013696</v>
      </c>
      <c r="AE71" s="484">
        <f>$T$13</f>
        <v>2.5383654918563901E-3</v>
      </c>
      <c r="AF71" s="484">
        <f>$T$10+$T$9*AD71</f>
        <v>2.5273627224230051E-3</v>
      </c>
      <c r="AG71" s="437">
        <f>($T$5+$T$4*AD71+$T$3*AD71^2)</f>
        <v>2.4403163306645813E-3</v>
      </c>
    </row>
    <row r="72" spans="8:33" x14ac:dyDescent="0.2">
      <c r="H72" s="448"/>
      <c r="I72" s="448"/>
      <c r="AC72" s="483">
        <f>_xll.qlCalendarAdvance(Calendar,AC71,"1d","mf",,Trigger)</f>
        <v>41984</v>
      </c>
      <c r="AD72" s="476">
        <f>_xll.qlDayCounterYearFraction(DayCounterON,SettlementDate,AC72,,,Trigger)</f>
        <v>0.26575342465753427</v>
      </c>
      <c r="AE72" s="484">
        <f>$T$13</f>
        <v>2.5383654918563901E-3</v>
      </c>
      <c r="AF72" s="484">
        <f>$T$10+$T$9*AD72</f>
        <v>2.5253622188896627E-3</v>
      </c>
      <c r="AG72" s="437">
        <f>($T$5+$T$4*AD72+$T$3*AD72^2)</f>
        <v>2.4376554732438334E-3</v>
      </c>
    </row>
    <row r="73" spans="8:33" x14ac:dyDescent="0.2">
      <c r="H73" s="448"/>
      <c r="I73" s="448"/>
      <c r="AC73" s="483">
        <f>_xll.qlCalendarAdvance(Calendar,AC72,"1d","mf",,Trigger)</f>
        <v>41985</v>
      </c>
      <c r="AD73" s="476">
        <f>_xll.qlDayCounterYearFraction(DayCounterON,SettlementDate,AC73,,,Trigger)</f>
        <v>0.26849315068493151</v>
      </c>
      <c r="AE73" s="484">
        <f>$T$13</f>
        <v>2.5383654918563901E-3</v>
      </c>
      <c r="AF73" s="484">
        <f>$T$10+$T$9*AD73</f>
        <v>2.5233617153563202E-3</v>
      </c>
      <c r="AG73" s="437">
        <f>($T$5+$T$4*AD73+$T$3*AD73^2)</f>
        <v>2.4350549335901556E-3</v>
      </c>
    </row>
    <row r="74" spans="8:33" x14ac:dyDescent="0.2">
      <c r="H74" s="448"/>
      <c r="I74" s="448"/>
      <c r="AC74" s="483">
        <f>_xll.qlCalendarAdvance(Calendar,AC73,"1d","mf",,Trigger)</f>
        <v>41988</v>
      </c>
      <c r="AD74" s="476">
        <f>_xll.qlDayCounterYearFraction(DayCounterON,SettlementDate,AC74,,,Trigger)</f>
        <v>0.27671232876712326</v>
      </c>
      <c r="AE74" s="484">
        <f>$T$13</f>
        <v>2.5383654918563901E-3</v>
      </c>
      <c r="AF74" s="484">
        <f>$T$10+$T$9*AD74</f>
        <v>2.5173602047562933E-3</v>
      </c>
      <c r="AG74" s="437">
        <f>($T$5+$T$4*AD74+$T$3*AD74^2)</f>
        <v>2.427615221231545E-3</v>
      </c>
    </row>
    <row r="75" spans="8:33" x14ac:dyDescent="0.2">
      <c r="H75" s="448"/>
      <c r="I75" s="448"/>
      <c r="AC75" s="483">
        <f>_xll.qlCalendarAdvance(Calendar,AC74,"1d","mf",,Trigger)</f>
        <v>41989</v>
      </c>
      <c r="AD75" s="476">
        <f>_xll.qlDayCounterYearFraction(DayCounterON,SettlementDate,AC75,,,Trigger)</f>
        <v>0.27945205479452057</v>
      </c>
      <c r="AE75" s="484">
        <f>$T$13</f>
        <v>2.5383654918563901E-3</v>
      </c>
      <c r="AF75" s="484">
        <f>$T$10+$T$9*AD75</f>
        <v>2.5153597012229508E-3</v>
      </c>
      <c r="AG75" s="437">
        <f>($T$5+$T$4*AD75+$T$3*AD75^2)</f>
        <v>2.4252559526461489E-3</v>
      </c>
    </row>
    <row r="76" spans="8:33" x14ac:dyDescent="0.2">
      <c r="H76" s="448"/>
      <c r="I76" s="448"/>
      <c r="AC76" s="483">
        <f>_xll.qlCalendarAdvance(Calendar,AC75,"1d","mf",,Trigger)</f>
        <v>41990</v>
      </c>
      <c r="AD76" s="476">
        <f>_xll.qlDayCounterYearFraction(DayCounterON,SettlementDate,AC76,,,Trigger)</f>
        <v>0.28219178082191781</v>
      </c>
      <c r="AE76" s="484">
        <f>$T$13</f>
        <v>2.5383654918563901E-3</v>
      </c>
      <c r="AF76" s="484">
        <f>$T$10+$T$9*AD76</f>
        <v>2.5133591976896083E-3</v>
      </c>
      <c r="AG76" s="437">
        <f>($T$5+$T$4*AD76+$T$3*AD76^2)</f>
        <v>2.4229570018278234E-3</v>
      </c>
    </row>
    <row r="77" spans="8:33" x14ac:dyDescent="0.2">
      <c r="H77" s="448"/>
      <c r="I77" s="448"/>
      <c r="AC77" s="483">
        <f>_xll.qlCalendarAdvance(Calendar,AC76,"1d","mf",,Trigger)</f>
        <v>41991</v>
      </c>
      <c r="AD77" s="476">
        <f>_xll.qlDayCounterYearFraction(DayCounterON,SettlementDate,AC77,,,Trigger)</f>
        <v>0.28493150684931506</v>
      </c>
      <c r="AE77" s="484">
        <f>$T$13</f>
        <v>2.5383654918563901E-3</v>
      </c>
      <c r="AF77" s="484">
        <f>$T$10+$T$9*AD77</f>
        <v>2.5113586941562659E-3</v>
      </c>
      <c r="AG77" s="437">
        <f>($T$5+$T$4*AD77+$T$3*AD77^2)</f>
        <v>2.4207183687765675E-3</v>
      </c>
    </row>
    <row r="78" spans="8:33" x14ac:dyDescent="0.2">
      <c r="H78" s="448"/>
      <c r="I78" s="448"/>
      <c r="AC78" s="483">
        <f>_xll.qlCalendarAdvance(Calendar,AC77,"1d","mf",,Trigger)</f>
        <v>41992</v>
      </c>
      <c r="AD78" s="476">
        <f>_xll.qlDayCounterYearFraction(DayCounterON,SettlementDate,AC78,,,Trigger)</f>
        <v>0.28767123287671231</v>
      </c>
      <c r="AE78" s="484">
        <f>$T$13</f>
        <v>2.5383654918563901E-3</v>
      </c>
      <c r="AF78" s="484">
        <f>$T$10+$T$9*AD78</f>
        <v>2.5093581906229239E-3</v>
      </c>
      <c r="AG78" s="437">
        <f>($T$5+$T$4*AD78+$T$3*AD78^2)</f>
        <v>2.4185400534923827E-3</v>
      </c>
    </row>
    <row r="79" spans="8:33" x14ac:dyDescent="0.2">
      <c r="H79" s="448"/>
      <c r="I79" s="448"/>
      <c r="AC79" s="483">
        <f>_xll.qlCalendarAdvance(Calendar,AC78,"1d","mf",,Trigger)</f>
        <v>41995</v>
      </c>
      <c r="AD79" s="476">
        <f>_xll.qlDayCounterYearFraction(DayCounterON,SettlementDate,AC79,,,Trigger)</f>
        <v>0.29589041095890412</v>
      </c>
      <c r="AE79" s="484">
        <f>$T$13</f>
        <v>2.5383654918563901E-3</v>
      </c>
      <c r="AF79" s="484">
        <f>$T$10+$T$9*AD79</f>
        <v>2.5033566800228965E-3</v>
      </c>
      <c r="AG79" s="437">
        <f>($T$5+$T$4*AD79+$T$3*AD79^2)</f>
        <v>2.4123670142422492E-3</v>
      </c>
    </row>
    <row r="80" spans="8:33" x14ac:dyDescent="0.2">
      <c r="H80" s="448"/>
      <c r="I80" s="448"/>
      <c r="AC80" s="483">
        <f>_xll.qlCalendarAdvance(Calendar,AC79,"1d","mf",,Trigger)</f>
        <v>41996</v>
      </c>
      <c r="AD80" s="476">
        <f>_xll.qlDayCounterYearFraction(DayCounterON,SettlementDate,AC80,,,Trigger)</f>
        <v>0.29863013698630136</v>
      </c>
      <c r="AE80" s="484">
        <f>$T$13</f>
        <v>2.5383654918563901E-3</v>
      </c>
      <c r="AF80" s="484">
        <f>$T$10+$T$9*AD80</f>
        <v>2.501356176489554E-3</v>
      </c>
      <c r="AG80" s="437">
        <f>($T$5+$T$4*AD80+$T$3*AD80^2)</f>
        <v>2.4104299700263452E-3</v>
      </c>
    </row>
    <row r="81" spans="8:33" x14ac:dyDescent="0.2">
      <c r="H81" s="448"/>
      <c r="I81" s="448"/>
      <c r="AC81" s="483">
        <f>_xll.qlCalendarAdvance(Calendar,AC80,"1d","mf",,Trigger)</f>
        <v>41997</v>
      </c>
      <c r="AD81" s="476">
        <f>_xll.qlDayCounterYearFraction(DayCounterON,SettlementDate,AC81,,,Trigger)</f>
        <v>0.30136986301369861</v>
      </c>
      <c r="AE81" s="484">
        <f>$T$13</f>
        <v>2.5383654918563901E-3</v>
      </c>
      <c r="AF81" s="484">
        <f>$T$10+$T$9*AD81</f>
        <v>2.4993556729562116E-3</v>
      </c>
      <c r="AG81" s="437">
        <f>($T$5+$T$4*AD81+$T$3*AD81^2)</f>
        <v>2.4085532435775122E-3</v>
      </c>
    </row>
    <row r="82" spans="8:33" x14ac:dyDescent="0.2">
      <c r="H82" s="448"/>
      <c r="I82" s="448"/>
      <c r="AC82" s="483">
        <f>_xll.qlCalendarAdvance(Calendar,AC81,"1d","mf",,Trigger)</f>
        <v>42002</v>
      </c>
      <c r="AD82" s="476">
        <f>_xll.qlDayCounterYearFraction(DayCounterON,SettlementDate,AC82,,,Trigger)</f>
        <v>0.31506849315068491</v>
      </c>
      <c r="AE82" s="484">
        <f>$T$13</f>
        <v>2.5383654918563901E-3</v>
      </c>
      <c r="AF82" s="484">
        <f>$T$10+$T$9*AD82</f>
        <v>2.4893531552894997E-3</v>
      </c>
      <c r="AG82" s="437">
        <f>($T$5+$T$4*AD82+$T$3*AD82^2)</f>
        <v>2.4000743778394003E-3</v>
      </c>
    </row>
    <row r="83" spans="8:33" x14ac:dyDescent="0.2">
      <c r="H83" s="448"/>
      <c r="I83" s="448"/>
      <c r="AC83" s="483">
        <f>_xll.qlCalendarAdvance(Calendar,AC82,"1d","mf",,Trigger)</f>
        <v>42003</v>
      </c>
      <c r="AD83" s="476">
        <f>_xll.qlDayCounterYearFraction(DayCounterON,SettlementDate,AC83,,,Trigger)</f>
        <v>0.31780821917808222</v>
      </c>
      <c r="AE83" s="484">
        <f>$T$13</f>
        <v>2.5383654918563901E-3</v>
      </c>
      <c r="AF83" s="484">
        <f>$T$10+$T$9*AD83</f>
        <v>2.4873526517561573E-3</v>
      </c>
      <c r="AG83" s="437">
        <f>($T$5+$T$4*AD83+$T$3*AD83^2)</f>
        <v>2.3985595579929884E-3</v>
      </c>
    </row>
    <row r="84" spans="8:33" x14ac:dyDescent="0.2">
      <c r="H84" s="448"/>
      <c r="I84" s="448"/>
      <c r="AC84" s="483">
        <f>_xll.qlCalendarAdvance(Calendar,AC83,"1d","mf",,Trigger)</f>
        <v>42004</v>
      </c>
      <c r="AD84" s="476">
        <f>_xll.qlDayCounterYearFraction(DayCounterON,SettlementDate,AC84,,,Trigger)</f>
        <v>0.32054794520547947</v>
      </c>
      <c r="AE84" s="484">
        <f>$T$13</f>
        <v>2.5383654918563901E-3</v>
      </c>
      <c r="AF84" s="484">
        <f>$T$10+$T$9*AD84</f>
        <v>2.4853521482228148E-3</v>
      </c>
      <c r="AG84" s="437">
        <f>($T$5+$T$4*AD84+$T$3*AD84^2)</f>
        <v>2.3971050559136479E-3</v>
      </c>
    </row>
    <row r="85" spans="8:33" x14ac:dyDescent="0.2">
      <c r="H85" s="448"/>
      <c r="I85" s="448"/>
      <c r="AC85" s="483">
        <f>_xll.qlCalendarAdvance(Calendar,AC84,"1d","mf",,Trigger)</f>
        <v>42006</v>
      </c>
      <c r="AD85" s="476">
        <f>_xll.qlDayCounterYearFraction(DayCounterON,SettlementDate,AC85,,,Trigger)</f>
        <v>0.32602739726027397</v>
      </c>
      <c r="AE85" s="484">
        <f>$T$13</f>
        <v>2.5383654918563901E-3</v>
      </c>
      <c r="AF85" s="484">
        <f>$T$10+$T$9*AD85</f>
        <v>2.4813511411561303E-3</v>
      </c>
      <c r="AG85" s="437">
        <f>($T$5+$T$4*AD85+$T$3*AD85^2)</f>
        <v>2.3943770050561764E-3</v>
      </c>
    </row>
    <row r="86" spans="8:33" x14ac:dyDescent="0.2">
      <c r="H86" s="448"/>
      <c r="I86" s="448"/>
      <c r="AC86" s="483">
        <f>_xll.qlCalendarAdvance(Calendar,AC85,"1d","mf",,Trigger)</f>
        <v>42009</v>
      </c>
      <c r="AD86" s="476">
        <f>_xll.qlDayCounterYearFraction(DayCounterON,SettlementDate,AC86,,,Trigger)</f>
        <v>0.33424657534246577</v>
      </c>
      <c r="AE86" s="484">
        <f>$T$13</f>
        <v>2.5383654918563901E-3</v>
      </c>
      <c r="AF86" s="484">
        <f>$T$10+$T$9*AD86</f>
        <v>2.4753496305561029E-3</v>
      </c>
      <c r="AG86" s="437">
        <f>($T$5+$T$4*AD86+$T$3*AD86^2)</f>
        <v>2.3907373120229977E-3</v>
      </c>
    </row>
    <row r="87" spans="8:33" x14ac:dyDescent="0.2">
      <c r="H87" s="448"/>
      <c r="I87" s="448"/>
      <c r="AC87" s="483">
        <f>_xll.qlCalendarAdvance(Calendar,AC86,"1d","mf",,Trigger)</f>
        <v>42010</v>
      </c>
      <c r="AD87" s="476">
        <f>_xll.qlDayCounterYearFraction(DayCounterON,SettlementDate,AC87,,,Trigger)</f>
        <v>0.33698630136986302</v>
      </c>
      <c r="AE87" s="484">
        <f>$T$13</f>
        <v>2.5383654918563901E-3</v>
      </c>
      <c r="AF87" s="484">
        <f>$T$10+$T$9*AD87</f>
        <v>2.4733491270227609E-3</v>
      </c>
      <c r="AG87" s="437">
        <f>($T$5+$T$4*AD87+$T$3*AD87^2)</f>
        <v>2.3896447165460783E-3</v>
      </c>
    </row>
    <row r="88" spans="8:33" x14ac:dyDescent="0.2">
      <c r="H88" s="448"/>
      <c r="I88" s="448"/>
      <c r="AC88" s="483">
        <f>_xll.qlCalendarAdvance(Calendar,AC87,"1d","mf",,Trigger)</f>
        <v>42011</v>
      </c>
      <c r="AD88" s="476">
        <f>_xll.qlDayCounterYearFraction(DayCounterON,SettlementDate,AC88,,,Trigger)</f>
        <v>0.33972602739726027</v>
      </c>
      <c r="AE88" s="484">
        <f>$T$13</f>
        <v>2.5383654918563901E-3</v>
      </c>
      <c r="AF88" s="484">
        <f>$T$10+$T$9*AD88</f>
        <v>2.4713486234894185E-3</v>
      </c>
      <c r="AG88" s="437">
        <f>($T$5+$T$4*AD88+$T$3*AD88^2)</f>
        <v>2.3886124388362295E-3</v>
      </c>
    </row>
    <row r="89" spans="8:33" x14ac:dyDescent="0.2">
      <c r="H89" s="448"/>
      <c r="I89" s="448"/>
      <c r="AC89" s="483">
        <f>_xll.qlCalendarAdvance(Calendar,AC88,"1d","mf",,Trigger)</f>
        <v>42012</v>
      </c>
      <c r="AD89" s="476">
        <f>_xll.qlDayCounterYearFraction(DayCounterON,SettlementDate,AC89,,,Trigger)</f>
        <v>0.34246575342465752</v>
      </c>
      <c r="AE89" s="484">
        <f>$T$13</f>
        <v>2.5383654918563901E-3</v>
      </c>
      <c r="AF89" s="484">
        <f>$T$10+$T$9*AD89</f>
        <v>2.469348119956076E-3</v>
      </c>
      <c r="AG89" s="437">
        <f>($T$5+$T$4*AD89+$T$3*AD89^2)</f>
        <v>2.3876404788934517E-3</v>
      </c>
    </row>
    <row r="90" spans="8:33" x14ac:dyDescent="0.2">
      <c r="H90" s="448"/>
      <c r="I90" s="448"/>
      <c r="AC90" s="483">
        <f>_xll.qlCalendarAdvance(Calendar,AC89,"1d","mf",,Trigger)</f>
        <v>42013</v>
      </c>
      <c r="AD90" s="476">
        <f>_xll.qlDayCounterYearFraction(DayCounterON,SettlementDate,AC90,,,Trigger)</f>
        <v>0.34520547945205482</v>
      </c>
      <c r="AE90" s="484">
        <f>$T$13</f>
        <v>2.5383654918563901E-3</v>
      </c>
      <c r="AF90" s="484">
        <f>$T$10+$T$9*AD90</f>
        <v>2.4673476164227335E-3</v>
      </c>
      <c r="AG90" s="437">
        <f>($T$5+$T$4*AD90+$T$3*AD90^2)</f>
        <v>2.3867288367177436E-3</v>
      </c>
    </row>
    <row r="91" spans="8:33" x14ac:dyDescent="0.2">
      <c r="H91" s="448"/>
      <c r="I91" s="448"/>
      <c r="AC91" s="483">
        <f>_xll.qlCalendarAdvance(Calendar,AC90,"1d","mf",,Trigger)</f>
        <v>42016</v>
      </c>
      <c r="AD91" s="476">
        <f>_xll.qlDayCounterYearFraction(DayCounterON,SettlementDate,AC91,,,Trigger)</f>
        <v>0.35342465753424657</v>
      </c>
      <c r="AE91" s="484">
        <f>$T$13</f>
        <v>2.5383654918563901E-3</v>
      </c>
      <c r="AF91" s="484">
        <f>$T$10+$T$9*AD91</f>
        <v>2.4613461058227066E-3</v>
      </c>
      <c r="AG91" s="437">
        <f>($T$5+$T$4*AD91+$T$3*AD91^2)</f>
        <v>2.3843558167930415E-3</v>
      </c>
    </row>
    <row r="92" spans="8:33" x14ac:dyDescent="0.2">
      <c r="H92" s="448"/>
      <c r="I92" s="448"/>
      <c r="AC92" s="483">
        <f>_xll.qlCalendarAdvance(Calendar,AC91,"1d","mf",,Trigger)</f>
        <v>42017</v>
      </c>
      <c r="AD92" s="476">
        <f>_xll.qlDayCounterYearFraction(DayCounterON,SettlementDate,AC92,,,Trigger)</f>
        <v>0.35616438356164382</v>
      </c>
      <c r="AE92" s="484">
        <f>$T$13</f>
        <v>2.5383654918563901E-3</v>
      </c>
      <c r="AF92" s="484">
        <f>$T$10+$T$9*AD92</f>
        <v>2.4593456022893641E-3</v>
      </c>
      <c r="AG92" s="437">
        <f>($T$5+$T$4*AD92+$T$3*AD92^2)</f>
        <v>2.3836854456856151E-3</v>
      </c>
    </row>
    <row r="93" spans="8:33" x14ac:dyDescent="0.2">
      <c r="H93" s="448"/>
      <c r="I93" s="448"/>
      <c r="AC93" s="483">
        <f>_xll.qlCalendarAdvance(Calendar,AC92,"1d","mf",,Trigger)</f>
        <v>42018</v>
      </c>
      <c r="AD93" s="476">
        <f>_xll.qlDayCounterYearFraction(DayCounterON,SettlementDate,AC93,,,Trigger)</f>
        <v>0.35890410958904112</v>
      </c>
      <c r="AE93" s="484">
        <f>$T$13</f>
        <v>2.5383654918563901E-3</v>
      </c>
      <c r="AF93" s="484">
        <f>$T$10+$T$9*AD93</f>
        <v>2.4573450987560217E-3</v>
      </c>
      <c r="AG93" s="437">
        <f>($T$5+$T$4*AD93+$T$3*AD93^2)</f>
        <v>2.3830753923452588E-3</v>
      </c>
    </row>
    <row r="94" spans="8:33" x14ac:dyDescent="0.2">
      <c r="H94" s="448"/>
      <c r="I94" s="448"/>
      <c r="AC94" s="483">
        <f>_xll.qlCalendarAdvance(Calendar,AC93,"1d","mf",,Trigger)</f>
        <v>42019</v>
      </c>
      <c r="AD94" s="476">
        <f>_xll.qlDayCounterYearFraction(DayCounterON,SettlementDate,AC94,,,Trigger)</f>
        <v>0.36164383561643837</v>
      </c>
      <c r="AE94" s="484">
        <f>$T$13</f>
        <v>2.5383654918563901E-3</v>
      </c>
      <c r="AF94" s="484">
        <f>$T$10+$T$9*AD94</f>
        <v>2.4553445952226792E-3</v>
      </c>
      <c r="AG94" s="437">
        <f>($T$5+$T$4*AD94+$T$3*AD94^2)</f>
        <v>2.3825256567719727E-3</v>
      </c>
    </row>
    <row r="95" spans="8:33" x14ac:dyDescent="0.2">
      <c r="H95" s="448"/>
      <c r="I95" s="448"/>
      <c r="AC95" s="483">
        <f>_xll.qlCalendarAdvance(Calendar,AC94,"1d","mf",,Trigger)</f>
        <v>42020</v>
      </c>
      <c r="AD95" s="476">
        <f>_xll.qlDayCounterYearFraction(DayCounterON,SettlementDate,AC95,,,Trigger)</f>
        <v>0.36438356164383562</v>
      </c>
      <c r="AE95" s="484">
        <f>$T$13</f>
        <v>2.5383654918563901E-3</v>
      </c>
      <c r="AF95" s="484">
        <f>$T$10+$T$9*AD95</f>
        <v>2.4533440916893368E-3</v>
      </c>
      <c r="AG95" s="437">
        <f>($T$5+$T$4*AD95+$T$3*AD95^2)</f>
        <v>2.382036238965757E-3</v>
      </c>
    </row>
    <row r="96" spans="8:33" x14ac:dyDescent="0.2">
      <c r="H96" s="448"/>
      <c r="I96" s="448"/>
      <c r="AC96" s="483">
        <f>_xll.qlCalendarAdvance(Calendar,AC95,"1d","mf",,Trigger)</f>
        <v>42023</v>
      </c>
      <c r="AD96" s="476">
        <f>_xll.qlDayCounterYearFraction(DayCounterON,SettlementDate,AC96,,,Trigger)</f>
        <v>0.37260273972602742</v>
      </c>
      <c r="AE96" s="484">
        <f>$T$13</f>
        <v>2.5383654918563901E-3</v>
      </c>
      <c r="AF96" s="484">
        <f>$T$10+$T$9*AD96</f>
        <v>2.4473425810893098E-3</v>
      </c>
      <c r="AG96" s="437">
        <f>($T$5+$T$4*AD96+$T$3*AD96^2)</f>
        <v>2.3809298921495326E-3</v>
      </c>
    </row>
    <row r="97" spans="8:33" x14ac:dyDescent="0.2">
      <c r="H97" s="448"/>
      <c r="I97" s="448"/>
      <c r="AC97" s="483">
        <f>_xll.qlCalendarAdvance(Calendar,AC96,"1d","mf",,Trigger)</f>
        <v>42024</v>
      </c>
      <c r="AD97" s="476">
        <f>_xll.qlDayCounterYearFraction(DayCounterON,SettlementDate,AC97,,,Trigger)</f>
        <v>0.37534246575342467</v>
      </c>
      <c r="AE97" s="484">
        <f>$T$13</f>
        <v>2.5383654918563901E-3</v>
      </c>
      <c r="AF97" s="484">
        <f>$T$10+$T$9*AD97</f>
        <v>2.4453420775559674E-3</v>
      </c>
      <c r="AG97" s="437">
        <f>($T$5+$T$4*AD97+$T$3*AD97^2)</f>
        <v>2.3806817454115978E-3</v>
      </c>
    </row>
    <row r="98" spans="8:33" x14ac:dyDescent="0.2">
      <c r="H98" s="448"/>
      <c r="I98" s="448"/>
      <c r="AC98" s="483">
        <f>_xll.qlCalendarAdvance(Calendar,AC97,"1d","mf",,Trigger)</f>
        <v>42025</v>
      </c>
      <c r="AD98" s="476">
        <f>_xll.qlDayCounterYearFraction(DayCounterON,SettlementDate,AC98,,,Trigger)</f>
        <v>0.37808219178082192</v>
      </c>
      <c r="AE98" s="484">
        <f>$T$13</f>
        <v>2.5383654918563901E-3</v>
      </c>
      <c r="AF98" s="484">
        <f>$T$10+$T$9*AD98</f>
        <v>2.4433415740226249E-3</v>
      </c>
      <c r="AG98" s="437">
        <f>($T$5+$T$4*AD98+$T$3*AD98^2)</f>
        <v>2.3804939164407345E-3</v>
      </c>
    </row>
    <row r="99" spans="8:33" x14ac:dyDescent="0.2">
      <c r="H99" s="448"/>
      <c r="I99" s="448"/>
      <c r="AC99" s="483">
        <f>_xll.qlCalendarAdvance(Calendar,AC98,"1d","mf",,Trigger)</f>
        <v>42026</v>
      </c>
      <c r="AD99" s="476">
        <f>_xll.qlDayCounterYearFraction(DayCounterON,SettlementDate,AC99,,,Trigger)</f>
        <v>0.38082191780821917</v>
      </c>
      <c r="AE99" s="484">
        <f>$T$13</f>
        <v>2.5383654918563901E-3</v>
      </c>
      <c r="AF99" s="484">
        <f>$T$10+$T$9*AD99</f>
        <v>2.4413410704892825E-3</v>
      </c>
      <c r="AG99" s="437">
        <f>($T$5+$T$4*AD99+$T$3*AD99^2)</f>
        <v>2.3803664052369409E-3</v>
      </c>
    </row>
    <row r="100" spans="8:33" x14ac:dyDescent="0.2">
      <c r="H100" s="448"/>
      <c r="I100" s="448"/>
      <c r="AC100" s="483">
        <f>_xll.qlCalendarAdvance(Calendar,AC99,"1d","mf",,Trigger)</f>
        <v>42027</v>
      </c>
      <c r="AD100" s="476">
        <f>_xll.qlDayCounterYearFraction(DayCounterON,SettlementDate,AC100,,,Trigger)</f>
        <v>0.38356164383561642</v>
      </c>
      <c r="AE100" s="484">
        <f>$T$13</f>
        <v>2.5383654918563901E-3</v>
      </c>
      <c r="AF100" s="484">
        <f>$T$10+$T$9*AD100</f>
        <v>2.43934056695594E-3</v>
      </c>
      <c r="AG100" s="437">
        <f>($T$5+$T$4*AD100+$T$3*AD100^2)</f>
        <v>2.3802992118002178E-3</v>
      </c>
    </row>
    <row r="101" spans="8:33" x14ac:dyDescent="0.2">
      <c r="H101" s="448"/>
      <c r="I101" s="448"/>
      <c r="AC101" s="483">
        <f>_xll.qlCalendarAdvance(Calendar,AC100,"1d","mf",,Trigger)</f>
        <v>42030</v>
      </c>
      <c r="AD101" s="476">
        <f>_xll.qlDayCounterYearFraction(DayCounterON,SettlementDate,AC101,,,Trigger)</f>
        <v>0.39178082191780822</v>
      </c>
      <c r="AE101" s="484">
        <f>$T$13</f>
        <v>2.5383654918563901E-3</v>
      </c>
      <c r="AF101" s="484">
        <f>$T$10+$T$9*AD101</f>
        <v>2.4333390563559131E-3</v>
      </c>
      <c r="AG101" s="437">
        <f>($T$5+$T$4*AD101+$T$3*AD101^2)</f>
        <v>2.38045953809247E-3</v>
      </c>
    </row>
    <row r="102" spans="8:33" x14ac:dyDescent="0.2">
      <c r="H102" s="448"/>
      <c r="I102" s="448"/>
      <c r="AC102" s="483">
        <f>_xll.qlCalendarAdvance(Calendar,AC101,"1d","mf",,Trigger)</f>
        <v>42031</v>
      </c>
      <c r="AD102" s="476">
        <f>_xll.qlDayCounterYearFraction(DayCounterON,SettlementDate,AC102,,,Trigger)</f>
        <v>0.39452054794520547</v>
      </c>
      <c r="AE102" s="484">
        <f>$T$13</f>
        <v>2.5383654918563901E-3</v>
      </c>
      <c r="AF102" s="484">
        <f>$T$10+$T$9*AD102</f>
        <v>2.4313385528225706E-3</v>
      </c>
      <c r="AG102" s="437">
        <f>($T$5+$T$4*AD102+$T$3*AD102^2)</f>
        <v>2.3806336157240282E-3</v>
      </c>
    </row>
    <row r="103" spans="8:33" x14ac:dyDescent="0.2">
      <c r="H103" s="448"/>
      <c r="I103" s="448"/>
      <c r="AC103" s="483">
        <f>_xll.qlCalendarAdvance(Calendar,AC102,"1d","mf",,Trigger)</f>
        <v>42032</v>
      </c>
      <c r="AD103" s="476">
        <f>_xll.qlDayCounterYearFraction(DayCounterON,SettlementDate,AC103,,,Trigger)</f>
        <v>0.39726027397260272</v>
      </c>
      <c r="AE103" s="484">
        <f>$T$13</f>
        <v>2.5383654918563901E-3</v>
      </c>
      <c r="AF103" s="484">
        <f>$T$10+$T$9*AD103</f>
        <v>2.4293380492892282E-3</v>
      </c>
      <c r="AG103" s="437">
        <f>($T$5+$T$4*AD103+$T$3*AD103^2)</f>
        <v>2.3808680111226566E-3</v>
      </c>
    </row>
    <row r="104" spans="8:33" x14ac:dyDescent="0.2">
      <c r="H104" s="448"/>
      <c r="I104" s="448"/>
      <c r="AC104" s="483">
        <f>_xll.qlCalendarAdvance(Calendar,AC103,"1d","mf",,Trigger)</f>
        <v>42033</v>
      </c>
      <c r="AD104" s="476">
        <f>_xll.qlDayCounterYearFraction(DayCounterON,SettlementDate,AC104,,,Trigger)</f>
        <v>0.4</v>
      </c>
      <c r="AE104" s="484">
        <f>$T$13</f>
        <v>2.5383654918563901E-3</v>
      </c>
      <c r="AF104" s="484">
        <f>$T$10+$T$9*AD104</f>
        <v>2.4273375457558857E-3</v>
      </c>
      <c r="AG104" s="437">
        <f>($T$5+$T$4*AD104+$T$3*AD104^2)</f>
        <v>2.3811627242883555E-3</v>
      </c>
    </row>
    <row r="105" spans="8:33" x14ac:dyDescent="0.2">
      <c r="H105" s="448"/>
      <c r="I105" s="448"/>
      <c r="AC105" s="483">
        <f>_xll.qlCalendarAdvance(Calendar,AC104,"1d","mf",,Trigger)</f>
        <v>42034</v>
      </c>
      <c r="AD105" s="476">
        <f>_xll.qlDayCounterYearFraction(DayCounterON,SettlementDate,AC105,,,Trigger)</f>
        <v>0.40273972602739727</v>
      </c>
      <c r="AE105" s="484">
        <f>$T$13</f>
        <v>2.5383654918563901E-3</v>
      </c>
      <c r="AF105" s="484">
        <f>$T$10+$T$9*AD105</f>
        <v>2.4253370422225437E-3</v>
      </c>
      <c r="AG105" s="437">
        <f>($T$5+$T$4*AD105+$T$3*AD105^2)</f>
        <v>2.3815177552211244E-3</v>
      </c>
    </row>
    <row r="106" spans="8:33" x14ac:dyDescent="0.2">
      <c r="H106" s="448"/>
      <c r="I106" s="448"/>
      <c r="AC106" s="483">
        <f>_xll.qlCalendarAdvance(Calendar,AC105,"1d","mf",,Trigger)</f>
        <v>42037</v>
      </c>
      <c r="AD106" s="476">
        <f>_xll.qlDayCounterYearFraction(DayCounterON,SettlementDate,AC106,,,Trigger)</f>
        <v>0.41095890410958902</v>
      </c>
      <c r="AE106" s="484">
        <f>$T$13</f>
        <v>2.5383654918563901E-3</v>
      </c>
      <c r="AF106" s="484">
        <f>$T$10+$T$9*AD106</f>
        <v>2.4193355316225163E-3</v>
      </c>
      <c r="AG106" s="437">
        <f>($T$5+$T$4*AD106+$T$3*AD106^2)</f>
        <v>2.3829447546218543E-3</v>
      </c>
    </row>
    <row r="107" spans="8:33" x14ac:dyDescent="0.2">
      <c r="H107" s="448"/>
      <c r="I107" s="448"/>
      <c r="AC107" s="483">
        <f>_xll.qlCalendarAdvance(Calendar,AC106,"1d","mf",,Trigger)</f>
        <v>42038</v>
      </c>
      <c r="AD107" s="476">
        <f>_xll.qlDayCounterYearFraction(DayCounterON,SettlementDate,AC107,,,Trigger)</f>
        <v>0.41369863013698632</v>
      </c>
      <c r="AE107" s="484">
        <f>$T$13</f>
        <v>2.5383654918563901E-3</v>
      </c>
      <c r="AF107" s="484">
        <f>$T$10+$T$9*AD107</f>
        <v>2.4173350280891738E-3</v>
      </c>
      <c r="AG107" s="437">
        <f>($T$5+$T$4*AD107+$T$3*AD107^2)</f>
        <v>2.3835410566229046E-3</v>
      </c>
    </row>
    <row r="108" spans="8:33" x14ac:dyDescent="0.2">
      <c r="H108" s="448"/>
      <c r="I108" s="448"/>
      <c r="AC108" s="483">
        <f>_xll.qlCalendarAdvance(Calendar,AC107,"1d","mf",,Trigger)</f>
        <v>42039</v>
      </c>
      <c r="AD108" s="476">
        <f>_xll.qlDayCounterYearFraction(DayCounterON,SettlementDate,AC108,,,Trigger)</f>
        <v>0.41643835616438357</v>
      </c>
      <c r="AE108" s="484">
        <f>$T$13</f>
        <v>2.5383654918563901E-3</v>
      </c>
      <c r="AF108" s="484">
        <f>$T$10+$T$9*AD108</f>
        <v>2.4153345245558314E-3</v>
      </c>
      <c r="AG108" s="437">
        <f>($T$5+$T$4*AD108+$T$3*AD108^2)</f>
        <v>2.3841976763910254E-3</v>
      </c>
    </row>
    <row r="109" spans="8:33" x14ac:dyDescent="0.2">
      <c r="H109" s="448"/>
      <c r="I109" s="448"/>
      <c r="AC109" s="483">
        <f>_xll.qlCalendarAdvance(Calendar,AC108,"1d","mf",,Trigger)</f>
        <v>42040</v>
      </c>
      <c r="AD109" s="476">
        <f>_xll.qlDayCounterYearFraction(DayCounterON,SettlementDate,AC109,,,Trigger)</f>
        <v>0.41917808219178082</v>
      </c>
      <c r="AE109" s="484">
        <f>$T$13</f>
        <v>2.5383654918563901E-3</v>
      </c>
      <c r="AF109" s="484">
        <f>$T$10+$T$9*AD109</f>
        <v>2.4133340210224894E-3</v>
      </c>
      <c r="AG109" s="437">
        <f>($T$5+$T$4*AD109+$T$3*AD109^2)</f>
        <v>2.3849146139262169E-3</v>
      </c>
    </row>
    <row r="110" spans="8:33" x14ac:dyDescent="0.2">
      <c r="H110" s="448"/>
      <c r="I110" s="448"/>
      <c r="AC110" s="483">
        <f>_xll.qlCalendarAdvance(Calendar,AC109,"1d","mf",,Trigger)</f>
        <v>42041</v>
      </c>
      <c r="AD110" s="476">
        <f>_xll.qlDayCounterYearFraction(DayCounterON,SettlementDate,AC110,,,Trigger)</f>
        <v>0.42191780821917807</v>
      </c>
      <c r="AE110" s="484">
        <f>$T$13</f>
        <v>2.5383654918563901E-3</v>
      </c>
      <c r="AF110" s="484">
        <f>$T$10+$T$9*AD110</f>
        <v>2.4113335174891469E-3</v>
      </c>
      <c r="AG110" s="437">
        <f>($T$5+$T$4*AD110+$T$3*AD110^2)</f>
        <v>2.3856918692284784E-3</v>
      </c>
    </row>
    <row r="111" spans="8:33" x14ac:dyDescent="0.2">
      <c r="H111" s="448"/>
      <c r="I111" s="448"/>
      <c r="AC111" s="483">
        <f>_xll.qlCalendarAdvance(Calendar,AC110,"1d","mf",,Trigger)</f>
        <v>42044</v>
      </c>
      <c r="AD111" s="476">
        <f>_xll.qlDayCounterYearFraction(DayCounterON,SettlementDate,AC111,,,Trigger)</f>
        <v>0.43013698630136987</v>
      </c>
      <c r="AE111" s="484">
        <f>$T$13</f>
        <v>2.5383654918563901E-3</v>
      </c>
      <c r="AF111" s="484">
        <f>$T$10+$T$9*AD111</f>
        <v>2.4053320068891195E-3</v>
      </c>
      <c r="AG111" s="437">
        <f>($T$5+$T$4*AD111+$T$3*AD111^2)</f>
        <v>2.3883855417376849E-3</v>
      </c>
    </row>
    <row r="112" spans="8:33" x14ac:dyDescent="0.2">
      <c r="H112" s="448"/>
      <c r="I112" s="448"/>
      <c r="AC112" s="483">
        <f>_xll.qlCalendarAdvance(Calendar,AC111,"1d","mf",,Trigger)</f>
        <v>42045</v>
      </c>
      <c r="AD112" s="476">
        <f>_xll.qlDayCounterYearFraction(DayCounterON,SettlementDate,AC112,,,Trigger)</f>
        <v>0.43287671232876712</v>
      </c>
      <c r="AE112" s="484">
        <f>$T$13</f>
        <v>2.5383654918563901E-3</v>
      </c>
      <c r="AF112" s="484">
        <f>$T$10+$T$9*AD112</f>
        <v>2.4033315033557771E-3</v>
      </c>
      <c r="AG112" s="437">
        <f>($T$5+$T$4*AD112+$T$3*AD112^2)</f>
        <v>2.3894040681082277E-3</v>
      </c>
    </row>
    <row r="113" spans="8:33" x14ac:dyDescent="0.2">
      <c r="H113" s="448"/>
      <c r="I113" s="448"/>
      <c r="AC113" s="483">
        <f>_xll.qlCalendarAdvance(Calendar,AC112,"1d","mf",,Trigger)</f>
        <v>42046</v>
      </c>
      <c r="AD113" s="476">
        <f>_xll.qlDayCounterYearFraction(DayCounterON,SettlementDate,AC113,,,Trigger)</f>
        <v>0.43561643835616437</v>
      </c>
      <c r="AE113" s="484">
        <f>$T$13</f>
        <v>2.5383654918563901E-3</v>
      </c>
      <c r="AF113" s="484">
        <f>$T$10+$T$9*AD113</f>
        <v>2.401330999822435E-3</v>
      </c>
      <c r="AG113" s="437">
        <f>($T$5+$T$4*AD113+$T$3*AD113^2)</f>
        <v>2.3904829122458411E-3</v>
      </c>
    </row>
    <row r="114" spans="8:33" x14ac:dyDescent="0.2">
      <c r="H114" s="448"/>
      <c r="I114" s="448"/>
      <c r="AC114" s="483">
        <f>_xll.qlCalendarAdvance(Calendar,AC113,"1d","mf",,Trigger)</f>
        <v>42047</v>
      </c>
      <c r="AD114" s="476">
        <f>_xll.qlDayCounterYearFraction(DayCounterON,SettlementDate,AC114,,,Trigger)</f>
        <v>0.43835616438356162</v>
      </c>
      <c r="AE114" s="484">
        <f>$T$13</f>
        <v>2.5383654918563901E-3</v>
      </c>
      <c r="AF114" s="484">
        <f>$T$10+$T$9*AD114</f>
        <v>2.3993304962890926E-3</v>
      </c>
      <c r="AG114" s="437">
        <f>($T$5+$T$4*AD114+$T$3*AD114^2)</f>
        <v>2.3916220741505246E-3</v>
      </c>
    </row>
    <row r="115" spans="8:33" x14ac:dyDescent="0.2">
      <c r="H115" s="425"/>
      <c r="I115" s="448"/>
      <c r="AC115" s="483">
        <f>_xll.qlCalendarAdvance(Calendar,AC114,"1d","mf",,Trigger)</f>
        <v>42048</v>
      </c>
      <c r="AD115" s="476">
        <f>_xll.qlDayCounterYearFraction(DayCounterON,SettlementDate,AC115,,,Trigger)</f>
        <v>0.44109589041095892</v>
      </c>
      <c r="AE115" s="484">
        <f>$T$13</f>
        <v>2.5383654918563901E-3</v>
      </c>
      <c r="AF115" s="484">
        <f>$T$10+$T$9*AD115</f>
        <v>2.3973299927557501E-3</v>
      </c>
      <c r="AG115" s="437">
        <f>($T$5+$T$4*AD115+$T$3*AD115^2)</f>
        <v>2.3928215538222787E-3</v>
      </c>
    </row>
    <row r="116" spans="8:33" x14ac:dyDescent="0.2">
      <c r="H116" s="425"/>
      <c r="I116" s="448"/>
      <c r="AC116" s="483">
        <f>_xll.qlCalendarAdvance(Calendar,AC115,"1d","mf",,Trigger)</f>
        <v>42051</v>
      </c>
      <c r="AD116" s="476">
        <f>_xll.qlDayCounterYearFraction(DayCounterON,SettlementDate,AC116,,,Trigger)</f>
        <v>0.44931506849315067</v>
      </c>
      <c r="AE116" s="484">
        <f>$T$13</f>
        <v>2.5383654918563901E-3</v>
      </c>
      <c r="AF116" s="484">
        <f>$T$10+$T$9*AD116</f>
        <v>2.3913284821557228E-3</v>
      </c>
      <c r="AG116" s="437">
        <f>($T$5+$T$4*AD116+$T$3*AD116^2)</f>
        <v>2.3967818994399624E-3</v>
      </c>
    </row>
    <row r="117" spans="8:33" x14ac:dyDescent="0.2">
      <c r="H117" s="425"/>
      <c r="I117" s="448"/>
      <c r="AC117" s="483">
        <f>_xll.qlCalendarAdvance(Calendar,AC116,"1d","mf",,Trigger)</f>
        <v>42052</v>
      </c>
      <c r="AD117" s="476">
        <f>_xll.qlDayCounterYearFraction(DayCounterON,SettlementDate,AC117,,,Trigger)</f>
        <v>0.45205479452054792</v>
      </c>
      <c r="AE117" s="484">
        <f>$T$13</f>
        <v>2.5383654918563901E-3</v>
      </c>
      <c r="AF117" s="484">
        <f>$T$10+$T$9*AD117</f>
        <v>2.3893279786223807E-3</v>
      </c>
      <c r="AG117" s="437">
        <f>($T$5+$T$4*AD117+$T$3*AD117^2)</f>
        <v>2.3982226501799977E-3</v>
      </c>
    </row>
    <row r="118" spans="8:33" x14ac:dyDescent="0.2">
      <c r="H118" s="425"/>
      <c r="I118" s="448"/>
      <c r="AC118" s="483">
        <f>_xll.qlCalendarAdvance(Calendar,AC117,"1d","mf",,Trigger)</f>
        <v>42053</v>
      </c>
      <c r="AD118" s="476">
        <f>_xll.qlDayCounterYearFraction(DayCounterON,SettlementDate,AC118,,,Trigger)</f>
        <v>0.45479452054794522</v>
      </c>
      <c r="AE118" s="484">
        <f>$T$13</f>
        <v>2.5383654918563901E-3</v>
      </c>
      <c r="AF118" s="484">
        <f>$T$10+$T$9*AD118</f>
        <v>2.3873274750890383E-3</v>
      </c>
      <c r="AG118" s="437">
        <f>($T$5+$T$4*AD118+$T$3*AD118^2)</f>
        <v>2.3997237186871032E-3</v>
      </c>
    </row>
    <row r="119" spans="8:33" x14ac:dyDescent="0.2">
      <c r="H119" s="425"/>
      <c r="I119" s="448"/>
      <c r="AC119" s="483">
        <f>_xll.qlCalendarAdvance(Calendar,AC118,"1d","mf",,Trigger)</f>
        <v>42054</v>
      </c>
      <c r="AD119" s="476">
        <f>_xll.qlDayCounterYearFraction(DayCounterON,SettlementDate,AC119,,,Trigger)</f>
        <v>0.45753424657534247</v>
      </c>
      <c r="AE119" s="484">
        <f>$T$13</f>
        <v>2.5383654918563901E-3</v>
      </c>
      <c r="AF119" s="484">
        <f>$T$10+$T$9*AD119</f>
        <v>2.3853269715556958E-3</v>
      </c>
      <c r="AG119" s="437">
        <f>($T$5+$T$4*AD119+$T$3*AD119^2)</f>
        <v>2.4012851049612792E-3</v>
      </c>
    </row>
    <row r="120" spans="8:33" x14ac:dyDescent="0.2">
      <c r="H120" s="425"/>
      <c r="I120" s="448"/>
      <c r="AC120" s="483">
        <f>_xll.qlCalendarAdvance(Calendar,AC119,"1d","mf",,Trigger)</f>
        <v>42055</v>
      </c>
      <c r="AD120" s="476">
        <f>_xll.qlDayCounterYearFraction(DayCounterON,SettlementDate,AC120,,,Trigger)</f>
        <v>0.46027397260273972</v>
      </c>
      <c r="AE120" s="484">
        <f>$T$13</f>
        <v>2.5383654918563901E-3</v>
      </c>
      <c r="AF120" s="484">
        <f>$T$10+$T$9*AD120</f>
        <v>2.3833264680223534E-3</v>
      </c>
      <c r="AG120" s="437">
        <f>($T$5+$T$4*AD120+$T$3*AD120^2)</f>
        <v>2.4029068090025258E-3</v>
      </c>
    </row>
    <row r="121" spans="8:33" x14ac:dyDescent="0.2">
      <c r="H121" s="425"/>
      <c r="I121" s="425"/>
      <c r="AC121" s="483">
        <f>_xll.qlCalendarAdvance(Calendar,AC120,"1d","mf",,Trigger)</f>
        <v>42058</v>
      </c>
      <c r="AD121" s="476">
        <f>_xll.qlDayCounterYearFraction(DayCounterON,SettlementDate,AC121,,,Trigger)</f>
        <v>0.46849315068493153</v>
      </c>
      <c r="AE121" s="484">
        <f>$T$13</f>
        <v>2.5383654918563901E-3</v>
      </c>
      <c r="AF121" s="484">
        <f>$T$10+$T$9*AD121</f>
        <v>2.3773249574223264E-3</v>
      </c>
      <c r="AG121" s="437">
        <f>($T$5+$T$4*AD121+$T$3*AD121^2)</f>
        <v>2.4081338277286866E-3</v>
      </c>
    </row>
    <row r="122" spans="8:33" x14ac:dyDescent="0.2">
      <c r="H122" s="425"/>
      <c r="I122" s="425"/>
      <c r="AC122" s="483">
        <f>_xll.qlCalendarAdvance(Calendar,AC121,"1d","mf",,Trigger)</f>
        <v>42059</v>
      </c>
      <c r="AD122" s="476">
        <f>_xll.qlDayCounterYearFraction(DayCounterON,SettlementDate,AC122,,,Trigger)</f>
        <v>0.47123287671232877</v>
      </c>
      <c r="AE122" s="484">
        <f>$T$13</f>
        <v>2.5383654918563901E-3</v>
      </c>
      <c r="AF122" s="484">
        <f>$T$10+$T$9*AD122</f>
        <v>2.375324453888984E-3</v>
      </c>
      <c r="AG122" s="437">
        <f>($T$5+$T$4*AD122+$T$3*AD122^2)</f>
        <v>2.4099968028382145E-3</v>
      </c>
    </row>
    <row r="123" spans="8:33" x14ac:dyDescent="0.2">
      <c r="H123" s="425"/>
      <c r="I123" s="425"/>
      <c r="AC123" s="483">
        <f>_xll.qlCalendarAdvance(Calendar,AC122,"1d","mf",,Trigger)</f>
        <v>42060</v>
      </c>
      <c r="AD123" s="476">
        <f>_xll.qlDayCounterYearFraction(DayCounterON,SettlementDate,AC123,,,Trigger)</f>
        <v>0.47397260273972602</v>
      </c>
      <c r="AE123" s="484">
        <f>$T$13</f>
        <v>2.5383654918563901E-3</v>
      </c>
      <c r="AF123" s="484">
        <f>$T$10+$T$9*AD123</f>
        <v>2.3733239503556415E-3</v>
      </c>
      <c r="AG123" s="437">
        <f>($T$5+$T$4*AD123+$T$3*AD123^2)</f>
        <v>2.4119200957148125E-3</v>
      </c>
    </row>
    <row r="124" spans="8:33" x14ac:dyDescent="0.2">
      <c r="H124" s="425"/>
      <c r="I124" s="425"/>
      <c r="AC124" s="483">
        <f>_xll.qlCalendarAdvance(Calendar,AC123,"1d","mf",,Trigger)</f>
        <v>42061</v>
      </c>
      <c r="AD124" s="476">
        <f>_xll.qlDayCounterYearFraction(DayCounterON,SettlementDate,AC124,,,Trigger)</f>
        <v>0.47671232876712327</v>
      </c>
      <c r="AE124" s="484">
        <f>$T$13</f>
        <v>2.5383654918563901E-3</v>
      </c>
      <c r="AF124" s="484">
        <f>$T$10+$T$9*AD124</f>
        <v>2.371323446822299E-3</v>
      </c>
      <c r="AG124" s="437">
        <f>($T$5+$T$4*AD124+$T$3*AD124^2)</f>
        <v>2.4139037063584806E-3</v>
      </c>
    </row>
    <row r="125" spans="8:33" x14ac:dyDescent="0.2">
      <c r="H125" s="425"/>
      <c r="I125" s="425"/>
      <c r="AC125" s="483">
        <f>_xll.qlCalendarAdvance(Calendar,AC124,"1d","mf",,Trigger)</f>
        <v>42062</v>
      </c>
      <c r="AD125" s="476">
        <f>_xll.qlDayCounterYearFraction(DayCounterON,SettlementDate,AC125,,,Trigger)</f>
        <v>0.47945205479452052</v>
      </c>
      <c r="AE125" s="484">
        <f>$T$13</f>
        <v>2.5383654918563901E-3</v>
      </c>
      <c r="AF125" s="484">
        <f>$T$10+$T$9*AD125</f>
        <v>2.3693229432889566E-3</v>
      </c>
      <c r="AG125" s="437">
        <f>($T$5+$T$4*AD125+$T$3*AD125^2)</f>
        <v>2.4159476347692193E-3</v>
      </c>
    </row>
    <row r="126" spans="8:33" x14ac:dyDescent="0.2">
      <c r="H126" s="425"/>
      <c r="I126" s="425"/>
      <c r="AC126" s="483">
        <f>_xll.qlCalendarAdvance(Calendar,AC125,"1d","mf",,Trigger)</f>
        <v>42065</v>
      </c>
      <c r="AD126" s="476">
        <f>_xll.qlDayCounterYearFraction(DayCounterON,SettlementDate,AC126,,,Trigger)</f>
        <v>0.48767123287671232</v>
      </c>
      <c r="AE126" s="484">
        <f>$T$13</f>
        <v>2.5383654918563901E-3</v>
      </c>
      <c r="AF126" s="484">
        <f>$T$10+$T$9*AD126</f>
        <v>2.3633214326889296E-3</v>
      </c>
      <c r="AG126" s="437">
        <f>($T$5+$T$4*AD126+$T$3*AD126^2)</f>
        <v>2.4224413266038577E-3</v>
      </c>
    </row>
    <row r="127" spans="8:33" x14ac:dyDescent="0.2">
      <c r="H127" s="425"/>
      <c r="I127" s="425"/>
      <c r="AC127" s="483">
        <f>_xll.qlCalendarAdvance(Calendar,AC126,"1d","mf",,Trigger)</f>
        <v>42066</v>
      </c>
      <c r="AD127" s="476">
        <f>_xll.qlDayCounterYearFraction(DayCounterON,SettlementDate,AC127,,,Trigger)</f>
        <v>0.49041095890410957</v>
      </c>
      <c r="AE127" s="484">
        <f>$T$13</f>
        <v>2.5383654918563901E-3</v>
      </c>
      <c r="AF127" s="484">
        <f>$T$10+$T$9*AD127</f>
        <v>2.3613209291555872E-3</v>
      </c>
      <c r="AG127" s="437">
        <f>($T$5+$T$4*AD127+$T$3*AD127^2)</f>
        <v>2.4247265260828777E-3</v>
      </c>
    </row>
    <row r="128" spans="8:33" x14ac:dyDescent="0.2">
      <c r="H128" s="425"/>
      <c r="I128" s="425"/>
      <c r="AC128" s="483">
        <f>_xll.qlCalendarAdvance(Calendar,AC127,"1d","mf",,Trigger)</f>
        <v>42067</v>
      </c>
      <c r="AD128" s="476">
        <f>_xll.qlDayCounterYearFraction(DayCounterON,SettlementDate,AC128,,,Trigger)</f>
        <v>0.49315068493150682</v>
      </c>
      <c r="AE128" s="484">
        <f>$T$13</f>
        <v>2.5383654918563901E-3</v>
      </c>
      <c r="AF128" s="484">
        <f>$T$10+$T$9*AD128</f>
        <v>2.3593204256222447E-3</v>
      </c>
      <c r="AG128" s="437">
        <f>($T$5+$T$4*AD128+$T$3*AD128^2)</f>
        <v>2.4270720433289678E-3</v>
      </c>
    </row>
    <row r="129" spans="8:33" x14ac:dyDescent="0.2">
      <c r="H129" s="425"/>
      <c r="I129" s="425"/>
      <c r="AC129" s="483">
        <f>_xll.qlCalendarAdvance(Calendar,AC128,"1d","mf",,Trigger)</f>
        <v>42068</v>
      </c>
      <c r="AD129" s="476">
        <f>_xll.qlDayCounterYearFraction(DayCounterON,SettlementDate,AC129,,,Trigger)</f>
        <v>0.49589041095890413</v>
      </c>
      <c r="AE129" s="484">
        <f>$T$13</f>
        <v>2.5383654918563901E-3</v>
      </c>
      <c r="AF129" s="484">
        <f>$T$10+$T$9*AD129</f>
        <v>2.3573199220889023E-3</v>
      </c>
      <c r="AG129" s="437">
        <f>($T$5+$T$4*AD129+$T$3*AD129^2)</f>
        <v>2.4294778783421288E-3</v>
      </c>
    </row>
    <row r="130" spans="8:33" x14ac:dyDescent="0.2">
      <c r="H130" s="425"/>
      <c r="I130" s="425"/>
      <c r="AC130" s="483">
        <f>_xll.qlCalendarAdvance(Calendar,AC129,"1d","mf",,Trigger)</f>
        <v>42069</v>
      </c>
      <c r="AD130" s="476">
        <f>_xll.qlDayCounterYearFraction(DayCounterON,SettlementDate,AC130,,,Trigger)</f>
        <v>0.49863013698630138</v>
      </c>
      <c r="AE130" s="484">
        <f>$T$13</f>
        <v>2.5383654918563901E-3</v>
      </c>
      <c r="AF130" s="484">
        <f>$T$10+$T$9*AD130</f>
        <v>2.3553194185555598E-3</v>
      </c>
      <c r="AG130" s="437">
        <f>($T$5+$T$4*AD130+$T$3*AD130^2)</f>
        <v>2.43194403112236E-3</v>
      </c>
    </row>
    <row r="131" spans="8:33" x14ac:dyDescent="0.2">
      <c r="I131" s="425"/>
      <c r="AC131" s="483">
        <f>_xll.qlCalendarAdvance(Calendar,AC130,"1d","mf",,Trigger)</f>
        <v>42072</v>
      </c>
      <c r="AD131" s="476">
        <f>_xll.qlDayCounterYearFraction(DayCounterON,SettlementDate,AC131,,,Trigger)</f>
        <v>0.50684931506849318</v>
      </c>
      <c r="AE131" s="484">
        <f>$T$13</f>
        <v>2.5383654918563901E-3</v>
      </c>
      <c r="AF131" s="484">
        <f>$T$10+$T$9*AD131</f>
        <v>2.3493179079555329E-3</v>
      </c>
      <c r="AG131" s="437">
        <f>($T$5+$T$4*AD131+$T$3*AD131^2)</f>
        <v>2.4397043960654751E-3</v>
      </c>
    </row>
    <row r="132" spans="8:33" ht="12" thickBot="1" x14ac:dyDescent="0.25">
      <c r="I132" s="425"/>
      <c r="AC132" s="485">
        <f>_xll.qlCalendarAdvance(Calendar,AC131,"1d","mf",,Trigger)</f>
        <v>42073</v>
      </c>
      <c r="AD132" s="478">
        <f>_xll.qlDayCounterYearFraction(DayCounterON,SettlementDate,AC132,,,Trigger)</f>
        <v>0.50958904109589043</v>
      </c>
      <c r="AE132" s="486">
        <f>$T$13</f>
        <v>2.5383654918563901E-3</v>
      </c>
      <c r="AF132" s="486">
        <f>$T$10+$T$9*AD132</f>
        <v>2.3473174044221904E-3</v>
      </c>
      <c r="AG132" s="442">
        <f>($T$5+$T$4*AD132+$T$3*AD132^2)</f>
        <v>2.4424118199139876E-3</v>
      </c>
    </row>
    <row r="133" spans="8:33" x14ac:dyDescent="0.2">
      <c r="I133" s="425"/>
    </row>
    <row r="134" spans="8:33" x14ac:dyDescent="0.2">
      <c r="I134" s="425"/>
    </row>
    <row r="135" spans="8:33" x14ac:dyDescent="0.2">
      <c r="I135" s="425"/>
    </row>
    <row r="136" spans="8:33" x14ac:dyDescent="0.2">
      <c r="I136" s="425"/>
    </row>
  </sheetData>
  <mergeCells count="3">
    <mergeCell ref="O3:O5"/>
    <mergeCell ref="O9:O10"/>
    <mergeCell ref="U9:U10"/>
  </mergeCells>
  <dataValidations count="1">
    <dataValidation type="list" allowBlank="1" showInputMessage="1" showErrorMessage="1" sqref="C9:C1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1"/>
  <sheetViews>
    <sheetView showGridLines="0" workbookViewId="0">
      <selection activeCell="P63" sqref="P63"/>
    </sheetView>
  </sheetViews>
  <sheetFormatPr defaultRowHeight="11.25" x14ac:dyDescent="0.2"/>
  <cols>
    <col min="1" max="1" width="3.1640625" bestFit="1" customWidth="1"/>
    <col min="2" max="2" width="23.6640625" bestFit="1" customWidth="1"/>
    <col min="3" max="4" width="16.6640625" bestFit="1" customWidth="1"/>
    <col min="5" max="5" width="10" customWidth="1"/>
    <col min="6" max="6" width="15.1640625" hidden="1" customWidth="1"/>
    <col min="7" max="7" width="9" bestFit="1" customWidth="1"/>
    <col min="8" max="8" width="8.33203125" bestFit="1" customWidth="1"/>
    <col min="10" max="11" width="16.6640625" bestFit="1" customWidth="1"/>
    <col min="12" max="12" width="14.6640625" bestFit="1" customWidth="1"/>
  </cols>
  <sheetData>
    <row r="1" spans="1:15" ht="26.25" customHeight="1" x14ac:dyDescent="0.2">
      <c r="B1" s="538" t="s">
        <v>178</v>
      </c>
      <c r="C1" s="539" t="s">
        <v>173</v>
      </c>
      <c r="D1" s="539" t="s">
        <v>174</v>
      </c>
      <c r="E1" s="539" t="s">
        <v>182</v>
      </c>
      <c r="F1" s="539"/>
      <c r="G1" s="539" t="s">
        <v>183</v>
      </c>
      <c r="H1" s="540" t="s">
        <v>181</v>
      </c>
      <c r="J1" s="538" t="s">
        <v>173</v>
      </c>
      <c r="K1" s="539" t="s">
        <v>174</v>
      </c>
      <c r="L1" s="539"/>
      <c r="M1" s="539" t="s">
        <v>179</v>
      </c>
      <c r="N1" s="539" t="s">
        <v>180</v>
      </c>
      <c r="O1" s="540" t="s">
        <v>181</v>
      </c>
    </row>
    <row r="2" spans="1:15" x14ac:dyDescent="0.2">
      <c r="B2" s="541" t="str">
        <f>PROPER(Currency&amp;IborType)&amp;"3M"&amp;"LastFixing"&amp;QuoteSuffix</f>
        <v>Euribor3MLastFixing_Quote</v>
      </c>
      <c r="C2" s="542">
        <f>SettlementDate</f>
        <v>41887</v>
      </c>
      <c r="D2" s="542">
        <f>_xll.qlCalendarAdvance(Calendar,C2,"3M","mf")</f>
        <v>41978</v>
      </c>
      <c r="E2" s="543">
        <f>_xll.qlQuoteValue(B2)</f>
        <v>1.5199999999999999E-3</v>
      </c>
      <c r="F2" s="544" t="e">
        <f>_xll.qlMakeDatedOIS(,C2,D2,"eonia")</f>
        <v>#NUM!</v>
      </c>
      <c r="G2" s="543" t="e">
        <f>_xll.qlOvernightIndexedSwapFairRate(F2,Trigger)</f>
        <v>#VALUE!</v>
      </c>
      <c r="H2" s="545" t="e">
        <f t="shared" ref="H2:H11" si="0">E2-G2</f>
        <v>#VALUE!</v>
      </c>
      <c r="J2" s="551">
        <f>SettlementDate</f>
        <v>41887</v>
      </c>
      <c r="K2" s="542">
        <f>_xll.qlCalendarAdvance(Calendar,J2,"3M","mf",,Trigger)</f>
        <v>41978</v>
      </c>
      <c r="L2" s="544" t="e">
        <f>_xll.qlMakeDatedOIS(,J2,K2,"eonia",,,,,Trigger)</f>
        <v>#NUM!</v>
      </c>
      <c r="M2" s="543" t="e">
        <f>_xll.qlIndexFixing("euribor3m",_xll.qlInterestRateIndexFixingDate("Euribor3M",J2),TRUE)</f>
        <v>#NUM!</v>
      </c>
      <c r="N2" s="543" t="e">
        <f>_xll.qlOvernightIndexedSwapFairRate(L2,Trigger)</f>
        <v>#VALUE!</v>
      </c>
      <c r="O2" s="545" t="e">
        <f>M2-N2</f>
        <v>#NUM!</v>
      </c>
    </row>
    <row r="3" spans="1:15" x14ac:dyDescent="0.2">
      <c r="A3" t="str">
        <f>SynthDepo!A10</f>
        <v>U4</v>
      </c>
      <c r="B3" s="541" t="str">
        <f t="shared" ref="B3:B11" si="1">Currency&amp;"FUT"&amp;"3M"&amp;A3&amp;QuoteSuffix</f>
        <v>EURFUT3MU4_Quote</v>
      </c>
      <c r="C3" s="542">
        <f>_xll.qlIMMdate(A3,$C$2,Trigger)</f>
        <v>41899</v>
      </c>
      <c r="D3" s="542">
        <f>_xll.qlCalendarAdvance(Calendar,C3,"3M","mf")</f>
        <v>41990</v>
      </c>
      <c r="E3" s="543">
        <f>1-_xll.qlQuoteValue(B3)/100</f>
        <v>1.3750000000000151E-3</v>
      </c>
      <c r="F3" s="544" t="e">
        <f>_xll.qlMakeDatedOIS(,C3,D3,"eonia")</f>
        <v>#NUM!</v>
      </c>
      <c r="G3" s="543" t="e">
        <f>_xll.qlOvernightIndexedSwapFairRate(F3,Trigger)</f>
        <v>#VALUE!</v>
      </c>
      <c r="H3" s="545" t="e">
        <f t="shared" si="0"/>
        <v>#VALUE!</v>
      </c>
      <c r="J3" s="551">
        <f>_xll.qlCalendarAdvance(Calendar,J2,"1M","f",,Trigger)</f>
        <v>41918</v>
      </c>
      <c r="K3" s="542">
        <f>_xll.qlCalendarAdvance(Calendar,J3,"3M","mf",,Trigger)</f>
        <v>42010</v>
      </c>
      <c r="L3" s="544" t="e">
        <f>_xll.qlMakeDatedOIS(,J3,K3,"eonia",,,,,Trigger)</f>
        <v>#NUM!</v>
      </c>
      <c r="M3" s="543" t="e">
        <f>_xll.qlIndexFixing("euribor3m",_xll.qlInterestRateIndexFixingDate("Euribor3M",J3),TRUE)</f>
        <v>#NUM!</v>
      </c>
      <c r="N3" s="543" t="e">
        <f>_xll.qlOvernightIndexedSwapFairRate(L3,Trigger)</f>
        <v>#VALUE!</v>
      </c>
      <c r="O3" s="545" t="e">
        <f t="shared" ref="O3:O66" si="2">M3-N3</f>
        <v>#NUM!</v>
      </c>
    </row>
    <row r="4" spans="1:15" x14ac:dyDescent="0.2">
      <c r="A4" t="str">
        <f>_xll.qlIMMNextCode($C$3,IF(_xll.qlIMMIsIMMdate(C3,TRUE),FALSE,TRUE))</f>
        <v>V4</v>
      </c>
      <c r="B4" s="541" t="str">
        <f t="shared" si="1"/>
        <v>EURFUT3MV4_Quote</v>
      </c>
      <c r="C4" s="542">
        <f>_xll.qlIMMdate(A4,$C$2,Trigger)</f>
        <v>41927</v>
      </c>
      <c r="D4" s="542">
        <f>_xll.qlCalendarAdvance(Calendar,C4,"3M","mf")</f>
        <v>42019</v>
      </c>
      <c r="E4" s="543">
        <f>1-_xll.qlQuoteValue(B4)/100</f>
        <v>1.2750000000000261E-3</v>
      </c>
      <c r="F4" s="544" t="e">
        <f>_xll.qlMakeDatedOIS(,C4,D4,"eonia")</f>
        <v>#NUM!</v>
      </c>
      <c r="G4" s="543" t="e">
        <f>_xll.qlOvernightIndexedSwapFairRate(F4,Trigger)</f>
        <v>#VALUE!</v>
      </c>
      <c r="H4" s="545" t="e">
        <f t="shared" si="0"/>
        <v>#VALUE!</v>
      </c>
      <c r="J4" s="551">
        <f>_xll.qlCalendarAdvance(Calendar,J3,"1M","f",,Trigger)</f>
        <v>41949</v>
      </c>
      <c r="K4" s="542">
        <f>_xll.qlCalendarAdvance(Calendar,J4,"3M","mf",,Trigger)</f>
        <v>42041</v>
      </c>
      <c r="L4" s="544" t="e">
        <f>_xll.qlMakeDatedOIS(,J4,K4,"eonia",,,,,Trigger)</f>
        <v>#NUM!</v>
      </c>
      <c r="M4" s="543" t="e">
        <f>_xll.qlIndexFixing("euribor3m",_xll.qlInterestRateIndexFixingDate("Euribor3M",J4),TRUE)</f>
        <v>#NUM!</v>
      </c>
      <c r="N4" s="543" t="e">
        <f>_xll.qlOvernightIndexedSwapFairRate(L4,Trigger)</f>
        <v>#VALUE!</v>
      </c>
      <c r="O4" s="545" t="e">
        <f t="shared" si="2"/>
        <v>#NUM!</v>
      </c>
    </row>
    <row r="5" spans="1:15" x14ac:dyDescent="0.2">
      <c r="A5" t="str">
        <f>_xll.qlIMMNextCode($C4,TRUE)</f>
        <v>Z4</v>
      </c>
      <c r="B5" s="541" t="str">
        <f t="shared" si="1"/>
        <v>EURFUT3MZ4_Quote</v>
      </c>
      <c r="C5" s="542">
        <f>_xll.qlIMMdate(A5,$C$2,Trigger)</f>
        <v>41990</v>
      </c>
      <c r="D5" s="542">
        <f>_xll.qlCalendarAdvance(Calendar,C5,"3M","mf")</f>
        <v>42080</v>
      </c>
      <c r="E5" s="543">
        <f>1-_xll.qlQuoteValue(B5)/100</f>
        <v>1.2750000000000261E-3</v>
      </c>
      <c r="F5" s="544" t="e">
        <f>_xll.qlMakeDatedOIS(,C5,D5,"eonia")</f>
        <v>#NUM!</v>
      </c>
      <c r="G5" s="543" t="e">
        <f>_xll.qlOvernightIndexedSwapFairRate(F5,Trigger)</f>
        <v>#VALUE!</v>
      </c>
      <c r="H5" s="545" t="e">
        <f t="shared" si="0"/>
        <v>#VALUE!</v>
      </c>
      <c r="J5" s="551">
        <f>_xll.qlCalendarAdvance(Calendar,J4,"1M","f",,Trigger)</f>
        <v>41981</v>
      </c>
      <c r="K5" s="542">
        <f>_xll.qlCalendarAdvance(Calendar,J5,"3M","mf",,Trigger)</f>
        <v>42072</v>
      </c>
      <c r="L5" s="544" t="e">
        <f>_xll.qlMakeDatedOIS(,J5,K5,"eonia",,,,,Trigger)</f>
        <v>#NUM!</v>
      </c>
      <c r="M5" s="543" t="e">
        <f>_xll.qlIndexFixing("euribor3m",_xll.qlInterestRateIndexFixingDate("Euribor3M",J5),TRUE)</f>
        <v>#NUM!</v>
      </c>
      <c r="N5" s="543" t="e">
        <f>_xll.qlOvernightIndexedSwapFairRate(L5,Trigger)</f>
        <v>#VALUE!</v>
      </c>
      <c r="O5" s="545" t="e">
        <f t="shared" si="2"/>
        <v>#NUM!</v>
      </c>
    </row>
    <row r="6" spans="1:15" x14ac:dyDescent="0.2">
      <c r="A6" t="str">
        <f>_xll.qlIMMNextCode($C5,TRUE)</f>
        <v>H5</v>
      </c>
      <c r="B6" s="541" t="str">
        <f t="shared" si="1"/>
        <v>EURFUT3MH5_Quote</v>
      </c>
      <c r="C6" s="542">
        <f>_xll.qlIMMdate(A6,$C$2,Trigger)</f>
        <v>42081</v>
      </c>
      <c r="D6" s="542">
        <f>_xll.qlCalendarAdvance(Calendar,C6,"3M","mf")</f>
        <v>42173</v>
      </c>
      <c r="E6" s="543">
        <f>1-_xll.qlQuoteValue(B6)/100</f>
        <v>1.1249999999999316E-3</v>
      </c>
      <c r="F6" s="544" t="e">
        <f>_xll.qlMakeDatedOIS(,C6,D6,"eonia")</f>
        <v>#NUM!</v>
      </c>
      <c r="G6" s="543" t="e">
        <f>_xll.qlOvernightIndexedSwapFairRate(F6,Trigger)</f>
        <v>#VALUE!</v>
      </c>
      <c r="H6" s="545" t="e">
        <f t="shared" si="0"/>
        <v>#VALUE!</v>
      </c>
      <c r="J6" s="551">
        <f>_xll.qlCalendarAdvance(Calendar,J5,"1M","f",,Trigger)</f>
        <v>42012</v>
      </c>
      <c r="K6" s="542">
        <f>_xll.qlCalendarAdvance(Calendar,J6,"3M","mf",,Trigger)</f>
        <v>42102</v>
      </c>
      <c r="L6" s="544" t="e">
        <f>_xll.qlMakeDatedOIS(,J6,K6,"eonia",,,,,Trigger)</f>
        <v>#NUM!</v>
      </c>
      <c r="M6" s="543" t="e">
        <f>_xll.qlIndexFixing("euribor3m",_xll.qlInterestRateIndexFixingDate("Euribor3M",J6),TRUE)</f>
        <v>#NUM!</v>
      </c>
      <c r="N6" s="543" t="e">
        <f>_xll.qlOvernightIndexedSwapFairRate(L6,Trigger)</f>
        <v>#VALUE!</v>
      </c>
      <c r="O6" s="545" t="e">
        <f t="shared" si="2"/>
        <v>#NUM!</v>
      </c>
    </row>
    <row r="7" spans="1:15" x14ac:dyDescent="0.2">
      <c r="A7" t="str">
        <f>_xll.qlIMMNextCode($C6,TRUE)</f>
        <v>M5</v>
      </c>
      <c r="B7" s="541" t="str">
        <f t="shared" si="1"/>
        <v>EURFUT3MM5_Quote</v>
      </c>
      <c r="C7" s="542">
        <f>_xll.qlIMMdate(A7,$C$2,Trigger)</f>
        <v>42172</v>
      </c>
      <c r="D7" s="542">
        <f>_xll.qlCalendarAdvance(Calendar,C7,"3M","mf")</f>
        <v>42264</v>
      </c>
      <c r="E7" s="543">
        <f>1-_xll.qlQuoteValue(B7)/100</f>
        <v>1.1249999999999316E-3</v>
      </c>
      <c r="F7" s="544" t="e">
        <f>_xll.qlMakeDatedOIS(,C7,D7,"eonia")</f>
        <v>#NUM!</v>
      </c>
      <c r="G7" s="543" t="e">
        <f>_xll.qlOvernightIndexedSwapFairRate(F7,Trigger)</f>
        <v>#VALUE!</v>
      </c>
      <c r="H7" s="545" t="e">
        <f t="shared" si="0"/>
        <v>#VALUE!</v>
      </c>
      <c r="J7" s="551">
        <f>_xll.qlCalendarAdvance(Calendar,J6,"1M","f",,Trigger)</f>
        <v>42044</v>
      </c>
      <c r="K7" s="542">
        <f>_xll.qlCalendarAdvance(Calendar,J7,"3M","mf",,Trigger)</f>
        <v>42135</v>
      </c>
      <c r="L7" s="544" t="e">
        <f>_xll.qlMakeDatedOIS(,J7,K7,"eonia",,,,,Trigger)</f>
        <v>#NUM!</v>
      </c>
      <c r="M7" s="543" t="e">
        <f>_xll.qlIndexFixing("euribor3m",_xll.qlInterestRateIndexFixingDate("Euribor3M",J7),TRUE)</f>
        <v>#NUM!</v>
      </c>
      <c r="N7" s="543" t="e">
        <f>_xll.qlOvernightIndexedSwapFairRate(L7,Trigger)</f>
        <v>#VALUE!</v>
      </c>
      <c r="O7" s="545" t="e">
        <f t="shared" si="2"/>
        <v>#NUM!</v>
      </c>
    </row>
    <row r="8" spans="1:15" x14ac:dyDescent="0.2">
      <c r="A8" t="str">
        <f>_xll.qlIMMNextCode($C7,TRUE)</f>
        <v>U5</v>
      </c>
      <c r="B8" s="541" t="str">
        <f t="shared" si="1"/>
        <v>EURFUT3MU5_Quote</v>
      </c>
      <c r="C8" s="542">
        <f>_xll.qlIMMdate(A8,$C$2,Trigger)</f>
        <v>42263</v>
      </c>
      <c r="D8" s="542">
        <f>_xll.qlCalendarAdvance(Calendar,C8,"3M","mf")</f>
        <v>42354</v>
      </c>
      <c r="E8" s="543">
        <f>1-_xll.qlQuoteValue(B8)/100</f>
        <v>1.2250000000000316E-3</v>
      </c>
      <c r="F8" s="544" t="e">
        <f>_xll.qlMakeDatedOIS(,C8,D8,"eonia")</f>
        <v>#NUM!</v>
      </c>
      <c r="G8" s="543" t="e">
        <f>_xll.qlOvernightIndexedSwapFairRate(F8,Trigger)</f>
        <v>#VALUE!</v>
      </c>
      <c r="H8" s="545" t="e">
        <f t="shared" si="0"/>
        <v>#VALUE!</v>
      </c>
      <c r="J8" s="551">
        <f>_xll.qlCalendarAdvance(Calendar,J7,"1M","f",,Trigger)</f>
        <v>42072</v>
      </c>
      <c r="K8" s="542">
        <f>_xll.qlCalendarAdvance(Calendar,J8,"3M","mf",,Trigger)</f>
        <v>42164</v>
      </c>
      <c r="L8" s="544" t="e">
        <f>_xll.qlMakeDatedOIS(,J8,K8,"eonia",,,,,Trigger)</f>
        <v>#NUM!</v>
      </c>
      <c r="M8" s="543" t="e">
        <f>_xll.qlIndexFixing("euribor3m",_xll.qlInterestRateIndexFixingDate("Euribor3M",J8),TRUE)</f>
        <v>#NUM!</v>
      </c>
      <c r="N8" s="543" t="e">
        <f>_xll.qlOvernightIndexedSwapFairRate(L8,Trigger)</f>
        <v>#VALUE!</v>
      </c>
      <c r="O8" s="545" t="e">
        <f t="shared" si="2"/>
        <v>#NUM!</v>
      </c>
    </row>
    <row r="9" spans="1:15" x14ac:dyDescent="0.2">
      <c r="A9" t="str">
        <f>_xll.qlIMMNextCode($C8,TRUE)</f>
        <v>Z5</v>
      </c>
      <c r="B9" s="541" t="str">
        <f t="shared" si="1"/>
        <v>EURFUT3MZ5_Quote</v>
      </c>
      <c r="C9" s="542">
        <f>_xll.qlIMMdate(A9,$C$2,Trigger)</f>
        <v>42354</v>
      </c>
      <c r="D9" s="542">
        <f>_xll.qlCalendarAdvance(Calendar,C9,"3M","mf")</f>
        <v>42445</v>
      </c>
      <c r="E9" s="543">
        <f>1-_xll.qlQuoteValue(B9)/100</f>
        <v>1.4250000000000096E-3</v>
      </c>
      <c r="F9" s="544" t="e">
        <f>_xll.qlMakeDatedOIS(,C9,D9,"eonia")</f>
        <v>#NUM!</v>
      </c>
      <c r="G9" s="543" t="e">
        <f>_xll.qlOvernightIndexedSwapFairRate(F9,Trigger)</f>
        <v>#VALUE!</v>
      </c>
      <c r="H9" s="545" t="e">
        <f t="shared" si="0"/>
        <v>#VALUE!</v>
      </c>
      <c r="J9" s="551">
        <f>_xll.qlCalendarAdvance(Calendar,J8,"1M","f",,Trigger)</f>
        <v>42103</v>
      </c>
      <c r="K9" s="542">
        <f>_xll.qlCalendarAdvance(Calendar,J9,"3M","mf",,Trigger)</f>
        <v>42194</v>
      </c>
      <c r="L9" s="544" t="e">
        <f>_xll.qlMakeDatedOIS(,J9,K9,"eonia",,,,,Trigger)</f>
        <v>#NUM!</v>
      </c>
      <c r="M9" s="543" t="e">
        <f>_xll.qlIndexFixing("euribor3m",_xll.qlInterestRateIndexFixingDate("Euribor3M",J9),TRUE)</f>
        <v>#NUM!</v>
      </c>
      <c r="N9" s="543" t="e">
        <f>_xll.qlOvernightIndexedSwapFairRate(L9,Trigger)</f>
        <v>#VALUE!</v>
      </c>
      <c r="O9" s="545" t="e">
        <f t="shared" si="2"/>
        <v>#NUM!</v>
      </c>
    </row>
    <row r="10" spans="1:15" x14ac:dyDescent="0.2">
      <c r="A10" t="str">
        <f>_xll.qlIMMNextCode($C9,TRUE)</f>
        <v>H6</v>
      </c>
      <c r="B10" s="541" t="str">
        <f t="shared" si="1"/>
        <v>EURFUT3MH6_Quote</v>
      </c>
      <c r="C10" s="542">
        <f>_xll.qlIMMdate(A10,$C$2,Trigger)</f>
        <v>42445</v>
      </c>
      <c r="D10" s="542">
        <f>_xll.qlCalendarAdvance(Calendar,C10,"3M","mf")</f>
        <v>42537</v>
      </c>
      <c r="E10" s="543">
        <f>1-_xll.qlQuoteValue(B10)/100</f>
        <v>1.6249999999999876E-3</v>
      </c>
      <c r="F10" s="544" t="e">
        <f>_xll.qlMakeDatedOIS(,C10,D10,"eonia")</f>
        <v>#NUM!</v>
      </c>
      <c r="G10" s="543" t="e">
        <f>_xll.qlOvernightIndexedSwapFairRate(F10,Trigger)</f>
        <v>#VALUE!</v>
      </c>
      <c r="H10" s="545" t="e">
        <f t="shared" si="0"/>
        <v>#VALUE!</v>
      </c>
      <c r="J10" s="551">
        <f>_xll.qlCalendarAdvance(Calendar,J9,"1M","f",,Trigger)</f>
        <v>42135</v>
      </c>
      <c r="K10" s="542">
        <f>_xll.qlCalendarAdvance(Calendar,J10,"3M","mf",,Trigger)</f>
        <v>42227</v>
      </c>
      <c r="L10" s="544" t="e">
        <f>_xll.qlMakeDatedOIS(,J10,K10,"eonia",,,,,Trigger)</f>
        <v>#NUM!</v>
      </c>
      <c r="M10" s="543" t="e">
        <f>_xll.qlIndexFixing("euribor3m",_xll.qlInterestRateIndexFixingDate("Euribor3M",J10),TRUE)</f>
        <v>#NUM!</v>
      </c>
      <c r="N10" s="543" t="e">
        <f>_xll.qlOvernightIndexedSwapFairRate(L10,Trigger)</f>
        <v>#VALUE!</v>
      </c>
      <c r="O10" s="545" t="e">
        <f t="shared" si="2"/>
        <v>#NUM!</v>
      </c>
    </row>
    <row r="11" spans="1:15" ht="12" thickBot="1" x14ac:dyDescent="0.25">
      <c r="A11" t="str">
        <f>_xll.qlIMMNextCode($C10,TRUE)</f>
        <v>M6</v>
      </c>
      <c r="B11" s="546" t="str">
        <f t="shared" si="1"/>
        <v>EURFUT3MM6_Quote</v>
      </c>
      <c r="C11" s="547">
        <f>_xll.qlIMMdate(A11,$C$2,Trigger)</f>
        <v>42536</v>
      </c>
      <c r="D11" s="547">
        <f>_xll.qlCalendarAdvance(Calendar,C11,"3M","mf")</f>
        <v>42628</v>
      </c>
      <c r="E11" s="548">
        <f>1-_xll.qlQuoteValue(B11)/100</f>
        <v>1.9249999999999545E-3</v>
      </c>
      <c r="F11" s="549" t="e">
        <f>_xll.qlMakeDatedOIS(,C11,D11,"eonia")</f>
        <v>#NUM!</v>
      </c>
      <c r="G11" s="548" t="e">
        <f>_xll.qlOvernightIndexedSwapFairRate(F11,Trigger)</f>
        <v>#VALUE!</v>
      </c>
      <c r="H11" s="550" t="e">
        <f t="shared" si="0"/>
        <v>#VALUE!</v>
      </c>
      <c r="J11" s="551">
        <f>_xll.qlCalendarAdvance(Calendar,J10,"1M","f",,Trigger)</f>
        <v>42166</v>
      </c>
      <c r="K11" s="542">
        <f>_xll.qlCalendarAdvance(Calendar,J11,"3M","mf",,Trigger)</f>
        <v>42258</v>
      </c>
      <c r="L11" s="544" t="e">
        <f>_xll.qlMakeDatedOIS(,J11,K11,"eonia",,,,,Trigger)</f>
        <v>#NUM!</v>
      </c>
      <c r="M11" s="543" t="e">
        <f>_xll.qlIndexFixing("euribor3m",_xll.qlInterestRateIndexFixingDate("Euribor3M",J11),TRUE)</f>
        <v>#NUM!</v>
      </c>
      <c r="N11" s="543" t="e">
        <f>_xll.qlOvernightIndexedSwapFairRate(L11,Trigger)</f>
        <v>#VALUE!</v>
      </c>
      <c r="O11" s="545" t="e">
        <f t="shared" si="2"/>
        <v>#NUM!</v>
      </c>
    </row>
    <row r="12" spans="1:15" x14ac:dyDescent="0.2">
      <c r="C12" s="537"/>
      <c r="D12" s="537"/>
      <c r="E12" s="536"/>
      <c r="G12" s="536"/>
      <c r="H12" s="536"/>
      <c r="J12" s="551">
        <f>_xll.qlCalendarAdvance(Calendar,J11,"1M","f",,Trigger)</f>
        <v>42198</v>
      </c>
      <c r="K12" s="542">
        <f>_xll.qlCalendarAdvance(Calendar,J12,"3M","mf",,Trigger)</f>
        <v>42290</v>
      </c>
      <c r="L12" s="544" t="e">
        <f>_xll.qlMakeDatedOIS(,J12,K12,"eonia",,,,,Trigger)</f>
        <v>#NUM!</v>
      </c>
      <c r="M12" s="543" t="e">
        <f>_xll.qlIndexFixing("euribor3m",_xll.qlInterestRateIndexFixingDate("Euribor3M",J12),TRUE)</f>
        <v>#NUM!</v>
      </c>
      <c r="N12" s="543" t="e">
        <f>_xll.qlOvernightIndexedSwapFairRate(L12,Trigger)</f>
        <v>#VALUE!</v>
      </c>
      <c r="O12" s="545" t="e">
        <f t="shared" si="2"/>
        <v>#NUM!</v>
      </c>
    </row>
    <row r="13" spans="1:15" x14ac:dyDescent="0.2">
      <c r="C13" s="537"/>
      <c r="D13" s="537"/>
      <c r="E13" s="536"/>
      <c r="G13" s="536"/>
      <c r="H13" s="536"/>
      <c r="J13" s="551">
        <f>_xll.qlCalendarAdvance(Calendar,J12,"1M","f",,Trigger)</f>
        <v>42229</v>
      </c>
      <c r="K13" s="542">
        <f>_xll.qlCalendarAdvance(Calendar,J13,"3M","mf",,Trigger)</f>
        <v>42321</v>
      </c>
      <c r="L13" s="544" t="e">
        <f>_xll.qlMakeDatedOIS(,J13,K13,"eonia",,,,,Trigger)</f>
        <v>#NUM!</v>
      </c>
      <c r="M13" s="543" t="e">
        <f>_xll.qlIndexFixing("euribor3m",_xll.qlInterestRateIndexFixingDate("Euribor3M",J13),TRUE)</f>
        <v>#NUM!</v>
      </c>
      <c r="N13" s="543" t="e">
        <f>_xll.qlOvernightIndexedSwapFairRate(L13,Trigger)</f>
        <v>#VALUE!</v>
      </c>
      <c r="O13" s="545" t="e">
        <f t="shared" si="2"/>
        <v>#NUM!</v>
      </c>
    </row>
    <row r="14" spans="1:15" x14ac:dyDescent="0.2">
      <c r="C14" s="537"/>
      <c r="D14" s="537"/>
      <c r="E14" s="536"/>
      <c r="G14" s="536"/>
      <c r="H14" s="536"/>
      <c r="J14" s="551">
        <f>_xll.qlCalendarAdvance(Calendar,J13,"1M","f",,Trigger)</f>
        <v>42261</v>
      </c>
      <c r="K14" s="542">
        <f>_xll.qlCalendarAdvance(Calendar,J14,"3M","mf",,Trigger)</f>
        <v>42352</v>
      </c>
      <c r="L14" s="544" t="e">
        <f>_xll.qlMakeDatedOIS(,J14,K14,"eonia",,,,,Trigger)</f>
        <v>#NUM!</v>
      </c>
      <c r="M14" s="543" t="e">
        <f>_xll.qlIndexFixing("euribor3m",_xll.qlInterestRateIndexFixingDate("Euribor3M",J14),TRUE)</f>
        <v>#NUM!</v>
      </c>
      <c r="N14" s="543" t="e">
        <f>_xll.qlOvernightIndexedSwapFairRate(L14,Trigger)</f>
        <v>#VALUE!</v>
      </c>
      <c r="O14" s="545" t="e">
        <f t="shared" si="2"/>
        <v>#NUM!</v>
      </c>
    </row>
    <row r="15" spans="1:15" x14ac:dyDescent="0.2">
      <c r="C15" s="537"/>
      <c r="D15" s="537"/>
      <c r="E15" s="536"/>
      <c r="G15" s="536"/>
      <c r="H15" s="536"/>
      <c r="J15" s="551">
        <f>_xll.qlCalendarAdvance(Calendar,J14,"1M","f",,Trigger)</f>
        <v>42291</v>
      </c>
      <c r="K15" s="542">
        <f>_xll.qlCalendarAdvance(Calendar,J15,"3M","mf",,Trigger)</f>
        <v>42383</v>
      </c>
      <c r="L15" s="544" t="e">
        <f>_xll.qlMakeDatedOIS(,J15,K15,"eonia",,,,,Trigger)</f>
        <v>#NUM!</v>
      </c>
      <c r="M15" s="543" t="e">
        <f>_xll.qlIndexFixing("euribor3m",_xll.qlInterestRateIndexFixingDate("Euribor3M",J15),TRUE)</f>
        <v>#NUM!</v>
      </c>
      <c r="N15" s="543" t="e">
        <f>_xll.qlOvernightIndexedSwapFairRate(L15,Trigger)</f>
        <v>#VALUE!</v>
      </c>
      <c r="O15" s="545" t="e">
        <f t="shared" si="2"/>
        <v>#NUM!</v>
      </c>
    </row>
    <row r="16" spans="1:15" x14ac:dyDescent="0.2">
      <c r="C16" s="537"/>
      <c r="D16" s="537"/>
      <c r="E16" s="536"/>
      <c r="G16" s="536"/>
      <c r="H16" s="536"/>
      <c r="J16" s="551">
        <f>_xll.qlCalendarAdvance(Calendar,J15,"1M","f",,Trigger)</f>
        <v>42324</v>
      </c>
      <c r="K16" s="542">
        <f>_xll.qlCalendarAdvance(Calendar,J16,"3M","mf",,Trigger)</f>
        <v>42416</v>
      </c>
      <c r="L16" s="544" t="e">
        <f>_xll.qlMakeDatedOIS(,J16,K16,"eonia",,,,,Trigger)</f>
        <v>#NUM!</v>
      </c>
      <c r="M16" s="543" t="e">
        <f>_xll.qlIndexFixing("euribor3m",_xll.qlInterestRateIndexFixingDate("Euribor3M",J16),TRUE)</f>
        <v>#NUM!</v>
      </c>
      <c r="N16" s="543" t="e">
        <f>_xll.qlOvernightIndexedSwapFairRate(L16,Trigger)</f>
        <v>#VALUE!</v>
      </c>
      <c r="O16" s="545" t="e">
        <f t="shared" si="2"/>
        <v>#NUM!</v>
      </c>
    </row>
    <row r="17" spans="3:15" x14ac:dyDescent="0.2">
      <c r="C17" s="537"/>
      <c r="D17" s="537"/>
      <c r="E17" s="536"/>
      <c r="G17" s="536"/>
      <c r="H17" s="536"/>
      <c r="J17" s="551">
        <f>_xll.qlCalendarAdvance(Calendar,J16,"1M","f",,Trigger)</f>
        <v>42354</v>
      </c>
      <c r="K17" s="542">
        <f>_xll.qlCalendarAdvance(Calendar,J17,"3M","mf",,Trigger)</f>
        <v>42445</v>
      </c>
      <c r="L17" s="544" t="e">
        <f>_xll.qlMakeDatedOIS(,J17,K17,"eonia",,,,,Trigger)</f>
        <v>#NUM!</v>
      </c>
      <c r="M17" s="543" t="e">
        <f>_xll.qlIndexFixing("euribor3m",_xll.qlInterestRateIndexFixingDate("Euribor3M",J17),TRUE)</f>
        <v>#NUM!</v>
      </c>
      <c r="N17" s="543" t="e">
        <f>_xll.qlOvernightIndexedSwapFairRate(L17,Trigger)</f>
        <v>#VALUE!</v>
      </c>
      <c r="O17" s="545" t="e">
        <f t="shared" si="2"/>
        <v>#NUM!</v>
      </c>
    </row>
    <row r="18" spans="3:15" x14ac:dyDescent="0.2">
      <c r="C18" s="537"/>
      <c r="D18" s="537"/>
      <c r="E18" s="536"/>
      <c r="G18" s="536"/>
      <c r="H18" s="536"/>
      <c r="J18" s="551">
        <f>_xll.qlCalendarAdvance(Calendar,J17,"1M","f",,Trigger)</f>
        <v>42387</v>
      </c>
      <c r="K18" s="542">
        <f>_xll.qlCalendarAdvance(Calendar,J18,"3M","mf",,Trigger)</f>
        <v>42478</v>
      </c>
      <c r="L18" s="544" t="e">
        <f>_xll.qlMakeDatedOIS(,J18,K18,"eonia",,,,,Trigger)</f>
        <v>#NUM!</v>
      </c>
      <c r="M18" s="543" t="e">
        <f>_xll.qlIndexFixing("euribor3m",_xll.qlInterestRateIndexFixingDate("Euribor3M",J18),TRUE)</f>
        <v>#NUM!</v>
      </c>
      <c r="N18" s="543" t="e">
        <f>_xll.qlOvernightIndexedSwapFairRate(L18,Trigger)</f>
        <v>#VALUE!</v>
      </c>
      <c r="O18" s="545" t="e">
        <f t="shared" si="2"/>
        <v>#NUM!</v>
      </c>
    </row>
    <row r="19" spans="3:15" x14ac:dyDescent="0.2">
      <c r="C19" s="537"/>
      <c r="D19" s="537"/>
      <c r="E19" s="536"/>
      <c r="G19" s="536"/>
      <c r="H19" s="536"/>
      <c r="J19" s="551">
        <f>_xll.qlCalendarAdvance(Calendar,J18,"1M","f",,Trigger)</f>
        <v>42418</v>
      </c>
      <c r="K19" s="542">
        <f>_xll.qlCalendarAdvance(Calendar,J19,"3M","mf",,Trigger)</f>
        <v>42508</v>
      </c>
      <c r="L19" s="544" t="e">
        <f>_xll.qlMakeDatedOIS(,J19,K19,"eonia",,,,,Trigger)</f>
        <v>#NUM!</v>
      </c>
      <c r="M19" s="543" t="e">
        <f>_xll.qlIndexFixing("euribor3m",_xll.qlInterestRateIndexFixingDate("Euribor3M",J19),TRUE)</f>
        <v>#NUM!</v>
      </c>
      <c r="N19" s="543" t="e">
        <f>_xll.qlOvernightIndexedSwapFairRate(L19,Trigger)</f>
        <v>#VALUE!</v>
      </c>
      <c r="O19" s="545" t="e">
        <f t="shared" si="2"/>
        <v>#NUM!</v>
      </c>
    </row>
    <row r="20" spans="3:15" x14ac:dyDescent="0.2">
      <c r="C20" s="537"/>
      <c r="D20" s="537"/>
      <c r="E20" s="536"/>
      <c r="G20" s="536"/>
      <c r="H20" s="536"/>
      <c r="J20" s="551">
        <f>_xll.qlCalendarAdvance(Calendar,J19,"1M","f",,Trigger)</f>
        <v>42447</v>
      </c>
      <c r="K20" s="542">
        <f>_xll.qlCalendarAdvance(Calendar,J20,"3M","mf",,Trigger)</f>
        <v>42541</v>
      </c>
      <c r="L20" s="544" t="e">
        <f>_xll.qlMakeDatedOIS(,J20,K20,"eonia",,,,,Trigger)</f>
        <v>#NUM!</v>
      </c>
      <c r="M20" s="543" t="e">
        <f>_xll.qlIndexFixing("euribor3m",_xll.qlInterestRateIndexFixingDate("Euribor3M",J20),TRUE)</f>
        <v>#NUM!</v>
      </c>
      <c r="N20" s="543" t="e">
        <f>_xll.qlOvernightIndexedSwapFairRate(L20,Trigger)</f>
        <v>#VALUE!</v>
      </c>
      <c r="O20" s="545" t="e">
        <f t="shared" si="2"/>
        <v>#NUM!</v>
      </c>
    </row>
    <row r="21" spans="3:15" x14ac:dyDescent="0.2">
      <c r="C21" s="537"/>
      <c r="D21" s="537"/>
      <c r="E21" s="536"/>
      <c r="G21" s="536"/>
      <c r="H21" s="536"/>
      <c r="J21" s="551">
        <f>_xll.qlCalendarAdvance(Calendar,J20,"1M","f",,Trigger)</f>
        <v>42478</v>
      </c>
      <c r="K21" s="542">
        <f>_xll.qlCalendarAdvance(Calendar,J21,"3M","mf",,Trigger)</f>
        <v>42569</v>
      </c>
      <c r="L21" s="544" t="e">
        <f>_xll.qlMakeDatedOIS(,J21,K21,"eonia",,,,,Trigger)</f>
        <v>#NUM!</v>
      </c>
      <c r="M21" s="543" t="e">
        <f>_xll.qlIndexFixing("euribor3m",_xll.qlInterestRateIndexFixingDate("Euribor3M",J21),TRUE)</f>
        <v>#NUM!</v>
      </c>
      <c r="N21" s="543" t="e">
        <f>_xll.qlOvernightIndexedSwapFairRate(L21,Trigger)</f>
        <v>#VALUE!</v>
      </c>
      <c r="O21" s="545" t="e">
        <f t="shared" si="2"/>
        <v>#NUM!</v>
      </c>
    </row>
    <row r="22" spans="3:15" x14ac:dyDescent="0.2">
      <c r="C22" s="537"/>
      <c r="D22" s="537"/>
      <c r="E22" s="536"/>
      <c r="G22" s="536"/>
      <c r="H22" s="536"/>
      <c r="J22" s="551">
        <f>_xll.qlCalendarAdvance(Calendar,J21,"1M","f",,Trigger)</f>
        <v>42508</v>
      </c>
      <c r="K22" s="542">
        <f>_xll.qlCalendarAdvance(Calendar,J22,"3M","mf",,Trigger)</f>
        <v>42600</v>
      </c>
      <c r="L22" s="544" t="e">
        <f>_xll.qlMakeDatedOIS(,J22,K22,"eonia",,,,,Trigger)</f>
        <v>#NUM!</v>
      </c>
      <c r="M22" s="543" t="e">
        <f>_xll.qlIndexFixing("euribor3m",_xll.qlInterestRateIndexFixingDate("Euribor3M",J22),TRUE)</f>
        <v>#NUM!</v>
      </c>
      <c r="N22" s="543" t="e">
        <f>_xll.qlOvernightIndexedSwapFairRate(L22,Trigger)</f>
        <v>#VALUE!</v>
      </c>
      <c r="O22" s="545" t="e">
        <f t="shared" si="2"/>
        <v>#NUM!</v>
      </c>
    </row>
    <row r="23" spans="3:15" x14ac:dyDescent="0.2">
      <c r="C23" s="537"/>
      <c r="D23" s="537"/>
      <c r="E23" s="536"/>
      <c r="G23" s="536"/>
      <c r="H23" s="536"/>
      <c r="J23" s="551">
        <f>_xll.qlCalendarAdvance(Calendar,J22,"1M","f",,Trigger)</f>
        <v>42541</v>
      </c>
      <c r="K23" s="542">
        <f>_xll.qlCalendarAdvance(Calendar,J23,"3M","mf",,Trigger)</f>
        <v>42633</v>
      </c>
      <c r="L23" s="544" t="e">
        <f>_xll.qlMakeDatedOIS(,J23,K23,"eonia",,,,,Trigger)</f>
        <v>#NUM!</v>
      </c>
      <c r="M23" s="543" t="e">
        <f>_xll.qlIndexFixing("euribor3m",_xll.qlInterestRateIndexFixingDate("Euribor3M",J23),TRUE)</f>
        <v>#NUM!</v>
      </c>
      <c r="N23" s="543" t="e">
        <f>_xll.qlOvernightIndexedSwapFairRate(L23,Trigger)</f>
        <v>#VALUE!</v>
      </c>
      <c r="O23" s="545" t="e">
        <f t="shared" si="2"/>
        <v>#NUM!</v>
      </c>
    </row>
    <row r="24" spans="3:15" x14ac:dyDescent="0.2">
      <c r="C24" s="537"/>
      <c r="D24" s="537"/>
      <c r="E24" s="536"/>
      <c r="G24" s="536"/>
      <c r="H24" s="536"/>
      <c r="J24" s="551">
        <f>_xll.qlCalendarAdvance(Calendar,J23,"1M","f",,Trigger)</f>
        <v>42571</v>
      </c>
      <c r="K24" s="542">
        <f>_xll.qlCalendarAdvance(Calendar,J24,"3M","mf",,Trigger)</f>
        <v>42663</v>
      </c>
      <c r="L24" s="544" t="e">
        <f>_xll.qlMakeDatedOIS(,J24,K24,"eonia",,,,,Trigger)</f>
        <v>#NUM!</v>
      </c>
      <c r="M24" s="543" t="e">
        <f>_xll.qlIndexFixing("euribor3m",_xll.qlInterestRateIndexFixingDate("Euribor3M",J24),TRUE)</f>
        <v>#NUM!</v>
      </c>
      <c r="N24" s="543" t="e">
        <f>_xll.qlOvernightIndexedSwapFairRate(L24,Trigger)</f>
        <v>#VALUE!</v>
      </c>
      <c r="O24" s="545" t="e">
        <f t="shared" si="2"/>
        <v>#NUM!</v>
      </c>
    </row>
    <row r="25" spans="3:15" x14ac:dyDescent="0.2">
      <c r="C25" s="537"/>
      <c r="D25" s="537"/>
      <c r="E25" s="536"/>
      <c r="G25" s="536"/>
      <c r="H25" s="536"/>
      <c r="J25" s="551">
        <f>_xll.qlCalendarAdvance(Calendar,J24,"1M","f",,Trigger)</f>
        <v>42604</v>
      </c>
      <c r="K25" s="542">
        <f>_xll.qlCalendarAdvance(Calendar,J25,"3M","mf",,Trigger)</f>
        <v>42696</v>
      </c>
      <c r="L25" s="544" t="e">
        <f>_xll.qlMakeDatedOIS(,J25,K25,"eonia",,,,,Trigger)</f>
        <v>#NUM!</v>
      </c>
      <c r="M25" s="543" t="e">
        <f>_xll.qlIndexFixing("euribor3m",_xll.qlInterestRateIndexFixingDate("Euribor3M",J25),TRUE)</f>
        <v>#NUM!</v>
      </c>
      <c r="N25" s="543" t="e">
        <f>_xll.qlOvernightIndexedSwapFairRate(L25,Trigger)</f>
        <v>#VALUE!</v>
      </c>
      <c r="O25" s="545" t="e">
        <f t="shared" si="2"/>
        <v>#NUM!</v>
      </c>
    </row>
    <row r="26" spans="3:15" x14ac:dyDescent="0.2">
      <c r="C26" s="537"/>
      <c r="D26" s="537"/>
      <c r="E26" s="536"/>
      <c r="G26" s="536"/>
      <c r="H26" s="536"/>
      <c r="J26" s="551">
        <f>_xll.qlCalendarAdvance(Calendar,J25,"1M","f",,Trigger)</f>
        <v>42635</v>
      </c>
      <c r="K26" s="542">
        <f>_xll.qlCalendarAdvance(Calendar,J26,"3M","mf",,Trigger)</f>
        <v>42726</v>
      </c>
      <c r="L26" s="544" t="e">
        <f>_xll.qlMakeDatedOIS(,J26,K26,"eonia",,,,,Trigger)</f>
        <v>#NUM!</v>
      </c>
      <c r="M26" s="543" t="e">
        <f>_xll.qlIndexFixing("euribor3m",_xll.qlInterestRateIndexFixingDate("Euribor3M",J26),TRUE)</f>
        <v>#NUM!</v>
      </c>
      <c r="N26" s="543" t="e">
        <f>_xll.qlOvernightIndexedSwapFairRate(L26,Trigger)</f>
        <v>#VALUE!</v>
      </c>
      <c r="O26" s="545" t="e">
        <f t="shared" si="2"/>
        <v>#NUM!</v>
      </c>
    </row>
    <row r="27" spans="3:15" x14ac:dyDescent="0.2">
      <c r="C27" s="537"/>
      <c r="D27" s="537"/>
      <c r="E27" s="536"/>
      <c r="G27" s="536"/>
      <c r="H27" s="536"/>
      <c r="J27" s="551">
        <f>_xll.qlCalendarAdvance(Calendar,J26,"1M","f",,Trigger)</f>
        <v>42667</v>
      </c>
      <c r="K27" s="542">
        <f>_xll.qlCalendarAdvance(Calendar,J27,"3M","mf",,Trigger)</f>
        <v>42759</v>
      </c>
      <c r="L27" s="544" t="e">
        <f>_xll.qlMakeDatedOIS(,J27,K27,"eonia",,,,,Trigger)</f>
        <v>#NUM!</v>
      </c>
      <c r="M27" s="543" t="e">
        <f>_xll.qlIndexFixing("euribor3m",_xll.qlInterestRateIndexFixingDate("Euribor3M",J27),TRUE)</f>
        <v>#NUM!</v>
      </c>
      <c r="N27" s="543" t="e">
        <f>_xll.qlOvernightIndexedSwapFairRate(L27,Trigger)</f>
        <v>#VALUE!</v>
      </c>
      <c r="O27" s="545" t="e">
        <f t="shared" si="2"/>
        <v>#NUM!</v>
      </c>
    </row>
    <row r="28" spans="3:15" x14ac:dyDescent="0.2">
      <c r="C28" s="537"/>
      <c r="D28" s="537"/>
      <c r="E28" s="536"/>
      <c r="G28" s="536"/>
      <c r="H28" s="536"/>
      <c r="J28" s="551">
        <f>_xll.qlCalendarAdvance(Calendar,J27,"1M","f",,Trigger)</f>
        <v>42698</v>
      </c>
      <c r="K28" s="542">
        <f>_xll.qlCalendarAdvance(Calendar,J28,"3M","mf",,Trigger)</f>
        <v>42790</v>
      </c>
      <c r="L28" s="544" t="e">
        <f>_xll.qlMakeDatedOIS(,J28,K28,"eonia",,,,,Trigger)</f>
        <v>#NUM!</v>
      </c>
      <c r="M28" s="543" t="e">
        <f>_xll.qlIndexFixing("euribor3m",_xll.qlInterestRateIndexFixingDate("Euribor3M",J28),TRUE)</f>
        <v>#NUM!</v>
      </c>
      <c r="N28" s="543" t="e">
        <f>_xll.qlOvernightIndexedSwapFairRate(L28,Trigger)</f>
        <v>#VALUE!</v>
      </c>
      <c r="O28" s="545" t="e">
        <f t="shared" si="2"/>
        <v>#NUM!</v>
      </c>
    </row>
    <row r="29" spans="3:15" x14ac:dyDescent="0.2">
      <c r="C29" s="537"/>
      <c r="D29" s="537"/>
      <c r="E29" s="536"/>
      <c r="G29" s="536"/>
      <c r="H29" s="536"/>
      <c r="J29" s="551">
        <f>_xll.qlCalendarAdvance(Calendar,J28,"1M","f",,Trigger)</f>
        <v>42731</v>
      </c>
      <c r="K29" s="542">
        <f>_xll.qlCalendarAdvance(Calendar,J29,"3M","mf",,Trigger)</f>
        <v>42821</v>
      </c>
      <c r="L29" s="544" t="e">
        <f>_xll.qlMakeDatedOIS(,J29,K29,"eonia",,,,,Trigger)</f>
        <v>#NUM!</v>
      </c>
      <c r="M29" s="543" t="e">
        <f>_xll.qlIndexFixing("euribor3m",_xll.qlInterestRateIndexFixingDate("Euribor3M",J29),TRUE)</f>
        <v>#NUM!</v>
      </c>
      <c r="N29" s="543" t="e">
        <f>_xll.qlOvernightIndexedSwapFairRate(L29,Trigger)</f>
        <v>#VALUE!</v>
      </c>
      <c r="O29" s="545" t="e">
        <f t="shared" si="2"/>
        <v>#NUM!</v>
      </c>
    </row>
    <row r="30" spans="3:15" x14ac:dyDescent="0.2">
      <c r="C30" s="537"/>
      <c r="D30" s="537"/>
      <c r="E30" s="536"/>
      <c r="G30" s="536"/>
      <c r="H30" s="536"/>
      <c r="J30" s="551">
        <f>_xll.qlCalendarAdvance(Calendar,J29,"1M","f",,Trigger)</f>
        <v>42762</v>
      </c>
      <c r="K30" s="542">
        <f>_xll.qlCalendarAdvance(Calendar,J30,"3M","mf",,Trigger)</f>
        <v>42852</v>
      </c>
      <c r="L30" s="544" t="e">
        <f>_xll.qlMakeDatedOIS(,J30,K30,"eonia",,,,,Trigger)</f>
        <v>#NUM!</v>
      </c>
      <c r="M30" s="543" t="e">
        <f>_xll.qlIndexFixing("euribor3m",_xll.qlInterestRateIndexFixingDate("Euribor3M",J30),TRUE)</f>
        <v>#NUM!</v>
      </c>
      <c r="N30" s="543" t="e">
        <f>_xll.qlOvernightIndexedSwapFairRate(L30,Trigger)</f>
        <v>#VALUE!</v>
      </c>
      <c r="O30" s="545" t="e">
        <f t="shared" si="2"/>
        <v>#NUM!</v>
      </c>
    </row>
    <row r="31" spans="3:15" x14ac:dyDescent="0.2">
      <c r="C31" s="537"/>
      <c r="D31" s="537"/>
      <c r="E31" s="536"/>
      <c r="G31" s="536"/>
      <c r="H31" s="536"/>
      <c r="J31" s="551">
        <f>_xll.qlCalendarAdvance(Calendar,J30,"1M","f",,Trigger)</f>
        <v>42793</v>
      </c>
      <c r="K31" s="542">
        <f>_xll.qlCalendarAdvance(Calendar,J31,"3M","mf",,Trigger)</f>
        <v>42884</v>
      </c>
      <c r="L31" s="544" t="e">
        <f>_xll.qlMakeDatedOIS(,J31,K31,"eonia",,,,,Trigger)</f>
        <v>#NUM!</v>
      </c>
      <c r="M31" s="543" t="e">
        <f>_xll.qlIndexFixing("euribor3m",_xll.qlInterestRateIndexFixingDate("Euribor3M",J31),TRUE)</f>
        <v>#NUM!</v>
      </c>
      <c r="N31" s="543" t="e">
        <f>_xll.qlOvernightIndexedSwapFairRate(L31,Trigger)</f>
        <v>#VALUE!</v>
      </c>
      <c r="O31" s="545" t="e">
        <f t="shared" si="2"/>
        <v>#NUM!</v>
      </c>
    </row>
    <row r="32" spans="3:15" x14ac:dyDescent="0.2">
      <c r="C32" s="537"/>
      <c r="D32" s="537"/>
      <c r="E32" s="536"/>
      <c r="G32" s="536"/>
      <c r="H32" s="536"/>
      <c r="J32" s="551">
        <f>_xll.qlCalendarAdvance(Calendar,J31,"1M","f",,Trigger)</f>
        <v>42821</v>
      </c>
      <c r="K32" s="542">
        <f>_xll.qlCalendarAdvance(Calendar,J32,"3M","mf",,Trigger)</f>
        <v>42913</v>
      </c>
      <c r="L32" s="544" t="e">
        <f>_xll.qlMakeDatedOIS(,J32,K32,"eonia",,,,,Trigger)</f>
        <v>#NUM!</v>
      </c>
      <c r="M32" s="543" t="e">
        <f>_xll.qlIndexFixing("euribor3m",_xll.qlInterestRateIndexFixingDate("Euribor3M",J32),TRUE)</f>
        <v>#NUM!</v>
      </c>
      <c r="N32" s="543" t="e">
        <f>_xll.qlOvernightIndexedSwapFairRate(L32,Trigger)</f>
        <v>#VALUE!</v>
      </c>
      <c r="O32" s="545" t="e">
        <f t="shared" si="2"/>
        <v>#NUM!</v>
      </c>
    </row>
    <row r="33" spans="3:15" x14ac:dyDescent="0.2">
      <c r="C33" s="537"/>
      <c r="D33" s="537"/>
      <c r="E33" s="536"/>
      <c r="G33" s="536"/>
      <c r="H33" s="536"/>
      <c r="J33" s="551">
        <f>_xll.qlCalendarAdvance(Calendar,J32,"1M","f",,Trigger)</f>
        <v>42852</v>
      </c>
      <c r="K33" s="542">
        <f>_xll.qlCalendarAdvance(Calendar,J33,"3M","mf",,Trigger)</f>
        <v>42943</v>
      </c>
      <c r="L33" s="544" t="e">
        <f>_xll.qlMakeDatedOIS(,J33,K33,"eonia",,,,,Trigger)</f>
        <v>#NUM!</v>
      </c>
      <c r="M33" s="543" t="e">
        <f>_xll.qlIndexFixing("euribor3m",_xll.qlInterestRateIndexFixingDate("Euribor3M",J33),TRUE)</f>
        <v>#NUM!</v>
      </c>
      <c r="N33" s="543" t="e">
        <f>_xll.qlOvernightIndexedSwapFairRate(L33,Trigger)</f>
        <v>#VALUE!</v>
      </c>
      <c r="O33" s="545" t="e">
        <f t="shared" si="2"/>
        <v>#NUM!</v>
      </c>
    </row>
    <row r="34" spans="3:15" x14ac:dyDescent="0.2">
      <c r="C34" s="537"/>
      <c r="D34" s="537"/>
      <c r="E34" s="536"/>
      <c r="G34" s="536"/>
      <c r="H34" s="536"/>
      <c r="J34" s="551">
        <f>_xll.qlCalendarAdvance(Calendar,J33,"1M","f",,Trigger)</f>
        <v>42884</v>
      </c>
      <c r="K34" s="542">
        <f>_xll.qlCalendarAdvance(Calendar,J34,"3M","mf",,Trigger)</f>
        <v>42976</v>
      </c>
      <c r="L34" s="544" t="e">
        <f>_xll.qlMakeDatedOIS(,J34,K34,"eonia",,,,,Trigger)</f>
        <v>#NUM!</v>
      </c>
      <c r="M34" s="543" t="e">
        <f>_xll.qlIndexFixing("euribor3m",_xll.qlInterestRateIndexFixingDate("Euribor3M",J34),TRUE)</f>
        <v>#NUM!</v>
      </c>
      <c r="N34" s="543" t="e">
        <f>_xll.qlOvernightIndexedSwapFairRate(L34,Trigger)</f>
        <v>#VALUE!</v>
      </c>
      <c r="O34" s="545" t="e">
        <f t="shared" si="2"/>
        <v>#NUM!</v>
      </c>
    </row>
    <row r="35" spans="3:15" x14ac:dyDescent="0.2">
      <c r="C35" s="537"/>
      <c r="D35" s="537"/>
      <c r="E35" s="536"/>
      <c r="G35" s="536"/>
      <c r="H35" s="536"/>
      <c r="J35" s="551">
        <f>_xll.qlCalendarAdvance(Calendar,J34,"1M","f",,Trigger)</f>
        <v>42915</v>
      </c>
      <c r="K35" s="542">
        <f>_xll.qlCalendarAdvance(Calendar,J35,"3M","mf",,Trigger)</f>
        <v>43007</v>
      </c>
      <c r="L35" s="544" t="e">
        <f>_xll.qlMakeDatedOIS(,J35,K35,"eonia",,,,,Trigger)</f>
        <v>#NUM!</v>
      </c>
      <c r="M35" s="543" t="e">
        <f>_xll.qlIndexFixing("euribor3m",_xll.qlInterestRateIndexFixingDate("Euribor3M",J35),TRUE)</f>
        <v>#NUM!</v>
      </c>
      <c r="N35" s="543" t="e">
        <f>_xll.qlOvernightIndexedSwapFairRate(L35,Trigger)</f>
        <v>#VALUE!</v>
      </c>
      <c r="O35" s="545" t="e">
        <f t="shared" si="2"/>
        <v>#NUM!</v>
      </c>
    </row>
    <row r="36" spans="3:15" x14ac:dyDescent="0.2">
      <c r="C36" s="537"/>
      <c r="D36" s="537"/>
      <c r="E36" s="536"/>
      <c r="G36" s="536"/>
      <c r="H36" s="536"/>
      <c r="J36" s="551">
        <f>_xll.qlCalendarAdvance(Calendar,J35,"1M","f",,Trigger)</f>
        <v>42947</v>
      </c>
      <c r="K36" s="542">
        <f>_xll.qlCalendarAdvance(Calendar,J36,"3M","mf",,Trigger)</f>
        <v>43039</v>
      </c>
      <c r="L36" s="544" t="e">
        <f>_xll.qlMakeDatedOIS(,J36,K36,"eonia",,,,,Trigger)</f>
        <v>#NUM!</v>
      </c>
      <c r="M36" s="543" t="e">
        <f>_xll.qlIndexFixing("euribor3m",_xll.qlInterestRateIndexFixingDate("Euribor3M",J36),TRUE)</f>
        <v>#NUM!</v>
      </c>
      <c r="N36" s="543" t="e">
        <f>_xll.qlOvernightIndexedSwapFairRate(L36,Trigger)</f>
        <v>#VALUE!</v>
      </c>
      <c r="O36" s="545" t="e">
        <f t="shared" si="2"/>
        <v>#NUM!</v>
      </c>
    </row>
    <row r="37" spans="3:15" x14ac:dyDescent="0.2">
      <c r="C37" s="537"/>
      <c r="D37" s="537"/>
      <c r="E37" s="536"/>
      <c r="G37" s="536"/>
      <c r="H37" s="536"/>
      <c r="J37" s="551">
        <f>_xll.qlCalendarAdvance(Calendar,J36,"1M","f",,Trigger)</f>
        <v>42978</v>
      </c>
      <c r="K37" s="542">
        <f>_xll.qlCalendarAdvance(Calendar,J37,"3M","mf",,Trigger)</f>
        <v>43069</v>
      </c>
      <c r="L37" s="544" t="e">
        <f>_xll.qlMakeDatedOIS(,J37,K37,"eonia",,,,,Trigger)</f>
        <v>#NUM!</v>
      </c>
      <c r="M37" s="543" t="e">
        <f>_xll.qlIndexFixing("euribor3m",_xll.qlInterestRateIndexFixingDate("Euribor3M",J37),TRUE)</f>
        <v>#NUM!</v>
      </c>
      <c r="N37" s="543" t="e">
        <f>_xll.qlOvernightIndexedSwapFairRate(L37,Trigger)</f>
        <v>#VALUE!</v>
      </c>
      <c r="O37" s="545" t="e">
        <f t="shared" si="2"/>
        <v>#NUM!</v>
      </c>
    </row>
    <row r="38" spans="3:15" x14ac:dyDescent="0.2">
      <c r="C38" s="537"/>
      <c r="D38" s="537"/>
      <c r="E38" s="536"/>
      <c r="G38" s="536"/>
      <c r="H38" s="536"/>
      <c r="J38" s="551">
        <f>_xll.qlCalendarAdvance(Calendar,J37,"1M","f",,Trigger)</f>
        <v>43010</v>
      </c>
      <c r="K38" s="542">
        <f>_xll.qlCalendarAdvance(Calendar,J38,"3M","mf",,Trigger)</f>
        <v>43102</v>
      </c>
      <c r="L38" s="544" t="e">
        <f>_xll.qlMakeDatedOIS(,J38,K38,"eonia",,,,,Trigger)</f>
        <v>#NUM!</v>
      </c>
      <c r="M38" s="543" t="e">
        <f>_xll.qlIndexFixing("euribor3m",_xll.qlInterestRateIndexFixingDate("Euribor3M",J38),TRUE)</f>
        <v>#NUM!</v>
      </c>
      <c r="N38" s="543" t="e">
        <f>_xll.qlOvernightIndexedSwapFairRate(L38,Trigger)</f>
        <v>#VALUE!</v>
      </c>
      <c r="O38" s="545" t="e">
        <f t="shared" si="2"/>
        <v>#NUM!</v>
      </c>
    </row>
    <row r="39" spans="3:15" x14ac:dyDescent="0.2">
      <c r="C39" s="537"/>
      <c r="D39" s="537"/>
      <c r="E39" s="536"/>
      <c r="G39" s="536"/>
      <c r="H39" s="536"/>
      <c r="J39" s="551">
        <f>_xll.qlCalendarAdvance(Calendar,J38,"1M","f",,Trigger)</f>
        <v>43041</v>
      </c>
      <c r="K39" s="542">
        <f>_xll.qlCalendarAdvance(Calendar,J39,"3M","mf",,Trigger)</f>
        <v>43133</v>
      </c>
      <c r="L39" s="544" t="e">
        <f>_xll.qlMakeDatedOIS(,J39,K39,"eonia",,,,,Trigger)</f>
        <v>#NUM!</v>
      </c>
      <c r="M39" s="543" t="e">
        <f>_xll.qlIndexFixing("euribor3m",_xll.qlInterestRateIndexFixingDate("Euribor3M",J39),TRUE)</f>
        <v>#NUM!</v>
      </c>
      <c r="N39" s="543" t="e">
        <f>_xll.qlOvernightIndexedSwapFairRate(L39,Trigger)</f>
        <v>#VALUE!</v>
      </c>
      <c r="O39" s="545" t="e">
        <f t="shared" si="2"/>
        <v>#NUM!</v>
      </c>
    </row>
    <row r="40" spans="3:15" x14ac:dyDescent="0.2">
      <c r="C40" s="537"/>
      <c r="D40" s="537"/>
      <c r="E40" s="536"/>
      <c r="G40" s="536"/>
      <c r="H40" s="536"/>
      <c r="J40" s="551">
        <f>_xll.qlCalendarAdvance(Calendar,J39,"1M","f",,Trigger)</f>
        <v>43073</v>
      </c>
      <c r="K40" s="542">
        <f>_xll.qlCalendarAdvance(Calendar,J40,"3M","mf",,Trigger)</f>
        <v>43164</v>
      </c>
      <c r="L40" s="544" t="e">
        <f>_xll.qlMakeDatedOIS(,J40,K40,"eonia",,,,,Trigger)</f>
        <v>#NUM!</v>
      </c>
      <c r="M40" s="543" t="e">
        <f>_xll.qlIndexFixing("euribor3m",_xll.qlInterestRateIndexFixingDate("Euribor3M",J40),TRUE)</f>
        <v>#NUM!</v>
      </c>
      <c r="N40" s="543" t="e">
        <f>_xll.qlOvernightIndexedSwapFairRate(L40,Trigger)</f>
        <v>#VALUE!</v>
      </c>
      <c r="O40" s="545" t="e">
        <f t="shared" si="2"/>
        <v>#NUM!</v>
      </c>
    </row>
    <row r="41" spans="3:15" x14ac:dyDescent="0.2">
      <c r="C41" s="537"/>
      <c r="D41" s="537"/>
      <c r="E41" s="536"/>
      <c r="G41" s="536"/>
      <c r="H41" s="536"/>
      <c r="J41" s="551">
        <f>_xll.qlCalendarAdvance(Calendar,J40,"1M","f",,Trigger)</f>
        <v>43104</v>
      </c>
      <c r="K41" s="542">
        <f>_xll.qlCalendarAdvance(Calendar,J41,"3M","mf",,Trigger)</f>
        <v>43194</v>
      </c>
      <c r="L41" s="544" t="e">
        <f>_xll.qlMakeDatedOIS(,J41,K41,"eonia",,,,,Trigger)</f>
        <v>#NUM!</v>
      </c>
      <c r="M41" s="543" t="e">
        <f>_xll.qlIndexFixing("euribor3m",_xll.qlInterestRateIndexFixingDate("Euribor3M",J41),TRUE)</f>
        <v>#NUM!</v>
      </c>
      <c r="N41" s="543" t="e">
        <f>_xll.qlOvernightIndexedSwapFairRate(L41,Trigger)</f>
        <v>#VALUE!</v>
      </c>
      <c r="O41" s="545" t="e">
        <f t="shared" si="2"/>
        <v>#NUM!</v>
      </c>
    </row>
    <row r="42" spans="3:15" x14ac:dyDescent="0.2">
      <c r="C42" s="537"/>
      <c r="D42" s="537"/>
      <c r="E42" s="536"/>
      <c r="G42" s="536"/>
      <c r="H42" s="536"/>
      <c r="J42" s="551">
        <f>_xll.qlCalendarAdvance(Calendar,J41,"1M","f",,Trigger)</f>
        <v>43136</v>
      </c>
      <c r="K42" s="542">
        <f>_xll.qlCalendarAdvance(Calendar,J42,"3M","mf",,Trigger)</f>
        <v>43227</v>
      </c>
      <c r="L42" s="544" t="e">
        <f>_xll.qlMakeDatedOIS(,J42,K42,"eonia",,,,,Trigger)</f>
        <v>#NUM!</v>
      </c>
      <c r="M42" s="543" t="e">
        <f>_xll.qlIndexFixing("euribor3m",_xll.qlInterestRateIndexFixingDate("Euribor3M",J42),TRUE)</f>
        <v>#NUM!</v>
      </c>
      <c r="N42" s="543" t="e">
        <f>_xll.qlOvernightIndexedSwapFairRate(L42,Trigger)</f>
        <v>#VALUE!</v>
      </c>
      <c r="O42" s="545" t="e">
        <f t="shared" si="2"/>
        <v>#NUM!</v>
      </c>
    </row>
    <row r="43" spans="3:15" x14ac:dyDescent="0.2">
      <c r="C43" s="537"/>
      <c r="D43" s="537"/>
      <c r="E43" s="536"/>
      <c r="G43" s="536"/>
      <c r="H43" s="536"/>
      <c r="J43" s="551">
        <f>_xll.qlCalendarAdvance(Calendar,J42,"1M","f",,Trigger)</f>
        <v>43164</v>
      </c>
      <c r="K43" s="542">
        <f>_xll.qlCalendarAdvance(Calendar,J43,"3M","mf",,Trigger)</f>
        <v>43256</v>
      </c>
      <c r="L43" s="544" t="e">
        <f>_xll.qlMakeDatedOIS(,J43,K43,"eonia",,,,,Trigger)</f>
        <v>#NUM!</v>
      </c>
      <c r="M43" s="543" t="e">
        <f>_xll.qlIndexFixing("euribor3m",_xll.qlInterestRateIndexFixingDate("Euribor3M",J43),TRUE)</f>
        <v>#NUM!</v>
      </c>
      <c r="N43" s="543" t="e">
        <f>_xll.qlOvernightIndexedSwapFairRate(L43,Trigger)</f>
        <v>#VALUE!</v>
      </c>
      <c r="O43" s="545" t="e">
        <f t="shared" si="2"/>
        <v>#NUM!</v>
      </c>
    </row>
    <row r="44" spans="3:15" x14ac:dyDescent="0.2">
      <c r="C44" s="537"/>
      <c r="D44" s="537"/>
      <c r="E44" s="536"/>
      <c r="G44" s="536"/>
      <c r="H44" s="536"/>
      <c r="J44" s="551">
        <f>_xll.qlCalendarAdvance(Calendar,J43,"1M","f",,Trigger)</f>
        <v>43195</v>
      </c>
      <c r="K44" s="542">
        <f>_xll.qlCalendarAdvance(Calendar,J44,"3M","mf",,Trigger)</f>
        <v>43286</v>
      </c>
      <c r="L44" s="544" t="e">
        <f>_xll.qlMakeDatedOIS(,J44,K44,"eonia",,,,,Trigger)</f>
        <v>#NUM!</v>
      </c>
      <c r="M44" s="543" t="e">
        <f>_xll.qlIndexFixing("euribor3m",_xll.qlInterestRateIndexFixingDate("Euribor3M",J44),TRUE)</f>
        <v>#NUM!</v>
      </c>
      <c r="N44" s="543" t="e">
        <f>_xll.qlOvernightIndexedSwapFairRate(L44,Trigger)</f>
        <v>#VALUE!</v>
      </c>
      <c r="O44" s="545" t="e">
        <f t="shared" si="2"/>
        <v>#NUM!</v>
      </c>
    </row>
    <row r="45" spans="3:15" x14ac:dyDescent="0.2">
      <c r="C45" s="537"/>
      <c r="D45" s="537"/>
      <c r="E45" s="536"/>
      <c r="G45" s="536"/>
      <c r="H45" s="536"/>
      <c r="J45" s="551">
        <f>_xll.qlCalendarAdvance(Calendar,J44,"1M","f",,Trigger)</f>
        <v>43227</v>
      </c>
      <c r="K45" s="542">
        <f>_xll.qlCalendarAdvance(Calendar,J45,"3M","mf",,Trigger)</f>
        <v>43319</v>
      </c>
      <c r="L45" s="544" t="e">
        <f>_xll.qlMakeDatedOIS(,J45,K45,"eonia",,,,,Trigger)</f>
        <v>#NUM!</v>
      </c>
      <c r="M45" s="543" t="e">
        <f>_xll.qlIndexFixing("euribor3m",_xll.qlInterestRateIndexFixingDate("Euribor3M",J45),TRUE)</f>
        <v>#NUM!</v>
      </c>
      <c r="N45" s="543" t="e">
        <f>_xll.qlOvernightIndexedSwapFairRate(L45,Trigger)</f>
        <v>#VALUE!</v>
      </c>
      <c r="O45" s="545" t="e">
        <f t="shared" si="2"/>
        <v>#NUM!</v>
      </c>
    </row>
    <row r="46" spans="3:15" x14ac:dyDescent="0.2">
      <c r="C46" s="537"/>
      <c r="D46" s="537"/>
      <c r="E46" s="536"/>
      <c r="G46" s="536"/>
      <c r="H46" s="536"/>
      <c r="J46" s="551">
        <f>_xll.qlCalendarAdvance(Calendar,J45,"1M","f",,Trigger)</f>
        <v>43258</v>
      </c>
      <c r="K46" s="542">
        <f>_xll.qlCalendarAdvance(Calendar,J46,"3M","mf",,Trigger)</f>
        <v>43350</v>
      </c>
      <c r="L46" s="544" t="e">
        <f>_xll.qlMakeDatedOIS(,J46,K46,"eonia",,,,,Trigger)</f>
        <v>#NUM!</v>
      </c>
      <c r="M46" s="543" t="e">
        <f>_xll.qlIndexFixing("euribor3m",_xll.qlInterestRateIndexFixingDate("Euribor3M",J46),TRUE)</f>
        <v>#NUM!</v>
      </c>
      <c r="N46" s="543" t="e">
        <f>_xll.qlOvernightIndexedSwapFairRate(L46,Trigger)</f>
        <v>#VALUE!</v>
      </c>
      <c r="O46" s="545" t="e">
        <f t="shared" si="2"/>
        <v>#NUM!</v>
      </c>
    </row>
    <row r="47" spans="3:15" x14ac:dyDescent="0.2">
      <c r="C47" s="537"/>
      <c r="D47" s="537"/>
      <c r="E47" s="536"/>
      <c r="G47" s="536"/>
      <c r="H47" s="536"/>
      <c r="J47" s="551">
        <f>_xll.qlCalendarAdvance(Calendar,J46,"1M","f",,Trigger)</f>
        <v>43290</v>
      </c>
      <c r="K47" s="542">
        <f>_xll.qlCalendarAdvance(Calendar,J47,"3M","mf",,Trigger)</f>
        <v>43382</v>
      </c>
      <c r="L47" s="544" t="e">
        <f>_xll.qlMakeDatedOIS(,J47,K47,"eonia",,,,,Trigger)</f>
        <v>#NUM!</v>
      </c>
      <c r="M47" s="543" t="e">
        <f>_xll.qlIndexFixing("euribor3m",_xll.qlInterestRateIndexFixingDate("Euribor3M",J47),TRUE)</f>
        <v>#NUM!</v>
      </c>
      <c r="N47" s="543" t="e">
        <f>_xll.qlOvernightIndexedSwapFairRate(L47,Trigger)</f>
        <v>#VALUE!</v>
      </c>
      <c r="O47" s="545" t="e">
        <f t="shared" si="2"/>
        <v>#NUM!</v>
      </c>
    </row>
    <row r="48" spans="3:15" x14ac:dyDescent="0.2">
      <c r="C48" s="537"/>
      <c r="D48" s="537"/>
      <c r="E48" s="536"/>
      <c r="G48" s="536"/>
      <c r="H48" s="536"/>
      <c r="J48" s="551">
        <f>_xll.qlCalendarAdvance(Calendar,J47,"1M","f",,Trigger)</f>
        <v>43321</v>
      </c>
      <c r="K48" s="542">
        <f>_xll.qlCalendarAdvance(Calendar,J48,"3M","mf",,Trigger)</f>
        <v>43413</v>
      </c>
      <c r="L48" s="544" t="e">
        <f>_xll.qlMakeDatedOIS(,J48,K48,"eonia",,,,,Trigger)</f>
        <v>#NUM!</v>
      </c>
      <c r="M48" s="543" t="e">
        <f>_xll.qlIndexFixing("euribor3m",_xll.qlInterestRateIndexFixingDate("Euribor3M",J48),TRUE)</f>
        <v>#NUM!</v>
      </c>
      <c r="N48" s="543" t="e">
        <f>_xll.qlOvernightIndexedSwapFairRate(L48,Trigger)</f>
        <v>#VALUE!</v>
      </c>
      <c r="O48" s="545" t="e">
        <f t="shared" si="2"/>
        <v>#NUM!</v>
      </c>
    </row>
    <row r="49" spans="3:16" x14ac:dyDescent="0.2">
      <c r="C49" s="537"/>
      <c r="D49" s="537"/>
      <c r="E49" s="536"/>
      <c r="G49" s="536"/>
      <c r="H49" s="536"/>
      <c r="J49" s="551">
        <f>_xll.qlCalendarAdvance(Calendar,J48,"1M","f",,Trigger)</f>
        <v>43353</v>
      </c>
      <c r="K49" s="542">
        <f>_xll.qlCalendarAdvance(Calendar,J49,"3M","mf",,Trigger)</f>
        <v>43444</v>
      </c>
      <c r="L49" s="544" t="e">
        <f>_xll.qlMakeDatedOIS(,J49,K49,"eonia",,,,,Trigger)</f>
        <v>#NUM!</v>
      </c>
      <c r="M49" s="543" t="e">
        <f>_xll.qlIndexFixing("euribor3m",_xll.qlInterestRateIndexFixingDate("Euribor3M",J49),TRUE)</f>
        <v>#NUM!</v>
      </c>
      <c r="N49" s="543" t="e">
        <f>_xll.qlOvernightIndexedSwapFairRate(L49,Trigger)</f>
        <v>#VALUE!</v>
      </c>
      <c r="O49" s="545" t="e">
        <f t="shared" si="2"/>
        <v>#NUM!</v>
      </c>
    </row>
    <row r="50" spans="3:16" x14ac:dyDescent="0.2">
      <c r="C50" s="537"/>
      <c r="D50" s="537"/>
      <c r="E50" s="536"/>
      <c r="G50" s="536"/>
      <c r="H50" s="536"/>
      <c r="J50" s="551">
        <f>_xll.qlCalendarAdvance(Calendar,J49,"1M","f",,Trigger)</f>
        <v>43383</v>
      </c>
      <c r="K50" s="542">
        <f>_xll.qlCalendarAdvance(Calendar,J50,"3M","mf",,Trigger)</f>
        <v>43475</v>
      </c>
      <c r="L50" s="544" t="e">
        <f>_xll.qlMakeDatedOIS(,J50,K50,"eonia",,,,,Trigger)</f>
        <v>#NUM!</v>
      </c>
      <c r="M50" s="543" t="e">
        <f>_xll.qlIndexFixing("euribor3m",_xll.qlInterestRateIndexFixingDate("Euribor3M",J50),TRUE)</f>
        <v>#NUM!</v>
      </c>
      <c r="N50" s="543" t="e">
        <f>_xll.qlOvernightIndexedSwapFairRate(L50,Trigger)</f>
        <v>#VALUE!</v>
      </c>
      <c r="O50" s="545" t="e">
        <f t="shared" si="2"/>
        <v>#NUM!</v>
      </c>
    </row>
    <row r="51" spans="3:16" x14ac:dyDescent="0.2">
      <c r="C51" s="537"/>
      <c r="D51" s="537"/>
      <c r="E51" s="536"/>
      <c r="G51" s="536"/>
      <c r="H51" s="536"/>
      <c r="J51" s="551">
        <f>_xll.qlCalendarAdvance(Calendar,J50,"1M","f",,Trigger)</f>
        <v>43416</v>
      </c>
      <c r="K51" s="542">
        <f>_xll.qlCalendarAdvance(Calendar,J51,"3M","mf",,Trigger)</f>
        <v>43508</v>
      </c>
      <c r="L51" s="544" t="e">
        <f>_xll.qlMakeDatedOIS(,J51,K51,"eonia",,,,,Trigger)</f>
        <v>#NUM!</v>
      </c>
      <c r="M51" s="543" t="e">
        <f>_xll.qlIndexFixing("euribor3m",_xll.qlInterestRateIndexFixingDate("Euribor3M",J51),TRUE)</f>
        <v>#NUM!</v>
      </c>
      <c r="N51" s="543" t="e">
        <f>_xll.qlOvernightIndexedSwapFairRate(L51,Trigger)</f>
        <v>#VALUE!</v>
      </c>
      <c r="O51" s="545" t="e">
        <f t="shared" si="2"/>
        <v>#NUM!</v>
      </c>
    </row>
    <row r="52" spans="3:16" x14ac:dyDescent="0.2">
      <c r="C52" s="537"/>
      <c r="D52" s="537"/>
      <c r="E52" s="536"/>
      <c r="G52" s="536"/>
      <c r="H52" s="536"/>
      <c r="J52" s="551">
        <f>_xll.qlCalendarAdvance(Calendar,J51,"1M","f",,Trigger)</f>
        <v>43446</v>
      </c>
      <c r="K52" s="542">
        <f>_xll.qlCalendarAdvance(Calendar,J52,"3M","mf",,Trigger)</f>
        <v>43536</v>
      </c>
      <c r="L52" s="544" t="e">
        <f>_xll.qlMakeDatedOIS(,J52,K52,"eonia",,,,,Trigger)</f>
        <v>#NUM!</v>
      </c>
      <c r="M52" s="543" t="e">
        <f>_xll.qlIndexFixing("euribor3m",_xll.qlInterestRateIndexFixingDate("Euribor3M",J52),TRUE)</f>
        <v>#NUM!</v>
      </c>
      <c r="N52" s="543" t="e">
        <f>_xll.qlOvernightIndexedSwapFairRate(L52,Trigger)</f>
        <v>#VALUE!</v>
      </c>
      <c r="O52" s="545" t="e">
        <f t="shared" si="2"/>
        <v>#NUM!</v>
      </c>
    </row>
    <row r="53" spans="3:16" x14ac:dyDescent="0.2">
      <c r="C53" s="537"/>
      <c r="D53" s="537"/>
      <c r="E53" s="536"/>
      <c r="G53" s="536"/>
      <c r="H53" s="536"/>
      <c r="J53" s="551">
        <f>_xll.qlCalendarAdvance(Calendar,J52,"1M","f",,Trigger)</f>
        <v>43479</v>
      </c>
      <c r="K53" s="542">
        <f>_xll.qlCalendarAdvance(Calendar,J53,"3M","mf",,Trigger)</f>
        <v>43570</v>
      </c>
      <c r="L53" s="544" t="e">
        <f>_xll.qlMakeDatedOIS(,J53,K53,"eonia",,,,,Trigger)</f>
        <v>#NUM!</v>
      </c>
      <c r="M53" s="543" t="e">
        <f>_xll.qlIndexFixing("euribor3m",_xll.qlInterestRateIndexFixingDate("Euribor3M",J53),TRUE)</f>
        <v>#NUM!</v>
      </c>
      <c r="N53" s="543" t="e">
        <f>_xll.qlOvernightIndexedSwapFairRate(L53,Trigger)</f>
        <v>#VALUE!</v>
      </c>
      <c r="O53" s="545" t="e">
        <f t="shared" si="2"/>
        <v>#NUM!</v>
      </c>
    </row>
    <row r="54" spans="3:16" x14ac:dyDescent="0.2">
      <c r="C54" s="537"/>
      <c r="D54" s="537"/>
      <c r="E54" s="536"/>
      <c r="G54" s="536"/>
      <c r="H54" s="536"/>
      <c r="J54" s="551">
        <f>_xll.qlCalendarAdvance(Calendar,J53,"1M","f",,Trigger)</f>
        <v>43510</v>
      </c>
      <c r="K54" s="542">
        <f>_xll.qlCalendarAdvance(Calendar,J54,"3M","mf",,Trigger)</f>
        <v>43599</v>
      </c>
      <c r="L54" s="544" t="e">
        <f>_xll.qlMakeDatedOIS(,J54,K54,"eonia",,,,,Trigger)</f>
        <v>#NUM!</v>
      </c>
      <c r="M54" s="543" t="e">
        <f>_xll.qlIndexFixing("euribor3m",_xll.qlInterestRateIndexFixingDate("Euribor3M",J54),TRUE)</f>
        <v>#NUM!</v>
      </c>
      <c r="N54" s="543" t="e">
        <f>_xll.qlOvernightIndexedSwapFairRate(L54,Trigger)</f>
        <v>#VALUE!</v>
      </c>
      <c r="O54" s="545" t="e">
        <f t="shared" si="2"/>
        <v>#NUM!</v>
      </c>
    </row>
    <row r="55" spans="3:16" x14ac:dyDescent="0.2">
      <c r="C55" s="537"/>
      <c r="D55" s="537"/>
      <c r="E55" s="536"/>
      <c r="G55" s="536"/>
      <c r="H55" s="536"/>
      <c r="J55" s="551">
        <f>_xll.qlCalendarAdvance(Calendar,J54,"1M","f",,Trigger)</f>
        <v>43538</v>
      </c>
      <c r="K55" s="542">
        <f>_xll.qlCalendarAdvance(Calendar,J55,"3M","mf",,Trigger)</f>
        <v>43630</v>
      </c>
      <c r="L55" s="544" t="e">
        <f>_xll.qlMakeDatedOIS(,J55,K55,"eonia",,,,,Trigger)</f>
        <v>#NUM!</v>
      </c>
      <c r="M55" s="543" t="e">
        <f>_xll.qlIndexFixing("euribor3m",_xll.qlInterestRateIndexFixingDate("Euribor3M",J55),TRUE)</f>
        <v>#NUM!</v>
      </c>
      <c r="N55" s="543" t="e">
        <f>_xll.qlOvernightIndexedSwapFairRate(L55,Trigger)</f>
        <v>#VALUE!</v>
      </c>
      <c r="O55" s="545" t="e">
        <f t="shared" si="2"/>
        <v>#NUM!</v>
      </c>
    </row>
    <row r="56" spans="3:16" x14ac:dyDescent="0.2">
      <c r="C56" s="537"/>
      <c r="D56" s="537"/>
      <c r="E56" s="536"/>
      <c r="G56" s="536"/>
      <c r="H56" s="536"/>
      <c r="J56" s="551">
        <f>_xll.qlCalendarAdvance(Calendar,J55,"1M","f",,Trigger)</f>
        <v>43570</v>
      </c>
      <c r="K56" s="542">
        <f>_xll.qlCalendarAdvance(Calendar,J56,"3M","mf",,Trigger)</f>
        <v>43661</v>
      </c>
      <c r="L56" s="544" t="e">
        <f>_xll.qlMakeDatedOIS(,J56,K56,"eonia",,,,,Trigger)</f>
        <v>#NUM!</v>
      </c>
      <c r="M56" s="543" t="e">
        <f>_xll.qlIndexFixing("euribor3m",_xll.qlInterestRateIndexFixingDate("Euribor3M",J56),TRUE)</f>
        <v>#NUM!</v>
      </c>
      <c r="N56" s="543" t="e">
        <f>_xll.qlOvernightIndexedSwapFairRate(L56,Trigger)</f>
        <v>#VALUE!</v>
      </c>
      <c r="O56" s="545" t="e">
        <f t="shared" si="2"/>
        <v>#NUM!</v>
      </c>
    </row>
    <row r="57" spans="3:16" x14ac:dyDescent="0.2">
      <c r="C57" s="537"/>
      <c r="D57" s="537"/>
      <c r="E57" s="536"/>
      <c r="G57" s="536"/>
      <c r="H57" s="536"/>
      <c r="J57" s="551">
        <f>_xll.qlCalendarAdvance(Calendar,J56,"1M","f",,Trigger)</f>
        <v>43600</v>
      </c>
      <c r="K57" s="542">
        <f>_xll.qlCalendarAdvance(Calendar,J57,"3M","mf",,Trigger)</f>
        <v>43692</v>
      </c>
      <c r="L57" s="544" t="e">
        <f>_xll.qlMakeDatedOIS(,J57,K57,"eonia",,,,,Trigger)</f>
        <v>#NUM!</v>
      </c>
      <c r="M57" s="543" t="e">
        <f>_xll.qlIndexFixing("euribor3m",_xll.qlInterestRateIndexFixingDate("Euribor3M",J57),TRUE)</f>
        <v>#NUM!</v>
      </c>
      <c r="N57" s="543" t="e">
        <f>_xll.qlOvernightIndexedSwapFairRate(L57,Trigger)</f>
        <v>#VALUE!</v>
      </c>
      <c r="O57" s="545" t="e">
        <f t="shared" si="2"/>
        <v>#NUM!</v>
      </c>
    </row>
    <row r="58" spans="3:16" x14ac:dyDescent="0.2">
      <c r="C58" s="537"/>
      <c r="D58" s="537"/>
      <c r="E58" s="536"/>
      <c r="G58" s="536"/>
      <c r="H58" s="536"/>
      <c r="J58" s="551">
        <f>_xll.qlCalendarAdvance(Calendar,J57,"1M","f",,Trigger)</f>
        <v>43633</v>
      </c>
      <c r="K58" s="542">
        <f>_xll.qlCalendarAdvance(Calendar,J58,"3M","mf",,Trigger)</f>
        <v>43725</v>
      </c>
      <c r="L58" s="544" t="e">
        <f>_xll.qlMakeDatedOIS(,J58,K58,"eonia",,,,,Trigger)</f>
        <v>#NUM!</v>
      </c>
      <c r="M58" s="543" t="e">
        <f>_xll.qlIndexFixing("euribor3m",_xll.qlInterestRateIndexFixingDate("Euribor3M",J58),TRUE)</f>
        <v>#NUM!</v>
      </c>
      <c r="N58" s="543" t="e">
        <f>_xll.qlOvernightIndexedSwapFairRate(L58,Trigger)</f>
        <v>#VALUE!</v>
      </c>
      <c r="O58" s="545" t="e">
        <f t="shared" si="2"/>
        <v>#NUM!</v>
      </c>
    </row>
    <row r="59" spans="3:16" x14ac:dyDescent="0.2">
      <c r="C59" s="537"/>
      <c r="D59" s="537"/>
      <c r="E59" s="536"/>
      <c r="G59" s="536"/>
      <c r="H59" s="536"/>
      <c r="J59" s="551">
        <f>_xll.qlCalendarAdvance(Calendar,J58,"1M","f",,Trigger)</f>
        <v>43663</v>
      </c>
      <c r="K59" s="542">
        <f>_xll.qlCalendarAdvance(Calendar,J59,"3M","mf",,Trigger)</f>
        <v>43755</v>
      </c>
      <c r="L59" s="544" t="e">
        <f>_xll.qlMakeDatedOIS(,J59,K59,"eonia",,,,,Trigger)</f>
        <v>#NUM!</v>
      </c>
      <c r="M59" s="543" t="e">
        <f>_xll.qlIndexFixing("euribor3m",_xll.qlInterestRateIndexFixingDate("Euribor3M",J59),TRUE)</f>
        <v>#NUM!</v>
      </c>
      <c r="N59" s="543" t="e">
        <f>_xll.qlOvernightIndexedSwapFairRate(L59,Trigger)</f>
        <v>#VALUE!</v>
      </c>
      <c r="O59" s="545" t="e">
        <f t="shared" si="2"/>
        <v>#NUM!</v>
      </c>
    </row>
    <row r="60" spans="3:16" x14ac:dyDescent="0.2">
      <c r="C60" s="537"/>
      <c r="D60" s="537"/>
      <c r="E60" s="536"/>
      <c r="G60" s="536"/>
      <c r="H60" s="536"/>
      <c r="J60" s="551">
        <f>_xll.qlCalendarAdvance(Calendar,J59,"1M","f",,Trigger)</f>
        <v>43696</v>
      </c>
      <c r="K60" s="542">
        <f>_xll.qlCalendarAdvance(Calendar,J60,"3M","mf",,Trigger)</f>
        <v>43788</v>
      </c>
      <c r="L60" s="544" t="e">
        <f>_xll.qlMakeDatedOIS(,J60,K60,"eonia",,,,,Trigger)</f>
        <v>#NUM!</v>
      </c>
      <c r="M60" s="543" t="e">
        <f>_xll.qlIndexFixing("euribor3m",_xll.qlInterestRateIndexFixingDate("Euribor3M",J60),TRUE)</f>
        <v>#NUM!</v>
      </c>
      <c r="N60" s="543" t="e">
        <f>_xll.qlOvernightIndexedSwapFairRate(L60,Trigger)</f>
        <v>#VALUE!</v>
      </c>
      <c r="O60" s="545" t="e">
        <f t="shared" si="2"/>
        <v>#NUM!</v>
      </c>
    </row>
    <row r="61" spans="3:16" x14ac:dyDescent="0.2">
      <c r="C61" s="537"/>
      <c r="D61" s="537"/>
      <c r="E61" s="536"/>
      <c r="G61" s="536"/>
      <c r="H61" s="536"/>
      <c r="J61" s="551">
        <f>_xll.qlCalendarAdvance(Calendar,J60,"1M","f",,Trigger)</f>
        <v>43727</v>
      </c>
      <c r="K61" s="542">
        <f>_xll.qlCalendarAdvance(Calendar,J61,"3M","mf",,Trigger)</f>
        <v>43818</v>
      </c>
      <c r="L61" s="544" t="e">
        <f>_xll.qlMakeDatedOIS(,J61,K61,"eonia",,,,,Trigger)</f>
        <v>#NUM!</v>
      </c>
      <c r="M61" s="543" t="e">
        <f>_xll.qlIndexFixing("euribor3m",_xll.qlInterestRateIndexFixingDate("Euribor3M",J61),TRUE)</f>
        <v>#NUM!</v>
      </c>
      <c r="N61" s="543" t="e">
        <f>_xll.qlOvernightIndexedSwapFairRate(L61,Trigger)</f>
        <v>#VALUE!</v>
      </c>
      <c r="O61" s="545" t="e">
        <f t="shared" si="2"/>
        <v>#NUM!</v>
      </c>
    </row>
    <row r="62" spans="3:16" x14ac:dyDescent="0.2">
      <c r="C62" s="537"/>
      <c r="D62" s="537"/>
      <c r="E62" s="536"/>
      <c r="G62" s="536"/>
      <c r="H62" s="536"/>
      <c r="J62" s="551">
        <f>_xll.qlCalendarAdvance(Calendar,J61,"1M","f",,Trigger)</f>
        <v>43759</v>
      </c>
      <c r="K62" s="542">
        <f>_xll.qlCalendarAdvance(Calendar,J62,"3M","mf",,Trigger)</f>
        <v>43851</v>
      </c>
      <c r="L62" s="544" t="e">
        <f>_xll.qlMakeDatedOIS(,J62,K62,"eonia",,,,,Trigger)</f>
        <v>#NUM!</v>
      </c>
      <c r="M62" s="543" t="e">
        <f>_xll.qlIndexFixing("euribor3m",_xll.qlInterestRateIndexFixingDate("Euribor3M",J62),TRUE)</f>
        <v>#NUM!</v>
      </c>
      <c r="N62" s="543" t="e">
        <f>_xll.qlOvernightIndexedSwapFairRate(L62,Trigger)</f>
        <v>#VALUE!</v>
      </c>
      <c r="O62" s="545" t="e">
        <f t="shared" si="2"/>
        <v>#NUM!</v>
      </c>
    </row>
    <row r="63" spans="3:16" x14ac:dyDescent="0.2">
      <c r="C63" s="537"/>
      <c r="D63" s="537"/>
      <c r="E63" s="536"/>
      <c r="G63" s="536"/>
      <c r="H63" s="536"/>
      <c r="J63" s="551">
        <f>_xll.qlCalendarAdvance(Calendar,J62,"1M","f",,Trigger)</f>
        <v>43790</v>
      </c>
      <c r="K63" s="542">
        <f>_xll.qlCalendarAdvance(Calendar,J63,"3M","mf",,Trigger)</f>
        <v>43882</v>
      </c>
      <c r="L63" s="544" t="e">
        <f>_xll.qlMakeDatedOIS(,J63,K63,"eonia",,,,,Trigger)</f>
        <v>#NUM!</v>
      </c>
      <c r="M63" s="543" t="e">
        <f>_xll.qlIndexFixing("euribor3m",_xll.qlInterestRateIndexFixingDate("Euribor3M",J63),TRUE)</f>
        <v>#NUM!</v>
      </c>
      <c r="N63" s="543" t="e">
        <f>_xll.qlOvernightIndexedSwapFairRate(L63,Trigger)</f>
        <v>#VALUE!</v>
      </c>
      <c r="O63" s="545" t="e">
        <f t="shared" si="2"/>
        <v>#NUM!</v>
      </c>
      <c r="P63" s="554" t="s">
        <v>187</v>
      </c>
    </row>
    <row r="64" spans="3:16" x14ac:dyDescent="0.2">
      <c r="C64" s="537"/>
      <c r="D64" s="537"/>
      <c r="E64" s="536"/>
      <c r="G64" s="536"/>
      <c r="H64" s="536"/>
      <c r="J64" s="551">
        <f>_xll.qlCalendarAdvance(Calendar,J63,"1M","f",,Trigger)</f>
        <v>43822</v>
      </c>
      <c r="K64" s="542">
        <f>_xll.qlCalendarAdvance(Calendar,J64,"3M","mf",,Trigger)</f>
        <v>43913</v>
      </c>
      <c r="L64" s="544" t="e">
        <f>_xll.qlMakeDatedOIS(,J64,K64,"eonia",,,,,Trigger)</f>
        <v>#NUM!</v>
      </c>
      <c r="M64" s="543" t="e">
        <f>_xll.qlIndexFixing("euribor3m",_xll.qlInterestRateIndexFixingDate("Euribor3M",J64),TRUE)</f>
        <v>#NUM!</v>
      </c>
      <c r="N64" s="543" t="e">
        <f>_xll.qlOvernightIndexedSwapFairRate(L64,Trigger)</f>
        <v>#VALUE!</v>
      </c>
      <c r="O64" s="545" t="e">
        <f t="shared" si="2"/>
        <v>#NUM!</v>
      </c>
    </row>
    <row r="65" spans="3:15" x14ac:dyDescent="0.2">
      <c r="C65" s="537"/>
      <c r="D65" s="537"/>
      <c r="E65" s="536"/>
      <c r="G65" s="536"/>
      <c r="H65" s="536"/>
      <c r="J65" s="551">
        <f>_xll.qlCalendarAdvance(Calendar,J64,"1M","f",,Trigger)</f>
        <v>43853</v>
      </c>
      <c r="K65" s="542">
        <f>_xll.qlCalendarAdvance(Calendar,J65,"3M","mf",,Trigger)</f>
        <v>43944</v>
      </c>
      <c r="L65" s="544" t="e">
        <f>_xll.qlMakeDatedOIS(,J65,K65,"eonia",,,,,Trigger)</f>
        <v>#NUM!</v>
      </c>
      <c r="M65" s="543" t="e">
        <f>_xll.qlIndexFixing("euribor3m",_xll.qlInterestRateIndexFixingDate("Euribor3M",J65),TRUE)</f>
        <v>#NUM!</v>
      </c>
      <c r="N65" s="543" t="e">
        <f>_xll.qlOvernightIndexedSwapFairRate(L65,Trigger)</f>
        <v>#VALUE!</v>
      </c>
      <c r="O65" s="545" t="e">
        <f t="shared" si="2"/>
        <v>#NUM!</v>
      </c>
    </row>
    <row r="66" spans="3:15" x14ac:dyDescent="0.2">
      <c r="C66" s="537"/>
      <c r="D66" s="537"/>
      <c r="E66" s="536"/>
      <c r="G66" s="536"/>
      <c r="H66" s="536"/>
      <c r="J66" s="551">
        <f>_xll.qlCalendarAdvance(Calendar,J65,"1M","f",,Trigger)</f>
        <v>43885</v>
      </c>
      <c r="K66" s="542">
        <f>_xll.qlCalendarAdvance(Calendar,J66,"3M","mf",,Trigger)</f>
        <v>43976</v>
      </c>
      <c r="L66" s="544" t="e">
        <f>_xll.qlMakeDatedOIS(,J66,K66,"eonia",,,,,Trigger)</f>
        <v>#NUM!</v>
      </c>
      <c r="M66" s="543" t="e">
        <f>_xll.qlIndexFixing("euribor3m",_xll.qlInterestRateIndexFixingDate("Euribor3M",J66),TRUE)</f>
        <v>#NUM!</v>
      </c>
      <c r="N66" s="543" t="e">
        <f>_xll.qlOvernightIndexedSwapFairRate(L66,Trigger)</f>
        <v>#VALUE!</v>
      </c>
      <c r="O66" s="545" t="e">
        <f t="shared" si="2"/>
        <v>#NUM!</v>
      </c>
    </row>
    <row r="67" spans="3:15" x14ac:dyDescent="0.2">
      <c r="C67" s="537"/>
      <c r="D67" s="537"/>
      <c r="E67" s="536"/>
      <c r="G67" s="536"/>
      <c r="H67" s="536"/>
      <c r="J67" s="551">
        <f>_xll.qlCalendarAdvance(Calendar,J66,"1M","f",,Trigger)</f>
        <v>43914</v>
      </c>
      <c r="K67" s="542">
        <f>_xll.qlCalendarAdvance(Calendar,J67,"3M","mf",,Trigger)</f>
        <v>44006</v>
      </c>
      <c r="L67" s="544" t="e">
        <f>_xll.qlMakeDatedOIS(,J67,K67,"eonia",,,,,Trigger)</f>
        <v>#NUM!</v>
      </c>
      <c r="M67" s="543" t="e">
        <f>_xll.qlIndexFixing("euribor3m",_xll.qlInterestRateIndexFixingDate("Euribor3M",J67),TRUE)</f>
        <v>#NUM!</v>
      </c>
      <c r="N67" s="543" t="e">
        <f>_xll.qlOvernightIndexedSwapFairRate(L67,Trigger)</f>
        <v>#VALUE!</v>
      </c>
      <c r="O67" s="545" t="e">
        <f t="shared" ref="O67:O130" si="3">M67-N67</f>
        <v>#NUM!</v>
      </c>
    </row>
    <row r="68" spans="3:15" x14ac:dyDescent="0.2">
      <c r="C68" s="537"/>
      <c r="D68" s="537"/>
      <c r="E68" s="536"/>
      <c r="G68" s="536"/>
      <c r="H68" s="536"/>
      <c r="J68" s="551">
        <f>_xll.qlCalendarAdvance(Calendar,J67,"1M","f",,Trigger)</f>
        <v>43945</v>
      </c>
      <c r="K68" s="542">
        <f>_xll.qlCalendarAdvance(Calendar,J68,"3M","mf",,Trigger)</f>
        <v>44036</v>
      </c>
      <c r="L68" s="544" t="e">
        <f>_xll.qlMakeDatedOIS(,J68,K68,"eonia",,,,,Trigger)</f>
        <v>#NUM!</v>
      </c>
      <c r="M68" s="543" t="e">
        <f>_xll.qlIndexFixing("euribor3m",_xll.qlInterestRateIndexFixingDate("Euribor3M",J68),TRUE)</f>
        <v>#NUM!</v>
      </c>
      <c r="N68" s="543" t="e">
        <f>_xll.qlOvernightIndexedSwapFairRate(L68,Trigger)</f>
        <v>#VALUE!</v>
      </c>
      <c r="O68" s="545" t="e">
        <f t="shared" si="3"/>
        <v>#NUM!</v>
      </c>
    </row>
    <row r="69" spans="3:15" x14ac:dyDescent="0.2">
      <c r="C69" s="537"/>
      <c r="D69" s="537"/>
      <c r="E69" s="536"/>
      <c r="G69" s="536"/>
      <c r="H69" s="536"/>
      <c r="J69" s="551">
        <f>_xll.qlCalendarAdvance(Calendar,J68,"1M","f",,Trigger)</f>
        <v>43976</v>
      </c>
      <c r="K69" s="542">
        <f>_xll.qlCalendarAdvance(Calendar,J69,"3M","mf",,Trigger)</f>
        <v>44068</v>
      </c>
      <c r="L69" s="544" t="e">
        <f>_xll.qlMakeDatedOIS(,J69,K69,"eonia",,,,,Trigger)</f>
        <v>#NUM!</v>
      </c>
      <c r="M69" s="543" t="e">
        <f>_xll.qlIndexFixing("euribor3m",_xll.qlInterestRateIndexFixingDate("Euribor3M",J69),TRUE)</f>
        <v>#NUM!</v>
      </c>
      <c r="N69" s="543" t="e">
        <f>_xll.qlOvernightIndexedSwapFairRate(L69,Trigger)</f>
        <v>#VALUE!</v>
      </c>
      <c r="O69" s="545" t="e">
        <f t="shared" si="3"/>
        <v>#NUM!</v>
      </c>
    </row>
    <row r="70" spans="3:15" x14ac:dyDescent="0.2">
      <c r="C70" s="537"/>
      <c r="D70" s="537"/>
      <c r="E70" s="536"/>
      <c r="G70" s="536"/>
      <c r="H70" s="536"/>
      <c r="J70" s="551">
        <f>_xll.qlCalendarAdvance(Calendar,J69,"1M","f",,Trigger)</f>
        <v>44007</v>
      </c>
      <c r="K70" s="542">
        <f>_xll.qlCalendarAdvance(Calendar,J70,"3M","mf",,Trigger)</f>
        <v>44099</v>
      </c>
      <c r="L70" s="544" t="e">
        <f>_xll.qlMakeDatedOIS(,J70,K70,"eonia",,,,,Trigger)</f>
        <v>#NUM!</v>
      </c>
      <c r="M70" s="543" t="e">
        <f>_xll.qlIndexFixing("euribor3m",_xll.qlInterestRateIndexFixingDate("Euribor3M",J70),TRUE)</f>
        <v>#NUM!</v>
      </c>
      <c r="N70" s="543" t="e">
        <f>_xll.qlOvernightIndexedSwapFairRate(L70,Trigger)</f>
        <v>#VALUE!</v>
      </c>
      <c r="O70" s="545" t="e">
        <f t="shared" si="3"/>
        <v>#NUM!</v>
      </c>
    </row>
    <row r="71" spans="3:15" x14ac:dyDescent="0.2">
      <c r="C71" s="537"/>
      <c r="D71" s="537"/>
      <c r="E71" s="536"/>
      <c r="G71" s="536"/>
      <c r="H71" s="536"/>
      <c r="J71" s="551">
        <f>_xll.qlCalendarAdvance(Calendar,J70,"1M","f",,Trigger)</f>
        <v>44039</v>
      </c>
      <c r="K71" s="542">
        <f>_xll.qlCalendarAdvance(Calendar,J71,"3M","mf",,Trigger)</f>
        <v>44131</v>
      </c>
      <c r="L71" s="544" t="e">
        <f>_xll.qlMakeDatedOIS(,J71,K71,"eonia",,,,,Trigger)</f>
        <v>#NUM!</v>
      </c>
      <c r="M71" s="543" t="e">
        <f>_xll.qlIndexFixing("euribor3m",_xll.qlInterestRateIndexFixingDate("Euribor3M",J71),TRUE)</f>
        <v>#NUM!</v>
      </c>
      <c r="N71" s="543" t="e">
        <f>_xll.qlOvernightIndexedSwapFairRate(L71,Trigger)</f>
        <v>#VALUE!</v>
      </c>
      <c r="O71" s="545" t="e">
        <f t="shared" si="3"/>
        <v>#NUM!</v>
      </c>
    </row>
    <row r="72" spans="3:15" x14ac:dyDescent="0.2">
      <c r="C72" s="537"/>
      <c r="D72" s="537"/>
      <c r="E72" s="536"/>
      <c r="G72" s="536"/>
      <c r="H72" s="536"/>
      <c r="J72" s="551">
        <f>_xll.qlCalendarAdvance(Calendar,J71,"1M","f",,Trigger)</f>
        <v>44070</v>
      </c>
      <c r="K72" s="542">
        <f>_xll.qlCalendarAdvance(Calendar,J72,"3M","mf",,Trigger)</f>
        <v>44162</v>
      </c>
      <c r="L72" s="544" t="e">
        <f>_xll.qlMakeDatedOIS(,J72,K72,"eonia",,,,,Trigger)</f>
        <v>#NUM!</v>
      </c>
      <c r="M72" s="543" t="e">
        <f>_xll.qlIndexFixing("euribor3m",_xll.qlInterestRateIndexFixingDate("Euribor3M",J72),TRUE)</f>
        <v>#NUM!</v>
      </c>
      <c r="N72" s="543" t="e">
        <f>_xll.qlOvernightIndexedSwapFairRate(L72,Trigger)</f>
        <v>#VALUE!</v>
      </c>
      <c r="O72" s="545" t="e">
        <f t="shared" si="3"/>
        <v>#NUM!</v>
      </c>
    </row>
    <row r="73" spans="3:15" x14ac:dyDescent="0.2">
      <c r="C73" s="537"/>
      <c r="D73" s="537"/>
      <c r="E73" s="536"/>
      <c r="G73" s="536"/>
      <c r="H73" s="536"/>
      <c r="J73" s="551">
        <f>_xll.qlCalendarAdvance(Calendar,J72,"1M","f",,Trigger)</f>
        <v>44102</v>
      </c>
      <c r="K73" s="542">
        <f>_xll.qlCalendarAdvance(Calendar,J73,"3M","mf",,Trigger)</f>
        <v>44193</v>
      </c>
      <c r="L73" s="544" t="e">
        <f>_xll.qlMakeDatedOIS(,J73,K73,"eonia",,,,,Trigger)</f>
        <v>#NUM!</v>
      </c>
      <c r="M73" s="543" t="e">
        <f>_xll.qlIndexFixing("euribor3m",_xll.qlInterestRateIndexFixingDate("Euribor3M",J73),TRUE)</f>
        <v>#NUM!</v>
      </c>
      <c r="N73" s="543" t="e">
        <f>_xll.qlOvernightIndexedSwapFairRate(L73,Trigger)</f>
        <v>#VALUE!</v>
      </c>
      <c r="O73" s="545" t="e">
        <f t="shared" si="3"/>
        <v>#NUM!</v>
      </c>
    </row>
    <row r="74" spans="3:15" x14ac:dyDescent="0.2">
      <c r="C74" s="537"/>
      <c r="D74" s="537"/>
      <c r="E74" s="536"/>
      <c r="G74" s="536"/>
      <c r="H74" s="536"/>
      <c r="J74" s="551">
        <f>_xll.qlCalendarAdvance(Calendar,J73,"1M","f",,Trigger)</f>
        <v>44132</v>
      </c>
      <c r="K74" s="542">
        <f>_xll.qlCalendarAdvance(Calendar,J74,"3M","mf",,Trigger)</f>
        <v>44224</v>
      </c>
      <c r="L74" s="544" t="e">
        <f>_xll.qlMakeDatedOIS(,J74,K74,"eonia",,,,,Trigger)</f>
        <v>#NUM!</v>
      </c>
      <c r="M74" s="543" t="e">
        <f>_xll.qlIndexFixing("euribor3m",_xll.qlInterestRateIndexFixingDate("Euribor3M",J74),TRUE)</f>
        <v>#NUM!</v>
      </c>
      <c r="N74" s="543" t="e">
        <f>_xll.qlOvernightIndexedSwapFairRate(L74,Trigger)</f>
        <v>#VALUE!</v>
      </c>
      <c r="O74" s="545" t="e">
        <f t="shared" si="3"/>
        <v>#NUM!</v>
      </c>
    </row>
    <row r="75" spans="3:15" x14ac:dyDescent="0.2">
      <c r="C75" s="537"/>
      <c r="D75" s="537"/>
      <c r="E75" s="536"/>
      <c r="G75" s="536"/>
      <c r="H75" s="536"/>
      <c r="J75" s="551">
        <f>_xll.qlCalendarAdvance(Calendar,J74,"1M","f",,Trigger)</f>
        <v>44165</v>
      </c>
      <c r="K75" s="542">
        <f>_xll.qlCalendarAdvance(Calendar,J75,"3M","mf",,Trigger)</f>
        <v>44253</v>
      </c>
      <c r="L75" s="544" t="e">
        <f>_xll.qlMakeDatedOIS(,J75,K75,"eonia",,,,,Trigger)</f>
        <v>#NUM!</v>
      </c>
      <c r="M75" s="543" t="e">
        <f>_xll.qlIndexFixing("euribor3m",_xll.qlInterestRateIndexFixingDate("Euribor3M",J75),TRUE)</f>
        <v>#NUM!</v>
      </c>
      <c r="N75" s="543" t="e">
        <f>_xll.qlOvernightIndexedSwapFairRate(L75,Trigger)</f>
        <v>#VALUE!</v>
      </c>
      <c r="O75" s="545" t="e">
        <f t="shared" si="3"/>
        <v>#NUM!</v>
      </c>
    </row>
    <row r="76" spans="3:15" x14ac:dyDescent="0.2">
      <c r="C76" s="537"/>
      <c r="D76" s="537"/>
      <c r="E76" s="536"/>
      <c r="G76" s="536"/>
      <c r="H76" s="536"/>
      <c r="J76" s="551">
        <f>_xll.qlCalendarAdvance(Calendar,J75,"1M","f",,Trigger)</f>
        <v>44195</v>
      </c>
      <c r="K76" s="542">
        <f>_xll.qlCalendarAdvance(Calendar,J76,"3M","mf",,Trigger)</f>
        <v>44285</v>
      </c>
      <c r="L76" s="544" t="e">
        <f>_xll.qlMakeDatedOIS(,J76,K76,"eonia",,,,,Trigger)</f>
        <v>#NUM!</v>
      </c>
      <c r="M76" s="543" t="e">
        <f>_xll.qlIndexFixing("euribor3m",_xll.qlInterestRateIndexFixingDate("Euribor3M",J76),TRUE)</f>
        <v>#NUM!</v>
      </c>
      <c r="N76" s="543" t="e">
        <f>_xll.qlOvernightIndexedSwapFairRate(L76,Trigger)</f>
        <v>#VALUE!</v>
      </c>
      <c r="O76" s="545" t="e">
        <f t="shared" si="3"/>
        <v>#NUM!</v>
      </c>
    </row>
    <row r="77" spans="3:15" x14ac:dyDescent="0.2">
      <c r="C77" s="537"/>
      <c r="D77" s="537"/>
      <c r="E77" s="536"/>
      <c r="G77" s="536"/>
      <c r="H77" s="536"/>
      <c r="J77" s="551">
        <f>_xll.qlCalendarAdvance(Calendar,J76,"1M","f",,Trigger)</f>
        <v>44228</v>
      </c>
      <c r="K77" s="542">
        <f>_xll.qlCalendarAdvance(Calendar,J77,"3M","mf",,Trigger)</f>
        <v>44319</v>
      </c>
      <c r="L77" s="544" t="e">
        <f>_xll.qlMakeDatedOIS(,J77,K77,"eonia",,,,,Trigger)</f>
        <v>#NUM!</v>
      </c>
      <c r="M77" s="543" t="e">
        <f>_xll.qlIndexFixing("euribor3m",_xll.qlInterestRateIndexFixingDate("Euribor3M",J77),TRUE)</f>
        <v>#NUM!</v>
      </c>
      <c r="N77" s="543" t="e">
        <f>_xll.qlOvernightIndexedSwapFairRate(L77,Trigger)</f>
        <v>#VALUE!</v>
      </c>
      <c r="O77" s="545" t="e">
        <f t="shared" si="3"/>
        <v>#NUM!</v>
      </c>
    </row>
    <row r="78" spans="3:15" x14ac:dyDescent="0.2">
      <c r="C78" s="537"/>
      <c r="D78" s="537"/>
      <c r="E78" s="536"/>
      <c r="G78" s="536"/>
      <c r="H78" s="536"/>
      <c r="J78" s="551">
        <f>_xll.qlCalendarAdvance(Calendar,J77,"1M","f",,Trigger)</f>
        <v>44256</v>
      </c>
      <c r="K78" s="542">
        <f>_xll.qlCalendarAdvance(Calendar,J78,"3M","mf",,Trigger)</f>
        <v>44348</v>
      </c>
      <c r="L78" s="544" t="e">
        <f>_xll.qlMakeDatedOIS(,J78,K78,"eonia",,,,,Trigger)</f>
        <v>#NUM!</v>
      </c>
      <c r="M78" s="543" t="e">
        <f>_xll.qlIndexFixing("euribor3m",_xll.qlInterestRateIndexFixingDate("Euribor3M",J78),TRUE)</f>
        <v>#NUM!</v>
      </c>
      <c r="N78" s="543" t="e">
        <f>_xll.qlOvernightIndexedSwapFairRate(L78,Trigger)</f>
        <v>#VALUE!</v>
      </c>
      <c r="O78" s="545" t="e">
        <f t="shared" si="3"/>
        <v>#NUM!</v>
      </c>
    </row>
    <row r="79" spans="3:15" x14ac:dyDescent="0.2">
      <c r="C79" s="537"/>
      <c r="D79" s="537"/>
      <c r="E79" s="536"/>
      <c r="G79" s="536"/>
      <c r="H79" s="536"/>
      <c r="J79" s="551">
        <f>_xll.qlCalendarAdvance(Calendar,J78,"1M","f",,Trigger)</f>
        <v>44287</v>
      </c>
      <c r="K79" s="542">
        <f>_xll.qlCalendarAdvance(Calendar,J79,"3M","mf",,Trigger)</f>
        <v>44378</v>
      </c>
      <c r="L79" s="544" t="e">
        <f>_xll.qlMakeDatedOIS(,J79,K79,"eonia",,,,,Trigger)</f>
        <v>#NUM!</v>
      </c>
      <c r="M79" s="543" t="e">
        <f>_xll.qlIndexFixing("euribor3m",_xll.qlInterestRateIndexFixingDate("Euribor3M",J79),TRUE)</f>
        <v>#NUM!</v>
      </c>
      <c r="N79" s="543" t="e">
        <f>_xll.qlOvernightIndexedSwapFairRate(L79,Trigger)</f>
        <v>#VALUE!</v>
      </c>
      <c r="O79" s="545" t="e">
        <f t="shared" si="3"/>
        <v>#NUM!</v>
      </c>
    </row>
    <row r="80" spans="3:15" x14ac:dyDescent="0.2">
      <c r="C80" s="537"/>
      <c r="D80" s="537"/>
      <c r="E80" s="536"/>
      <c r="G80" s="536"/>
      <c r="H80" s="536"/>
      <c r="J80" s="551">
        <f>_xll.qlCalendarAdvance(Calendar,J79,"1M","f",,Trigger)</f>
        <v>44319</v>
      </c>
      <c r="K80" s="542">
        <f>_xll.qlCalendarAdvance(Calendar,J80,"3M","mf",,Trigger)</f>
        <v>44411</v>
      </c>
      <c r="L80" s="544" t="e">
        <f>_xll.qlMakeDatedOIS(,J80,K80,"eonia",,,,,Trigger)</f>
        <v>#NUM!</v>
      </c>
      <c r="M80" s="543" t="e">
        <f>_xll.qlIndexFixing("euribor3m",_xll.qlInterestRateIndexFixingDate("Euribor3M",J80),TRUE)</f>
        <v>#NUM!</v>
      </c>
      <c r="N80" s="543" t="e">
        <f>_xll.qlOvernightIndexedSwapFairRate(L80,Trigger)</f>
        <v>#VALUE!</v>
      </c>
      <c r="O80" s="545" t="e">
        <f t="shared" si="3"/>
        <v>#NUM!</v>
      </c>
    </row>
    <row r="81" spans="3:15" x14ac:dyDescent="0.2">
      <c r="C81" s="537"/>
      <c r="D81" s="537"/>
      <c r="E81" s="536"/>
      <c r="G81" s="536"/>
      <c r="H81" s="536"/>
      <c r="J81" s="551">
        <f>_xll.qlCalendarAdvance(Calendar,J80,"1M","f",,Trigger)</f>
        <v>44350</v>
      </c>
      <c r="K81" s="542">
        <f>_xll.qlCalendarAdvance(Calendar,J81,"3M","mf",,Trigger)</f>
        <v>44442</v>
      </c>
      <c r="L81" s="544" t="e">
        <f>_xll.qlMakeDatedOIS(,J81,K81,"eonia",,,,,Trigger)</f>
        <v>#NUM!</v>
      </c>
      <c r="M81" s="543" t="e">
        <f>_xll.qlIndexFixing("euribor3m",_xll.qlInterestRateIndexFixingDate("Euribor3M",J81),TRUE)</f>
        <v>#NUM!</v>
      </c>
      <c r="N81" s="543" t="e">
        <f>_xll.qlOvernightIndexedSwapFairRate(L81,Trigger)</f>
        <v>#VALUE!</v>
      </c>
      <c r="O81" s="545" t="e">
        <f t="shared" si="3"/>
        <v>#NUM!</v>
      </c>
    </row>
    <row r="82" spans="3:15" x14ac:dyDescent="0.2">
      <c r="C82" s="537"/>
      <c r="D82" s="537"/>
      <c r="E82" s="536"/>
      <c r="G82" s="536"/>
      <c r="H82" s="536"/>
      <c r="J82" s="551">
        <f>_xll.qlCalendarAdvance(Calendar,J81,"1M","f",,Trigger)</f>
        <v>44382</v>
      </c>
      <c r="K82" s="542">
        <f>_xll.qlCalendarAdvance(Calendar,J82,"3M","mf",,Trigger)</f>
        <v>44474</v>
      </c>
      <c r="L82" s="544" t="e">
        <f>_xll.qlMakeDatedOIS(,J82,K82,"eonia",,,,,Trigger)</f>
        <v>#NUM!</v>
      </c>
      <c r="M82" s="543" t="e">
        <f>_xll.qlIndexFixing("euribor3m",_xll.qlInterestRateIndexFixingDate("Euribor3M",J82),TRUE)</f>
        <v>#NUM!</v>
      </c>
      <c r="N82" s="543" t="e">
        <f>_xll.qlOvernightIndexedSwapFairRate(L82,Trigger)</f>
        <v>#VALUE!</v>
      </c>
      <c r="O82" s="545" t="e">
        <f t="shared" si="3"/>
        <v>#NUM!</v>
      </c>
    </row>
    <row r="83" spans="3:15" x14ac:dyDescent="0.2">
      <c r="C83" s="537"/>
      <c r="D83" s="537"/>
      <c r="E83" s="536"/>
      <c r="G83" s="536"/>
      <c r="H83" s="536"/>
      <c r="J83" s="551">
        <f>_xll.qlCalendarAdvance(Calendar,J82,"1M","f",,Trigger)</f>
        <v>44413</v>
      </c>
      <c r="K83" s="542">
        <f>_xll.qlCalendarAdvance(Calendar,J83,"3M","mf",,Trigger)</f>
        <v>44505</v>
      </c>
      <c r="L83" s="544" t="e">
        <f>_xll.qlMakeDatedOIS(,J83,K83,"eonia",,,,,Trigger)</f>
        <v>#NUM!</v>
      </c>
      <c r="M83" s="543" t="e">
        <f>_xll.qlIndexFixing("euribor3m",_xll.qlInterestRateIndexFixingDate("Euribor3M",J83),TRUE)</f>
        <v>#NUM!</v>
      </c>
      <c r="N83" s="543" t="e">
        <f>_xll.qlOvernightIndexedSwapFairRate(L83,Trigger)</f>
        <v>#VALUE!</v>
      </c>
      <c r="O83" s="545" t="e">
        <f t="shared" si="3"/>
        <v>#NUM!</v>
      </c>
    </row>
    <row r="84" spans="3:15" x14ac:dyDescent="0.2">
      <c r="C84" s="537"/>
      <c r="D84" s="537"/>
      <c r="E84" s="536"/>
      <c r="G84" s="536"/>
      <c r="H84" s="536"/>
      <c r="J84" s="551">
        <f>_xll.qlCalendarAdvance(Calendar,J83,"1M","f",,Trigger)</f>
        <v>44445</v>
      </c>
      <c r="K84" s="542">
        <f>_xll.qlCalendarAdvance(Calendar,J84,"3M","mf",,Trigger)</f>
        <v>44536</v>
      </c>
      <c r="L84" s="544" t="e">
        <f>_xll.qlMakeDatedOIS(,J84,K84,"eonia",,,,,Trigger)</f>
        <v>#NUM!</v>
      </c>
      <c r="M84" s="543" t="e">
        <f>_xll.qlIndexFixing("euribor3m",_xll.qlInterestRateIndexFixingDate("Euribor3M",J84),TRUE)</f>
        <v>#NUM!</v>
      </c>
      <c r="N84" s="543" t="e">
        <f>_xll.qlOvernightIndexedSwapFairRate(L84,Trigger)</f>
        <v>#VALUE!</v>
      </c>
      <c r="O84" s="545" t="e">
        <f t="shared" si="3"/>
        <v>#NUM!</v>
      </c>
    </row>
    <row r="85" spans="3:15" x14ac:dyDescent="0.2">
      <c r="C85" s="537"/>
      <c r="D85" s="537"/>
      <c r="E85" s="536"/>
      <c r="G85" s="536"/>
      <c r="H85" s="536"/>
      <c r="J85" s="551">
        <f>_xll.qlCalendarAdvance(Calendar,J84,"1M","f",,Trigger)</f>
        <v>44475</v>
      </c>
      <c r="K85" s="542">
        <f>_xll.qlCalendarAdvance(Calendar,J85,"3M","mf",,Trigger)</f>
        <v>44567</v>
      </c>
      <c r="L85" s="544" t="e">
        <f>_xll.qlMakeDatedOIS(,J85,K85,"eonia",,,,,Trigger)</f>
        <v>#NUM!</v>
      </c>
      <c r="M85" s="543" t="e">
        <f>_xll.qlIndexFixing("euribor3m",_xll.qlInterestRateIndexFixingDate("Euribor3M",J85),TRUE)</f>
        <v>#NUM!</v>
      </c>
      <c r="N85" s="543" t="e">
        <f>_xll.qlOvernightIndexedSwapFairRate(L85,Trigger)</f>
        <v>#VALUE!</v>
      </c>
      <c r="O85" s="545" t="e">
        <f t="shared" si="3"/>
        <v>#NUM!</v>
      </c>
    </row>
    <row r="86" spans="3:15" x14ac:dyDescent="0.2">
      <c r="C86" s="537"/>
      <c r="D86" s="537"/>
      <c r="E86" s="536"/>
      <c r="G86" s="536"/>
      <c r="H86" s="536"/>
      <c r="J86" s="551">
        <f>_xll.qlCalendarAdvance(Calendar,J85,"1M","f",,Trigger)</f>
        <v>44508</v>
      </c>
      <c r="K86" s="542">
        <f>_xll.qlCalendarAdvance(Calendar,J86,"3M","mf",,Trigger)</f>
        <v>44600</v>
      </c>
      <c r="L86" s="544" t="e">
        <f>_xll.qlMakeDatedOIS(,J86,K86,"eonia",,,,,Trigger)</f>
        <v>#NUM!</v>
      </c>
      <c r="M86" s="543" t="e">
        <f>_xll.qlIndexFixing("euribor3m",_xll.qlInterestRateIndexFixingDate("Euribor3M",J86),TRUE)</f>
        <v>#NUM!</v>
      </c>
      <c r="N86" s="543" t="e">
        <f>_xll.qlOvernightIndexedSwapFairRate(L86,Trigger)</f>
        <v>#VALUE!</v>
      </c>
      <c r="O86" s="545" t="e">
        <f t="shared" si="3"/>
        <v>#NUM!</v>
      </c>
    </row>
    <row r="87" spans="3:15" x14ac:dyDescent="0.2">
      <c r="C87" s="537"/>
      <c r="D87" s="537"/>
      <c r="E87" s="536"/>
      <c r="G87" s="536"/>
      <c r="H87" s="536"/>
      <c r="J87" s="551">
        <f>_xll.qlCalendarAdvance(Calendar,J86,"1M","f",,Trigger)</f>
        <v>44538</v>
      </c>
      <c r="K87" s="542">
        <f>_xll.qlCalendarAdvance(Calendar,J87,"3M","mf",,Trigger)</f>
        <v>44628</v>
      </c>
      <c r="L87" s="544" t="e">
        <f>_xll.qlMakeDatedOIS(,J87,K87,"eonia",,,,,Trigger)</f>
        <v>#NUM!</v>
      </c>
      <c r="M87" s="543" t="e">
        <f>_xll.qlIndexFixing("euribor3m",_xll.qlInterestRateIndexFixingDate("Euribor3M",J87),TRUE)</f>
        <v>#NUM!</v>
      </c>
      <c r="N87" s="543" t="e">
        <f>_xll.qlOvernightIndexedSwapFairRate(L87,Trigger)</f>
        <v>#VALUE!</v>
      </c>
      <c r="O87" s="545" t="e">
        <f t="shared" si="3"/>
        <v>#NUM!</v>
      </c>
    </row>
    <row r="88" spans="3:15" x14ac:dyDescent="0.2">
      <c r="C88" s="537"/>
      <c r="D88" s="537"/>
      <c r="E88" s="536"/>
      <c r="G88" s="536"/>
      <c r="H88" s="536"/>
      <c r="J88" s="551">
        <f>_xll.qlCalendarAdvance(Calendar,J87,"1M","f",,Trigger)</f>
        <v>44571</v>
      </c>
      <c r="K88" s="542">
        <f>_xll.qlCalendarAdvance(Calendar,J88,"3M","mf",,Trigger)</f>
        <v>44662</v>
      </c>
      <c r="L88" s="544" t="e">
        <f>_xll.qlMakeDatedOIS(,J88,K88,"eonia",,,,,Trigger)</f>
        <v>#NUM!</v>
      </c>
      <c r="M88" s="543" t="e">
        <f>_xll.qlIndexFixing("euribor3m",_xll.qlInterestRateIndexFixingDate("Euribor3M",J88),TRUE)</f>
        <v>#NUM!</v>
      </c>
      <c r="N88" s="543" t="e">
        <f>_xll.qlOvernightIndexedSwapFairRate(L88,Trigger)</f>
        <v>#VALUE!</v>
      </c>
      <c r="O88" s="545" t="e">
        <f t="shared" si="3"/>
        <v>#NUM!</v>
      </c>
    </row>
    <row r="89" spans="3:15" x14ac:dyDescent="0.2">
      <c r="C89" s="537"/>
      <c r="D89" s="537"/>
      <c r="E89" s="536"/>
      <c r="G89" s="536"/>
      <c r="H89" s="536"/>
      <c r="J89" s="551">
        <f>_xll.qlCalendarAdvance(Calendar,J88,"1M","f",,Trigger)</f>
        <v>44602</v>
      </c>
      <c r="K89" s="542">
        <f>_xll.qlCalendarAdvance(Calendar,J89,"3M","mf",,Trigger)</f>
        <v>44691</v>
      </c>
      <c r="L89" s="544" t="e">
        <f>_xll.qlMakeDatedOIS(,J89,K89,"eonia",,,,,Trigger)</f>
        <v>#NUM!</v>
      </c>
      <c r="M89" s="543" t="e">
        <f>_xll.qlIndexFixing("euribor3m",_xll.qlInterestRateIndexFixingDate("Euribor3M",J89),TRUE)</f>
        <v>#NUM!</v>
      </c>
      <c r="N89" s="543" t="e">
        <f>_xll.qlOvernightIndexedSwapFairRate(L89,Trigger)</f>
        <v>#VALUE!</v>
      </c>
      <c r="O89" s="545" t="e">
        <f t="shared" si="3"/>
        <v>#NUM!</v>
      </c>
    </row>
    <row r="90" spans="3:15" x14ac:dyDescent="0.2">
      <c r="C90" s="537"/>
      <c r="D90" s="537"/>
      <c r="E90" s="536"/>
      <c r="G90" s="536"/>
      <c r="H90" s="536"/>
      <c r="J90" s="551">
        <f>_xll.qlCalendarAdvance(Calendar,J89,"1M","f",,Trigger)</f>
        <v>44630</v>
      </c>
      <c r="K90" s="542">
        <f>_xll.qlCalendarAdvance(Calendar,J90,"3M","mf",,Trigger)</f>
        <v>44722</v>
      </c>
      <c r="L90" s="544" t="e">
        <f>_xll.qlMakeDatedOIS(,J90,K90,"eonia",,,,,Trigger)</f>
        <v>#NUM!</v>
      </c>
      <c r="M90" s="543" t="e">
        <f>_xll.qlIndexFixing("euribor3m",_xll.qlInterestRateIndexFixingDate("Euribor3M",J90),TRUE)</f>
        <v>#NUM!</v>
      </c>
      <c r="N90" s="543" t="e">
        <f>_xll.qlOvernightIndexedSwapFairRate(L90,Trigger)</f>
        <v>#VALUE!</v>
      </c>
      <c r="O90" s="545" t="e">
        <f t="shared" si="3"/>
        <v>#NUM!</v>
      </c>
    </row>
    <row r="91" spans="3:15" x14ac:dyDescent="0.2">
      <c r="C91" s="537"/>
      <c r="D91" s="537"/>
      <c r="E91" s="536"/>
      <c r="G91" s="536"/>
      <c r="H91" s="536"/>
      <c r="J91" s="551">
        <f>_xll.qlCalendarAdvance(Calendar,J90,"1M","f",,Trigger)</f>
        <v>44662</v>
      </c>
      <c r="K91" s="542">
        <f>_xll.qlCalendarAdvance(Calendar,J91,"3M","mf",,Trigger)</f>
        <v>44753</v>
      </c>
      <c r="L91" s="544" t="e">
        <f>_xll.qlMakeDatedOIS(,J91,K91,"eonia",,,,,Trigger)</f>
        <v>#NUM!</v>
      </c>
      <c r="M91" s="543" t="e">
        <f>_xll.qlIndexFixing("euribor3m",_xll.qlInterestRateIndexFixingDate("Euribor3M",J91),TRUE)</f>
        <v>#NUM!</v>
      </c>
      <c r="N91" s="543" t="e">
        <f>_xll.qlOvernightIndexedSwapFairRate(L91,Trigger)</f>
        <v>#VALUE!</v>
      </c>
      <c r="O91" s="545" t="e">
        <f t="shared" si="3"/>
        <v>#NUM!</v>
      </c>
    </row>
    <row r="92" spans="3:15" x14ac:dyDescent="0.2">
      <c r="C92" s="537"/>
      <c r="D92" s="537"/>
      <c r="E92" s="536"/>
      <c r="G92" s="536"/>
      <c r="H92" s="536"/>
      <c r="J92" s="551">
        <f>_xll.qlCalendarAdvance(Calendar,J91,"1M","f",,Trigger)</f>
        <v>44692</v>
      </c>
      <c r="K92" s="542">
        <f>_xll.qlCalendarAdvance(Calendar,J92,"3M","mf",,Trigger)</f>
        <v>44784</v>
      </c>
      <c r="L92" s="544" t="e">
        <f>_xll.qlMakeDatedOIS(,J92,K92,"eonia",,,,,Trigger)</f>
        <v>#NUM!</v>
      </c>
      <c r="M92" s="543" t="e">
        <f>_xll.qlIndexFixing("euribor3m",_xll.qlInterestRateIndexFixingDate("Euribor3M",J92),TRUE)</f>
        <v>#NUM!</v>
      </c>
      <c r="N92" s="543" t="e">
        <f>_xll.qlOvernightIndexedSwapFairRate(L92,Trigger)</f>
        <v>#VALUE!</v>
      </c>
      <c r="O92" s="545" t="e">
        <f t="shared" si="3"/>
        <v>#NUM!</v>
      </c>
    </row>
    <row r="93" spans="3:15" x14ac:dyDescent="0.2">
      <c r="C93" s="537"/>
      <c r="D93" s="537"/>
      <c r="E93" s="536"/>
      <c r="G93" s="536"/>
      <c r="H93" s="536"/>
      <c r="J93" s="551">
        <f>_xll.qlCalendarAdvance(Calendar,J92,"1M","f",,Trigger)</f>
        <v>44725</v>
      </c>
      <c r="K93" s="542">
        <f>_xll.qlCalendarAdvance(Calendar,J93,"3M","mf",,Trigger)</f>
        <v>44817</v>
      </c>
      <c r="L93" s="544" t="e">
        <f>_xll.qlMakeDatedOIS(,J93,K93,"eonia",,,,,Trigger)</f>
        <v>#NUM!</v>
      </c>
      <c r="M93" s="543" t="e">
        <f>_xll.qlIndexFixing("euribor3m",_xll.qlInterestRateIndexFixingDate("Euribor3M",J93),TRUE)</f>
        <v>#NUM!</v>
      </c>
      <c r="N93" s="543" t="e">
        <f>_xll.qlOvernightIndexedSwapFairRate(L93,Trigger)</f>
        <v>#VALUE!</v>
      </c>
      <c r="O93" s="545" t="e">
        <f t="shared" si="3"/>
        <v>#NUM!</v>
      </c>
    </row>
    <row r="94" spans="3:15" x14ac:dyDescent="0.2">
      <c r="C94" s="537"/>
      <c r="D94" s="537"/>
      <c r="E94" s="536"/>
      <c r="G94" s="536"/>
      <c r="H94" s="536"/>
      <c r="J94" s="551">
        <f>_xll.qlCalendarAdvance(Calendar,J93,"1M","f",,Trigger)</f>
        <v>44755</v>
      </c>
      <c r="K94" s="542">
        <f>_xll.qlCalendarAdvance(Calendar,J94,"3M","mf",,Trigger)</f>
        <v>44847</v>
      </c>
      <c r="L94" s="544" t="e">
        <f>_xll.qlMakeDatedOIS(,J94,K94,"eonia",,,,,Trigger)</f>
        <v>#NUM!</v>
      </c>
      <c r="M94" s="543" t="e">
        <f>_xll.qlIndexFixing("euribor3m",_xll.qlInterestRateIndexFixingDate("Euribor3M",J94),TRUE)</f>
        <v>#NUM!</v>
      </c>
      <c r="N94" s="543" t="e">
        <f>_xll.qlOvernightIndexedSwapFairRate(L94,Trigger)</f>
        <v>#VALUE!</v>
      </c>
      <c r="O94" s="545" t="e">
        <f t="shared" si="3"/>
        <v>#NUM!</v>
      </c>
    </row>
    <row r="95" spans="3:15" x14ac:dyDescent="0.2">
      <c r="C95" s="537"/>
      <c r="D95" s="537"/>
      <c r="E95" s="536"/>
      <c r="G95" s="536"/>
      <c r="H95" s="536"/>
      <c r="J95" s="551">
        <f>_xll.qlCalendarAdvance(Calendar,J94,"1M","f",,Trigger)</f>
        <v>44788</v>
      </c>
      <c r="K95" s="542">
        <f>_xll.qlCalendarAdvance(Calendar,J95,"3M","mf",,Trigger)</f>
        <v>44880</v>
      </c>
      <c r="L95" s="544" t="e">
        <f>_xll.qlMakeDatedOIS(,J95,K95,"eonia",,,,,Trigger)</f>
        <v>#NUM!</v>
      </c>
      <c r="M95" s="543" t="e">
        <f>_xll.qlIndexFixing("euribor3m",_xll.qlInterestRateIndexFixingDate("Euribor3M",J95),TRUE)</f>
        <v>#NUM!</v>
      </c>
      <c r="N95" s="543" t="e">
        <f>_xll.qlOvernightIndexedSwapFairRate(L95,Trigger)</f>
        <v>#VALUE!</v>
      </c>
      <c r="O95" s="545" t="e">
        <f t="shared" si="3"/>
        <v>#NUM!</v>
      </c>
    </row>
    <row r="96" spans="3:15" x14ac:dyDescent="0.2">
      <c r="C96" s="537"/>
      <c r="D96" s="537"/>
      <c r="E96" s="536"/>
      <c r="G96" s="536"/>
      <c r="H96" s="536"/>
      <c r="J96" s="551">
        <f>_xll.qlCalendarAdvance(Calendar,J95,"1M","f",,Trigger)</f>
        <v>44819</v>
      </c>
      <c r="K96" s="542">
        <f>_xll.qlCalendarAdvance(Calendar,J96,"3M","mf",,Trigger)</f>
        <v>44910</v>
      </c>
      <c r="L96" s="544" t="e">
        <f>_xll.qlMakeDatedOIS(,J96,K96,"eonia",,,,,Trigger)</f>
        <v>#NUM!</v>
      </c>
      <c r="M96" s="543" t="e">
        <f>_xll.qlIndexFixing("euribor3m",_xll.qlInterestRateIndexFixingDate("Euribor3M",J96),TRUE)</f>
        <v>#NUM!</v>
      </c>
      <c r="N96" s="543" t="e">
        <f>_xll.qlOvernightIndexedSwapFairRate(L96,Trigger)</f>
        <v>#VALUE!</v>
      </c>
      <c r="O96" s="545" t="e">
        <f t="shared" si="3"/>
        <v>#NUM!</v>
      </c>
    </row>
    <row r="97" spans="3:15" x14ac:dyDescent="0.2">
      <c r="C97" s="537"/>
      <c r="D97" s="537"/>
      <c r="E97" s="536"/>
      <c r="G97" s="536"/>
      <c r="H97" s="536"/>
      <c r="J97" s="551">
        <f>_xll.qlCalendarAdvance(Calendar,J96,"1M","f",,Trigger)</f>
        <v>44851</v>
      </c>
      <c r="K97" s="542">
        <f>_xll.qlCalendarAdvance(Calendar,J97,"3M","mf",,Trigger)</f>
        <v>44943</v>
      </c>
      <c r="L97" s="544" t="e">
        <f>_xll.qlMakeDatedOIS(,J97,K97,"eonia",,,,,Trigger)</f>
        <v>#NUM!</v>
      </c>
      <c r="M97" s="543" t="e">
        <f>_xll.qlIndexFixing("euribor3m",_xll.qlInterestRateIndexFixingDate("Euribor3M",J97),TRUE)</f>
        <v>#NUM!</v>
      </c>
      <c r="N97" s="543" t="e">
        <f>_xll.qlOvernightIndexedSwapFairRate(L97,Trigger)</f>
        <v>#VALUE!</v>
      </c>
      <c r="O97" s="545" t="e">
        <f t="shared" si="3"/>
        <v>#NUM!</v>
      </c>
    </row>
    <row r="98" spans="3:15" x14ac:dyDescent="0.2">
      <c r="C98" s="537"/>
      <c r="D98" s="537"/>
      <c r="E98" s="536"/>
      <c r="G98" s="536"/>
      <c r="H98" s="536"/>
      <c r="J98" s="551">
        <f>_xll.qlCalendarAdvance(Calendar,J97,"1M","f",,Trigger)</f>
        <v>44882</v>
      </c>
      <c r="K98" s="542">
        <f>_xll.qlCalendarAdvance(Calendar,J98,"3M","mf",,Trigger)</f>
        <v>44974</v>
      </c>
      <c r="L98" s="544" t="e">
        <f>_xll.qlMakeDatedOIS(,J98,K98,"eonia",,,,,Trigger)</f>
        <v>#NUM!</v>
      </c>
      <c r="M98" s="543" t="e">
        <f>_xll.qlIndexFixing("euribor3m",_xll.qlInterestRateIndexFixingDate("Euribor3M",J98),TRUE)</f>
        <v>#NUM!</v>
      </c>
      <c r="N98" s="543" t="e">
        <f>_xll.qlOvernightIndexedSwapFairRate(L98,Trigger)</f>
        <v>#VALUE!</v>
      </c>
      <c r="O98" s="545" t="e">
        <f t="shared" si="3"/>
        <v>#NUM!</v>
      </c>
    </row>
    <row r="99" spans="3:15" x14ac:dyDescent="0.2">
      <c r="C99" s="537"/>
      <c r="D99" s="537"/>
      <c r="E99" s="536"/>
      <c r="G99" s="536"/>
      <c r="H99" s="536"/>
      <c r="J99" s="551">
        <f>_xll.qlCalendarAdvance(Calendar,J98,"1M","f",,Trigger)</f>
        <v>44914</v>
      </c>
      <c r="K99" s="542">
        <f>_xll.qlCalendarAdvance(Calendar,J99,"3M","mf",,Trigger)</f>
        <v>45005</v>
      </c>
      <c r="L99" s="544" t="e">
        <f>_xll.qlMakeDatedOIS(,J99,K99,"eonia",,,,,Trigger)</f>
        <v>#NUM!</v>
      </c>
      <c r="M99" s="543" t="e">
        <f>_xll.qlIndexFixing("euribor3m",_xll.qlInterestRateIndexFixingDate("Euribor3M",J99),TRUE)</f>
        <v>#NUM!</v>
      </c>
      <c r="N99" s="543" t="e">
        <f>_xll.qlOvernightIndexedSwapFairRate(L99,Trigger)</f>
        <v>#VALUE!</v>
      </c>
      <c r="O99" s="545" t="e">
        <f t="shared" si="3"/>
        <v>#NUM!</v>
      </c>
    </row>
    <row r="100" spans="3:15" x14ac:dyDescent="0.2">
      <c r="C100" s="537"/>
      <c r="D100" s="537"/>
      <c r="E100" s="536"/>
      <c r="G100" s="536"/>
      <c r="H100" s="536"/>
      <c r="J100" s="551">
        <f>_xll.qlCalendarAdvance(Calendar,J99,"1M","f",,Trigger)</f>
        <v>44945</v>
      </c>
      <c r="K100" s="542">
        <f>_xll.qlCalendarAdvance(Calendar,J100,"3M","mf",,Trigger)</f>
        <v>45035</v>
      </c>
      <c r="L100" s="544" t="e">
        <f>_xll.qlMakeDatedOIS(,J100,K100,"eonia",,,,,Trigger)</f>
        <v>#NUM!</v>
      </c>
      <c r="M100" s="543" t="e">
        <f>_xll.qlIndexFixing("euribor3m",_xll.qlInterestRateIndexFixingDate("Euribor3M",J100),TRUE)</f>
        <v>#NUM!</v>
      </c>
      <c r="N100" s="543" t="e">
        <f>_xll.qlOvernightIndexedSwapFairRate(L100,Trigger)</f>
        <v>#VALUE!</v>
      </c>
      <c r="O100" s="545" t="e">
        <f t="shared" si="3"/>
        <v>#NUM!</v>
      </c>
    </row>
    <row r="101" spans="3:15" x14ac:dyDescent="0.2">
      <c r="C101" s="537"/>
      <c r="D101" s="537"/>
      <c r="E101" s="536"/>
      <c r="G101" s="536"/>
      <c r="H101" s="536"/>
      <c r="J101" s="551">
        <f>_xll.qlCalendarAdvance(Calendar,J100,"1M","f",,Trigger)</f>
        <v>44977</v>
      </c>
      <c r="K101" s="542">
        <f>_xll.qlCalendarAdvance(Calendar,J101,"3M","mf",,Trigger)</f>
        <v>45068</v>
      </c>
      <c r="L101" s="544" t="e">
        <f>_xll.qlMakeDatedOIS(,J101,K101,"eonia",,,,,Trigger)</f>
        <v>#NUM!</v>
      </c>
      <c r="M101" s="543" t="e">
        <f>_xll.qlIndexFixing("euribor3m",_xll.qlInterestRateIndexFixingDate("Euribor3M",J101),TRUE)</f>
        <v>#NUM!</v>
      </c>
      <c r="N101" s="543" t="e">
        <f>_xll.qlOvernightIndexedSwapFairRate(L101,Trigger)</f>
        <v>#VALUE!</v>
      </c>
      <c r="O101" s="545" t="e">
        <f t="shared" si="3"/>
        <v>#NUM!</v>
      </c>
    </row>
    <row r="102" spans="3:15" x14ac:dyDescent="0.2">
      <c r="C102" s="537"/>
      <c r="D102" s="537"/>
      <c r="E102" s="536"/>
      <c r="G102" s="536"/>
      <c r="H102" s="536"/>
      <c r="J102" s="551">
        <f>_xll.qlCalendarAdvance(Calendar,J101,"1M","f",,Trigger)</f>
        <v>45005</v>
      </c>
      <c r="K102" s="542">
        <f>_xll.qlCalendarAdvance(Calendar,J102,"3M","mf",,Trigger)</f>
        <v>45097</v>
      </c>
      <c r="L102" s="544" t="e">
        <f>_xll.qlMakeDatedOIS(,J102,K102,"eonia",,,,,Trigger)</f>
        <v>#NUM!</v>
      </c>
      <c r="M102" s="543" t="e">
        <f>_xll.qlIndexFixing("euribor3m",_xll.qlInterestRateIndexFixingDate("Euribor3M",J102),TRUE)</f>
        <v>#NUM!</v>
      </c>
      <c r="N102" s="543" t="e">
        <f>_xll.qlOvernightIndexedSwapFairRate(L102,Trigger)</f>
        <v>#VALUE!</v>
      </c>
      <c r="O102" s="545" t="e">
        <f t="shared" si="3"/>
        <v>#NUM!</v>
      </c>
    </row>
    <row r="103" spans="3:15" x14ac:dyDescent="0.2">
      <c r="C103" s="537"/>
      <c r="D103" s="537"/>
      <c r="E103" s="536"/>
      <c r="G103" s="536"/>
      <c r="H103" s="536"/>
      <c r="J103" s="551">
        <f>_xll.qlCalendarAdvance(Calendar,J102,"1M","f",,Trigger)</f>
        <v>45036</v>
      </c>
      <c r="K103" s="542">
        <f>_xll.qlCalendarAdvance(Calendar,J103,"3M","mf",,Trigger)</f>
        <v>45127</v>
      </c>
      <c r="L103" s="544" t="e">
        <f>_xll.qlMakeDatedOIS(,J103,K103,"eonia",,,,,Trigger)</f>
        <v>#NUM!</v>
      </c>
      <c r="M103" s="543" t="e">
        <f>_xll.qlIndexFixing("euribor3m",_xll.qlInterestRateIndexFixingDate("Euribor3M",J103),TRUE)</f>
        <v>#NUM!</v>
      </c>
      <c r="N103" s="543" t="e">
        <f>_xll.qlOvernightIndexedSwapFairRate(L103,Trigger)</f>
        <v>#VALUE!</v>
      </c>
      <c r="O103" s="545" t="e">
        <f t="shared" si="3"/>
        <v>#NUM!</v>
      </c>
    </row>
    <row r="104" spans="3:15" x14ac:dyDescent="0.2">
      <c r="C104" s="537"/>
      <c r="D104" s="537"/>
      <c r="E104" s="536"/>
      <c r="G104" s="536"/>
      <c r="H104" s="536"/>
      <c r="J104" s="551">
        <f>_xll.qlCalendarAdvance(Calendar,J103,"1M","f",,Trigger)</f>
        <v>45068</v>
      </c>
      <c r="K104" s="542">
        <f>_xll.qlCalendarAdvance(Calendar,J104,"3M","mf",,Trigger)</f>
        <v>45160</v>
      </c>
      <c r="L104" s="544" t="e">
        <f>_xll.qlMakeDatedOIS(,J104,K104,"eonia",,,,,Trigger)</f>
        <v>#NUM!</v>
      </c>
      <c r="M104" s="543" t="e">
        <f>_xll.qlIndexFixing("euribor3m",_xll.qlInterestRateIndexFixingDate("Euribor3M",J104),TRUE)</f>
        <v>#NUM!</v>
      </c>
      <c r="N104" s="543" t="e">
        <f>_xll.qlOvernightIndexedSwapFairRate(L104,Trigger)</f>
        <v>#VALUE!</v>
      </c>
      <c r="O104" s="545" t="e">
        <f t="shared" si="3"/>
        <v>#NUM!</v>
      </c>
    </row>
    <row r="105" spans="3:15" x14ac:dyDescent="0.2">
      <c r="C105" s="537"/>
      <c r="D105" s="537"/>
      <c r="E105" s="536"/>
      <c r="G105" s="536"/>
      <c r="H105" s="536"/>
      <c r="J105" s="551">
        <f>_xll.qlCalendarAdvance(Calendar,J104,"1M","f",,Trigger)</f>
        <v>45099</v>
      </c>
      <c r="K105" s="542">
        <f>_xll.qlCalendarAdvance(Calendar,J105,"3M","mf",,Trigger)</f>
        <v>45191</v>
      </c>
      <c r="L105" s="544" t="e">
        <f>_xll.qlMakeDatedOIS(,J105,K105,"eonia",,,,,Trigger)</f>
        <v>#NUM!</v>
      </c>
      <c r="M105" s="543" t="e">
        <f>_xll.qlIndexFixing("euribor3m",_xll.qlInterestRateIndexFixingDate("Euribor3M",J105),TRUE)</f>
        <v>#NUM!</v>
      </c>
      <c r="N105" s="543" t="e">
        <f>_xll.qlOvernightIndexedSwapFairRate(L105,Trigger)</f>
        <v>#VALUE!</v>
      </c>
      <c r="O105" s="545" t="e">
        <f t="shared" si="3"/>
        <v>#NUM!</v>
      </c>
    </row>
    <row r="106" spans="3:15" x14ac:dyDescent="0.2">
      <c r="C106" s="537"/>
      <c r="D106" s="537"/>
      <c r="E106" s="536"/>
      <c r="G106" s="536"/>
      <c r="H106" s="536"/>
      <c r="J106" s="551">
        <f>_xll.qlCalendarAdvance(Calendar,J105,"1M","f",,Trigger)</f>
        <v>45131</v>
      </c>
      <c r="K106" s="542">
        <f>_xll.qlCalendarAdvance(Calendar,J106,"3M","mf",,Trigger)</f>
        <v>45223</v>
      </c>
      <c r="L106" s="544" t="e">
        <f>_xll.qlMakeDatedOIS(,J106,K106,"eonia",,,,,Trigger)</f>
        <v>#NUM!</v>
      </c>
      <c r="M106" s="543" t="e">
        <f>_xll.qlIndexFixing("euribor3m",_xll.qlInterestRateIndexFixingDate("Euribor3M",J106),TRUE)</f>
        <v>#NUM!</v>
      </c>
      <c r="N106" s="543" t="e">
        <f>_xll.qlOvernightIndexedSwapFairRate(L106,Trigger)</f>
        <v>#VALUE!</v>
      </c>
      <c r="O106" s="545" t="e">
        <f t="shared" si="3"/>
        <v>#NUM!</v>
      </c>
    </row>
    <row r="107" spans="3:15" x14ac:dyDescent="0.2">
      <c r="C107" s="537"/>
      <c r="D107" s="537"/>
      <c r="E107" s="536"/>
      <c r="G107" s="536"/>
      <c r="H107" s="536"/>
      <c r="J107" s="551">
        <f>_xll.qlCalendarAdvance(Calendar,J106,"1M","f",,Trigger)</f>
        <v>45162</v>
      </c>
      <c r="K107" s="542">
        <f>_xll.qlCalendarAdvance(Calendar,J107,"3M","mf",,Trigger)</f>
        <v>45254</v>
      </c>
      <c r="L107" s="544" t="e">
        <f>_xll.qlMakeDatedOIS(,J107,K107,"eonia",,,,,Trigger)</f>
        <v>#NUM!</v>
      </c>
      <c r="M107" s="543" t="e">
        <f>_xll.qlIndexFixing("euribor3m",_xll.qlInterestRateIndexFixingDate("Euribor3M",J107),TRUE)</f>
        <v>#NUM!</v>
      </c>
      <c r="N107" s="543" t="e">
        <f>_xll.qlOvernightIndexedSwapFairRate(L107,Trigger)</f>
        <v>#VALUE!</v>
      </c>
      <c r="O107" s="545" t="e">
        <f t="shared" si="3"/>
        <v>#NUM!</v>
      </c>
    </row>
    <row r="108" spans="3:15" x14ac:dyDescent="0.2">
      <c r="C108" s="537"/>
      <c r="D108" s="537"/>
      <c r="E108" s="536"/>
      <c r="G108" s="536"/>
      <c r="H108" s="536"/>
      <c r="J108" s="551">
        <f>_xll.qlCalendarAdvance(Calendar,J107,"1M","f",,Trigger)</f>
        <v>45194</v>
      </c>
      <c r="K108" s="542">
        <f>_xll.qlCalendarAdvance(Calendar,J108,"3M","mf",,Trigger)</f>
        <v>45287</v>
      </c>
      <c r="L108" s="544" t="e">
        <f>_xll.qlMakeDatedOIS(,J108,K108,"eonia",,,,,Trigger)</f>
        <v>#NUM!</v>
      </c>
      <c r="M108" s="543" t="e">
        <f>_xll.qlIndexFixing("euribor3m",_xll.qlInterestRateIndexFixingDate("Euribor3M",J108),TRUE)</f>
        <v>#NUM!</v>
      </c>
      <c r="N108" s="543" t="e">
        <f>_xll.qlOvernightIndexedSwapFairRate(L108,Trigger)</f>
        <v>#VALUE!</v>
      </c>
      <c r="O108" s="545" t="e">
        <f t="shared" si="3"/>
        <v>#NUM!</v>
      </c>
    </row>
    <row r="109" spans="3:15" x14ac:dyDescent="0.2">
      <c r="C109" s="537"/>
      <c r="D109" s="537"/>
      <c r="E109" s="536"/>
      <c r="G109" s="536"/>
      <c r="H109" s="536"/>
      <c r="J109" s="551">
        <f>_xll.qlCalendarAdvance(Calendar,J108,"1M","f",,Trigger)</f>
        <v>45224</v>
      </c>
      <c r="K109" s="542">
        <f>_xll.qlCalendarAdvance(Calendar,J109,"3M","mf",,Trigger)</f>
        <v>45316</v>
      </c>
      <c r="L109" s="544" t="e">
        <f>_xll.qlMakeDatedOIS(,J109,K109,"eonia",,,,,Trigger)</f>
        <v>#NUM!</v>
      </c>
      <c r="M109" s="543" t="e">
        <f>_xll.qlIndexFixing("euribor3m",_xll.qlInterestRateIndexFixingDate("Euribor3M",J109),TRUE)</f>
        <v>#NUM!</v>
      </c>
      <c r="N109" s="543" t="e">
        <f>_xll.qlOvernightIndexedSwapFairRate(L109,Trigger)</f>
        <v>#VALUE!</v>
      </c>
      <c r="O109" s="545" t="e">
        <f t="shared" si="3"/>
        <v>#NUM!</v>
      </c>
    </row>
    <row r="110" spans="3:15" x14ac:dyDescent="0.2">
      <c r="C110" s="537"/>
      <c r="D110" s="537"/>
      <c r="E110" s="536"/>
      <c r="G110" s="536"/>
      <c r="H110" s="536"/>
      <c r="J110" s="551">
        <f>_xll.qlCalendarAdvance(Calendar,J109,"1M","f",,Trigger)</f>
        <v>45257</v>
      </c>
      <c r="K110" s="542">
        <f>_xll.qlCalendarAdvance(Calendar,J110,"3M","mf",,Trigger)</f>
        <v>45349</v>
      </c>
      <c r="L110" s="544" t="e">
        <f>_xll.qlMakeDatedOIS(,J110,K110,"eonia",,,,,Trigger)</f>
        <v>#NUM!</v>
      </c>
      <c r="M110" s="543" t="e">
        <f>_xll.qlIndexFixing("euribor3m",_xll.qlInterestRateIndexFixingDate("Euribor3M",J110),TRUE)</f>
        <v>#NUM!</v>
      </c>
      <c r="N110" s="543" t="e">
        <f>_xll.qlOvernightIndexedSwapFairRate(L110,Trigger)</f>
        <v>#VALUE!</v>
      </c>
      <c r="O110" s="545" t="e">
        <f t="shared" si="3"/>
        <v>#NUM!</v>
      </c>
    </row>
    <row r="111" spans="3:15" x14ac:dyDescent="0.2">
      <c r="C111" s="537"/>
      <c r="D111" s="537"/>
      <c r="E111" s="536"/>
      <c r="G111" s="536"/>
      <c r="H111" s="536"/>
      <c r="J111" s="551">
        <f>_xll.qlCalendarAdvance(Calendar,J110,"1M","f",,Trigger)</f>
        <v>45287</v>
      </c>
      <c r="K111" s="542">
        <f>_xll.qlCalendarAdvance(Calendar,J111,"3M","mf",,Trigger)</f>
        <v>45378</v>
      </c>
      <c r="L111" s="544" t="e">
        <f>_xll.qlMakeDatedOIS(,J111,K111,"eonia",,,,,Trigger)</f>
        <v>#NUM!</v>
      </c>
      <c r="M111" s="543" t="e">
        <f>_xll.qlIndexFixing("euribor3m",_xll.qlInterestRateIndexFixingDate("Euribor3M",J111),TRUE)</f>
        <v>#NUM!</v>
      </c>
      <c r="N111" s="543" t="e">
        <f>_xll.qlOvernightIndexedSwapFairRate(L111,Trigger)</f>
        <v>#VALUE!</v>
      </c>
      <c r="O111" s="545" t="e">
        <f t="shared" si="3"/>
        <v>#NUM!</v>
      </c>
    </row>
    <row r="112" spans="3:15" x14ac:dyDescent="0.2">
      <c r="C112" s="537"/>
      <c r="D112" s="537"/>
      <c r="E112" s="536"/>
      <c r="G112" s="536"/>
      <c r="H112" s="536"/>
      <c r="J112" s="551">
        <f>_xll.qlCalendarAdvance(Calendar,J111,"1M","f",,Trigger)</f>
        <v>45320</v>
      </c>
      <c r="K112" s="542">
        <f>_xll.qlCalendarAdvance(Calendar,J112,"3M","mf",,Trigger)</f>
        <v>45411</v>
      </c>
      <c r="L112" s="544" t="e">
        <f>_xll.qlMakeDatedOIS(,J112,K112,"eonia",,,,,Trigger)</f>
        <v>#NUM!</v>
      </c>
      <c r="M112" s="543" t="e">
        <f>_xll.qlIndexFixing("euribor3m",_xll.qlInterestRateIndexFixingDate("Euribor3M",J112),TRUE)</f>
        <v>#NUM!</v>
      </c>
      <c r="N112" s="543" t="e">
        <f>_xll.qlOvernightIndexedSwapFairRate(L112,Trigger)</f>
        <v>#VALUE!</v>
      </c>
      <c r="O112" s="545" t="e">
        <f t="shared" si="3"/>
        <v>#NUM!</v>
      </c>
    </row>
    <row r="113" spans="3:15" x14ac:dyDescent="0.2">
      <c r="C113" s="537"/>
      <c r="D113" s="537"/>
      <c r="E113" s="536"/>
      <c r="G113" s="536"/>
      <c r="H113" s="536"/>
      <c r="J113" s="551">
        <f>_xll.qlCalendarAdvance(Calendar,J112,"1M","f",,Trigger)</f>
        <v>45351</v>
      </c>
      <c r="K113" s="542">
        <f>_xll.qlCalendarAdvance(Calendar,J113,"3M","mf",,Trigger)</f>
        <v>45441</v>
      </c>
      <c r="L113" s="544" t="e">
        <f>_xll.qlMakeDatedOIS(,J113,K113,"eonia",,,,,Trigger)</f>
        <v>#NUM!</v>
      </c>
      <c r="M113" s="543" t="e">
        <f>_xll.qlIndexFixing("euribor3m",_xll.qlInterestRateIndexFixingDate("Euribor3M",J113),TRUE)</f>
        <v>#NUM!</v>
      </c>
      <c r="N113" s="543" t="e">
        <f>_xll.qlOvernightIndexedSwapFairRate(L113,Trigger)</f>
        <v>#VALUE!</v>
      </c>
      <c r="O113" s="545" t="e">
        <f t="shared" si="3"/>
        <v>#NUM!</v>
      </c>
    </row>
    <row r="114" spans="3:15" x14ac:dyDescent="0.2">
      <c r="C114" s="537"/>
      <c r="D114" s="537"/>
      <c r="E114" s="536"/>
      <c r="G114" s="536"/>
      <c r="H114" s="536"/>
      <c r="J114" s="551">
        <f>_xll.qlCalendarAdvance(Calendar,J113,"1M","f",,Trigger)</f>
        <v>45384</v>
      </c>
      <c r="K114" s="542">
        <f>_xll.qlCalendarAdvance(Calendar,J114,"3M","mf",,Trigger)</f>
        <v>45475</v>
      </c>
      <c r="L114" s="544" t="e">
        <f>_xll.qlMakeDatedOIS(,J114,K114,"eonia",,,,,Trigger)</f>
        <v>#NUM!</v>
      </c>
      <c r="M114" s="543" t="e">
        <f>_xll.qlIndexFixing("euribor3m",_xll.qlInterestRateIndexFixingDate("Euribor3M",J114),TRUE)</f>
        <v>#NUM!</v>
      </c>
      <c r="N114" s="543" t="e">
        <f>_xll.qlOvernightIndexedSwapFairRate(L114,Trigger)</f>
        <v>#VALUE!</v>
      </c>
      <c r="O114" s="545" t="e">
        <f t="shared" si="3"/>
        <v>#NUM!</v>
      </c>
    </row>
    <row r="115" spans="3:15" x14ac:dyDescent="0.2">
      <c r="C115" s="537"/>
      <c r="D115" s="537"/>
      <c r="E115" s="536"/>
      <c r="G115" s="536"/>
      <c r="H115" s="536"/>
      <c r="J115" s="551">
        <f>_xll.qlCalendarAdvance(Calendar,J114,"1M","f",,Trigger)</f>
        <v>45414</v>
      </c>
      <c r="K115" s="542">
        <f>_xll.qlCalendarAdvance(Calendar,J115,"3M","mf",,Trigger)</f>
        <v>45506</v>
      </c>
      <c r="L115" s="544" t="e">
        <f>_xll.qlMakeDatedOIS(,J115,K115,"eonia",,,,,Trigger)</f>
        <v>#NUM!</v>
      </c>
      <c r="M115" s="543" t="e">
        <f>_xll.qlIndexFixing("euribor3m",_xll.qlInterestRateIndexFixingDate("Euribor3M",J115),TRUE)</f>
        <v>#NUM!</v>
      </c>
      <c r="N115" s="543" t="e">
        <f>_xll.qlOvernightIndexedSwapFairRate(L115,Trigger)</f>
        <v>#VALUE!</v>
      </c>
      <c r="O115" s="545" t="e">
        <f t="shared" si="3"/>
        <v>#NUM!</v>
      </c>
    </row>
    <row r="116" spans="3:15" x14ac:dyDescent="0.2">
      <c r="C116" s="537"/>
      <c r="D116" s="537"/>
      <c r="E116" s="536"/>
      <c r="G116" s="536"/>
      <c r="H116" s="536"/>
      <c r="J116" s="551">
        <f>_xll.qlCalendarAdvance(Calendar,J115,"1M","f",,Trigger)</f>
        <v>45446</v>
      </c>
      <c r="K116" s="542">
        <f>_xll.qlCalendarAdvance(Calendar,J116,"3M","mf",,Trigger)</f>
        <v>45538</v>
      </c>
      <c r="L116" s="544" t="e">
        <f>_xll.qlMakeDatedOIS(,J116,K116,"eonia",,,,,Trigger)</f>
        <v>#NUM!</v>
      </c>
      <c r="M116" s="543" t="e">
        <f>_xll.qlIndexFixing("euribor3m",_xll.qlInterestRateIndexFixingDate("Euribor3M",J116),TRUE)</f>
        <v>#NUM!</v>
      </c>
      <c r="N116" s="543" t="e">
        <f>_xll.qlOvernightIndexedSwapFairRate(L116,Trigger)</f>
        <v>#VALUE!</v>
      </c>
      <c r="O116" s="545" t="e">
        <f t="shared" si="3"/>
        <v>#NUM!</v>
      </c>
    </row>
    <row r="117" spans="3:15" x14ac:dyDescent="0.2">
      <c r="C117" s="537"/>
      <c r="D117" s="537"/>
      <c r="E117" s="536"/>
      <c r="G117" s="536"/>
      <c r="H117" s="536"/>
      <c r="J117" s="551">
        <f>_xll.qlCalendarAdvance(Calendar,J116,"1M","f",,Trigger)</f>
        <v>45476</v>
      </c>
      <c r="K117" s="542">
        <f>_xll.qlCalendarAdvance(Calendar,J117,"3M","mf",,Trigger)</f>
        <v>45568</v>
      </c>
      <c r="L117" s="544" t="e">
        <f>_xll.qlMakeDatedOIS(,J117,K117,"eonia",,,,,Trigger)</f>
        <v>#NUM!</v>
      </c>
      <c r="M117" s="543" t="e">
        <f>_xll.qlIndexFixing("euribor3m",_xll.qlInterestRateIndexFixingDate("Euribor3M",J117),TRUE)</f>
        <v>#NUM!</v>
      </c>
      <c r="N117" s="543" t="e">
        <f>_xll.qlOvernightIndexedSwapFairRate(L117,Trigger)</f>
        <v>#VALUE!</v>
      </c>
      <c r="O117" s="545" t="e">
        <f t="shared" si="3"/>
        <v>#NUM!</v>
      </c>
    </row>
    <row r="118" spans="3:15" x14ac:dyDescent="0.2">
      <c r="C118" s="537"/>
      <c r="D118" s="537"/>
      <c r="E118" s="536"/>
      <c r="G118" s="536"/>
      <c r="H118" s="536"/>
      <c r="J118" s="551">
        <f>_xll.qlCalendarAdvance(Calendar,J117,"1M","f",,Trigger)</f>
        <v>45509</v>
      </c>
      <c r="K118" s="542">
        <f>_xll.qlCalendarAdvance(Calendar,J118,"3M","mf",,Trigger)</f>
        <v>45601</v>
      </c>
      <c r="L118" s="544" t="e">
        <f>_xll.qlMakeDatedOIS(,J118,K118,"eonia",,,,,Trigger)</f>
        <v>#NUM!</v>
      </c>
      <c r="M118" s="543" t="e">
        <f>_xll.qlIndexFixing("euribor3m",_xll.qlInterestRateIndexFixingDate("Euribor3M",J118),TRUE)</f>
        <v>#NUM!</v>
      </c>
      <c r="N118" s="543" t="e">
        <f>_xll.qlOvernightIndexedSwapFairRate(L118,Trigger)</f>
        <v>#VALUE!</v>
      </c>
      <c r="O118" s="545" t="e">
        <f t="shared" si="3"/>
        <v>#NUM!</v>
      </c>
    </row>
    <row r="119" spans="3:15" x14ac:dyDescent="0.2">
      <c r="C119" s="537"/>
      <c r="D119" s="537"/>
      <c r="E119" s="536"/>
      <c r="G119" s="536"/>
      <c r="H119" s="536"/>
      <c r="J119" s="551">
        <f>_xll.qlCalendarAdvance(Calendar,J118,"1M","f",,Trigger)</f>
        <v>45540</v>
      </c>
      <c r="K119" s="542">
        <f>_xll.qlCalendarAdvance(Calendar,J119,"3M","mf",,Trigger)</f>
        <v>45631</v>
      </c>
      <c r="L119" s="544" t="e">
        <f>_xll.qlMakeDatedOIS(,J119,K119,"eonia",,,,,Trigger)</f>
        <v>#NUM!</v>
      </c>
      <c r="M119" s="543" t="e">
        <f>_xll.qlIndexFixing("euribor3m",_xll.qlInterestRateIndexFixingDate("Euribor3M",J119),TRUE)</f>
        <v>#NUM!</v>
      </c>
      <c r="N119" s="543" t="e">
        <f>_xll.qlOvernightIndexedSwapFairRate(L119,Trigger)</f>
        <v>#VALUE!</v>
      </c>
      <c r="O119" s="545" t="e">
        <f t="shared" si="3"/>
        <v>#NUM!</v>
      </c>
    </row>
    <row r="120" spans="3:15" x14ac:dyDescent="0.2">
      <c r="C120" s="537"/>
      <c r="D120" s="537"/>
      <c r="E120" s="536"/>
      <c r="G120" s="536"/>
      <c r="H120" s="536"/>
      <c r="J120" s="551">
        <f>_xll.qlCalendarAdvance(Calendar,J119,"1M","f",,Trigger)</f>
        <v>45572</v>
      </c>
      <c r="K120" s="542">
        <f>_xll.qlCalendarAdvance(Calendar,J120,"3M","mf",,Trigger)</f>
        <v>45664</v>
      </c>
      <c r="L120" s="544" t="e">
        <f>_xll.qlMakeDatedOIS(,J120,K120,"eonia",,,,,Trigger)</f>
        <v>#NUM!</v>
      </c>
      <c r="M120" s="543" t="e">
        <f>_xll.qlIndexFixing("euribor3m",_xll.qlInterestRateIndexFixingDate("Euribor3M",J120),TRUE)</f>
        <v>#NUM!</v>
      </c>
      <c r="N120" s="543" t="e">
        <f>_xll.qlOvernightIndexedSwapFairRate(L120,Trigger)</f>
        <v>#VALUE!</v>
      </c>
      <c r="O120" s="545" t="e">
        <f t="shared" si="3"/>
        <v>#NUM!</v>
      </c>
    </row>
    <row r="121" spans="3:15" x14ac:dyDescent="0.2">
      <c r="C121" s="537"/>
      <c r="D121" s="537"/>
      <c r="E121" s="536"/>
      <c r="G121" s="536"/>
      <c r="H121" s="536"/>
      <c r="J121" s="551">
        <f>_xll.qlCalendarAdvance(Calendar,J120,"1M","f",,Trigger)</f>
        <v>45603</v>
      </c>
      <c r="K121" s="542">
        <f>_xll.qlCalendarAdvance(Calendar,J121,"3M","mf",,Trigger)</f>
        <v>45695</v>
      </c>
      <c r="L121" s="544" t="e">
        <f>_xll.qlMakeDatedOIS(,J121,K121,"eonia",,,,,Trigger)</f>
        <v>#NUM!</v>
      </c>
      <c r="M121" s="543" t="e">
        <f>_xll.qlIndexFixing("euribor3m",_xll.qlInterestRateIndexFixingDate("Euribor3M",J121),TRUE)</f>
        <v>#NUM!</v>
      </c>
      <c r="N121" s="543" t="e">
        <f>_xll.qlOvernightIndexedSwapFairRate(L121,Trigger)</f>
        <v>#VALUE!</v>
      </c>
      <c r="O121" s="545" t="e">
        <f t="shared" si="3"/>
        <v>#NUM!</v>
      </c>
    </row>
    <row r="122" spans="3:15" x14ac:dyDescent="0.2">
      <c r="C122" s="537"/>
      <c r="D122" s="537"/>
      <c r="E122" s="536"/>
      <c r="G122" s="536"/>
      <c r="H122" s="536"/>
      <c r="J122" s="551">
        <f>_xll.qlCalendarAdvance(Calendar,J121,"1M","f",,Trigger)</f>
        <v>45635</v>
      </c>
      <c r="K122" s="542">
        <f>_xll.qlCalendarAdvance(Calendar,J122,"3M","mf",,Trigger)</f>
        <v>45726</v>
      </c>
      <c r="L122" s="544" t="e">
        <f>_xll.qlMakeDatedOIS(,J122,K122,"eonia",,,,,Trigger)</f>
        <v>#NUM!</v>
      </c>
      <c r="M122" s="543" t="e">
        <f>_xll.qlIndexFixing("euribor3m",_xll.qlInterestRateIndexFixingDate("Euribor3M",J122),TRUE)</f>
        <v>#NUM!</v>
      </c>
      <c r="N122" s="543" t="e">
        <f>_xll.qlOvernightIndexedSwapFairRate(L122,Trigger)</f>
        <v>#VALUE!</v>
      </c>
      <c r="O122" s="545" t="e">
        <f t="shared" si="3"/>
        <v>#NUM!</v>
      </c>
    </row>
    <row r="123" spans="3:15" x14ac:dyDescent="0.2">
      <c r="C123" s="537"/>
      <c r="D123" s="537"/>
      <c r="E123" s="536"/>
      <c r="G123" s="536"/>
      <c r="H123" s="536"/>
      <c r="J123" s="551">
        <f>_xll.qlCalendarAdvance(Calendar,J122,"1M","f",,Trigger)</f>
        <v>45666</v>
      </c>
      <c r="K123" s="542">
        <f>_xll.qlCalendarAdvance(Calendar,J123,"3M","mf",,Trigger)</f>
        <v>45756</v>
      </c>
      <c r="L123" s="544" t="e">
        <f>_xll.qlMakeDatedOIS(,J123,K123,"eonia",,,,,Trigger)</f>
        <v>#NUM!</v>
      </c>
      <c r="M123" s="543" t="e">
        <f>_xll.qlIndexFixing("euribor3m",_xll.qlInterestRateIndexFixingDate("Euribor3M",J123),TRUE)</f>
        <v>#NUM!</v>
      </c>
      <c r="N123" s="543" t="e">
        <f>_xll.qlOvernightIndexedSwapFairRate(L123,Trigger)</f>
        <v>#VALUE!</v>
      </c>
      <c r="O123" s="545" t="e">
        <f t="shared" si="3"/>
        <v>#NUM!</v>
      </c>
    </row>
    <row r="124" spans="3:15" x14ac:dyDescent="0.2">
      <c r="C124" s="537"/>
      <c r="D124" s="537"/>
      <c r="E124" s="536"/>
      <c r="G124" s="536"/>
      <c r="H124" s="536"/>
      <c r="J124" s="551">
        <f>_xll.qlCalendarAdvance(Calendar,J123,"1M","f",,Trigger)</f>
        <v>45698</v>
      </c>
      <c r="K124" s="542">
        <f>_xll.qlCalendarAdvance(Calendar,J124,"3M","mf",,Trigger)</f>
        <v>45789</v>
      </c>
      <c r="L124" s="544" t="e">
        <f>_xll.qlMakeDatedOIS(,J124,K124,"eonia",,,,,Trigger)</f>
        <v>#NUM!</v>
      </c>
      <c r="M124" s="543" t="e">
        <f>_xll.qlIndexFixing("euribor3m",_xll.qlInterestRateIndexFixingDate("Euribor3M",J124),TRUE)</f>
        <v>#NUM!</v>
      </c>
      <c r="N124" s="543" t="e">
        <f>_xll.qlOvernightIndexedSwapFairRate(L124,Trigger)</f>
        <v>#VALUE!</v>
      </c>
      <c r="O124" s="545" t="e">
        <f t="shared" si="3"/>
        <v>#NUM!</v>
      </c>
    </row>
    <row r="125" spans="3:15" x14ac:dyDescent="0.2">
      <c r="C125" s="537"/>
      <c r="D125" s="537"/>
      <c r="E125" s="536"/>
      <c r="G125" s="536"/>
      <c r="H125" s="536"/>
      <c r="J125" s="551">
        <f>_xll.qlCalendarAdvance(Calendar,J124,"1M","f",,Trigger)</f>
        <v>45726</v>
      </c>
      <c r="K125" s="542">
        <f>_xll.qlCalendarAdvance(Calendar,J125,"3M","mf",,Trigger)</f>
        <v>45818</v>
      </c>
      <c r="L125" s="544" t="e">
        <f>_xll.qlMakeDatedOIS(,J125,K125,"eonia",,,,,Trigger)</f>
        <v>#NUM!</v>
      </c>
      <c r="M125" s="543" t="e">
        <f>_xll.qlIndexFixing("euribor3m",_xll.qlInterestRateIndexFixingDate("Euribor3M",J125),TRUE)</f>
        <v>#NUM!</v>
      </c>
      <c r="N125" s="543" t="e">
        <f>_xll.qlOvernightIndexedSwapFairRate(L125,Trigger)</f>
        <v>#VALUE!</v>
      </c>
      <c r="O125" s="545" t="e">
        <f t="shared" si="3"/>
        <v>#NUM!</v>
      </c>
    </row>
    <row r="126" spans="3:15" x14ac:dyDescent="0.2">
      <c r="C126" s="537"/>
      <c r="D126" s="537"/>
      <c r="E126" s="536"/>
      <c r="G126" s="536"/>
      <c r="H126" s="536"/>
      <c r="J126" s="551">
        <f>_xll.qlCalendarAdvance(Calendar,J125,"1M","f",,Trigger)</f>
        <v>45757</v>
      </c>
      <c r="K126" s="542">
        <f>_xll.qlCalendarAdvance(Calendar,J126,"3M","mf",,Trigger)</f>
        <v>45848</v>
      </c>
      <c r="L126" s="544" t="e">
        <f>_xll.qlMakeDatedOIS(,J126,K126,"eonia",,,,,Trigger)</f>
        <v>#NUM!</v>
      </c>
      <c r="M126" s="543" t="e">
        <f>_xll.qlIndexFixing("euribor3m",_xll.qlInterestRateIndexFixingDate("Euribor3M",J126),TRUE)</f>
        <v>#NUM!</v>
      </c>
      <c r="N126" s="543" t="e">
        <f>_xll.qlOvernightIndexedSwapFairRate(L126,Trigger)</f>
        <v>#VALUE!</v>
      </c>
      <c r="O126" s="545" t="e">
        <f t="shared" si="3"/>
        <v>#NUM!</v>
      </c>
    </row>
    <row r="127" spans="3:15" x14ac:dyDescent="0.2">
      <c r="C127" s="537"/>
      <c r="D127" s="537"/>
      <c r="E127" s="536"/>
      <c r="G127" s="536"/>
      <c r="H127" s="536"/>
      <c r="J127" s="551">
        <f>_xll.qlCalendarAdvance(Calendar,J126,"1M","f",,Trigger)</f>
        <v>45789</v>
      </c>
      <c r="K127" s="542">
        <f>_xll.qlCalendarAdvance(Calendar,J127,"3M","mf",,Trigger)</f>
        <v>45881</v>
      </c>
      <c r="L127" s="544" t="e">
        <f>_xll.qlMakeDatedOIS(,J127,K127,"eonia",,,,,Trigger)</f>
        <v>#NUM!</v>
      </c>
      <c r="M127" s="543" t="e">
        <f>_xll.qlIndexFixing("euribor3m",_xll.qlInterestRateIndexFixingDate("Euribor3M",J127),TRUE)</f>
        <v>#NUM!</v>
      </c>
      <c r="N127" s="543" t="e">
        <f>_xll.qlOvernightIndexedSwapFairRate(L127,Trigger)</f>
        <v>#VALUE!</v>
      </c>
      <c r="O127" s="545" t="e">
        <f t="shared" si="3"/>
        <v>#NUM!</v>
      </c>
    </row>
    <row r="128" spans="3:15" x14ac:dyDescent="0.2">
      <c r="C128" s="537"/>
      <c r="D128" s="537"/>
      <c r="E128" s="536"/>
      <c r="G128" s="536"/>
      <c r="H128" s="536"/>
      <c r="J128" s="551">
        <f>_xll.qlCalendarAdvance(Calendar,J127,"1M","f",,Trigger)</f>
        <v>45820</v>
      </c>
      <c r="K128" s="542">
        <f>_xll.qlCalendarAdvance(Calendar,J128,"3M","mf",,Trigger)</f>
        <v>45912</v>
      </c>
      <c r="L128" s="544" t="e">
        <f>_xll.qlMakeDatedOIS(,J128,K128,"eonia",,,,,Trigger)</f>
        <v>#NUM!</v>
      </c>
      <c r="M128" s="543" t="e">
        <f>_xll.qlIndexFixing("euribor3m",_xll.qlInterestRateIndexFixingDate("Euribor3M",J128),TRUE)</f>
        <v>#NUM!</v>
      </c>
      <c r="N128" s="543" t="e">
        <f>_xll.qlOvernightIndexedSwapFairRate(L128,Trigger)</f>
        <v>#VALUE!</v>
      </c>
      <c r="O128" s="545" t="e">
        <f t="shared" si="3"/>
        <v>#NUM!</v>
      </c>
    </row>
    <row r="129" spans="3:15" x14ac:dyDescent="0.2">
      <c r="C129" s="537"/>
      <c r="D129" s="537"/>
      <c r="E129" s="536"/>
      <c r="G129" s="536"/>
      <c r="H129" s="536"/>
      <c r="J129" s="551">
        <f>_xll.qlCalendarAdvance(Calendar,J128,"1M","f",,Trigger)</f>
        <v>45852</v>
      </c>
      <c r="K129" s="542">
        <f>_xll.qlCalendarAdvance(Calendar,J129,"3M","mf",,Trigger)</f>
        <v>45944</v>
      </c>
      <c r="L129" s="544" t="e">
        <f>_xll.qlMakeDatedOIS(,J129,K129,"eonia",,,,,Trigger)</f>
        <v>#NUM!</v>
      </c>
      <c r="M129" s="543" t="e">
        <f>_xll.qlIndexFixing("euribor3m",_xll.qlInterestRateIndexFixingDate("Euribor3M",J129),TRUE)</f>
        <v>#NUM!</v>
      </c>
      <c r="N129" s="543" t="e">
        <f>_xll.qlOvernightIndexedSwapFairRate(L129,Trigger)</f>
        <v>#VALUE!</v>
      </c>
      <c r="O129" s="545" t="e">
        <f t="shared" si="3"/>
        <v>#NUM!</v>
      </c>
    </row>
    <row r="130" spans="3:15" x14ac:dyDescent="0.2">
      <c r="C130" s="537"/>
      <c r="D130" s="537"/>
      <c r="E130" s="536"/>
      <c r="G130" s="536"/>
      <c r="H130" s="536"/>
      <c r="J130" s="551">
        <f>_xll.qlCalendarAdvance(Calendar,J129,"1M","f",,Trigger)</f>
        <v>45883</v>
      </c>
      <c r="K130" s="542">
        <f>_xll.qlCalendarAdvance(Calendar,J130,"3M","mf",,Trigger)</f>
        <v>45975</v>
      </c>
      <c r="L130" s="544" t="e">
        <f>_xll.qlMakeDatedOIS(,J130,K130,"eonia",,,,,Trigger)</f>
        <v>#NUM!</v>
      </c>
      <c r="M130" s="543" t="e">
        <f>_xll.qlIndexFixing("euribor3m",_xll.qlInterestRateIndexFixingDate("Euribor3M",J130),TRUE)</f>
        <v>#NUM!</v>
      </c>
      <c r="N130" s="543" t="e">
        <f>_xll.qlOvernightIndexedSwapFairRate(L130,Trigger)</f>
        <v>#VALUE!</v>
      </c>
      <c r="O130" s="545" t="e">
        <f t="shared" si="3"/>
        <v>#NUM!</v>
      </c>
    </row>
    <row r="131" spans="3:15" x14ac:dyDescent="0.2">
      <c r="C131" s="537"/>
      <c r="D131" s="537"/>
      <c r="E131" s="536"/>
      <c r="G131" s="536"/>
      <c r="H131" s="536"/>
      <c r="J131" s="551">
        <f>_xll.qlCalendarAdvance(Calendar,J130,"1M","f",,Trigger)</f>
        <v>45915</v>
      </c>
      <c r="K131" s="542">
        <f>_xll.qlCalendarAdvance(Calendar,J131,"3M","mf",,Trigger)</f>
        <v>46006</v>
      </c>
      <c r="L131" s="544" t="e">
        <f>_xll.qlMakeDatedOIS(,J131,K131,"eonia",,,,,Trigger)</f>
        <v>#NUM!</v>
      </c>
      <c r="M131" s="543" t="e">
        <f>_xll.qlIndexFixing("euribor3m",_xll.qlInterestRateIndexFixingDate("Euribor3M",J131),TRUE)</f>
        <v>#NUM!</v>
      </c>
      <c r="N131" s="543" t="e">
        <f>_xll.qlOvernightIndexedSwapFairRate(L131,Trigger)</f>
        <v>#VALUE!</v>
      </c>
      <c r="O131" s="545" t="e">
        <f t="shared" ref="O131:O194" si="4">M131-N131</f>
        <v>#NUM!</v>
      </c>
    </row>
    <row r="132" spans="3:15" x14ac:dyDescent="0.2">
      <c r="C132" s="537"/>
      <c r="D132" s="537"/>
      <c r="E132" s="536"/>
      <c r="G132" s="536"/>
      <c r="H132" s="536"/>
      <c r="J132" s="551">
        <f>_xll.qlCalendarAdvance(Calendar,J131,"1M","f",,Trigger)</f>
        <v>45945</v>
      </c>
      <c r="K132" s="542">
        <f>_xll.qlCalendarAdvance(Calendar,J132,"3M","mf",,Trigger)</f>
        <v>46037</v>
      </c>
      <c r="L132" s="544" t="e">
        <f>_xll.qlMakeDatedOIS(,J132,K132,"eonia",,,,,Trigger)</f>
        <v>#NUM!</v>
      </c>
      <c r="M132" s="543" t="e">
        <f>_xll.qlIndexFixing("euribor3m",_xll.qlInterestRateIndexFixingDate("Euribor3M",J132),TRUE)</f>
        <v>#NUM!</v>
      </c>
      <c r="N132" s="543" t="e">
        <f>_xll.qlOvernightIndexedSwapFairRate(L132,Trigger)</f>
        <v>#VALUE!</v>
      </c>
      <c r="O132" s="545" t="e">
        <f t="shared" si="4"/>
        <v>#NUM!</v>
      </c>
    </row>
    <row r="133" spans="3:15" x14ac:dyDescent="0.2">
      <c r="C133" s="537"/>
      <c r="D133" s="537"/>
      <c r="E133" s="536"/>
      <c r="G133" s="536"/>
      <c r="H133" s="536"/>
      <c r="J133" s="551">
        <f>_xll.qlCalendarAdvance(Calendar,J132,"1M","f",,Trigger)</f>
        <v>45978</v>
      </c>
      <c r="K133" s="542">
        <f>_xll.qlCalendarAdvance(Calendar,J133,"3M","mf",,Trigger)</f>
        <v>46070</v>
      </c>
      <c r="L133" s="544" t="e">
        <f>_xll.qlMakeDatedOIS(,J133,K133,"eonia",,,,,Trigger)</f>
        <v>#NUM!</v>
      </c>
      <c r="M133" s="543" t="e">
        <f>_xll.qlIndexFixing("euribor3m",_xll.qlInterestRateIndexFixingDate("Euribor3M",J133),TRUE)</f>
        <v>#NUM!</v>
      </c>
      <c r="N133" s="543" t="e">
        <f>_xll.qlOvernightIndexedSwapFairRate(L133,Trigger)</f>
        <v>#VALUE!</v>
      </c>
      <c r="O133" s="545" t="e">
        <f t="shared" si="4"/>
        <v>#NUM!</v>
      </c>
    </row>
    <row r="134" spans="3:15" x14ac:dyDescent="0.2">
      <c r="C134" s="537"/>
      <c r="D134" s="537"/>
      <c r="E134" s="536"/>
      <c r="G134" s="536"/>
      <c r="H134" s="536"/>
      <c r="J134" s="551">
        <f>_xll.qlCalendarAdvance(Calendar,J133,"1M","f",,Trigger)</f>
        <v>46008</v>
      </c>
      <c r="K134" s="542">
        <f>_xll.qlCalendarAdvance(Calendar,J134,"3M","mf",,Trigger)</f>
        <v>46098</v>
      </c>
      <c r="L134" s="544" t="e">
        <f>_xll.qlMakeDatedOIS(,J134,K134,"eonia",,,,,Trigger)</f>
        <v>#NUM!</v>
      </c>
      <c r="M134" s="543" t="e">
        <f>_xll.qlIndexFixing("euribor3m",_xll.qlInterestRateIndexFixingDate("Euribor3M",J134),TRUE)</f>
        <v>#NUM!</v>
      </c>
      <c r="N134" s="543" t="e">
        <f>_xll.qlOvernightIndexedSwapFairRate(L134,Trigger)</f>
        <v>#VALUE!</v>
      </c>
      <c r="O134" s="545" t="e">
        <f t="shared" si="4"/>
        <v>#NUM!</v>
      </c>
    </row>
    <row r="135" spans="3:15" x14ac:dyDescent="0.2">
      <c r="C135" s="537"/>
      <c r="D135" s="537"/>
      <c r="E135" s="536"/>
      <c r="G135" s="536"/>
      <c r="H135" s="536"/>
      <c r="J135" s="551">
        <f>_xll.qlCalendarAdvance(Calendar,J134,"1M","f",,Trigger)</f>
        <v>46041</v>
      </c>
      <c r="K135" s="542">
        <f>_xll.qlCalendarAdvance(Calendar,J135,"3M","mf",,Trigger)</f>
        <v>46132</v>
      </c>
      <c r="L135" s="544" t="e">
        <f>_xll.qlMakeDatedOIS(,J135,K135,"eonia",,,,,Trigger)</f>
        <v>#NUM!</v>
      </c>
      <c r="M135" s="543" t="e">
        <f>_xll.qlIndexFixing("euribor3m",_xll.qlInterestRateIndexFixingDate("Euribor3M",J135),TRUE)</f>
        <v>#NUM!</v>
      </c>
      <c r="N135" s="543" t="e">
        <f>_xll.qlOvernightIndexedSwapFairRate(L135,Trigger)</f>
        <v>#VALUE!</v>
      </c>
      <c r="O135" s="545" t="e">
        <f t="shared" si="4"/>
        <v>#NUM!</v>
      </c>
    </row>
    <row r="136" spans="3:15" x14ac:dyDescent="0.2">
      <c r="C136" s="537"/>
      <c r="D136" s="537"/>
      <c r="E136" s="536"/>
      <c r="G136" s="536"/>
      <c r="H136" s="536"/>
      <c r="J136" s="551">
        <f>_xll.qlCalendarAdvance(Calendar,J135,"1M","f",,Trigger)</f>
        <v>46072</v>
      </c>
      <c r="K136" s="542">
        <f>_xll.qlCalendarAdvance(Calendar,J136,"3M","mf",,Trigger)</f>
        <v>46161</v>
      </c>
      <c r="L136" s="544" t="e">
        <f>_xll.qlMakeDatedOIS(,J136,K136,"eonia",,,,,Trigger)</f>
        <v>#NUM!</v>
      </c>
      <c r="M136" s="543" t="e">
        <f>_xll.qlIndexFixing("euribor3m",_xll.qlInterestRateIndexFixingDate("Euribor3M",J136),TRUE)</f>
        <v>#NUM!</v>
      </c>
      <c r="N136" s="543" t="e">
        <f>_xll.qlOvernightIndexedSwapFairRate(L136,Trigger)</f>
        <v>#VALUE!</v>
      </c>
      <c r="O136" s="545" t="e">
        <f t="shared" si="4"/>
        <v>#NUM!</v>
      </c>
    </row>
    <row r="137" spans="3:15" x14ac:dyDescent="0.2">
      <c r="C137" s="537"/>
      <c r="D137" s="537"/>
      <c r="E137" s="536"/>
      <c r="G137" s="536"/>
      <c r="H137" s="536"/>
      <c r="J137" s="551">
        <f>_xll.qlCalendarAdvance(Calendar,J136,"1M","f",,Trigger)</f>
        <v>46100</v>
      </c>
      <c r="K137" s="542">
        <f>_xll.qlCalendarAdvance(Calendar,J137,"3M","mf",,Trigger)</f>
        <v>46192</v>
      </c>
      <c r="L137" s="544" t="e">
        <f>_xll.qlMakeDatedOIS(,J137,K137,"eonia",,,,,Trigger)</f>
        <v>#NUM!</v>
      </c>
      <c r="M137" s="543" t="e">
        <f>_xll.qlIndexFixing("euribor3m",_xll.qlInterestRateIndexFixingDate("Euribor3M",J137),TRUE)</f>
        <v>#NUM!</v>
      </c>
      <c r="N137" s="543" t="e">
        <f>_xll.qlOvernightIndexedSwapFairRate(L137,Trigger)</f>
        <v>#VALUE!</v>
      </c>
      <c r="O137" s="545" t="e">
        <f t="shared" si="4"/>
        <v>#NUM!</v>
      </c>
    </row>
    <row r="138" spans="3:15" x14ac:dyDescent="0.2">
      <c r="C138" s="537"/>
      <c r="D138" s="537"/>
      <c r="E138" s="536"/>
      <c r="G138" s="536"/>
      <c r="H138" s="536"/>
      <c r="J138" s="551">
        <f>_xll.qlCalendarAdvance(Calendar,J137,"1M","f",,Trigger)</f>
        <v>46132</v>
      </c>
      <c r="K138" s="542">
        <f>_xll.qlCalendarAdvance(Calendar,J138,"3M","mf",,Trigger)</f>
        <v>46223</v>
      </c>
      <c r="L138" s="544" t="e">
        <f>_xll.qlMakeDatedOIS(,J138,K138,"eonia",,,,,Trigger)</f>
        <v>#NUM!</v>
      </c>
      <c r="M138" s="543" t="e">
        <f>_xll.qlIndexFixing("euribor3m",_xll.qlInterestRateIndexFixingDate("Euribor3M",J138),TRUE)</f>
        <v>#NUM!</v>
      </c>
      <c r="N138" s="543" t="e">
        <f>_xll.qlOvernightIndexedSwapFairRate(L138,Trigger)</f>
        <v>#VALUE!</v>
      </c>
      <c r="O138" s="545" t="e">
        <f t="shared" si="4"/>
        <v>#NUM!</v>
      </c>
    </row>
    <row r="139" spans="3:15" x14ac:dyDescent="0.2">
      <c r="C139" s="537"/>
      <c r="D139" s="537"/>
      <c r="E139" s="536"/>
      <c r="G139" s="536"/>
      <c r="H139" s="536"/>
      <c r="J139" s="551">
        <f>_xll.qlCalendarAdvance(Calendar,J138,"1M","f",,Trigger)</f>
        <v>46162</v>
      </c>
      <c r="K139" s="542">
        <f>_xll.qlCalendarAdvance(Calendar,J139,"3M","mf",,Trigger)</f>
        <v>46254</v>
      </c>
      <c r="L139" s="544" t="e">
        <f>_xll.qlMakeDatedOIS(,J139,K139,"eonia",,,,,Trigger)</f>
        <v>#NUM!</v>
      </c>
      <c r="M139" s="543" t="e">
        <f>_xll.qlIndexFixing("euribor3m",_xll.qlInterestRateIndexFixingDate("Euribor3M",J139),TRUE)</f>
        <v>#NUM!</v>
      </c>
      <c r="N139" s="543" t="e">
        <f>_xll.qlOvernightIndexedSwapFairRate(L139,Trigger)</f>
        <v>#VALUE!</v>
      </c>
      <c r="O139" s="545" t="e">
        <f t="shared" si="4"/>
        <v>#NUM!</v>
      </c>
    </row>
    <row r="140" spans="3:15" x14ac:dyDescent="0.2">
      <c r="C140" s="537"/>
      <c r="D140" s="537"/>
      <c r="E140" s="536"/>
      <c r="G140" s="536"/>
      <c r="H140" s="536"/>
      <c r="J140" s="551">
        <f>_xll.qlCalendarAdvance(Calendar,J139,"1M","f",,Trigger)</f>
        <v>46195</v>
      </c>
      <c r="K140" s="542">
        <f>_xll.qlCalendarAdvance(Calendar,J140,"3M","mf",,Trigger)</f>
        <v>46287</v>
      </c>
      <c r="L140" s="544" t="e">
        <f>_xll.qlMakeDatedOIS(,J140,K140,"eonia",,,,,Trigger)</f>
        <v>#NUM!</v>
      </c>
      <c r="M140" s="543" t="e">
        <f>_xll.qlIndexFixing("euribor3m",_xll.qlInterestRateIndexFixingDate("Euribor3M",J140),TRUE)</f>
        <v>#NUM!</v>
      </c>
      <c r="N140" s="543" t="e">
        <f>_xll.qlOvernightIndexedSwapFairRate(L140,Trigger)</f>
        <v>#VALUE!</v>
      </c>
      <c r="O140" s="545" t="e">
        <f t="shared" si="4"/>
        <v>#NUM!</v>
      </c>
    </row>
    <row r="141" spans="3:15" x14ac:dyDescent="0.2">
      <c r="C141" s="537"/>
      <c r="D141" s="537"/>
      <c r="E141" s="536"/>
      <c r="G141" s="536"/>
      <c r="H141" s="536"/>
      <c r="J141" s="551">
        <f>_xll.qlCalendarAdvance(Calendar,J140,"1M","f",,Trigger)</f>
        <v>46225</v>
      </c>
      <c r="K141" s="542">
        <f>_xll.qlCalendarAdvance(Calendar,J141,"3M","mf",,Trigger)</f>
        <v>46317</v>
      </c>
      <c r="L141" s="544" t="e">
        <f>_xll.qlMakeDatedOIS(,J141,K141,"eonia",,,,,Trigger)</f>
        <v>#NUM!</v>
      </c>
      <c r="M141" s="543" t="e">
        <f>_xll.qlIndexFixing("euribor3m",_xll.qlInterestRateIndexFixingDate("Euribor3M",J141),TRUE)</f>
        <v>#NUM!</v>
      </c>
      <c r="N141" s="543" t="e">
        <f>_xll.qlOvernightIndexedSwapFairRate(L141,Trigger)</f>
        <v>#VALUE!</v>
      </c>
      <c r="O141" s="545" t="e">
        <f t="shared" si="4"/>
        <v>#NUM!</v>
      </c>
    </row>
    <row r="142" spans="3:15" x14ac:dyDescent="0.2">
      <c r="C142" s="537"/>
      <c r="D142" s="537"/>
      <c r="E142" s="536"/>
      <c r="G142" s="536"/>
      <c r="H142" s="536"/>
      <c r="J142" s="551">
        <f>_xll.qlCalendarAdvance(Calendar,J141,"1M","f",,Trigger)</f>
        <v>46258</v>
      </c>
      <c r="K142" s="542">
        <f>_xll.qlCalendarAdvance(Calendar,J142,"3M","mf",,Trigger)</f>
        <v>46350</v>
      </c>
      <c r="L142" s="544" t="e">
        <f>_xll.qlMakeDatedOIS(,J142,K142,"eonia",,,,,Trigger)</f>
        <v>#NUM!</v>
      </c>
      <c r="M142" s="543" t="e">
        <f>_xll.qlIndexFixing("euribor3m",_xll.qlInterestRateIndexFixingDate("Euribor3M",J142),TRUE)</f>
        <v>#NUM!</v>
      </c>
      <c r="N142" s="543" t="e">
        <f>_xll.qlOvernightIndexedSwapFairRate(L142,Trigger)</f>
        <v>#VALUE!</v>
      </c>
      <c r="O142" s="545" t="e">
        <f t="shared" si="4"/>
        <v>#NUM!</v>
      </c>
    </row>
    <row r="143" spans="3:15" x14ac:dyDescent="0.2">
      <c r="C143" s="537"/>
      <c r="D143" s="537"/>
      <c r="E143" s="536"/>
      <c r="G143" s="536"/>
      <c r="H143" s="536"/>
      <c r="J143" s="551">
        <f>_xll.qlCalendarAdvance(Calendar,J142,"1M","f",,Trigger)</f>
        <v>46289</v>
      </c>
      <c r="K143" s="542">
        <f>_xll.qlCalendarAdvance(Calendar,J143,"3M","mf",,Trigger)</f>
        <v>46380</v>
      </c>
      <c r="L143" s="544" t="e">
        <f>_xll.qlMakeDatedOIS(,J143,K143,"eonia",,,,,Trigger)</f>
        <v>#NUM!</v>
      </c>
      <c r="M143" s="543" t="e">
        <f>_xll.qlIndexFixing("euribor3m",_xll.qlInterestRateIndexFixingDate("Euribor3M",J143),TRUE)</f>
        <v>#NUM!</v>
      </c>
      <c r="N143" s="543" t="e">
        <f>_xll.qlOvernightIndexedSwapFairRate(L143,Trigger)</f>
        <v>#VALUE!</v>
      </c>
      <c r="O143" s="545" t="e">
        <f t="shared" si="4"/>
        <v>#NUM!</v>
      </c>
    </row>
    <row r="144" spans="3:15" x14ac:dyDescent="0.2">
      <c r="C144" s="537"/>
      <c r="D144" s="537"/>
      <c r="E144" s="536"/>
      <c r="G144" s="536"/>
      <c r="H144" s="536"/>
      <c r="J144" s="551">
        <f>_xll.qlCalendarAdvance(Calendar,J143,"1M","f",,Trigger)</f>
        <v>46321</v>
      </c>
      <c r="K144" s="542">
        <f>_xll.qlCalendarAdvance(Calendar,J144,"3M","mf",,Trigger)</f>
        <v>46413</v>
      </c>
      <c r="L144" s="544" t="e">
        <f>_xll.qlMakeDatedOIS(,J144,K144,"eonia",,,,,Trigger)</f>
        <v>#NUM!</v>
      </c>
      <c r="M144" s="543" t="e">
        <f>_xll.qlIndexFixing("euribor3m",_xll.qlInterestRateIndexFixingDate("Euribor3M",J144),TRUE)</f>
        <v>#NUM!</v>
      </c>
      <c r="N144" s="543" t="e">
        <f>_xll.qlOvernightIndexedSwapFairRate(L144,Trigger)</f>
        <v>#VALUE!</v>
      </c>
      <c r="O144" s="545" t="e">
        <f t="shared" si="4"/>
        <v>#NUM!</v>
      </c>
    </row>
    <row r="145" spans="3:15" x14ac:dyDescent="0.2">
      <c r="C145" s="537"/>
      <c r="D145" s="537"/>
      <c r="E145" s="536"/>
      <c r="G145" s="536"/>
      <c r="H145" s="536"/>
      <c r="J145" s="551">
        <f>_xll.qlCalendarAdvance(Calendar,J144,"1M","f",,Trigger)</f>
        <v>46352</v>
      </c>
      <c r="K145" s="542">
        <f>_xll.qlCalendarAdvance(Calendar,J145,"3M","mf",,Trigger)</f>
        <v>46444</v>
      </c>
      <c r="L145" s="544" t="e">
        <f>_xll.qlMakeDatedOIS(,J145,K145,"eonia",,,,,Trigger)</f>
        <v>#NUM!</v>
      </c>
      <c r="M145" s="543" t="e">
        <f>_xll.qlIndexFixing("euribor3m",_xll.qlInterestRateIndexFixingDate("Euribor3M",J145),TRUE)</f>
        <v>#NUM!</v>
      </c>
      <c r="N145" s="543" t="e">
        <f>_xll.qlOvernightIndexedSwapFairRate(L145,Trigger)</f>
        <v>#VALUE!</v>
      </c>
      <c r="O145" s="545" t="e">
        <f t="shared" si="4"/>
        <v>#NUM!</v>
      </c>
    </row>
    <row r="146" spans="3:15" x14ac:dyDescent="0.2">
      <c r="C146" s="537"/>
      <c r="D146" s="537"/>
      <c r="E146" s="536"/>
      <c r="G146" s="536"/>
      <c r="H146" s="536"/>
      <c r="J146" s="551">
        <f>_xll.qlCalendarAdvance(Calendar,J145,"1M","f",,Trigger)</f>
        <v>46384</v>
      </c>
      <c r="K146" s="542">
        <f>_xll.qlCalendarAdvance(Calendar,J146,"3M","mf",,Trigger)</f>
        <v>46476</v>
      </c>
      <c r="L146" s="544" t="e">
        <f>_xll.qlMakeDatedOIS(,J146,K146,"eonia",,,,,Trigger)</f>
        <v>#NUM!</v>
      </c>
      <c r="M146" s="543" t="e">
        <f>_xll.qlIndexFixing("euribor3m",_xll.qlInterestRateIndexFixingDate("Euribor3M",J146),TRUE)</f>
        <v>#NUM!</v>
      </c>
      <c r="N146" s="543" t="e">
        <f>_xll.qlOvernightIndexedSwapFairRate(L146,Trigger)</f>
        <v>#VALUE!</v>
      </c>
      <c r="O146" s="545" t="e">
        <f t="shared" si="4"/>
        <v>#NUM!</v>
      </c>
    </row>
    <row r="147" spans="3:15" x14ac:dyDescent="0.2">
      <c r="C147" s="537"/>
      <c r="D147" s="537"/>
      <c r="E147" s="536"/>
      <c r="G147" s="536"/>
      <c r="H147" s="536"/>
      <c r="J147" s="551">
        <f>_xll.qlCalendarAdvance(Calendar,J146,"1M","f",,Trigger)</f>
        <v>46415</v>
      </c>
      <c r="K147" s="542">
        <f>_xll.qlCalendarAdvance(Calendar,J147,"3M","mf",,Trigger)</f>
        <v>46505</v>
      </c>
      <c r="L147" s="544" t="e">
        <f>_xll.qlMakeDatedOIS(,J147,K147,"eonia",,,,,Trigger)</f>
        <v>#NUM!</v>
      </c>
      <c r="M147" s="543" t="e">
        <f>_xll.qlIndexFixing("euribor3m",_xll.qlInterestRateIndexFixingDate("Euribor3M",J147),TRUE)</f>
        <v>#NUM!</v>
      </c>
      <c r="N147" s="543" t="e">
        <f>_xll.qlOvernightIndexedSwapFairRate(L147,Trigger)</f>
        <v>#VALUE!</v>
      </c>
      <c r="O147" s="545" t="e">
        <f t="shared" si="4"/>
        <v>#NUM!</v>
      </c>
    </row>
    <row r="148" spans="3:15" x14ac:dyDescent="0.2">
      <c r="C148" s="537"/>
      <c r="D148" s="537"/>
      <c r="E148" s="536"/>
      <c r="G148" s="536"/>
      <c r="H148" s="536"/>
      <c r="J148" s="551">
        <f>_xll.qlCalendarAdvance(Calendar,J147,"1M","f",,Trigger)</f>
        <v>46447</v>
      </c>
      <c r="K148" s="542">
        <f>_xll.qlCalendarAdvance(Calendar,J148,"3M","mf",,Trigger)</f>
        <v>46539</v>
      </c>
      <c r="L148" s="544" t="e">
        <f>_xll.qlMakeDatedOIS(,J148,K148,"eonia",,,,,Trigger)</f>
        <v>#NUM!</v>
      </c>
      <c r="M148" s="543" t="e">
        <f>_xll.qlIndexFixing("euribor3m",_xll.qlInterestRateIndexFixingDate("Euribor3M",J148),TRUE)</f>
        <v>#NUM!</v>
      </c>
      <c r="N148" s="543" t="e">
        <f>_xll.qlOvernightIndexedSwapFairRate(L148,Trigger)</f>
        <v>#VALUE!</v>
      </c>
      <c r="O148" s="545" t="e">
        <f t="shared" si="4"/>
        <v>#NUM!</v>
      </c>
    </row>
    <row r="149" spans="3:15" x14ac:dyDescent="0.2">
      <c r="C149" s="537"/>
      <c r="D149" s="537"/>
      <c r="E149" s="536"/>
      <c r="G149" s="536"/>
      <c r="H149" s="536"/>
      <c r="J149" s="551">
        <f>_xll.qlCalendarAdvance(Calendar,J148,"1M","f",,Trigger)</f>
        <v>46478</v>
      </c>
      <c r="K149" s="542">
        <f>_xll.qlCalendarAdvance(Calendar,J149,"3M","mf",,Trigger)</f>
        <v>46569</v>
      </c>
      <c r="L149" s="544" t="e">
        <f>_xll.qlMakeDatedOIS(,J149,K149,"eonia",,,,,Trigger)</f>
        <v>#NUM!</v>
      </c>
      <c r="M149" s="543" t="e">
        <f>_xll.qlIndexFixing("euribor3m",_xll.qlInterestRateIndexFixingDate("Euribor3M",J149),TRUE)</f>
        <v>#NUM!</v>
      </c>
      <c r="N149" s="543" t="e">
        <f>_xll.qlOvernightIndexedSwapFairRate(L149,Trigger)</f>
        <v>#VALUE!</v>
      </c>
      <c r="O149" s="545" t="e">
        <f t="shared" si="4"/>
        <v>#NUM!</v>
      </c>
    </row>
    <row r="150" spans="3:15" x14ac:dyDescent="0.2">
      <c r="C150" s="537"/>
      <c r="D150" s="537"/>
      <c r="E150" s="536"/>
      <c r="G150" s="536"/>
      <c r="H150" s="536"/>
      <c r="J150" s="551">
        <f>_xll.qlCalendarAdvance(Calendar,J149,"1M","f",,Trigger)</f>
        <v>46510</v>
      </c>
      <c r="K150" s="542">
        <f>_xll.qlCalendarAdvance(Calendar,J150,"3M","mf",,Trigger)</f>
        <v>46602</v>
      </c>
      <c r="L150" s="544" t="e">
        <f>_xll.qlMakeDatedOIS(,J150,K150,"eonia",,,,,Trigger)</f>
        <v>#NUM!</v>
      </c>
      <c r="M150" s="543" t="e">
        <f>_xll.qlIndexFixing("euribor3m",_xll.qlInterestRateIndexFixingDate("Euribor3M",J150),TRUE)</f>
        <v>#NUM!</v>
      </c>
      <c r="N150" s="543" t="e">
        <f>_xll.qlOvernightIndexedSwapFairRate(L150,Trigger)</f>
        <v>#VALUE!</v>
      </c>
      <c r="O150" s="545" t="e">
        <f t="shared" si="4"/>
        <v>#NUM!</v>
      </c>
    </row>
    <row r="151" spans="3:15" x14ac:dyDescent="0.2">
      <c r="C151" s="537"/>
      <c r="D151" s="537"/>
      <c r="E151" s="536"/>
      <c r="G151" s="536"/>
      <c r="H151" s="536"/>
      <c r="J151" s="551">
        <f>_xll.qlCalendarAdvance(Calendar,J150,"1M","f",,Trigger)</f>
        <v>46541</v>
      </c>
      <c r="K151" s="542">
        <f>_xll.qlCalendarAdvance(Calendar,J151,"3M","mf",,Trigger)</f>
        <v>46633</v>
      </c>
      <c r="L151" s="544" t="e">
        <f>_xll.qlMakeDatedOIS(,J151,K151,"eonia",,,,,Trigger)</f>
        <v>#NUM!</v>
      </c>
      <c r="M151" s="543" t="e">
        <f>_xll.qlIndexFixing("euribor3m",_xll.qlInterestRateIndexFixingDate("Euribor3M",J151),TRUE)</f>
        <v>#NUM!</v>
      </c>
      <c r="N151" s="543" t="e">
        <f>_xll.qlOvernightIndexedSwapFairRate(L151,Trigger)</f>
        <v>#VALUE!</v>
      </c>
      <c r="O151" s="545" t="e">
        <f t="shared" si="4"/>
        <v>#NUM!</v>
      </c>
    </row>
    <row r="152" spans="3:15" x14ac:dyDescent="0.2">
      <c r="C152" s="537"/>
      <c r="D152" s="537"/>
      <c r="E152" s="536"/>
      <c r="G152" s="536"/>
      <c r="H152" s="536"/>
      <c r="J152" s="551">
        <f>_xll.qlCalendarAdvance(Calendar,J151,"1M","f",,Trigger)</f>
        <v>46573</v>
      </c>
      <c r="K152" s="542">
        <f>_xll.qlCalendarAdvance(Calendar,J152,"3M","mf",,Trigger)</f>
        <v>46665</v>
      </c>
      <c r="L152" s="544" t="e">
        <f>_xll.qlMakeDatedOIS(,J152,K152,"eonia",,,,,Trigger)</f>
        <v>#NUM!</v>
      </c>
      <c r="M152" s="543" t="e">
        <f>_xll.qlIndexFixing("euribor3m",_xll.qlInterestRateIndexFixingDate("Euribor3M",J152),TRUE)</f>
        <v>#NUM!</v>
      </c>
      <c r="N152" s="543" t="e">
        <f>_xll.qlOvernightIndexedSwapFairRate(L152,Trigger)</f>
        <v>#VALUE!</v>
      </c>
      <c r="O152" s="545" t="e">
        <f t="shared" si="4"/>
        <v>#NUM!</v>
      </c>
    </row>
    <row r="153" spans="3:15" x14ac:dyDescent="0.2">
      <c r="C153" s="537"/>
      <c r="D153" s="537"/>
      <c r="E153" s="536"/>
      <c r="G153" s="536"/>
      <c r="H153" s="536"/>
      <c r="J153" s="551">
        <f>_xll.qlCalendarAdvance(Calendar,J152,"1M","f",,Trigger)</f>
        <v>46604</v>
      </c>
      <c r="K153" s="542">
        <f>_xll.qlCalendarAdvance(Calendar,J153,"3M","mf",,Trigger)</f>
        <v>46696</v>
      </c>
      <c r="L153" s="544" t="e">
        <f>_xll.qlMakeDatedOIS(,J153,K153,"eonia",,,,,Trigger)</f>
        <v>#NUM!</v>
      </c>
      <c r="M153" s="543" t="e">
        <f>_xll.qlIndexFixing("euribor3m",_xll.qlInterestRateIndexFixingDate("Euribor3M",J153),TRUE)</f>
        <v>#NUM!</v>
      </c>
      <c r="N153" s="543" t="e">
        <f>_xll.qlOvernightIndexedSwapFairRate(L153,Trigger)</f>
        <v>#VALUE!</v>
      </c>
      <c r="O153" s="545" t="e">
        <f t="shared" si="4"/>
        <v>#NUM!</v>
      </c>
    </row>
    <row r="154" spans="3:15" x14ac:dyDescent="0.2">
      <c r="C154" s="537"/>
      <c r="D154" s="537"/>
      <c r="E154" s="536"/>
      <c r="G154" s="536"/>
      <c r="H154" s="536"/>
      <c r="J154" s="551">
        <f>_xll.qlCalendarAdvance(Calendar,J153,"1M","f",,Trigger)</f>
        <v>46636</v>
      </c>
      <c r="K154" s="542">
        <f>_xll.qlCalendarAdvance(Calendar,J154,"3M","mf",,Trigger)</f>
        <v>46727</v>
      </c>
      <c r="L154" s="544" t="e">
        <f>_xll.qlMakeDatedOIS(,J154,K154,"eonia",,,,,Trigger)</f>
        <v>#NUM!</v>
      </c>
      <c r="M154" s="543" t="e">
        <f>_xll.qlIndexFixing("euribor3m",_xll.qlInterestRateIndexFixingDate("Euribor3M",J154),TRUE)</f>
        <v>#NUM!</v>
      </c>
      <c r="N154" s="543" t="e">
        <f>_xll.qlOvernightIndexedSwapFairRate(L154,Trigger)</f>
        <v>#VALUE!</v>
      </c>
      <c r="O154" s="545" t="e">
        <f t="shared" si="4"/>
        <v>#NUM!</v>
      </c>
    </row>
    <row r="155" spans="3:15" x14ac:dyDescent="0.2">
      <c r="C155" s="537"/>
      <c r="D155" s="537"/>
      <c r="E155" s="536"/>
      <c r="G155" s="536"/>
      <c r="H155" s="536"/>
      <c r="J155" s="551">
        <f>_xll.qlCalendarAdvance(Calendar,J154,"1M","f",,Trigger)</f>
        <v>46666</v>
      </c>
      <c r="K155" s="542">
        <f>_xll.qlCalendarAdvance(Calendar,J155,"3M","mf",,Trigger)</f>
        <v>46758</v>
      </c>
      <c r="L155" s="544" t="e">
        <f>_xll.qlMakeDatedOIS(,J155,K155,"eonia",,,,,Trigger)</f>
        <v>#NUM!</v>
      </c>
      <c r="M155" s="543" t="e">
        <f>_xll.qlIndexFixing("euribor3m",_xll.qlInterestRateIndexFixingDate("Euribor3M",J155),TRUE)</f>
        <v>#NUM!</v>
      </c>
      <c r="N155" s="543" t="e">
        <f>_xll.qlOvernightIndexedSwapFairRate(L155,Trigger)</f>
        <v>#VALUE!</v>
      </c>
      <c r="O155" s="545" t="e">
        <f t="shared" si="4"/>
        <v>#NUM!</v>
      </c>
    </row>
    <row r="156" spans="3:15" x14ac:dyDescent="0.2">
      <c r="C156" s="537"/>
      <c r="D156" s="537"/>
      <c r="E156" s="536"/>
      <c r="G156" s="536"/>
      <c r="H156" s="536"/>
      <c r="J156" s="551">
        <f>_xll.qlCalendarAdvance(Calendar,J155,"1M","f",,Trigger)</f>
        <v>46699</v>
      </c>
      <c r="K156" s="542">
        <f>_xll.qlCalendarAdvance(Calendar,J156,"3M","mf",,Trigger)</f>
        <v>46791</v>
      </c>
      <c r="L156" s="544" t="e">
        <f>_xll.qlMakeDatedOIS(,J156,K156,"eonia",,,,,Trigger)</f>
        <v>#NUM!</v>
      </c>
      <c r="M156" s="543" t="e">
        <f>_xll.qlIndexFixing("euribor3m",_xll.qlInterestRateIndexFixingDate("Euribor3M",J156),TRUE)</f>
        <v>#NUM!</v>
      </c>
      <c r="N156" s="543" t="e">
        <f>_xll.qlOvernightIndexedSwapFairRate(L156,Trigger)</f>
        <v>#VALUE!</v>
      </c>
      <c r="O156" s="545" t="e">
        <f t="shared" si="4"/>
        <v>#NUM!</v>
      </c>
    </row>
    <row r="157" spans="3:15" x14ac:dyDescent="0.2">
      <c r="C157" s="537"/>
      <c r="D157" s="537"/>
      <c r="E157" s="536"/>
      <c r="G157" s="536"/>
      <c r="H157" s="536"/>
      <c r="J157" s="551">
        <f>_xll.qlCalendarAdvance(Calendar,J156,"1M","f",,Trigger)</f>
        <v>46729</v>
      </c>
      <c r="K157" s="542">
        <f>_xll.qlCalendarAdvance(Calendar,J157,"3M","mf",,Trigger)</f>
        <v>46820</v>
      </c>
      <c r="L157" s="544" t="e">
        <f>_xll.qlMakeDatedOIS(,J157,K157,"eonia",,,,,Trigger)</f>
        <v>#NUM!</v>
      </c>
      <c r="M157" s="543" t="e">
        <f>_xll.qlIndexFixing("euribor3m",_xll.qlInterestRateIndexFixingDate("Euribor3M",J157),TRUE)</f>
        <v>#NUM!</v>
      </c>
      <c r="N157" s="543" t="e">
        <f>_xll.qlOvernightIndexedSwapFairRate(L157,Trigger)</f>
        <v>#VALUE!</v>
      </c>
      <c r="O157" s="545" t="e">
        <f t="shared" si="4"/>
        <v>#NUM!</v>
      </c>
    </row>
    <row r="158" spans="3:15" x14ac:dyDescent="0.2">
      <c r="C158" s="537"/>
      <c r="D158" s="537"/>
      <c r="E158" s="536"/>
      <c r="G158" s="536"/>
      <c r="H158" s="536"/>
      <c r="J158" s="551">
        <f>_xll.qlCalendarAdvance(Calendar,J157,"1M","f",,Trigger)</f>
        <v>46762</v>
      </c>
      <c r="K158" s="542">
        <f>_xll.qlCalendarAdvance(Calendar,J158,"3M","mf",,Trigger)</f>
        <v>46853</v>
      </c>
      <c r="L158" s="544" t="e">
        <f>_xll.qlMakeDatedOIS(,J158,K158,"eonia",,,,,Trigger)</f>
        <v>#NUM!</v>
      </c>
      <c r="M158" s="543" t="e">
        <f>_xll.qlIndexFixing("euribor3m",_xll.qlInterestRateIndexFixingDate("Euribor3M",J158),TRUE)</f>
        <v>#NUM!</v>
      </c>
      <c r="N158" s="543" t="e">
        <f>_xll.qlOvernightIndexedSwapFairRate(L158,Trigger)</f>
        <v>#VALUE!</v>
      </c>
      <c r="O158" s="545" t="e">
        <f t="shared" si="4"/>
        <v>#NUM!</v>
      </c>
    </row>
    <row r="159" spans="3:15" x14ac:dyDescent="0.2">
      <c r="C159" s="537"/>
      <c r="D159" s="537"/>
      <c r="E159" s="536"/>
      <c r="G159" s="536"/>
      <c r="H159" s="536"/>
      <c r="J159" s="551">
        <f>_xll.qlCalendarAdvance(Calendar,J158,"1M","f",,Trigger)</f>
        <v>46793</v>
      </c>
      <c r="K159" s="542">
        <f>_xll.qlCalendarAdvance(Calendar,J159,"3M","mf",,Trigger)</f>
        <v>46883</v>
      </c>
      <c r="L159" s="544" t="e">
        <f>_xll.qlMakeDatedOIS(,J159,K159,"eonia",,,,,Trigger)</f>
        <v>#NUM!</v>
      </c>
      <c r="M159" s="543" t="e">
        <f>_xll.qlIndexFixing("euribor3m",_xll.qlInterestRateIndexFixingDate("Euribor3M",J159),TRUE)</f>
        <v>#NUM!</v>
      </c>
      <c r="N159" s="543" t="e">
        <f>_xll.qlOvernightIndexedSwapFairRate(L159,Trigger)</f>
        <v>#VALUE!</v>
      </c>
      <c r="O159" s="545" t="e">
        <f t="shared" si="4"/>
        <v>#NUM!</v>
      </c>
    </row>
    <row r="160" spans="3:15" x14ac:dyDescent="0.2">
      <c r="C160" s="537"/>
      <c r="D160" s="537"/>
      <c r="E160" s="536"/>
      <c r="G160" s="536"/>
      <c r="H160" s="536"/>
      <c r="J160" s="551">
        <f>_xll.qlCalendarAdvance(Calendar,J159,"1M","f",,Trigger)</f>
        <v>46822</v>
      </c>
      <c r="K160" s="542">
        <f>_xll.qlCalendarAdvance(Calendar,J160,"3M","mf",,Trigger)</f>
        <v>46916</v>
      </c>
      <c r="L160" s="544" t="e">
        <f>_xll.qlMakeDatedOIS(,J160,K160,"eonia",,,,,Trigger)</f>
        <v>#NUM!</v>
      </c>
      <c r="M160" s="543" t="e">
        <f>_xll.qlIndexFixing("euribor3m",_xll.qlInterestRateIndexFixingDate("Euribor3M",J160),TRUE)</f>
        <v>#NUM!</v>
      </c>
      <c r="N160" s="543" t="e">
        <f>_xll.qlOvernightIndexedSwapFairRate(L160,Trigger)</f>
        <v>#VALUE!</v>
      </c>
      <c r="O160" s="545" t="e">
        <f t="shared" si="4"/>
        <v>#NUM!</v>
      </c>
    </row>
    <row r="161" spans="3:15" x14ac:dyDescent="0.2">
      <c r="C161" s="537"/>
      <c r="D161" s="537"/>
      <c r="E161" s="536"/>
      <c r="G161" s="536"/>
      <c r="H161" s="536"/>
      <c r="J161" s="551">
        <f>_xll.qlCalendarAdvance(Calendar,J160,"1M","f",,Trigger)</f>
        <v>46853</v>
      </c>
      <c r="K161" s="542">
        <f>_xll.qlCalendarAdvance(Calendar,J161,"3M","mf",,Trigger)</f>
        <v>46944</v>
      </c>
      <c r="L161" s="544" t="e">
        <f>_xll.qlMakeDatedOIS(,J161,K161,"eonia",,,,,Trigger)</f>
        <v>#NUM!</v>
      </c>
      <c r="M161" s="543" t="e">
        <f>_xll.qlIndexFixing("euribor3m",_xll.qlInterestRateIndexFixingDate("Euribor3M",J161),TRUE)</f>
        <v>#NUM!</v>
      </c>
      <c r="N161" s="543" t="e">
        <f>_xll.qlOvernightIndexedSwapFairRate(L161,Trigger)</f>
        <v>#VALUE!</v>
      </c>
      <c r="O161" s="545" t="e">
        <f t="shared" si="4"/>
        <v>#NUM!</v>
      </c>
    </row>
    <row r="162" spans="3:15" x14ac:dyDescent="0.2">
      <c r="C162" s="537"/>
      <c r="D162" s="537"/>
      <c r="E162" s="536"/>
      <c r="G162" s="536"/>
      <c r="H162" s="536"/>
      <c r="J162" s="551">
        <f>_xll.qlCalendarAdvance(Calendar,J161,"1M","f",,Trigger)</f>
        <v>46883</v>
      </c>
      <c r="K162" s="542">
        <f>_xll.qlCalendarAdvance(Calendar,J162,"3M","mf",,Trigger)</f>
        <v>46975</v>
      </c>
      <c r="L162" s="544" t="e">
        <f>_xll.qlMakeDatedOIS(,J162,K162,"eonia",,,,,Trigger)</f>
        <v>#NUM!</v>
      </c>
      <c r="M162" s="543" t="e">
        <f>_xll.qlIndexFixing("euribor3m",_xll.qlInterestRateIndexFixingDate("Euribor3M",J162),TRUE)</f>
        <v>#NUM!</v>
      </c>
      <c r="N162" s="543" t="e">
        <f>_xll.qlOvernightIndexedSwapFairRate(L162,Trigger)</f>
        <v>#VALUE!</v>
      </c>
      <c r="O162" s="545" t="e">
        <f t="shared" si="4"/>
        <v>#NUM!</v>
      </c>
    </row>
    <row r="163" spans="3:15" x14ac:dyDescent="0.2">
      <c r="C163" s="537"/>
      <c r="D163" s="537"/>
      <c r="E163" s="536"/>
      <c r="G163" s="536"/>
      <c r="H163" s="536"/>
      <c r="J163" s="551">
        <f>_xll.qlCalendarAdvance(Calendar,J162,"1M","f",,Trigger)</f>
        <v>46916</v>
      </c>
      <c r="K163" s="542">
        <f>_xll.qlCalendarAdvance(Calendar,J163,"3M","mf",,Trigger)</f>
        <v>47008</v>
      </c>
      <c r="L163" s="544" t="e">
        <f>_xll.qlMakeDatedOIS(,J163,K163,"eonia",,,,,Trigger)</f>
        <v>#NUM!</v>
      </c>
      <c r="M163" s="543" t="e">
        <f>_xll.qlIndexFixing("euribor3m",_xll.qlInterestRateIndexFixingDate("Euribor3M",J163),TRUE)</f>
        <v>#NUM!</v>
      </c>
      <c r="N163" s="543" t="e">
        <f>_xll.qlOvernightIndexedSwapFairRate(L163,Trigger)</f>
        <v>#VALUE!</v>
      </c>
      <c r="O163" s="545" t="e">
        <f t="shared" si="4"/>
        <v>#NUM!</v>
      </c>
    </row>
    <row r="164" spans="3:15" x14ac:dyDescent="0.2">
      <c r="C164" s="537"/>
      <c r="D164" s="537"/>
      <c r="E164" s="536"/>
      <c r="G164" s="536"/>
      <c r="H164" s="536"/>
      <c r="J164" s="551">
        <f>_xll.qlCalendarAdvance(Calendar,J163,"1M","f",,Trigger)</f>
        <v>46946</v>
      </c>
      <c r="K164" s="542">
        <f>_xll.qlCalendarAdvance(Calendar,J164,"3M","mf",,Trigger)</f>
        <v>47038</v>
      </c>
      <c r="L164" s="544" t="e">
        <f>_xll.qlMakeDatedOIS(,J164,K164,"eonia",,,,,Trigger)</f>
        <v>#NUM!</v>
      </c>
      <c r="M164" s="543" t="e">
        <f>_xll.qlIndexFixing("euribor3m",_xll.qlInterestRateIndexFixingDate("Euribor3M",J164),TRUE)</f>
        <v>#NUM!</v>
      </c>
      <c r="N164" s="543" t="e">
        <f>_xll.qlOvernightIndexedSwapFairRate(L164,Trigger)</f>
        <v>#VALUE!</v>
      </c>
      <c r="O164" s="545" t="e">
        <f t="shared" si="4"/>
        <v>#NUM!</v>
      </c>
    </row>
    <row r="165" spans="3:15" x14ac:dyDescent="0.2">
      <c r="C165" s="537"/>
      <c r="D165" s="537"/>
      <c r="E165" s="536"/>
      <c r="G165" s="536"/>
      <c r="H165" s="536"/>
      <c r="J165" s="551">
        <f>_xll.qlCalendarAdvance(Calendar,J164,"1M","f",,Trigger)</f>
        <v>46979</v>
      </c>
      <c r="K165" s="542">
        <f>_xll.qlCalendarAdvance(Calendar,J165,"3M","mf",,Trigger)</f>
        <v>47071</v>
      </c>
      <c r="L165" s="544" t="e">
        <f>_xll.qlMakeDatedOIS(,J165,K165,"eonia",,,,,Trigger)</f>
        <v>#NUM!</v>
      </c>
      <c r="M165" s="543" t="e">
        <f>_xll.qlIndexFixing("euribor3m",_xll.qlInterestRateIndexFixingDate("Euribor3M",J165),TRUE)</f>
        <v>#NUM!</v>
      </c>
      <c r="N165" s="543" t="e">
        <f>_xll.qlOvernightIndexedSwapFairRate(L165,Trigger)</f>
        <v>#VALUE!</v>
      </c>
      <c r="O165" s="545" t="e">
        <f t="shared" si="4"/>
        <v>#NUM!</v>
      </c>
    </row>
    <row r="166" spans="3:15" x14ac:dyDescent="0.2">
      <c r="C166" s="537"/>
      <c r="D166" s="537"/>
      <c r="E166" s="536"/>
      <c r="G166" s="536"/>
      <c r="H166" s="536"/>
      <c r="J166" s="551">
        <f>_xll.qlCalendarAdvance(Calendar,J165,"1M","f",,Trigger)</f>
        <v>47010</v>
      </c>
      <c r="K166" s="542">
        <f>_xll.qlCalendarAdvance(Calendar,J166,"3M","mf",,Trigger)</f>
        <v>47101</v>
      </c>
      <c r="L166" s="544" t="e">
        <f>_xll.qlMakeDatedOIS(,J166,K166,"eonia",,,,,Trigger)</f>
        <v>#NUM!</v>
      </c>
      <c r="M166" s="543" t="e">
        <f>_xll.qlIndexFixing("euribor3m",_xll.qlInterestRateIndexFixingDate("Euribor3M",J166),TRUE)</f>
        <v>#NUM!</v>
      </c>
      <c r="N166" s="543" t="e">
        <f>_xll.qlOvernightIndexedSwapFairRate(L166,Trigger)</f>
        <v>#VALUE!</v>
      </c>
      <c r="O166" s="545" t="e">
        <f t="shared" si="4"/>
        <v>#NUM!</v>
      </c>
    </row>
    <row r="167" spans="3:15" x14ac:dyDescent="0.2">
      <c r="C167" s="537"/>
      <c r="D167" s="537"/>
      <c r="E167" s="536"/>
      <c r="G167" s="536"/>
      <c r="H167" s="536"/>
      <c r="J167" s="551">
        <f>_xll.qlCalendarAdvance(Calendar,J166,"1M","f",,Trigger)</f>
        <v>47042</v>
      </c>
      <c r="K167" s="542">
        <f>_xll.qlCalendarAdvance(Calendar,J167,"3M","mf",,Trigger)</f>
        <v>47134</v>
      </c>
      <c r="L167" s="544" t="e">
        <f>_xll.qlMakeDatedOIS(,J167,K167,"eonia",,,,,Trigger)</f>
        <v>#NUM!</v>
      </c>
      <c r="M167" s="543" t="e">
        <f>_xll.qlIndexFixing("euribor3m",_xll.qlInterestRateIndexFixingDate("Euribor3M",J167),TRUE)</f>
        <v>#NUM!</v>
      </c>
      <c r="N167" s="543" t="e">
        <f>_xll.qlOvernightIndexedSwapFairRate(L167,Trigger)</f>
        <v>#VALUE!</v>
      </c>
      <c r="O167" s="545" t="e">
        <f t="shared" si="4"/>
        <v>#NUM!</v>
      </c>
    </row>
    <row r="168" spans="3:15" x14ac:dyDescent="0.2">
      <c r="C168" s="537"/>
      <c r="D168" s="537"/>
      <c r="E168" s="536"/>
      <c r="G168" s="536"/>
      <c r="H168" s="536"/>
      <c r="J168" s="551">
        <f>_xll.qlCalendarAdvance(Calendar,J167,"1M","f",,Trigger)</f>
        <v>47073</v>
      </c>
      <c r="K168" s="542">
        <f>_xll.qlCalendarAdvance(Calendar,J168,"3M","mf",,Trigger)</f>
        <v>47165</v>
      </c>
      <c r="L168" s="544" t="e">
        <f>_xll.qlMakeDatedOIS(,J168,K168,"eonia",,,,,Trigger)</f>
        <v>#NUM!</v>
      </c>
      <c r="M168" s="543" t="e">
        <f>_xll.qlIndexFixing("euribor3m",_xll.qlInterestRateIndexFixingDate("Euribor3M",J168),TRUE)</f>
        <v>#NUM!</v>
      </c>
      <c r="N168" s="543" t="e">
        <f>_xll.qlOvernightIndexedSwapFairRate(L168,Trigger)</f>
        <v>#VALUE!</v>
      </c>
      <c r="O168" s="545" t="e">
        <f t="shared" si="4"/>
        <v>#NUM!</v>
      </c>
    </row>
    <row r="169" spans="3:15" x14ac:dyDescent="0.2">
      <c r="C169" s="537"/>
      <c r="D169" s="537"/>
      <c r="E169" s="536"/>
      <c r="G169" s="536"/>
      <c r="H169" s="536"/>
      <c r="J169" s="551">
        <f>_xll.qlCalendarAdvance(Calendar,J168,"1M","f",,Trigger)</f>
        <v>47105</v>
      </c>
      <c r="K169" s="542">
        <f>_xll.qlCalendarAdvance(Calendar,J169,"3M","mf",,Trigger)</f>
        <v>47196</v>
      </c>
      <c r="L169" s="544" t="e">
        <f>_xll.qlMakeDatedOIS(,J169,K169,"eonia",,,,,Trigger)</f>
        <v>#NUM!</v>
      </c>
      <c r="M169" s="543" t="e">
        <f>_xll.qlIndexFixing("euribor3m",_xll.qlInterestRateIndexFixingDate("Euribor3M",J169),TRUE)</f>
        <v>#NUM!</v>
      </c>
      <c r="N169" s="543" t="e">
        <f>_xll.qlOvernightIndexedSwapFairRate(L169,Trigger)</f>
        <v>#VALUE!</v>
      </c>
      <c r="O169" s="545" t="e">
        <f t="shared" si="4"/>
        <v>#NUM!</v>
      </c>
    </row>
    <row r="170" spans="3:15" x14ac:dyDescent="0.2">
      <c r="C170" s="537"/>
      <c r="D170" s="537"/>
      <c r="E170" s="536"/>
      <c r="G170" s="536"/>
      <c r="H170" s="536"/>
      <c r="J170" s="551">
        <f>_xll.qlCalendarAdvance(Calendar,J169,"1M","f",,Trigger)</f>
        <v>47136</v>
      </c>
      <c r="K170" s="542">
        <f>_xll.qlCalendarAdvance(Calendar,J170,"3M","mf",,Trigger)</f>
        <v>47226</v>
      </c>
      <c r="L170" s="544" t="e">
        <f>_xll.qlMakeDatedOIS(,J170,K170,"eonia",,,,,Trigger)</f>
        <v>#NUM!</v>
      </c>
      <c r="M170" s="543" t="e">
        <f>_xll.qlIndexFixing("euribor3m",_xll.qlInterestRateIndexFixingDate("Euribor3M",J170),TRUE)</f>
        <v>#NUM!</v>
      </c>
      <c r="N170" s="543" t="e">
        <f>_xll.qlOvernightIndexedSwapFairRate(L170,Trigger)</f>
        <v>#VALUE!</v>
      </c>
      <c r="O170" s="545" t="e">
        <f t="shared" si="4"/>
        <v>#NUM!</v>
      </c>
    </row>
    <row r="171" spans="3:15" x14ac:dyDescent="0.2">
      <c r="C171" s="537"/>
      <c r="D171" s="537"/>
      <c r="E171" s="536"/>
      <c r="G171" s="536"/>
      <c r="H171" s="536"/>
      <c r="J171" s="551">
        <f>_xll.qlCalendarAdvance(Calendar,J170,"1M","f",,Trigger)</f>
        <v>47168</v>
      </c>
      <c r="K171" s="542">
        <f>_xll.qlCalendarAdvance(Calendar,J171,"3M","mf",,Trigger)</f>
        <v>47259</v>
      </c>
      <c r="L171" s="544" t="e">
        <f>_xll.qlMakeDatedOIS(,J171,K171,"eonia",,,,,Trigger)</f>
        <v>#NUM!</v>
      </c>
      <c r="M171" s="543" t="e">
        <f>_xll.qlIndexFixing("euribor3m",_xll.qlInterestRateIndexFixingDate("Euribor3M",J171),TRUE)</f>
        <v>#NUM!</v>
      </c>
      <c r="N171" s="543" t="e">
        <f>_xll.qlOvernightIndexedSwapFairRate(L171,Trigger)</f>
        <v>#VALUE!</v>
      </c>
      <c r="O171" s="545" t="e">
        <f t="shared" si="4"/>
        <v>#NUM!</v>
      </c>
    </row>
    <row r="172" spans="3:15" x14ac:dyDescent="0.2">
      <c r="C172" s="537"/>
      <c r="D172" s="537"/>
      <c r="E172" s="536"/>
      <c r="G172" s="536"/>
      <c r="H172" s="536"/>
      <c r="J172" s="551">
        <f>_xll.qlCalendarAdvance(Calendar,J171,"1M","f",,Trigger)</f>
        <v>47196</v>
      </c>
      <c r="K172" s="542">
        <f>_xll.qlCalendarAdvance(Calendar,J172,"3M","mf",,Trigger)</f>
        <v>47288</v>
      </c>
      <c r="L172" s="544" t="e">
        <f>_xll.qlMakeDatedOIS(,J172,K172,"eonia",,,,,Trigger)</f>
        <v>#NUM!</v>
      </c>
      <c r="M172" s="543" t="e">
        <f>_xll.qlIndexFixing("euribor3m",_xll.qlInterestRateIndexFixingDate("Euribor3M",J172),TRUE)</f>
        <v>#NUM!</v>
      </c>
      <c r="N172" s="543" t="e">
        <f>_xll.qlOvernightIndexedSwapFairRate(L172,Trigger)</f>
        <v>#VALUE!</v>
      </c>
      <c r="O172" s="545" t="e">
        <f t="shared" si="4"/>
        <v>#NUM!</v>
      </c>
    </row>
    <row r="173" spans="3:15" x14ac:dyDescent="0.2">
      <c r="C173" s="537"/>
      <c r="D173" s="537"/>
      <c r="E173" s="536"/>
      <c r="G173" s="536"/>
      <c r="H173" s="536"/>
      <c r="J173" s="551">
        <f>_xll.qlCalendarAdvance(Calendar,J172,"1M","f",,Trigger)</f>
        <v>47227</v>
      </c>
      <c r="K173" s="542">
        <f>_xll.qlCalendarAdvance(Calendar,J173,"3M","mf",,Trigger)</f>
        <v>47318</v>
      </c>
      <c r="L173" s="544" t="e">
        <f>_xll.qlMakeDatedOIS(,J173,K173,"eonia",,,,,Trigger)</f>
        <v>#NUM!</v>
      </c>
      <c r="M173" s="543" t="e">
        <f>_xll.qlIndexFixing("euribor3m",_xll.qlInterestRateIndexFixingDate("Euribor3M",J173),TRUE)</f>
        <v>#NUM!</v>
      </c>
      <c r="N173" s="543" t="e">
        <f>_xll.qlOvernightIndexedSwapFairRate(L173,Trigger)</f>
        <v>#VALUE!</v>
      </c>
      <c r="O173" s="545" t="e">
        <f t="shared" si="4"/>
        <v>#NUM!</v>
      </c>
    </row>
    <row r="174" spans="3:15" x14ac:dyDescent="0.2">
      <c r="C174" s="537"/>
      <c r="D174" s="537"/>
      <c r="E174" s="536"/>
      <c r="G174" s="536"/>
      <c r="H174" s="536"/>
      <c r="J174" s="551">
        <f>_xll.qlCalendarAdvance(Calendar,J173,"1M","f",,Trigger)</f>
        <v>47259</v>
      </c>
      <c r="K174" s="542">
        <f>_xll.qlCalendarAdvance(Calendar,J174,"3M","mf",,Trigger)</f>
        <v>47351</v>
      </c>
      <c r="L174" s="544" t="e">
        <f>_xll.qlMakeDatedOIS(,J174,K174,"eonia",,,,,Trigger)</f>
        <v>#NUM!</v>
      </c>
      <c r="M174" s="543" t="e">
        <f>_xll.qlIndexFixing("euribor3m",_xll.qlInterestRateIndexFixingDate("Euribor3M",J174),TRUE)</f>
        <v>#NUM!</v>
      </c>
      <c r="N174" s="543" t="e">
        <f>_xll.qlOvernightIndexedSwapFairRate(L174,Trigger)</f>
        <v>#VALUE!</v>
      </c>
      <c r="O174" s="545" t="e">
        <f t="shared" si="4"/>
        <v>#NUM!</v>
      </c>
    </row>
    <row r="175" spans="3:15" x14ac:dyDescent="0.2">
      <c r="C175" s="537"/>
      <c r="D175" s="537"/>
      <c r="E175" s="536"/>
      <c r="G175" s="536"/>
      <c r="H175" s="536"/>
      <c r="J175" s="551">
        <f>_xll.qlCalendarAdvance(Calendar,J174,"1M","f",,Trigger)</f>
        <v>47290</v>
      </c>
      <c r="K175" s="542">
        <f>_xll.qlCalendarAdvance(Calendar,J175,"3M","mf",,Trigger)</f>
        <v>47382</v>
      </c>
      <c r="L175" s="544" t="e">
        <f>_xll.qlMakeDatedOIS(,J175,K175,"eonia",,,,,Trigger)</f>
        <v>#NUM!</v>
      </c>
      <c r="M175" s="543" t="e">
        <f>_xll.qlIndexFixing("euribor3m",_xll.qlInterestRateIndexFixingDate("Euribor3M",J175),TRUE)</f>
        <v>#NUM!</v>
      </c>
      <c r="N175" s="543" t="e">
        <f>_xll.qlOvernightIndexedSwapFairRate(L175,Trigger)</f>
        <v>#VALUE!</v>
      </c>
      <c r="O175" s="545" t="e">
        <f t="shared" si="4"/>
        <v>#NUM!</v>
      </c>
    </row>
    <row r="176" spans="3:15" x14ac:dyDescent="0.2">
      <c r="C176" s="537"/>
      <c r="D176" s="537"/>
      <c r="E176" s="536"/>
      <c r="G176" s="536"/>
      <c r="H176" s="536"/>
      <c r="J176" s="551">
        <f>_xll.qlCalendarAdvance(Calendar,J175,"1M","f",,Trigger)</f>
        <v>47322</v>
      </c>
      <c r="K176" s="542">
        <f>_xll.qlCalendarAdvance(Calendar,J176,"3M","mf",,Trigger)</f>
        <v>47414</v>
      </c>
      <c r="L176" s="544" t="e">
        <f>_xll.qlMakeDatedOIS(,J176,K176,"eonia",,,,,Trigger)</f>
        <v>#NUM!</v>
      </c>
      <c r="M176" s="543" t="e">
        <f>_xll.qlIndexFixing("euribor3m",_xll.qlInterestRateIndexFixingDate("Euribor3M",J176),TRUE)</f>
        <v>#NUM!</v>
      </c>
      <c r="N176" s="543" t="e">
        <f>_xll.qlOvernightIndexedSwapFairRate(L176,Trigger)</f>
        <v>#VALUE!</v>
      </c>
      <c r="O176" s="545" t="e">
        <f t="shared" si="4"/>
        <v>#NUM!</v>
      </c>
    </row>
    <row r="177" spans="3:15" x14ac:dyDescent="0.2">
      <c r="C177" s="537"/>
      <c r="D177" s="537"/>
      <c r="E177" s="536"/>
      <c r="G177" s="536"/>
      <c r="H177" s="536"/>
      <c r="J177" s="551">
        <f>_xll.qlCalendarAdvance(Calendar,J176,"1M","f",,Trigger)</f>
        <v>47353</v>
      </c>
      <c r="K177" s="542">
        <f>_xll.qlCalendarAdvance(Calendar,J177,"3M","mf",,Trigger)</f>
        <v>47445</v>
      </c>
      <c r="L177" s="544" t="e">
        <f>_xll.qlMakeDatedOIS(,J177,K177,"eonia",,,,,Trigger)</f>
        <v>#NUM!</v>
      </c>
      <c r="M177" s="543" t="e">
        <f>_xll.qlIndexFixing("euribor3m",_xll.qlInterestRateIndexFixingDate("Euribor3M",J177),TRUE)</f>
        <v>#NUM!</v>
      </c>
      <c r="N177" s="543" t="e">
        <f>_xll.qlOvernightIndexedSwapFairRate(L177,Trigger)</f>
        <v>#VALUE!</v>
      </c>
      <c r="O177" s="545" t="e">
        <f t="shared" si="4"/>
        <v>#NUM!</v>
      </c>
    </row>
    <row r="178" spans="3:15" x14ac:dyDescent="0.2">
      <c r="C178" s="537"/>
      <c r="D178" s="537"/>
      <c r="E178" s="536"/>
      <c r="G178" s="536"/>
      <c r="H178" s="536"/>
      <c r="J178" s="551">
        <f>_xll.qlCalendarAdvance(Calendar,J177,"1M","f",,Trigger)</f>
        <v>47385</v>
      </c>
      <c r="K178" s="542">
        <f>_xll.qlCalendarAdvance(Calendar,J178,"3M","mf",,Trigger)</f>
        <v>47476</v>
      </c>
      <c r="L178" s="544" t="e">
        <f>_xll.qlMakeDatedOIS(,J178,K178,"eonia",,,,,Trigger)</f>
        <v>#NUM!</v>
      </c>
      <c r="M178" s="543" t="e">
        <f>_xll.qlIndexFixing("euribor3m",_xll.qlInterestRateIndexFixingDate("Euribor3M",J178),TRUE)</f>
        <v>#NUM!</v>
      </c>
      <c r="N178" s="543" t="e">
        <f>_xll.qlOvernightIndexedSwapFairRate(L178,Trigger)</f>
        <v>#VALUE!</v>
      </c>
      <c r="O178" s="545" t="e">
        <f t="shared" si="4"/>
        <v>#NUM!</v>
      </c>
    </row>
    <row r="179" spans="3:15" x14ac:dyDescent="0.2">
      <c r="C179" s="537"/>
      <c r="D179" s="537"/>
      <c r="E179" s="536"/>
      <c r="G179" s="536"/>
      <c r="H179" s="536"/>
      <c r="J179" s="551">
        <f>_xll.qlCalendarAdvance(Calendar,J178,"1M","f",,Trigger)</f>
        <v>47415</v>
      </c>
      <c r="K179" s="542">
        <f>_xll.qlCalendarAdvance(Calendar,J179,"3M","mf",,Trigger)</f>
        <v>47507</v>
      </c>
      <c r="L179" s="544" t="e">
        <f>_xll.qlMakeDatedOIS(,J179,K179,"eonia",,,,,Trigger)</f>
        <v>#NUM!</v>
      </c>
      <c r="M179" s="543" t="e">
        <f>_xll.qlIndexFixing("euribor3m",_xll.qlInterestRateIndexFixingDate("Euribor3M",J179),TRUE)</f>
        <v>#NUM!</v>
      </c>
      <c r="N179" s="543" t="e">
        <f>_xll.qlOvernightIndexedSwapFairRate(L179,Trigger)</f>
        <v>#VALUE!</v>
      </c>
      <c r="O179" s="545" t="e">
        <f t="shared" si="4"/>
        <v>#NUM!</v>
      </c>
    </row>
    <row r="180" spans="3:15" x14ac:dyDescent="0.2">
      <c r="C180" s="537"/>
      <c r="D180" s="537"/>
      <c r="E180" s="536"/>
      <c r="G180" s="536"/>
      <c r="H180" s="536"/>
      <c r="J180" s="551">
        <f>_xll.qlCalendarAdvance(Calendar,J179,"1M","f",,Trigger)</f>
        <v>47448</v>
      </c>
      <c r="K180" s="542">
        <f>_xll.qlCalendarAdvance(Calendar,J180,"3M","mf",,Trigger)</f>
        <v>47540</v>
      </c>
      <c r="L180" s="544" t="e">
        <f>_xll.qlMakeDatedOIS(,J180,K180,"eonia",,,,,Trigger)</f>
        <v>#NUM!</v>
      </c>
      <c r="M180" s="543" t="e">
        <f>_xll.qlIndexFixing("euribor3m",_xll.qlInterestRateIndexFixingDate("Euribor3M",J180),TRUE)</f>
        <v>#NUM!</v>
      </c>
      <c r="N180" s="543" t="e">
        <f>_xll.qlOvernightIndexedSwapFairRate(L180,Trigger)</f>
        <v>#VALUE!</v>
      </c>
      <c r="O180" s="545" t="e">
        <f t="shared" si="4"/>
        <v>#NUM!</v>
      </c>
    </row>
    <row r="181" spans="3:15" x14ac:dyDescent="0.2">
      <c r="C181" s="537"/>
      <c r="D181" s="537"/>
      <c r="E181" s="536"/>
      <c r="G181" s="536"/>
      <c r="H181" s="536"/>
      <c r="J181" s="551">
        <f>_xll.qlCalendarAdvance(Calendar,J180,"1M","f",,Trigger)</f>
        <v>47479</v>
      </c>
      <c r="K181" s="542">
        <f>_xll.qlCalendarAdvance(Calendar,J181,"3M","mf",,Trigger)</f>
        <v>47569</v>
      </c>
      <c r="L181" s="544" t="e">
        <f>_xll.qlMakeDatedOIS(,J181,K181,"eonia",,,,,Trigger)</f>
        <v>#NUM!</v>
      </c>
      <c r="M181" s="543" t="e">
        <f>_xll.qlIndexFixing("euribor3m",_xll.qlInterestRateIndexFixingDate("Euribor3M",J181),TRUE)</f>
        <v>#NUM!</v>
      </c>
      <c r="N181" s="543" t="e">
        <f>_xll.qlOvernightIndexedSwapFairRate(L181,Trigger)</f>
        <v>#VALUE!</v>
      </c>
      <c r="O181" s="545" t="e">
        <f t="shared" si="4"/>
        <v>#NUM!</v>
      </c>
    </row>
    <row r="182" spans="3:15" x14ac:dyDescent="0.2">
      <c r="C182" s="537"/>
      <c r="D182" s="537"/>
      <c r="E182" s="536"/>
      <c r="G182" s="536"/>
      <c r="H182" s="536"/>
      <c r="J182" s="551">
        <f>_xll.qlCalendarAdvance(Calendar,J181,"1M","f",,Trigger)</f>
        <v>47511</v>
      </c>
      <c r="K182" s="542">
        <f>_xll.qlCalendarAdvance(Calendar,J182,"3M","mf",,Trigger)</f>
        <v>47602</v>
      </c>
      <c r="L182" s="544" t="e">
        <f>_xll.qlMakeDatedOIS(,J182,K182,"eonia",,,,,Trigger)</f>
        <v>#NUM!</v>
      </c>
      <c r="M182" s="543" t="e">
        <f>_xll.qlIndexFixing("euribor3m",_xll.qlInterestRateIndexFixingDate("Euribor3M",J182),TRUE)</f>
        <v>#NUM!</v>
      </c>
      <c r="N182" s="543" t="e">
        <f>_xll.qlOvernightIndexedSwapFairRate(L182,Trigger)</f>
        <v>#VALUE!</v>
      </c>
      <c r="O182" s="545" t="e">
        <f t="shared" si="4"/>
        <v>#NUM!</v>
      </c>
    </row>
    <row r="183" spans="3:15" x14ac:dyDescent="0.2">
      <c r="C183" s="537"/>
      <c r="D183" s="537"/>
      <c r="E183" s="536"/>
      <c r="G183" s="536"/>
      <c r="H183" s="536"/>
      <c r="J183" s="551">
        <f>_xll.qlCalendarAdvance(Calendar,J182,"1M","f",,Trigger)</f>
        <v>47542</v>
      </c>
      <c r="K183" s="542">
        <f>_xll.qlCalendarAdvance(Calendar,J183,"3M","mf",,Trigger)</f>
        <v>47631</v>
      </c>
      <c r="L183" s="544" t="e">
        <f>_xll.qlMakeDatedOIS(,J183,K183,"eonia",,,,,Trigger)</f>
        <v>#NUM!</v>
      </c>
      <c r="M183" s="543" t="e">
        <f>_xll.qlIndexFixing("euribor3m",_xll.qlInterestRateIndexFixingDate("Euribor3M",J183),TRUE)</f>
        <v>#NUM!</v>
      </c>
      <c r="N183" s="543" t="e">
        <f>_xll.qlOvernightIndexedSwapFairRate(L183,Trigger)</f>
        <v>#VALUE!</v>
      </c>
      <c r="O183" s="545" t="e">
        <f t="shared" si="4"/>
        <v>#NUM!</v>
      </c>
    </row>
    <row r="184" spans="3:15" x14ac:dyDescent="0.2">
      <c r="C184" s="537"/>
      <c r="D184" s="537"/>
      <c r="E184" s="536"/>
      <c r="G184" s="536"/>
      <c r="H184" s="536"/>
      <c r="J184" s="551">
        <f>_xll.qlCalendarAdvance(Calendar,J183,"1M","f",,Trigger)</f>
        <v>47570</v>
      </c>
      <c r="K184" s="542">
        <f>_xll.qlCalendarAdvance(Calendar,J184,"3M","mf",,Trigger)</f>
        <v>47662</v>
      </c>
      <c r="L184" s="544" t="e">
        <f>_xll.qlMakeDatedOIS(,J184,K184,"eonia",,,,,Trigger)</f>
        <v>#NUM!</v>
      </c>
      <c r="M184" s="543" t="e">
        <f>_xll.qlIndexFixing("euribor3m",_xll.qlInterestRateIndexFixingDate("Euribor3M",J184),TRUE)</f>
        <v>#NUM!</v>
      </c>
      <c r="N184" s="543" t="e">
        <f>_xll.qlOvernightIndexedSwapFairRate(L184,Trigger)</f>
        <v>#VALUE!</v>
      </c>
      <c r="O184" s="545" t="e">
        <f t="shared" si="4"/>
        <v>#NUM!</v>
      </c>
    </row>
    <row r="185" spans="3:15" x14ac:dyDescent="0.2">
      <c r="C185" s="537"/>
      <c r="D185" s="537"/>
      <c r="E185" s="536"/>
      <c r="G185" s="536"/>
      <c r="H185" s="536"/>
      <c r="J185" s="551">
        <f>_xll.qlCalendarAdvance(Calendar,J184,"1M","f",,Trigger)</f>
        <v>47602</v>
      </c>
      <c r="K185" s="542">
        <f>_xll.qlCalendarAdvance(Calendar,J185,"3M","mf",,Trigger)</f>
        <v>47693</v>
      </c>
      <c r="L185" s="544" t="e">
        <f>_xll.qlMakeDatedOIS(,J185,K185,"eonia",,,,,Trigger)</f>
        <v>#NUM!</v>
      </c>
      <c r="M185" s="543" t="e">
        <f>_xll.qlIndexFixing("euribor3m",_xll.qlInterestRateIndexFixingDate("Euribor3M",J185),TRUE)</f>
        <v>#NUM!</v>
      </c>
      <c r="N185" s="543" t="e">
        <f>_xll.qlOvernightIndexedSwapFairRate(L185,Trigger)</f>
        <v>#VALUE!</v>
      </c>
      <c r="O185" s="545" t="e">
        <f t="shared" si="4"/>
        <v>#NUM!</v>
      </c>
    </row>
    <row r="186" spans="3:15" x14ac:dyDescent="0.2">
      <c r="C186" s="537"/>
      <c r="D186" s="537"/>
      <c r="E186" s="536"/>
      <c r="G186" s="536"/>
      <c r="H186" s="536"/>
      <c r="J186" s="551">
        <f>_xll.qlCalendarAdvance(Calendar,J185,"1M","f",,Trigger)</f>
        <v>47632</v>
      </c>
      <c r="K186" s="542">
        <f>_xll.qlCalendarAdvance(Calendar,J186,"3M","mf",,Trigger)</f>
        <v>47724</v>
      </c>
      <c r="L186" s="544" t="e">
        <f>_xll.qlMakeDatedOIS(,J186,K186,"eonia",,,,,Trigger)</f>
        <v>#NUM!</v>
      </c>
      <c r="M186" s="543" t="e">
        <f>_xll.qlIndexFixing("euribor3m",_xll.qlInterestRateIndexFixingDate("Euribor3M",J186),TRUE)</f>
        <v>#NUM!</v>
      </c>
      <c r="N186" s="543" t="e">
        <f>_xll.qlOvernightIndexedSwapFairRate(L186,Trigger)</f>
        <v>#VALUE!</v>
      </c>
      <c r="O186" s="545" t="e">
        <f t="shared" si="4"/>
        <v>#NUM!</v>
      </c>
    </row>
    <row r="187" spans="3:15" x14ac:dyDescent="0.2">
      <c r="C187" s="537"/>
      <c r="D187" s="537"/>
      <c r="E187" s="536"/>
      <c r="G187" s="536"/>
      <c r="H187" s="536"/>
      <c r="J187" s="551">
        <f>_xll.qlCalendarAdvance(Calendar,J186,"1M","f",,Trigger)</f>
        <v>47665</v>
      </c>
      <c r="K187" s="542">
        <f>_xll.qlCalendarAdvance(Calendar,J187,"3M","mf",,Trigger)</f>
        <v>47757</v>
      </c>
      <c r="L187" s="544" t="e">
        <f>_xll.qlMakeDatedOIS(,J187,K187,"eonia",,,,,Trigger)</f>
        <v>#NUM!</v>
      </c>
      <c r="M187" s="543" t="e">
        <f>_xll.qlIndexFixing("euribor3m",_xll.qlInterestRateIndexFixingDate("Euribor3M",J187),TRUE)</f>
        <v>#NUM!</v>
      </c>
      <c r="N187" s="543" t="e">
        <f>_xll.qlOvernightIndexedSwapFairRate(L187,Trigger)</f>
        <v>#VALUE!</v>
      </c>
      <c r="O187" s="545" t="e">
        <f t="shared" si="4"/>
        <v>#NUM!</v>
      </c>
    </row>
    <row r="188" spans="3:15" x14ac:dyDescent="0.2">
      <c r="C188" s="537"/>
      <c r="D188" s="537"/>
      <c r="E188" s="536"/>
      <c r="G188" s="536"/>
      <c r="H188" s="536"/>
      <c r="J188" s="551">
        <f>_xll.qlCalendarAdvance(Calendar,J187,"1M","f",,Trigger)</f>
        <v>47696</v>
      </c>
      <c r="K188" s="542">
        <f>_xll.qlCalendarAdvance(Calendar,J188,"3M","mf",,Trigger)</f>
        <v>47788</v>
      </c>
      <c r="L188" s="544" t="e">
        <f>_xll.qlMakeDatedOIS(,J188,K188,"eonia",,,,,Trigger)</f>
        <v>#NUM!</v>
      </c>
      <c r="M188" s="543" t="e">
        <f>_xll.qlIndexFixing("euribor3m",_xll.qlInterestRateIndexFixingDate("Euribor3M",J188),TRUE)</f>
        <v>#NUM!</v>
      </c>
      <c r="N188" s="543" t="e">
        <f>_xll.qlOvernightIndexedSwapFairRate(L188,Trigger)</f>
        <v>#VALUE!</v>
      </c>
      <c r="O188" s="545" t="e">
        <f t="shared" si="4"/>
        <v>#NUM!</v>
      </c>
    </row>
    <row r="189" spans="3:15" x14ac:dyDescent="0.2">
      <c r="C189" s="537"/>
      <c r="D189" s="537"/>
      <c r="E189" s="536"/>
      <c r="G189" s="536"/>
      <c r="H189" s="536"/>
      <c r="J189" s="551">
        <f>_xll.qlCalendarAdvance(Calendar,J188,"1M","f",,Trigger)</f>
        <v>47728</v>
      </c>
      <c r="K189" s="542">
        <f>_xll.qlCalendarAdvance(Calendar,J189,"3M","mf",,Trigger)</f>
        <v>47819</v>
      </c>
      <c r="L189" s="544" t="e">
        <f>_xll.qlMakeDatedOIS(,J189,K189,"eonia",,,,,Trigger)</f>
        <v>#NUM!</v>
      </c>
      <c r="M189" s="543" t="e">
        <f>_xll.qlIndexFixing("euribor3m",_xll.qlInterestRateIndexFixingDate("Euribor3M",J189),TRUE)</f>
        <v>#NUM!</v>
      </c>
      <c r="N189" s="543" t="e">
        <f>_xll.qlOvernightIndexedSwapFairRate(L189,Trigger)</f>
        <v>#VALUE!</v>
      </c>
      <c r="O189" s="545" t="e">
        <f t="shared" si="4"/>
        <v>#NUM!</v>
      </c>
    </row>
    <row r="190" spans="3:15" x14ac:dyDescent="0.2">
      <c r="C190" s="537"/>
      <c r="D190" s="537"/>
      <c r="E190" s="536"/>
      <c r="G190" s="536"/>
      <c r="H190" s="536"/>
      <c r="J190" s="551">
        <f>_xll.qlCalendarAdvance(Calendar,J189,"1M","f",,Trigger)</f>
        <v>47758</v>
      </c>
      <c r="K190" s="542">
        <f>_xll.qlCalendarAdvance(Calendar,J190,"3M","mf",,Trigger)</f>
        <v>47850</v>
      </c>
      <c r="L190" s="544" t="e">
        <f>_xll.qlMakeDatedOIS(,J190,K190,"eonia",,,,,Trigger)</f>
        <v>#NUM!</v>
      </c>
      <c r="M190" s="543" t="e">
        <f>_xll.qlIndexFixing("euribor3m",_xll.qlInterestRateIndexFixingDate("Euribor3M",J190),TRUE)</f>
        <v>#NUM!</v>
      </c>
      <c r="N190" s="543" t="e">
        <f>_xll.qlOvernightIndexedSwapFairRate(L190,Trigger)</f>
        <v>#VALUE!</v>
      </c>
      <c r="O190" s="545" t="e">
        <f t="shared" si="4"/>
        <v>#NUM!</v>
      </c>
    </row>
    <row r="191" spans="3:15" x14ac:dyDescent="0.2">
      <c r="C191" s="537"/>
      <c r="D191" s="537"/>
      <c r="E191" s="536"/>
      <c r="G191" s="536"/>
      <c r="H191" s="536"/>
      <c r="J191" s="551">
        <f>_xll.qlCalendarAdvance(Calendar,J190,"1M","f",,Trigger)</f>
        <v>47791</v>
      </c>
      <c r="K191" s="542">
        <f>_xll.qlCalendarAdvance(Calendar,J191,"3M","mf",,Trigger)</f>
        <v>47883</v>
      </c>
      <c r="L191" s="544" t="e">
        <f>_xll.qlMakeDatedOIS(,J191,K191,"eonia",,,,,Trigger)</f>
        <v>#NUM!</v>
      </c>
      <c r="M191" s="543" t="e">
        <f>_xll.qlIndexFixing("euribor3m",_xll.qlInterestRateIndexFixingDate("Euribor3M",J191),TRUE)</f>
        <v>#NUM!</v>
      </c>
      <c r="N191" s="543" t="e">
        <f>_xll.qlOvernightIndexedSwapFairRate(L191,Trigger)</f>
        <v>#VALUE!</v>
      </c>
      <c r="O191" s="545" t="e">
        <f t="shared" si="4"/>
        <v>#NUM!</v>
      </c>
    </row>
    <row r="192" spans="3:15" x14ac:dyDescent="0.2">
      <c r="C192" s="537"/>
      <c r="D192" s="537"/>
      <c r="E192" s="536"/>
      <c r="G192" s="536"/>
      <c r="H192" s="536"/>
      <c r="J192" s="551">
        <f>_xll.qlCalendarAdvance(Calendar,J191,"1M","f",,Trigger)</f>
        <v>47821</v>
      </c>
      <c r="K192" s="542">
        <f>_xll.qlCalendarAdvance(Calendar,J192,"3M","mf",,Trigger)</f>
        <v>47911</v>
      </c>
      <c r="L192" s="544" t="e">
        <f>_xll.qlMakeDatedOIS(,J192,K192,"eonia",,,,,Trigger)</f>
        <v>#NUM!</v>
      </c>
      <c r="M192" s="543" t="e">
        <f>_xll.qlIndexFixing("euribor3m",_xll.qlInterestRateIndexFixingDate("Euribor3M",J192),TRUE)</f>
        <v>#NUM!</v>
      </c>
      <c r="N192" s="543" t="e">
        <f>_xll.qlOvernightIndexedSwapFairRate(L192,Trigger)</f>
        <v>#VALUE!</v>
      </c>
      <c r="O192" s="545" t="e">
        <f t="shared" si="4"/>
        <v>#NUM!</v>
      </c>
    </row>
    <row r="193" spans="3:15" x14ac:dyDescent="0.2">
      <c r="C193" s="537"/>
      <c r="D193" s="537"/>
      <c r="E193" s="536"/>
      <c r="G193" s="536"/>
      <c r="H193" s="536"/>
      <c r="J193" s="551">
        <f>_xll.qlCalendarAdvance(Calendar,J192,"1M","f",,Trigger)</f>
        <v>47854</v>
      </c>
      <c r="K193" s="542">
        <f>_xll.qlCalendarAdvance(Calendar,J193,"3M","mf",,Trigger)</f>
        <v>47945</v>
      </c>
      <c r="L193" s="544" t="e">
        <f>_xll.qlMakeDatedOIS(,J193,K193,"eonia",,,,,Trigger)</f>
        <v>#NUM!</v>
      </c>
      <c r="M193" s="543" t="e">
        <f>_xll.qlIndexFixing("euribor3m",_xll.qlInterestRateIndexFixingDate("Euribor3M",J193),TRUE)</f>
        <v>#NUM!</v>
      </c>
      <c r="N193" s="543" t="e">
        <f>_xll.qlOvernightIndexedSwapFairRate(L193,Trigger)</f>
        <v>#VALUE!</v>
      </c>
      <c r="O193" s="545" t="e">
        <f t="shared" si="4"/>
        <v>#NUM!</v>
      </c>
    </row>
    <row r="194" spans="3:15" x14ac:dyDescent="0.2">
      <c r="C194" s="537"/>
      <c r="D194" s="537"/>
      <c r="E194" s="536"/>
      <c r="G194" s="536"/>
      <c r="H194" s="536"/>
      <c r="J194" s="551">
        <f>_xll.qlCalendarAdvance(Calendar,J193,"1M","f",,Trigger)</f>
        <v>47885</v>
      </c>
      <c r="K194" s="542">
        <f>_xll.qlCalendarAdvance(Calendar,J194,"3M","mf",,Trigger)</f>
        <v>47974</v>
      </c>
      <c r="L194" s="544" t="e">
        <f>_xll.qlMakeDatedOIS(,J194,K194,"eonia",,,,,Trigger)</f>
        <v>#NUM!</v>
      </c>
      <c r="M194" s="543" t="e">
        <f>_xll.qlIndexFixing("euribor3m",_xll.qlInterestRateIndexFixingDate("Euribor3M",J194),TRUE)</f>
        <v>#NUM!</v>
      </c>
      <c r="N194" s="543" t="e">
        <f>_xll.qlOvernightIndexedSwapFairRate(L194,Trigger)</f>
        <v>#VALUE!</v>
      </c>
      <c r="O194" s="545" t="e">
        <f t="shared" si="4"/>
        <v>#NUM!</v>
      </c>
    </row>
    <row r="195" spans="3:15" x14ac:dyDescent="0.2">
      <c r="C195" s="537"/>
      <c r="D195" s="537"/>
      <c r="E195" s="536"/>
      <c r="G195" s="536"/>
      <c r="H195" s="536"/>
      <c r="J195" s="551">
        <f>_xll.qlCalendarAdvance(Calendar,J194,"1M","f",,Trigger)</f>
        <v>47913</v>
      </c>
      <c r="K195" s="542">
        <f>_xll.qlCalendarAdvance(Calendar,J195,"3M","mf",,Trigger)</f>
        <v>48005</v>
      </c>
      <c r="L195" s="544" t="e">
        <f>_xll.qlMakeDatedOIS(,J195,K195,"eonia",,,,,Trigger)</f>
        <v>#NUM!</v>
      </c>
      <c r="M195" s="543" t="e">
        <f>_xll.qlIndexFixing("euribor3m",_xll.qlInterestRateIndexFixingDate("Euribor3M",J195),TRUE)</f>
        <v>#NUM!</v>
      </c>
      <c r="N195" s="543" t="e">
        <f>_xll.qlOvernightIndexedSwapFairRate(L195,Trigger)</f>
        <v>#VALUE!</v>
      </c>
      <c r="O195" s="545" t="e">
        <f t="shared" ref="O195:O258" si="5">M195-N195</f>
        <v>#NUM!</v>
      </c>
    </row>
    <row r="196" spans="3:15" x14ac:dyDescent="0.2">
      <c r="C196" s="537"/>
      <c r="D196" s="537"/>
      <c r="E196" s="536"/>
      <c r="G196" s="536"/>
      <c r="H196" s="536"/>
      <c r="J196" s="551">
        <f>_xll.qlCalendarAdvance(Calendar,J195,"1M","f",,Trigger)</f>
        <v>47945</v>
      </c>
      <c r="K196" s="542">
        <f>_xll.qlCalendarAdvance(Calendar,J196,"3M","mf",,Trigger)</f>
        <v>48036</v>
      </c>
      <c r="L196" s="544" t="e">
        <f>_xll.qlMakeDatedOIS(,J196,K196,"eonia",,,,,Trigger)</f>
        <v>#NUM!</v>
      </c>
      <c r="M196" s="543" t="e">
        <f>_xll.qlIndexFixing("euribor3m",_xll.qlInterestRateIndexFixingDate("Euribor3M",J196),TRUE)</f>
        <v>#NUM!</v>
      </c>
      <c r="N196" s="543" t="e">
        <f>_xll.qlOvernightIndexedSwapFairRate(L196,Trigger)</f>
        <v>#VALUE!</v>
      </c>
      <c r="O196" s="545" t="e">
        <f t="shared" si="5"/>
        <v>#NUM!</v>
      </c>
    </row>
    <row r="197" spans="3:15" x14ac:dyDescent="0.2">
      <c r="C197" s="537"/>
      <c r="D197" s="537"/>
      <c r="E197" s="536"/>
      <c r="G197" s="536"/>
      <c r="H197" s="536"/>
      <c r="J197" s="551">
        <f>_xll.qlCalendarAdvance(Calendar,J196,"1M","f",,Trigger)</f>
        <v>47975</v>
      </c>
      <c r="K197" s="542">
        <f>_xll.qlCalendarAdvance(Calendar,J197,"3M","mf",,Trigger)</f>
        <v>48067</v>
      </c>
      <c r="L197" s="544" t="e">
        <f>_xll.qlMakeDatedOIS(,J197,K197,"eonia",,,,,Trigger)</f>
        <v>#NUM!</v>
      </c>
      <c r="M197" s="543" t="e">
        <f>_xll.qlIndexFixing("euribor3m",_xll.qlInterestRateIndexFixingDate("Euribor3M",J197),TRUE)</f>
        <v>#NUM!</v>
      </c>
      <c r="N197" s="543" t="e">
        <f>_xll.qlOvernightIndexedSwapFairRate(L197,Trigger)</f>
        <v>#VALUE!</v>
      </c>
      <c r="O197" s="545" t="e">
        <f t="shared" si="5"/>
        <v>#NUM!</v>
      </c>
    </row>
    <row r="198" spans="3:15" x14ac:dyDescent="0.2">
      <c r="C198" s="537"/>
      <c r="D198" s="537"/>
      <c r="E198" s="536"/>
      <c r="G198" s="536"/>
      <c r="H198" s="536"/>
      <c r="J198" s="551">
        <f>_xll.qlCalendarAdvance(Calendar,J197,"1M","f",,Trigger)</f>
        <v>48008</v>
      </c>
      <c r="K198" s="542">
        <f>_xll.qlCalendarAdvance(Calendar,J198,"3M","mf",,Trigger)</f>
        <v>48100</v>
      </c>
      <c r="L198" s="544" t="e">
        <f>_xll.qlMakeDatedOIS(,J198,K198,"eonia",,,,,Trigger)</f>
        <v>#NUM!</v>
      </c>
      <c r="M198" s="543" t="e">
        <f>_xll.qlIndexFixing("euribor3m",_xll.qlInterestRateIndexFixingDate("Euribor3M",J198),TRUE)</f>
        <v>#NUM!</v>
      </c>
      <c r="N198" s="543" t="e">
        <f>_xll.qlOvernightIndexedSwapFairRate(L198,Trigger)</f>
        <v>#VALUE!</v>
      </c>
      <c r="O198" s="545" t="e">
        <f t="shared" si="5"/>
        <v>#NUM!</v>
      </c>
    </row>
    <row r="199" spans="3:15" x14ac:dyDescent="0.2">
      <c r="C199" s="537"/>
      <c r="D199" s="537"/>
      <c r="E199" s="536"/>
      <c r="G199" s="536"/>
      <c r="H199" s="536"/>
      <c r="J199" s="551">
        <f>_xll.qlCalendarAdvance(Calendar,J198,"1M","f",,Trigger)</f>
        <v>48038</v>
      </c>
      <c r="K199" s="542">
        <f>_xll.qlCalendarAdvance(Calendar,J199,"3M","mf",,Trigger)</f>
        <v>48130</v>
      </c>
      <c r="L199" s="544" t="e">
        <f>_xll.qlMakeDatedOIS(,J199,K199,"eonia",,,,,Trigger)</f>
        <v>#NUM!</v>
      </c>
      <c r="M199" s="543" t="e">
        <f>_xll.qlIndexFixing("euribor3m",_xll.qlInterestRateIndexFixingDate("Euribor3M",J199),TRUE)</f>
        <v>#NUM!</v>
      </c>
      <c r="N199" s="543" t="e">
        <f>_xll.qlOvernightIndexedSwapFairRate(L199,Trigger)</f>
        <v>#VALUE!</v>
      </c>
      <c r="O199" s="545" t="e">
        <f t="shared" si="5"/>
        <v>#NUM!</v>
      </c>
    </row>
    <row r="200" spans="3:15" x14ac:dyDescent="0.2">
      <c r="C200" s="537"/>
      <c r="D200" s="537"/>
      <c r="E200" s="536"/>
      <c r="G200" s="536"/>
      <c r="H200" s="536"/>
      <c r="J200" s="551">
        <f>_xll.qlCalendarAdvance(Calendar,J199,"1M","f",,Trigger)</f>
        <v>48071</v>
      </c>
      <c r="K200" s="542">
        <f>_xll.qlCalendarAdvance(Calendar,J200,"3M","mf",,Trigger)</f>
        <v>48163</v>
      </c>
      <c r="L200" s="544" t="e">
        <f>_xll.qlMakeDatedOIS(,J200,K200,"eonia",,,,,Trigger)</f>
        <v>#NUM!</v>
      </c>
      <c r="M200" s="543" t="e">
        <f>_xll.qlIndexFixing("euribor3m",_xll.qlInterestRateIndexFixingDate("Euribor3M",J200),TRUE)</f>
        <v>#NUM!</v>
      </c>
      <c r="N200" s="543" t="e">
        <f>_xll.qlOvernightIndexedSwapFairRate(L200,Trigger)</f>
        <v>#VALUE!</v>
      </c>
      <c r="O200" s="545" t="e">
        <f t="shared" si="5"/>
        <v>#NUM!</v>
      </c>
    </row>
    <row r="201" spans="3:15" x14ac:dyDescent="0.2">
      <c r="C201" s="537"/>
      <c r="D201" s="537"/>
      <c r="E201" s="536"/>
      <c r="G201" s="536"/>
      <c r="H201" s="536"/>
      <c r="J201" s="551">
        <f>_xll.qlCalendarAdvance(Calendar,J200,"1M","f",,Trigger)</f>
        <v>48102</v>
      </c>
      <c r="K201" s="542">
        <f>_xll.qlCalendarAdvance(Calendar,J201,"3M","mf",,Trigger)</f>
        <v>48193</v>
      </c>
      <c r="L201" s="544" t="e">
        <f>_xll.qlMakeDatedOIS(,J201,K201,"eonia",,,,,Trigger)</f>
        <v>#NUM!</v>
      </c>
      <c r="M201" s="543" t="e">
        <f>_xll.qlIndexFixing("euribor3m",_xll.qlInterestRateIndexFixingDate("Euribor3M",J201),TRUE)</f>
        <v>#NUM!</v>
      </c>
      <c r="N201" s="543" t="e">
        <f>_xll.qlOvernightIndexedSwapFairRate(L201,Trigger)</f>
        <v>#VALUE!</v>
      </c>
      <c r="O201" s="545" t="e">
        <f t="shared" si="5"/>
        <v>#NUM!</v>
      </c>
    </row>
    <row r="202" spans="3:15" x14ac:dyDescent="0.2">
      <c r="C202" s="537"/>
      <c r="D202" s="537"/>
      <c r="E202" s="536"/>
      <c r="G202" s="536"/>
      <c r="H202" s="536"/>
      <c r="J202" s="551">
        <f>_xll.qlCalendarAdvance(Calendar,J201,"1M","f",,Trigger)</f>
        <v>48134</v>
      </c>
      <c r="K202" s="542">
        <f>_xll.qlCalendarAdvance(Calendar,J202,"3M","mf",,Trigger)</f>
        <v>48226</v>
      </c>
      <c r="L202" s="544" t="e">
        <f>_xll.qlMakeDatedOIS(,J202,K202,"eonia",,,,,Trigger)</f>
        <v>#NUM!</v>
      </c>
      <c r="M202" s="543" t="e">
        <f>_xll.qlIndexFixing("euribor3m",_xll.qlInterestRateIndexFixingDate("Euribor3M",J202),TRUE)</f>
        <v>#NUM!</v>
      </c>
      <c r="N202" s="543" t="e">
        <f>_xll.qlOvernightIndexedSwapFairRate(L202,Trigger)</f>
        <v>#VALUE!</v>
      </c>
      <c r="O202" s="545" t="e">
        <f t="shared" si="5"/>
        <v>#NUM!</v>
      </c>
    </row>
    <row r="203" spans="3:15" x14ac:dyDescent="0.2">
      <c r="C203" s="537"/>
      <c r="D203" s="537"/>
      <c r="E203" s="536"/>
      <c r="G203" s="536"/>
      <c r="H203" s="536"/>
      <c r="J203" s="551">
        <f>_xll.qlCalendarAdvance(Calendar,J202,"1M","f",,Trigger)</f>
        <v>48165</v>
      </c>
      <c r="K203" s="542">
        <f>_xll.qlCalendarAdvance(Calendar,J203,"3M","mf",,Trigger)</f>
        <v>48257</v>
      </c>
      <c r="L203" s="544" t="e">
        <f>_xll.qlMakeDatedOIS(,J203,K203,"eonia",,,,,Trigger)</f>
        <v>#NUM!</v>
      </c>
      <c r="M203" s="543" t="e">
        <f>_xll.qlIndexFixing("euribor3m",_xll.qlInterestRateIndexFixingDate("Euribor3M",J203),TRUE)</f>
        <v>#NUM!</v>
      </c>
      <c r="N203" s="543" t="e">
        <f>_xll.qlOvernightIndexedSwapFairRate(L203,Trigger)</f>
        <v>#VALUE!</v>
      </c>
      <c r="O203" s="545" t="e">
        <f t="shared" si="5"/>
        <v>#NUM!</v>
      </c>
    </row>
    <row r="204" spans="3:15" x14ac:dyDescent="0.2">
      <c r="C204" s="537"/>
      <c r="D204" s="537"/>
      <c r="E204" s="536"/>
      <c r="G204" s="536"/>
      <c r="H204" s="536"/>
      <c r="J204" s="551">
        <f>_xll.qlCalendarAdvance(Calendar,J203,"1M","f",,Trigger)</f>
        <v>48197</v>
      </c>
      <c r="K204" s="542">
        <f>_xll.qlCalendarAdvance(Calendar,J204,"3M","mf",,Trigger)</f>
        <v>48288</v>
      </c>
      <c r="L204" s="544" t="e">
        <f>_xll.qlMakeDatedOIS(,J204,K204,"eonia",,,,,Trigger)</f>
        <v>#NUM!</v>
      </c>
      <c r="M204" s="543" t="e">
        <f>_xll.qlIndexFixing("euribor3m",_xll.qlInterestRateIndexFixingDate("Euribor3M",J204),TRUE)</f>
        <v>#NUM!</v>
      </c>
      <c r="N204" s="543" t="e">
        <f>_xll.qlOvernightIndexedSwapFairRate(L204,Trigger)</f>
        <v>#VALUE!</v>
      </c>
      <c r="O204" s="545" t="e">
        <f t="shared" si="5"/>
        <v>#NUM!</v>
      </c>
    </row>
    <row r="205" spans="3:15" x14ac:dyDescent="0.2">
      <c r="C205" s="537"/>
      <c r="D205" s="537"/>
      <c r="E205" s="536"/>
      <c r="G205" s="536"/>
      <c r="H205" s="536"/>
      <c r="J205" s="551">
        <f>_xll.qlCalendarAdvance(Calendar,J204,"1M","f",,Trigger)</f>
        <v>48228</v>
      </c>
      <c r="K205" s="542">
        <f>_xll.qlCalendarAdvance(Calendar,J205,"3M","mf",,Trigger)</f>
        <v>48319</v>
      </c>
      <c r="L205" s="544" t="e">
        <f>_xll.qlMakeDatedOIS(,J205,K205,"eonia",,,,,Trigger)</f>
        <v>#NUM!</v>
      </c>
      <c r="M205" s="543" t="e">
        <f>_xll.qlIndexFixing("euribor3m",_xll.qlInterestRateIndexFixingDate("Euribor3M",J205),TRUE)</f>
        <v>#NUM!</v>
      </c>
      <c r="N205" s="543" t="e">
        <f>_xll.qlOvernightIndexedSwapFairRate(L205,Trigger)</f>
        <v>#VALUE!</v>
      </c>
      <c r="O205" s="545" t="e">
        <f t="shared" si="5"/>
        <v>#NUM!</v>
      </c>
    </row>
    <row r="206" spans="3:15" x14ac:dyDescent="0.2">
      <c r="C206" s="537"/>
      <c r="D206" s="537"/>
      <c r="E206" s="536"/>
      <c r="G206" s="536"/>
      <c r="H206" s="536"/>
      <c r="J206" s="551">
        <f>_xll.qlCalendarAdvance(Calendar,J205,"1M","f",,Trigger)</f>
        <v>48260</v>
      </c>
      <c r="K206" s="542">
        <f>_xll.qlCalendarAdvance(Calendar,J206,"3M","mf",,Trigger)</f>
        <v>48351</v>
      </c>
      <c r="L206" s="544" t="e">
        <f>_xll.qlMakeDatedOIS(,J206,K206,"eonia",,,,,Trigger)</f>
        <v>#NUM!</v>
      </c>
      <c r="M206" s="543" t="e">
        <f>_xll.qlIndexFixing("euribor3m",_xll.qlInterestRateIndexFixingDate("Euribor3M",J206),TRUE)</f>
        <v>#NUM!</v>
      </c>
      <c r="N206" s="543" t="e">
        <f>_xll.qlOvernightIndexedSwapFairRate(L206,Trigger)</f>
        <v>#VALUE!</v>
      </c>
      <c r="O206" s="545" t="e">
        <f t="shared" si="5"/>
        <v>#NUM!</v>
      </c>
    </row>
    <row r="207" spans="3:15" x14ac:dyDescent="0.2">
      <c r="C207" s="537"/>
      <c r="D207" s="537"/>
      <c r="E207" s="536"/>
      <c r="G207" s="536"/>
      <c r="H207" s="536"/>
      <c r="J207" s="551">
        <f>_xll.qlCalendarAdvance(Calendar,J206,"1M","f",,Trigger)</f>
        <v>48289</v>
      </c>
      <c r="K207" s="542">
        <f>_xll.qlCalendarAdvance(Calendar,J207,"3M","mf",,Trigger)</f>
        <v>48381</v>
      </c>
      <c r="L207" s="544" t="e">
        <f>_xll.qlMakeDatedOIS(,J207,K207,"eonia",,,,,Trigger)</f>
        <v>#NUM!</v>
      </c>
      <c r="M207" s="543" t="e">
        <f>_xll.qlIndexFixing("euribor3m",_xll.qlInterestRateIndexFixingDate("Euribor3M",J207),TRUE)</f>
        <v>#NUM!</v>
      </c>
      <c r="N207" s="543" t="e">
        <f>_xll.qlOvernightIndexedSwapFairRate(L207,Trigger)</f>
        <v>#VALUE!</v>
      </c>
      <c r="O207" s="545" t="e">
        <f t="shared" si="5"/>
        <v>#NUM!</v>
      </c>
    </row>
    <row r="208" spans="3:15" x14ac:dyDescent="0.2">
      <c r="C208" s="537"/>
      <c r="D208" s="537"/>
      <c r="E208" s="536"/>
      <c r="G208" s="536"/>
      <c r="H208" s="536"/>
      <c r="J208" s="551">
        <f>_xll.qlCalendarAdvance(Calendar,J207,"1M","f",,Trigger)</f>
        <v>48320</v>
      </c>
      <c r="K208" s="542">
        <f>_xll.qlCalendarAdvance(Calendar,J208,"3M","mf",,Trigger)</f>
        <v>48411</v>
      </c>
      <c r="L208" s="544" t="e">
        <f>_xll.qlMakeDatedOIS(,J208,K208,"eonia",,,,,Trigger)</f>
        <v>#NUM!</v>
      </c>
      <c r="M208" s="543" t="e">
        <f>_xll.qlIndexFixing("euribor3m",_xll.qlInterestRateIndexFixingDate("Euribor3M",J208),TRUE)</f>
        <v>#NUM!</v>
      </c>
      <c r="N208" s="543" t="e">
        <f>_xll.qlOvernightIndexedSwapFairRate(L208,Trigger)</f>
        <v>#VALUE!</v>
      </c>
      <c r="O208" s="545" t="e">
        <f t="shared" si="5"/>
        <v>#NUM!</v>
      </c>
    </row>
    <row r="209" spans="3:15" x14ac:dyDescent="0.2">
      <c r="C209" s="537"/>
      <c r="D209" s="537"/>
      <c r="E209" s="536"/>
      <c r="G209" s="536"/>
      <c r="H209" s="536"/>
      <c r="J209" s="551">
        <f>_xll.qlCalendarAdvance(Calendar,J208,"1M","f",,Trigger)</f>
        <v>48351</v>
      </c>
      <c r="K209" s="542">
        <f>_xll.qlCalendarAdvance(Calendar,J209,"3M","mf",,Trigger)</f>
        <v>48443</v>
      </c>
      <c r="L209" s="544" t="e">
        <f>_xll.qlMakeDatedOIS(,J209,K209,"eonia",,,,,Trigger)</f>
        <v>#NUM!</v>
      </c>
      <c r="M209" s="543" t="e">
        <f>_xll.qlIndexFixing("euribor3m",_xll.qlInterestRateIndexFixingDate("Euribor3M",J209),TRUE)</f>
        <v>#NUM!</v>
      </c>
      <c r="N209" s="543" t="e">
        <f>_xll.qlOvernightIndexedSwapFairRate(L209,Trigger)</f>
        <v>#VALUE!</v>
      </c>
      <c r="O209" s="545" t="e">
        <f t="shared" si="5"/>
        <v>#NUM!</v>
      </c>
    </row>
    <row r="210" spans="3:15" x14ac:dyDescent="0.2">
      <c r="C210" s="537"/>
      <c r="D210" s="537"/>
      <c r="E210" s="536"/>
      <c r="G210" s="536"/>
      <c r="H210" s="536"/>
      <c r="J210" s="551">
        <f>_xll.qlCalendarAdvance(Calendar,J209,"1M","f",,Trigger)</f>
        <v>48382</v>
      </c>
      <c r="K210" s="542">
        <f>_xll.qlCalendarAdvance(Calendar,J210,"3M","mf",,Trigger)</f>
        <v>48474</v>
      </c>
      <c r="L210" s="544" t="e">
        <f>_xll.qlMakeDatedOIS(,J210,K210,"eonia",,,,,Trigger)</f>
        <v>#NUM!</v>
      </c>
      <c r="M210" s="543" t="e">
        <f>_xll.qlIndexFixing("euribor3m",_xll.qlInterestRateIndexFixingDate("Euribor3M",J210),TRUE)</f>
        <v>#NUM!</v>
      </c>
      <c r="N210" s="543" t="e">
        <f>_xll.qlOvernightIndexedSwapFairRate(L210,Trigger)</f>
        <v>#VALUE!</v>
      </c>
      <c r="O210" s="545" t="e">
        <f t="shared" si="5"/>
        <v>#NUM!</v>
      </c>
    </row>
    <row r="211" spans="3:15" x14ac:dyDescent="0.2">
      <c r="C211" s="537"/>
      <c r="D211" s="537"/>
      <c r="E211" s="536"/>
      <c r="G211" s="536"/>
      <c r="H211" s="536"/>
      <c r="J211" s="551">
        <f>_xll.qlCalendarAdvance(Calendar,J210,"1M","f",,Trigger)</f>
        <v>48414</v>
      </c>
      <c r="K211" s="542">
        <f>_xll.qlCalendarAdvance(Calendar,J211,"3M","mf",,Trigger)</f>
        <v>48506</v>
      </c>
      <c r="L211" s="544" t="e">
        <f>_xll.qlMakeDatedOIS(,J211,K211,"eonia",,,,,Trigger)</f>
        <v>#NUM!</v>
      </c>
      <c r="M211" s="543" t="e">
        <f>_xll.qlIndexFixing("euribor3m",_xll.qlInterestRateIndexFixingDate("Euribor3M",J211),TRUE)</f>
        <v>#NUM!</v>
      </c>
      <c r="N211" s="543" t="e">
        <f>_xll.qlOvernightIndexedSwapFairRate(L211,Trigger)</f>
        <v>#VALUE!</v>
      </c>
      <c r="O211" s="545" t="e">
        <f t="shared" si="5"/>
        <v>#NUM!</v>
      </c>
    </row>
    <row r="212" spans="3:15" x14ac:dyDescent="0.2">
      <c r="C212" s="537"/>
      <c r="D212" s="537"/>
      <c r="E212" s="536"/>
      <c r="G212" s="536"/>
      <c r="H212" s="536"/>
      <c r="J212" s="551">
        <f>_xll.qlCalendarAdvance(Calendar,J211,"1M","f",,Trigger)</f>
        <v>48445</v>
      </c>
      <c r="K212" s="542">
        <f>_xll.qlCalendarAdvance(Calendar,J212,"3M","mf",,Trigger)</f>
        <v>48537</v>
      </c>
      <c r="L212" s="544" t="e">
        <f>_xll.qlMakeDatedOIS(,J212,K212,"eonia",,,,,Trigger)</f>
        <v>#NUM!</v>
      </c>
      <c r="M212" s="543" t="e">
        <f>_xll.qlIndexFixing("euribor3m",_xll.qlInterestRateIndexFixingDate("Euribor3M",J212),TRUE)</f>
        <v>#NUM!</v>
      </c>
      <c r="N212" s="543" t="e">
        <f>_xll.qlOvernightIndexedSwapFairRate(L212,Trigger)</f>
        <v>#VALUE!</v>
      </c>
      <c r="O212" s="545" t="e">
        <f t="shared" si="5"/>
        <v>#NUM!</v>
      </c>
    </row>
    <row r="213" spans="3:15" x14ac:dyDescent="0.2">
      <c r="C213" s="537"/>
      <c r="D213" s="537"/>
      <c r="E213" s="536"/>
      <c r="G213" s="536"/>
      <c r="H213" s="536"/>
      <c r="J213" s="551">
        <f>_xll.qlCalendarAdvance(Calendar,J212,"1M","f",,Trigger)</f>
        <v>48477</v>
      </c>
      <c r="K213" s="542">
        <f>_xll.qlCalendarAdvance(Calendar,J213,"3M","mf",,Trigger)</f>
        <v>48568</v>
      </c>
      <c r="L213" s="544" t="e">
        <f>_xll.qlMakeDatedOIS(,J213,K213,"eonia",,,,,Trigger)</f>
        <v>#NUM!</v>
      </c>
      <c r="M213" s="543" t="e">
        <f>_xll.qlIndexFixing("euribor3m",_xll.qlInterestRateIndexFixingDate("Euribor3M",J213),TRUE)</f>
        <v>#NUM!</v>
      </c>
      <c r="N213" s="543" t="e">
        <f>_xll.qlOvernightIndexedSwapFairRate(L213,Trigger)</f>
        <v>#VALUE!</v>
      </c>
      <c r="O213" s="545" t="e">
        <f t="shared" si="5"/>
        <v>#NUM!</v>
      </c>
    </row>
    <row r="214" spans="3:15" x14ac:dyDescent="0.2">
      <c r="C214" s="537"/>
      <c r="D214" s="537"/>
      <c r="E214" s="536"/>
      <c r="G214" s="536"/>
      <c r="H214" s="536"/>
      <c r="J214" s="551">
        <f>_xll.qlCalendarAdvance(Calendar,J213,"1M","f",,Trigger)</f>
        <v>48507</v>
      </c>
      <c r="K214" s="542">
        <f>_xll.qlCalendarAdvance(Calendar,J214,"3M","mf",,Trigger)</f>
        <v>48599</v>
      </c>
      <c r="L214" s="544" t="e">
        <f>_xll.qlMakeDatedOIS(,J214,K214,"eonia",,,,,Trigger)</f>
        <v>#NUM!</v>
      </c>
      <c r="M214" s="543" t="e">
        <f>_xll.qlIndexFixing("euribor3m",_xll.qlInterestRateIndexFixingDate("Euribor3M",J214),TRUE)</f>
        <v>#NUM!</v>
      </c>
      <c r="N214" s="543" t="e">
        <f>_xll.qlOvernightIndexedSwapFairRate(L214,Trigger)</f>
        <v>#VALUE!</v>
      </c>
      <c r="O214" s="545" t="e">
        <f t="shared" si="5"/>
        <v>#NUM!</v>
      </c>
    </row>
    <row r="215" spans="3:15" x14ac:dyDescent="0.2">
      <c r="C215" s="537"/>
      <c r="D215" s="537"/>
      <c r="E215" s="536"/>
      <c r="G215" s="536"/>
      <c r="H215" s="536"/>
      <c r="J215" s="551">
        <f>_xll.qlCalendarAdvance(Calendar,J214,"1M","f",,Trigger)</f>
        <v>48540</v>
      </c>
      <c r="K215" s="542">
        <f>_xll.qlCalendarAdvance(Calendar,J215,"3M","mf",,Trigger)</f>
        <v>48632</v>
      </c>
      <c r="L215" s="544" t="e">
        <f>_xll.qlMakeDatedOIS(,J215,K215,"eonia",,,,,Trigger)</f>
        <v>#NUM!</v>
      </c>
      <c r="M215" s="543" t="e">
        <f>_xll.qlIndexFixing("euribor3m",_xll.qlInterestRateIndexFixingDate("Euribor3M",J215),TRUE)</f>
        <v>#NUM!</v>
      </c>
      <c r="N215" s="543" t="e">
        <f>_xll.qlOvernightIndexedSwapFairRate(L215,Trigger)</f>
        <v>#VALUE!</v>
      </c>
      <c r="O215" s="545" t="e">
        <f t="shared" si="5"/>
        <v>#NUM!</v>
      </c>
    </row>
    <row r="216" spans="3:15" x14ac:dyDescent="0.2">
      <c r="C216" s="537"/>
      <c r="D216" s="537"/>
      <c r="E216" s="536"/>
      <c r="G216" s="536"/>
      <c r="H216" s="536"/>
      <c r="J216" s="551">
        <f>_xll.qlCalendarAdvance(Calendar,J215,"1M","f",,Trigger)</f>
        <v>48570</v>
      </c>
      <c r="K216" s="542">
        <f>_xll.qlCalendarAdvance(Calendar,J216,"3M","mf",,Trigger)</f>
        <v>48660</v>
      </c>
      <c r="L216" s="544" t="e">
        <f>_xll.qlMakeDatedOIS(,J216,K216,"eonia",,,,,Trigger)</f>
        <v>#NUM!</v>
      </c>
      <c r="M216" s="543" t="e">
        <f>_xll.qlIndexFixing("euribor3m",_xll.qlInterestRateIndexFixingDate("Euribor3M",J216),TRUE)</f>
        <v>#NUM!</v>
      </c>
      <c r="N216" s="543" t="e">
        <f>_xll.qlOvernightIndexedSwapFairRate(L216,Trigger)</f>
        <v>#VALUE!</v>
      </c>
      <c r="O216" s="545" t="e">
        <f t="shared" si="5"/>
        <v>#NUM!</v>
      </c>
    </row>
    <row r="217" spans="3:15" x14ac:dyDescent="0.2">
      <c r="C217" s="537"/>
      <c r="D217" s="537"/>
      <c r="E217" s="536"/>
      <c r="G217" s="536"/>
      <c r="H217" s="536"/>
      <c r="J217" s="551">
        <f>_xll.qlCalendarAdvance(Calendar,J216,"1M","f",,Trigger)</f>
        <v>48603</v>
      </c>
      <c r="K217" s="542">
        <f>_xll.qlCalendarAdvance(Calendar,J217,"3M","mf",,Trigger)</f>
        <v>48694</v>
      </c>
      <c r="L217" s="544" t="e">
        <f>_xll.qlMakeDatedOIS(,J217,K217,"eonia",,,,,Trigger)</f>
        <v>#NUM!</v>
      </c>
      <c r="M217" s="543" t="e">
        <f>_xll.qlIndexFixing("euribor3m",_xll.qlInterestRateIndexFixingDate("Euribor3M",J217),TRUE)</f>
        <v>#NUM!</v>
      </c>
      <c r="N217" s="543" t="e">
        <f>_xll.qlOvernightIndexedSwapFairRate(L217,Trigger)</f>
        <v>#VALUE!</v>
      </c>
      <c r="O217" s="545" t="e">
        <f t="shared" si="5"/>
        <v>#NUM!</v>
      </c>
    </row>
    <row r="218" spans="3:15" x14ac:dyDescent="0.2">
      <c r="C218" s="537"/>
      <c r="D218" s="537"/>
      <c r="E218" s="536"/>
      <c r="G218" s="536"/>
      <c r="H218" s="536"/>
      <c r="J218" s="551">
        <f>_xll.qlCalendarAdvance(Calendar,J217,"1M","f",,Trigger)</f>
        <v>48634</v>
      </c>
      <c r="K218" s="542">
        <f>_xll.qlCalendarAdvance(Calendar,J218,"3M","mf",,Trigger)</f>
        <v>48723</v>
      </c>
      <c r="L218" s="544" t="e">
        <f>_xll.qlMakeDatedOIS(,J218,K218,"eonia",,,,,Trigger)</f>
        <v>#NUM!</v>
      </c>
      <c r="M218" s="543" t="e">
        <f>_xll.qlIndexFixing("euribor3m",_xll.qlInterestRateIndexFixingDate("Euribor3M",J218),TRUE)</f>
        <v>#NUM!</v>
      </c>
      <c r="N218" s="543" t="e">
        <f>_xll.qlOvernightIndexedSwapFairRate(L218,Trigger)</f>
        <v>#VALUE!</v>
      </c>
      <c r="O218" s="545" t="e">
        <f t="shared" si="5"/>
        <v>#NUM!</v>
      </c>
    </row>
    <row r="219" spans="3:15" x14ac:dyDescent="0.2">
      <c r="C219" s="537"/>
      <c r="D219" s="537"/>
      <c r="E219" s="536"/>
      <c r="G219" s="536"/>
      <c r="H219" s="536"/>
      <c r="J219" s="551">
        <f>_xll.qlCalendarAdvance(Calendar,J218,"1M","f",,Trigger)</f>
        <v>48662</v>
      </c>
      <c r="K219" s="542">
        <f>_xll.qlCalendarAdvance(Calendar,J219,"3M","mf",,Trigger)</f>
        <v>48754</v>
      </c>
      <c r="L219" s="544" t="e">
        <f>_xll.qlMakeDatedOIS(,J219,K219,"eonia",,,,,Trigger)</f>
        <v>#NUM!</v>
      </c>
      <c r="M219" s="543" t="e">
        <f>_xll.qlIndexFixing("euribor3m",_xll.qlInterestRateIndexFixingDate("Euribor3M",J219),TRUE)</f>
        <v>#NUM!</v>
      </c>
      <c r="N219" s="543" t="e">
        <f>_xll.qlOvernightIndexedSwapFairRate(L219,Trigger)</f>
        <v>#VALUE!</v>
      </c>
      <c r="O219" s="545" t="e">
        <f t="shared" si="5"/>
        <v>#NUM!</v>
      </c>
    </row>
    <row r="220" spans="3:15" x14ac:dyDescent="0.2">
      <c r="C220" s="537"/>
      <c r="D220" s="537"/>
      <c r="E220" s="536"/>
      <c r="G220" s="536"/>
      <c r="H220" s="536"/>
      <c r="J220" s="551">
        <f>_xll.qlCalendarAdvance(Calendar,J219,"1M","f",,Trigger)</f>
        <v>48694</v>
      </c>
      <c r="K220" s="542">
        <f>_xll.qlCalendarAdvance(Calendar,J220,"3M","mf",,Trigger)</f>
        <v>48785</v>
      </c>
      <c r="L220" s="544" t="e">
        <f>_xll.qlMakeDatedOIS(,J220,K220,"eonia",,,,,Trigger)</f>
        <v>#NUM!</v>
      </c>
      <c r="M220" s="543" t="e">
        <f>_xll.qlIndexFixing("euribor3m",_xll.qlInterestRateIndexFixingDate("Euribor3M",J220),TRUE)</f>
        <v>#NUM!</v>
      </c>
      <c r="N220" s="543" t="e">
        <f>_xll.qlOvernightIndexedSwapFairRate(L220,Trigger)</f>
        <v>#VALUE!</v>
      </c>
      <c r="O220" s="545" t="e">
        <f t="shared" si="5"/>
        <v>#NUM!</v>
      </c>
    </row>
    <row r="221" spans="3:15" x14ac:dyDescent="0.2">
      <c r="C221" s="537"/>
      <c r="D221" s="537"/>
      <c r="E221" s="536"/>
      <c r="G221" s="536"/>
      <c r="H221" s="536"/>
      <c r="J221" s="551">
        <f>_xll.qlCalendarAdvance(Calendar,J220,"1M","f",,Trigger)</f>
        <v>48724</v>
      </c>
      <c r="K221" s="542">
        <f>_xll.qlCalendarAdvance(Calendar,J221,"3M","mf",,Trigger)</f>
        <v>48816</v>
      </c>
      <c r="L221" s="544" t="e">
        <f>_xll.qlMakeDatedOIS(,J221,K221,"eonia",,,,,Trigger)</f>
        <v>#NUM!</v>
      </c>
      <c r="M221" s="543" t="e">
        <f>_xll.qlIndexFixing("euribor3m",_xll.qlInterestRateIndexFixingDate("Euribor3M",J221),TRUE)</f>
        <v>#NUM!</v>
      </c>
      <c r="N221" s="543" t="e">
        <f>_xll.qlOvernightIndexedSwapFairRate(L221,Trigger)</f>
        <v>#VALUE!</v>
      </c>
      <c r="O221" s="545" t="e">
        <f t="shared" si="5"/>
        <v>#NUM!</v>
      </c>
    </row>
    <row r="222" spans="3:15" x14ac:dyDescent="0.2">
      <c r="C222" s="537"/>
      <c r="D222" s="537"/>
      <c r="E222" s="536"/>
      <c r="G222" s="536"/>
      <c r="H222" s="536"/>
      <c r="J222" s="551">
        <f>_xll.qlCalendarAdvance(Calendar,J221,"1M","f",,Trigger)</f>
        <v>48757</v>
      </c>
      <c r="K222" s="542">
        <f>_xll.qlCalendarAdvance(Calendar,J222,"3M","mf",,Trigger)</f>
        <v>48849</v>
      </c>
      <c r="L222" s="544" t="e">
        <f>_xll.qlMakeDatedOIS(,J222,K222,"eonia",,,,,Trigger)</f>
        <v>#NUM!</v>
      </c>
      <c r="M222" s="543" t="e">
        <f>_xll.qlIndexFixing("euribor3m",_xll.qlInterestRateIndexFixingDate("Euribor3M",J222),TRUE)</f>
        <v>#NUM!</v>
      </c>
      <c r="N222" s="543" t="e">
        <f>_xll.qlOvernightIndexedSwapFairRate(L222,Trigger)</f>
        <v>#VALUE!</v>
      </c>
      <c r="O222" s="545" t="e">
        <f t="shared" si="5"/>
        <v>#NUM!</v>
      </c>
    </row>
    <row r="223" spans="3:15" x14ac:dyDescent="0.2">
      <c r="C223" s="537"/>
      <c r="D223" s="537"/>
      <c r="E223" s="536"/>
      <c r="G223" s="536"/>
      <c r="H223" s="536"/>
      <c r="J223" s="551">
        <f>_xll.qlCalendarAdvance(Calendar,J222,"1M","f",,Trigger)</f>
        <v>48787</v>
      </c>
      <c r="K223" s="542">
        <f>_xll.qlCalendarAdvance(Calendar,J223,"3M","mf",,Trigger)</f>
        <v>48879</v>
      </c>
      <c r="L223" s="544" t="e">
        <f>_xll.qlMakeDatedOIS(,J223,K223,"eonia",,,,,Trigger)</f>
        <v>#NUM!</v>
      </c>
      <c r="M223" s="543" t="e">
        <f>_xll.qlIndexFixing("euribor3m",_xll.qlInterestRateIndexFixingDate("Euribor3M",J223),TRUE)</f>
        <v>#NUM!</v>
      </c>
      <c r="N223" s="543" t="e">
        <f>_xll.qlOvernightIndexedSwapFairRate(L223,Trigger)</f>
        <v>#VALUE!</v>
      </c>
      <c r="O223" s="545" t="e">
        <f t="shared" si="5"/>
        <v>#NUM!</v>
      </c>
    </row>
    <row r="224" spans="3:15" x14ac:dyDescent="0.2">
      <c r="C224" s="537"/>
      <c r="D224" s="537"/>
      <c r="E224" s="536"/>
      <c r="G224" s="536"/>
      <c r="H224" s="536"/>
      <c r="J224" s="551">
        <f>_xll.qlCalendarAdvance(Calendar,J223,"1M","f",,Trigger)</f>
        <v>48820</v>
      </c>
      <c r="K224" s="542">
        <f>_xll.qlCalendarAdvance(Calendar,J224,"3M","mf",,Trigger)</f>
        <v>48912</v>
      </c>
      <c r="L224" s="544" t="e">
        <f>_xll.qlMakeDatedOIS(,J224,K224,"eonia",,,,,Trigger)</f>
        <v>#NUM!</v>
      </c>
      <c r="M224" s="543" t="e">
        <f>_xll.qlIndexFixing("euribor3m",_xll.qlInterestRateIndexFixingDate("Euribor3M",J224),TRUE)</f>
        <v>#NUM!</v>
      </c>
      <c r="N224" s="543" t="e">
        <f>_xll.qlOvernightIndexedSwapFairRate(L224,Trigger)</f>
        <v>#VALUE!</v>
      </c>
      <c r="O224" s="545" t="e">
        <f t="shared" si="5"/>
        <v>#NUM!</v>
      </c>
    </row>
    <row r="225" spans="3:15" x14ac:dyDescent="0.2">
      <c r="C225" s="537"/>
      <c r="D225" s="537"/>
      <c r="E225" s="536"/>
      <c r="G225" s="536"/>
      <c r="H225" s="536"/>
      <c r="J225" s="551">
        <f>_xll.qlCalendarAdvance(Calendar,J224,"1M","f",,Trigger)</f>
        <v>48851</v>
      </c>
      <c r="K225" s="542">
        <f>_xll.qlCalendarAdvance(Calendar,J225,"3M","mf",,Trigger)</f>
        <v>48942</v>
      </c>
      <c r="L225" s="544" t="e">
        <f>_xll.qlMakeDatedOIS(,J225,K225,"eonia",,,,,Trigger)</f>
        <v>#NUM!</v>
      </c>
      <c r="M225" s="543" t="e">
        <f>_xll.qlIndexFixing("euribor3m",_xll.qlInterestRateIndexFixingDate("Euribor3M",J225),TRUE)</f>
        <v>#NUM!</v>
      </c>
      <c r="N225" s="543" t="e">
        <f>_xll.qlOvernightIndexedSwapFairRate(L225,Trigger)</f>
        <v>#VALUE!</v>
      </c>
      <c r="O225" s="545" t="e">
        <f t="shared" si="5"/>
        <v>#NUM!</v>
      </c>
    </row>
    <row r="226" spans="3:15" x14ac:dyDescent="0.2">
      <c r="C226" s="537"/>
      <c r="D226" s="537"/>
      <c r="E226" s="536"/>
      <c r="G226" s="536"/>
      <c r="H226" s="536"/>
      <c r="J226" s="551">
        <f>_xll.qlCalendarAdvance(Calendar,J225,"1M","f",,Trigger)</f>
        <v>48883</v>
      </c>
      <c r="K226" s="542">
        <f>_xll.qlCalendarAdvance(Calendar,J226,"3M","mf",,Trigger)</f>
        <v>48975</v>
      </c>
      <c r="L226" s="544" t="e">
        <f>_xll.qlMakeDatedOIS(,J226,K226,"eonia",,,,,Trigger)</f>
        <v>#NUM!</v>
      </c>
      <c r="M226" s="543" t="e">
        <f>_xll.qlIndexFixing("euribor3m",_xll.qlInterestRateIndexFixingDate("Euribor3M",J226),TRUE)</f>
        <v>#NUM!</v>
      </c>
      <c r="N226" s="543" t="e">
        <f>_xll.qlOvernightIndexedSwapFairRate(L226,Trigger)</f>
        <v>#VALUE!</v>
      </c>
      <c r="O226" s="545" t="e">
        <f t="shared" si="5"/>
        <v>#NUM!</v>
      </c>
    </row>
    <row r="227" spans="3:15" x14ac:dyDescent="0.2">
      <c r="C227" s="537"/>
      <c r="D227" s="537"/>
      <c r="E227" s="536"/>
      <c r="G227" s="536"/>
      <c r="H227" s="536"/>
      <c r="J227" s="551">
        <f>_xll.qlCalendarAdvance(Calendar,J226,"1M","f",,Trigger)</f>
        <v>48913</v>
      </c>
      <c r="K227" s="542">
        <f>_xll.qlCalendarAdvance(Calendar,J227,"3M","mf",,Trigger)</f>
        <v>49003</v>
      </c>
      <c r="L227" s="544" t="e">
        <f>_xll.qlMakeDatedOIS(,J227,K227,"eonia",,,,,Trigger)</f>
        <v>#NUM!</v>
      </c>
      <c r="M227" s="543" t="e">
        <f>_xll.qlIndexFixing("euribor3m",_xll.qlInterestRateIndexFixingDate("Euribor3M",J227),TRUE)</f>
        <v>#NUM!</v>
      </c>
      <c r="N227" s="543" t="e">
        <f>_xll.qlOvernightIndexedSwapFairRate(L227,Trigger)</f>
        <v>#VALUE!</v>
      </c>
      <c r="O227" s="545" t="e">
        <f t="shared" si="5"/>
        <v>#NUM!</v>
      </c>
    </row>
    <row r="228" spans="3:15" x14ac:dyDescent="0.2">
      <c r="C228" s="537"/>
      <c r="D228" s="537"/>
      <c r="E228" s="536"/>
      <c r="G228" s="536"/>
      <c r="H228" s="536"/>
      <c r="J228" s="551">
        <f>_xll.qlCalendarAdvance(Calendar,J227,"1M","f",,Trigger)</f>
        <v>48943</v>
      </c>
      <c r="K228" s="542">
        <f>_xll.qlCalendarAdvance(Calendar,J228,"3M","mf",,Trigger)</f>
        <v>49033</v>
      </c>
      <c r="L228" s="544" t="e">
        <f>_xll.qlMakeDatedOIS(,J228,K228,"eonia",,,,,Trigger)</f>
        <v>#NUM!</v>
      </c>
      <c r="M228" s="543" t="e">
        <f>_xll.qlIndexFixing("euribor3m",_xll.qlInterestRateIndexFixingDate("Euribor3M",J228),TRUE)</f>
        <v>#NUM!</v>
      </c>
      <c r="N228" s="543" t="e">
        <f>_xll.qlOvernightIndexedSwapFairRate(L228,Trigger)</f>
        <v>#VALUE!</v>
      </c>
      <c r="O228" s="545" t="e">
        <f t="shared" si="5"/>
        <v>#NUM!</v>
      </c>
    </row>
    <row r="229" spans="3:15" x14ac:dyDescent="0.2">
      <c r="C229" s="537"/>
      <c r="D229" s="537"/>
      <c r="E229" s="536"/>
      <c r="G229" s="536"/>
      <c r="H229" s="536"/>
      <c r="J229" s="551">
        <f>_xll.qlCalendarAdvance(Calendar,J228,"1M","f",,Trigger)</f>
        <v>48974</v>
      </c>
      <c r="K229" s="542">
        <f>_xll.qlCalendarAdvance(Calendar,J229,"3M","mf",,Trigger)</f>
        <v>49062</v>
      </c>
      <c r="L229" s="544" t="e">
        <f>_xll.qlMakeDatedOIS(,J229,K229,"eonia",,,,,Trigger)</f>
        <v>#NUM!</v>
      </c>
      <c r="M229" s="543" t="e">
        <f>_xll.qlIndexFixing("euribor3m",_xll.qlInterestRateIndexFixingDate("Euribor3M",J229),TRUE)</f>
        <v>#NUM!</v>
      </c>
      <c r="N229" s="543" t="e">
        <f>_xll.qlOvernightIndexedSwapFairRate(L229,Trigger)</f>
        <v>#VALUE!</v>
      </c>
      <c r="O229" s="545" t="e">
        <f t="shared" si="5"/>
        <v>#NUM!</v>
      </c>
    </row>
    <row r="230" spans="3:15" x14ac:dyDescent="0.2">
      <c r="C230" s="537"/>
      <c r="D230" s="537"/>
      <c r="E230" s="536"/>
      <c r="G230" s="536"/>
      <c r="H230" s="536"/>
      <c r="J230" s="551">
        <f>_xll.qlCalendarAdvance(Calendar,J229,"1M","f",,Trigger)</f>
        <v>49003</v>
      </c>
      <c r="K230" s="542">
        <f>_xll.qlCalendarAdvance(Calendar,J230,"3M","mf",,Trigger)</f>
        <v>49093</v>
      </c>
      <c r="L230" s="544" t="e">
        <f>_xll.qlMakeDatedOIS(,J230,K230,"eonia",,,,,Trigger)</f>
        <v>#NUM!</v>
      </c>
      <c r="M230" s="543" t="e">
        <f>_xll.qlIndexFixing("euribor3m",_xll.qlInterestRateIndexFixingDate("Euribor3M",J230),TRUE)</f>
        <v>#NUM!</v>
      </c>
      <c r="N230" s="543" t="e">
        <f>_xll.qlOvernightIndexedSwapFairRate(L230,Trigger)</f>
        <v>#VALUE!</v>
      </c>
      <c r="O230" s="545" t="e">
        <f t="shared" si="5"/>
        <v>#NUM!</v>
      </c>
    </row>
    <row r="231" spans="3:15" x14ac:dyDescent="0.2">
      <c r="C231" s="537"/>
      <c r="D231" s="537"/>
      <c r="E231" s="536"/>
      <c r="G231" s="536"/>
      <c r="H231" s="536"/>
      <c r="J231" s="551">
        <f>_xll.qlCalendarAdvance(Calendar,J230,"1M","f",,Trigger)</f>
        <v>49031</v>
      </c>
      <c r="K231" s="542">
        <f>_xll.qlCalendarAdvance(Calendar,J231,"3M","mf",,Trigger)</f>
        <v>49123</v>
      </c>
      <c r="L231" s="544" t="e">
        <f>_xll.qlMakeDatedOIS(,J231,K231,"eonia",,,,,Trigger)</f>
        <v>#NUM!</v>
      </c>
      <c r="M231" s="543" t="e">
        <f>_xll.qlIndexFixing("euribor3m",_xll.qlInterestRateIndexFixingDate("Euribor3M",J231),TRUE)</f>
        <v>#NUM!</v>
      </c>
      <c r="N231" s="543" t="e">
        <f>_xll.qlOvernightIndexedSwapFairRate(L231,Trigger)</f>
        <v>#VALUE!</v>
      </c>
      <c r="O231" s="545" t="e">
        <f t="shared" si="5"/>
        <v>#NUM!</v>
      </c>
    </row>
    <row r="232" spans="3:15" x14ac:dyDescent="0.2">
      <c r="C232" s="537"/>
      <c r="D232" s="537"/>
      <c r="E232" s="536"/>
      <c r="G232" s="536"/>
      <c r="H232" s="536"/>
      <c r="J232" s="551">
        <f>_xll.qlCalendarAdvance(Calendar,J231,"1M","f",,Trigger)</f>
        <v>49062</v>
      </c>
      <c r="K232" s="542">
        <f>_xll.qlCalendarAdvance(Calendar,J232,"3M","mf",,Trigger)</f>
        <v>49153</v>
      </c>
      <c r="L232" s="544" t="e">
        <f>_xll.qlMakeDatedOIS(,J232,K232,"eonia",,,,,Trigger)</f>
        <v>#NUM!</v>
      </c>
      <c r="M232" s="543" t="e">
        <f>_xll.qlIndexFixing("euribor3m",_xll.qlInterestRateIndexFixingDate("Euribor3M",J232),TRUE)</f>
        <v>#NUM!</v>
      </c>
      <c r="N232" s="543" t="e">
        <f>_xll.qlOvernightIndexedSwapFairRate(L232,Trigger)</f>
        <v>#VALUE!</v>
      </c>
      <c r="O232" s="545" t="e">
        <f t="shared" si="5"/>
        <v>#NUM!</v>
      </c>
    </row>
    <row r="233" spans="3:15" x14ac:dyDescent="0.2">
      <c r="C233" s="537"/>
      <c r="D233" s="537"/>
      <c r="E233" s="536"/>
      <c r="G233" s="536"/>
      <c r="H233" s="536"/>
      <c r="J233" s="551">
        <f>_xll.qlCalendarAdvance(Calendar,J232,"1M","f",,Trigger)</f>
        <v>49093</v>
      </c>
      <c r="K233" s="542">
        <f>_xll.qlCalendarAdvance(Calendar,J233,"3M","mf",,Trigger)</f>
        <v>49185</v>
      </c>
      <c r="L233" s="544" t="e">
        <f>_xll.qlMakeDatedOIS(,J233,K233,"eonia",,,,,Trigger)</f>
        <v>#NUM!</v>
      </c>
      <c r="M233" s="543" t="e">
        <f>_xll.qlIndexFixing("euribor3m",_xll.qlInterestRateIndexFixingDate("Euribor3M",J233),TRUE)</f>
        <v>#NUM!</v>
      </c>
      <c r="N233" s="543" t="e">
        <f>_xll.qlOvernightIndexedSwapFairRate(L233,Trigger)</f>
        <v>#VALUE!</v>
      </c>
      <c r="O233" s="545" t="e">
        <f t="shared" si="5"/>
        <v>#NUM!</v>
      </c>
    </row>
    <row r="234" spans="3:15" x14ac:dyDescent="0.2">
      <c r="C234" s="537"/>
      <c r="D234" s="537"/>
      <c r="E234" s="536"/>
      <c r="G234" s="536"/>
      <c r="H234" s="536"/>
      <c r="J234" s="551">
        <f>_xll.qlCalendarAdvance(Calendar,J233,"1M","f",,Trigger)</f>
        <v>49124</v>
      </c>
      <c r="K234" s="542">
        <f>_xll.qlCalendarAdvance(Calendar,J234,"3M","mf",,Trigger)</f>
        <v>49216</v>
      </c>
      <c r="L234" s="544" t="e">
        <f>_xll.qlMakeDatedOIS(,J234,K234,"eonia",,,,,Trigger)</f>
        <v>#NUM!</v>
      </c>
      <c r="M234" s="543" t="e">
        <f>_xll.qlIndexFixing("euribor3m",_xll.qlInterestRateIndexFixingDate("Euribor3M",J234),TRUE)</f>
        <v>#NUM!</v>
      </c>
      <c r="N234" s="543" t="e">
        <f>_xll.qlOvernightIndexedSwapFairRate(L234,Trigger)</f>
        <v>#VALUE!</v>
      </c>
      <c r="O234" s="545" t="e">
        <f t="shared" si="5"/>
        <v>#NUM!</v>
      </c>
    </row>
    <row r="235" spans="3:15" x14ac:dyDescent="0.2">
      <c r="C235" s="537"/>
      <c r="D235" s="537"/>
      <c r="E235" s="536"/>
      <c r="G235" s="536"/>
      <c r="H235" s="536"/>
      <c r="J235" s="551">
        <f>_xll.qlCalendarAdvance(Calendar,J234,"1M","f",,Trigger)</f>
        <v>49156</v>
      </c>
      <c r="K235" s="542">
        <f>_xll.qlCalendarAdvance(Calendar,J235,"3M","mf",,Trigger)</f>
        <v>49248</v>
      </c>
      <c r="L235" s="544" t="e">
        <f>_xll.qlMakeDatedOIS(,J235,K235,"eonia",,,,,Trigger)</f>
        <v>#NUM!</v>
      </c>
      <c r="M235" s="543" t="e">
        <f>_xll.qlIndexFixing("euribor3m",_xll.qlInterestRateIndexFixingDate("Euribor3M",J235),TRUE)</f>
        <v>#NUM!</v>
      </c>
      <c r="N235" s="543" t="e">
        <f>_xll.qlOvernightIndexedSwapFairRate(L235,Trigger)</f>
        <v>#VALUE!</v>
      </c>
      <c r="O235" s="545" t="e">
        <f t="shared" si="5"/>
        <v>#NUM!</v>
      </c>
    </row>
    <row r="236" spans="3:15" x14ac:dyDescent="0.2">
      <c r="C236" s="537"/>
      <c r="D236" s="537"/>
      <c r="E236" s="536"/>
      <c r="G236" s="536"/>
      <c r="H236" s="536"/>
      <c r="J236" s="551">
        <f>_xll.qlCalendarAdvance(Calendar,J235,"1M","f",,Trigger)</f>
        <v>49187</v>
      </c>
      <c r="K236" s="542">
        <f>_xll.qlCalendarAdvance(Calendar,J236,"3M","mf",,Trigger)</f>
        <v>49278</v>
      </c>
      <c r="L236" s="544" t="e">
        <f>_xll.qlMakeDatedOIS(,J236,K236,"eonia",,,,,Trigger)</f>
        <v>#NUM!</v>
      </c>
      <c r="M236" s="543" t="e">
        <f>_xll.qlIndexFixing("euribor3m",_xll.qlInterestRateIndexFixingDate("Euribor3M",J236),TRUE)</f>
        <v>#NUM!</v>
      </c>
      <c r="N236" s="543" t="e">
        <f>_xll.qlOvernightIndexedSwapFairRate(L236,Trigger)</f>
        <v>#VALUE!</v>
      </c>
      <c r="O236" s="545" t="e">
        <f t="shared" si="5"/>
        <v>#NUM!</v>
      </c>
    </row>
    <row r="237" spans="3:15" x14ac:dyDescent="0.2">
      <c r="C237" s="537"/>
      <c r="D237" s="537"/>
      <c r="E237" s="536"/>
      <c r="G237" s="536"/>
      <c r="H237" s="536"/>
      <c r="J237" s="551">
        <f>_xll.qlCalendarAdvance(Calendar,J236,"1M","f",,Trigger)</f>
        <v>49219</v>
      </c>
      <c r="K237" s="542">
        <f>_xll.qlCalendarAdvance(Calendar,J237,"3M","mf",,Trigger)</f>
        <v>49311</v>
      </c>
      <c r="L237" s="544" t="e">
        <f>_xll.qlMakeDatedOIS(,J237,K237,"eonia",,,,,Trigger)</f>
        <v>#NUM!</v>
      </c>
      <c r="M237" s="543" t="e">
        <f>_xll.qlIndexFixing("euribor3m",_xll.qlInterestRateIndexFixingDate("Euribor3M",J237),TRUE)</f>
        <v>#NUM!</v>
      </c>
      <c r="N237" s="543" t="e">
        <f>_xll.qlOvernightIndexedSwapFairRate(L237,Trigger)</f>
        <v>#VALUE!</v>
      </c>
      <c r="O237" s="545" t="e">
        <f t="shared" si="5"/>
        <v>#NUM!</v>
      </c>
    </row>
    <row r="238" spans="3:15" x14ac:dyDescent="0.2">
      <c r="C238" s="537"/>
      <c r="D238" s="537"/>
      <c r="E238" s="536"/>
      <c r="G238" s="536"/>
      <c r="H238" s="536"/>
      <c r="J238" s="551">
        <f>_xll.qlCalendarAdvance(Calendar,J237,"1M","f",,Trigger)</f>
        <v>49250</v>
      </c>
      <c r="K238" s="542">
        <f>_xll.qlCalendarAdvance(Calendar,J238,"3M","mf",,Trigger)</f>
        <v>49342</v>
      </c>
      <c r="L238" s="544" t="e">
        <f>_xll.qlMakeDatedOIS(,J238,K238,"eonia",,,,,Trigger)</f>
        <v>#NUM!</v>
      </c>
      <c r="M238" s="543" t="e">
        <f>_xll.qlIndexFixing("euribor3m",_xll.qlInterestRateIndexFixingDate("Euribor3M",J238),TRUE)</f>
        <v>#NUM!</v>
      </c>
      <c r="N238" s="543" t="e">
        <f>_xll.qlOvernightIndexedSwapFairRate(L238,Trigger)</f>
        <v>#VALUE!</v>
      </c>
      <c r="O238" s="545" t="e">
        <f t="shared" si="5"/>
        <v>#NUM!</v>
      </c>
    </row>
    <row r="239" spans="3:15" x14ac:dyDescent="0.2">
      <c r="C239" s="537"/>
      <c r="D239" s="537"/>
      <c r="E239" s="536"/>
      <c r="G239" s="536"/>
      <c r="H239" s="536"/>
      <c r="J239" s="551">
        <f>_xll.qlCalendarAdvance(Calendar,J238,"1M","f",,Trigger)</f>
        <v>49282</v>
      </c>
      <c r="K239" s="542">
        <f>_xll.qlCalendarAdvance(Calendar,J239,"3M","mf",,Trigger)</f>
        <v>49373</v>
      </c>
      <c r="L239" s="544" t="e">
        <f>_xll.qlMakeDatedOIS(,J239,K239,"eonia",,,,,Trigger)</f>
        <v>#NUM!</v>
      </c>
      <c r="M239" s="543" t="e">
        <f>_xll.qlIndexFixing("euribor3m",_xll.qlInterestRateIndexFixingDate("Euribor3M",J239),TRUE)</f>
        <v>#NUM!</v>
      </c>
      <c r="N239" s="543" t="e">
        <f>_xll.qlOvernightIndexedSwapFairRate(L239,Trigger)</f>
        <v>#VALUE!</v>
      </c>
      <c r="O239" s="545" t="e">
        <f t="shared" si="5"/>
        <v>#NUM!</v>
      </c>
    </row>
    <row r="240" spans="3:15" x14ac:dyDescent="0.2">
      <c r="C240" s="537"/>
      <c r="D240" s="537"/>
      <c r="E240" s="536"/>
      <c r="G240" s="536"/>
      <c r="H240" s="536"/>
      <c r="J240" s="551">
        <f>_xll.qlCalendarAdvance(Calendar,J239,"1M","f",,Trigger)</f>
        <v>49313</v>
      </c>
      <c r="K240" s="542">
        <f>_xll.qlCalendarAdvance(Calendar,J240,"3M","mf",,Trigger)</f>
        <v>49403</v>
      </c>
      <c r="L240" s="544" t="e">
        <f>_xll.qlMakeDatedOIS(,J240,K240,"eonia",,,,,Trigger)</f>
        <v>#NUM!</v>
      </c>
      <c r="M240" s="543" t="e">
        <f>_xll.qlIndexFixing("euribor3m",_xll.qlInterestRateIndexFixingDate("Euribor3M",J240),TRUE)</f>
        <v>#NUM!</v>
      </c>
      <c r="N240" s="543" t="e">
        <f>_xll.qlOvernightIndexedSwapFairRate(L240,Trigger)</f>
        <v>#VALUE!</v>
      </c>
      <c r="O240" s="545" t="e">
        <f t="shared" si="5"/>
        <v>#NUM!</v>
      </c>
    </row>
    <row r="241" spans="3:15" x14ac:dyDescent="0.2">
      <c r="C241" s="537"/>
      <c r="D241" s="537"/>
      <c r="E241" s="536"/>
      <c r="G241" s="536"/>
      <c r="H241" s="536"/>
      <c r="J241" s="551">
        <f>_xll.qlCalendarAdvance(Calendar,J240,"1M","f",,Trigger)</f>
        <v>49345</v>
      </c>
      <c r="K241" s="542">
        <f>_xll.qlCalendarAdvance(Calendar,J241,"3M","mf",,Trigger)</f>
        <v>49436</v>
      </c>
      <c r="L241" s="544" t="e">
        <f>_xll.qlMakeDatedOIS(,J241,K241,"eonia",,,,,Trigger)</f>
        <v>#NUM!</v>
      </c>
      <c r="M241" s="543" t="e">
        <f>_xll.qlIndexFixing("euribor3m",_xll.qlInterestRateIndexFixingDate("Euribor3M",J241),TRUE)</f>
        <v>#NUM!</v>
      </c>
      <c r="N241" s="543" t="e">
        <f>_xll.qlOvernightIndexedSwapFairRate(L241,Trigger)</f>
        <v>#VALUE!</v>
      </c>
      <c r="O241" s="545" t="e">
        <f t="shared" si="5"/>
        <v>#NUM!</v>
      </c>
    </row>
    <row r="242" spans="3:15" x14ac:dyDescent="0.2">
      <c r="C242" s="537"/>
      <c r="D242" s="537"/>
      <c r="E242" s="536"/>
      <c r="G242" s="536"/>
      <c r="H242" s="536"/>
      <c r="J242" s="551">
        <f>_xll.qlCalendarAdvance(Calendar,J241,"1M","f",,Trigger)</f>
        <v>49373</v>
      </c>
      <c r="K242" s="542">
        <f>_xll.qlCalendarAdvance(Calendar,J242,"3M","mf",,Trigger)</f>
        <v>49465</v>
      </c>
      <c r="L242" s="544" t="e">
        <f>_xll.qlMakeDatedOIS(,J242,K242,"eonia",,,,,Trigger)</f>
        <v>#NUM!</v>
      </c>
      <c r="M242" s="543" t="e">
        <f>_xll.qlIndexFixing("euribor3m",_xll.qlInterestRateIndexFixingDate("Euribor3M",J242),TRUE)</f>
        <v>#NUM!</v>
      </c>
      <c r="N242" s="543" t="e">
        <f>_xll.qlOvernightIndexedSwapFairRate(L242,Trigger)</f>
        <v>#VALUE!</v>
      </c>
      <c r="O242" s="545" t="e">
        <f t="shared" si="5"/>
        <v>#NUM!</v>
      </c>
    </row>
    <row r="243" spans="3:15" x14ac:dyDescent="0.2">
      <c r="C243" s="537"/>
      <c r="D243" s="537"/>
      <c r="E243" s="536"/>
      <c r="G243" s="536"/>
      <c r="H243" s="536"/>
      <c r="J243" s="551">
        <f>_xll.qlCalendarAdvance(Calendar,J242,"1M","f",,Trigger)</f>
        <v>49404</v>
      </c>
      <c r="K243" s="542">
        <f>_xll.qlCalendarAdvance(Calendar,J243,"3M","mf",,Trigger)</f>
        <v>49495</v>
      </c>
      <c r="L243" s="544" t="e">
        <f>_xll.qlMakeDatedOIS(,J243,K243,"eonia",,,,,Trigger)</f>
        <v>#NUM!</v>
      </c>
      <c r="M243" s="543" t="e">
        <f>_xll.qlIndexFixing("euribor3m",_xll.qlInterestRateIndexFixingDate("Euribor3M",J243),TRUE)</f>
        <v>#NUM!</v>
      </c>
      <c r="N243" s="543" t="e">
        <f>_xll.qlOvernightIndexedSwapFairRate(L243,Trigger)</f>
        <v>#VALUE!</v>
      </c>
      <c r="O243" s="545" t="e">
        <f t="shared" si="5"/>
        <v>#NUM!</v>
      </c>
    </row>
    <row r="244" spans="3:15" x14ac:dyDescent="0.2">
      <c r="C244" s="537"/>
      <c r="D244" s="537"/>
      <c r="E244" s="536"/>
      <c r="G244" s="536"/>
      <c r="H244" s="536"/>
      <c r="J244" s="551">
        <f>_xll.qlCalendarAdvance(Calendar,J243,"1M","f",,Trigger)</f>
        <v>49436</v>
      </c>
      <c r="K244" s="542">
        <f>_xll.qlCalendarAdvance(Calendar,J244,"3M","mf",,Trigger)</f>
        <v>49528</v>
      </c>
      <c r="L244" s="544" t="e">
        <f>_xll.qlMakeDatedOIS(,J244,K244,"eonia",,,,,Trigger)</f>
        <v>#NUM!</v>
      </c>
      <c r="M244" s="543" t="e">
        <f>_xll.qlIndexFixing("euribor3m",_xll.qlInterestRateIndexFixingDate("Euribor3M",J244),TRUE)</f>
        <v>#NUM!</v>
      </c>
      <c r="N244" s="543" t="e">
        <f>_xll.qlOvernightIndexedSwapFairRate(L244,Trigger)</f>
        <v>#VALUE!</v>
      </c>
      <c r="O244" s="545" t="e">
        <f t="shared" si="5"/>
        <v>#NUM!</v>
      </c>
    </row>
    <row r="245" spans="3:15" x14ac:dyDescent="0.2">
      <c r="C245" s="537"/>
      <c r="D245" s="537"/>
      <c r="E245" s="536"/>
      <c r="G245" s="536"/>
      <c r="H245" s="536"/>
      <c r="J245" s="551">
        <f>_xll.qlCalendarAdvance(Calendar,J244,"1M","f",,Trigger)</f>
        <v>49467</v>
      </c>
      <c r="K245" s="542">
        <f>_xll.qlCalendarAdvance(Calendar,J245,"3M","mf",,Trigger)</f>
        <v>49559</v>
      </c>
      <c r="L245" s="544" t="e">
        <f>_xll.qlMakeDatedOIS(,J245,K245,"eonia",,,,,Trigger)</f>
        <v>#NUM!</v>
      </c>
      <c r="M245" s="543" t="e">
        <f>_xll.qlIndexFixing("euribor3m",_xll.qlInterestRateIndexFixingDate("Euribor3M",J245),TRUE)</f>
        <v>#NUM!</v>
      </c>
      <c r="N245" s="543" t="e">
        <f>_xll.qlOvernightIndexedSwapFairRate(L245,Trigger)</f>
        <v>#VALUE!</v>
      </c>
      <c r="O245" s="545" t="e">
        <f t="shared" si="5"/>
        <v>#NUM!</v>
      </c>
    </row>
    <row r="246" spans="3:15" x14ac:dyDescent="0.2">
      <c r="C246" s="537"/>
      <c r="D246" s="537"/>
      <c r="E246" s="536"/>
      <c r="G246" s="536"/>
      <c r="H246" s="536"/>
      <c r="J246" s="551">
        <f>_xll.qlCalendarAdvance(Calendar,J245,"1M","f",,Trigger)</f>
        <v>49499</v>
      </c>
      <c r="K246" s="542">
        <f>_xll.qlCalendarAdvance(Calendar,J246,"3M","mf",,Trigger)</f>
        <v>49591</v>
      </c>
      <c r="L246" s="544" t="e">
        <f>_xll.qlMakeDatedOIS(,J246,K246,"eonia",,,,,Trigger)</f>
        <v>#NUM!</v>
      </c>
      <c r="M246" s="543" t="e">
        <f>_xll.qlIndexFixing("euribor3m",_xll.qlInterestRateIndexFixingDate("Euribor3M",J246),TRUE)</f>
        <v>#NUM!</v>
      </c>
      <c r="N246" s="543" t="e">
        <f>_xll.qlOvernightIndexedSwapFairRate(L246,Trigger)</f>
        <v>#VALUE!</v>
      </c>
      <c r="O246" s="545" t="e">
        <f t="shared" si="5"/>
        <v>#NUM!</v>
      </c>
    </row>
    <row r="247" spans="3:15" x14ac:dyDescent="0.2">
      <c r="C247" s="537"/>
      <c r="D247" s="537"/>
      <c r="E247" s="536"/>
      <c r="G247" s="536"/>
      <c r="H247" s="536"/>
      <c r="J247" s="551">
        <f>_xll.qlCalendarAdvance(Calendar,J246,"1M","f",,Trigger)</f>
        <v>49530</v>
      </c>
      <c r="K247" s="542">
        <f>_xll.qlCalendarAdvance(Calendar,J247,"3M","mf",,Trigger)</f>
        <v>49622</v>
      </c>
      <c r="L247" s="544" t="e">
        <f>_xll.qlMakeDatedOIS(,J247,K247,"eonia",,,,,Trigger)</f>
        <v>#NUM!</v>
      </c>
      <c r="M247" s="543" t="e">
        <f>_xll.qlIndexFixing("euribor3m",_xll.qlInterestRateIndexFixingDate("Euribor3M",J247),TRUE)</f>
        <v>#NUM!</v>
      </c>
      <c r="N247" s="543" t="e">
        <f>_xll.qlOvernightIndexedSwapFairRate(L247,Trigger)</f>
        <v>#VALUE!</v>
      </c>
      <c r="O247" s="545" t="e">
        <f t="shared" si="5"/>
        <v>#NUM!</v>
      </c>
    </row>
    <row r="248" spans="3:15" x14ac:dyDescent="0.2">
      <c r="C248" s="537"/>
      <c r="D248" s="537"/>
      <c r="E248" s="536"/>
      <c r="G248" s="536"/>
      <c r="H248" s="536"/>
      <c r="J248" s="551">
        <f>_xll.qlCalendarAdvance(Calendar,J247,"1M","f",,Trigger)</f>
        <v>49562</v>
      </c>
      <c r="K248" s="542">
        <f>_xll.qlCalendarAdvance(Calendar,J248,"3M","mf",,Trigger)</f>
        <v>49653</v>
      </c>
      <c r="L248" s="544" t="e">
        <f>_xll.qlMakeDatedOIS(,J248,K248,"eonia",,,,,Trigger)</f>
        <v>#NUM!</v>
      </c>
      <c r="M248" s="543" t="e">
        <f>_xll.qlIndexFixing("euribor3m",_xll.qlInterestRateIndexFixingDate("Euribor3M",J248),TRUE)</f>
        <v>#NUM!</v>
      </c>
      <c r="N248" s="543" t="e">
        <f>_xll.qlOvernightIndexedSwapFairRate(L248,Trigger)</f>
        <v>#VALUE!</v>
      </c>
      <c r="O248" s="545" t="e">
        <f t="shared" si="5"/>
        <v>#NUM!</v>
      </c>
    </row>
    <row r="249" spans="3:15" x14ac:dyDescent="0.2">
      <c r="C249" s="537"/>
      <c r="D249" s="537"/>
      <c r="E249" s="536"/>
      <c r="G249" s="536"/>
      <c r="H249" s="536"/>
      <c r="J249" s="551">
        <f>_xll.qlCalendarAdvance(Calendar,J248,"1M","f",,Trigger)</f>
        <v>49592</v>
      </c>
      <c r="K249" s="542">
        <f>_xll.qlCalendarAdvance(Calendar,J249,"3M","mf",,Trigger)</f>
        <v>49684</v>
      </c>
      <c r="L249" s="544" t="e">
        <f>_xll.qlMakeDatedOIS(,J249,K249,"eonia",,,,,Trigger)</f>
        <v>#NUM!</v>
      </c>
      <c r="M249" s="543" t="e">
        <f>_xll.qlIndexFixing("euribor3m",_xll.qlInterestRateIndexFixingDate("Euribor3M",J249),TRUE)</f>
        <v>#NUM!</v>
      </c>
      <c r="N249" s="543" t="e">
        <f>_xll.qlOvernightIndexedSwapFairRate(L249,Trigger)</f>
        <v>#VALUE!</v>
      </c>
      <c r="O249" s="545" t="e">
        <f t="shared" si="5"/>
        <v>#NUM!</v>
      </c>
    </row>
    <row r="250" spans="3:15" x14ac:dyDescent="0.2">
      <c r="C250" s="537"/>
      <c r="D250" s="537"/>
      <c r="E250" s="536"/>
      <c r="G250" s="536"/>
      <c r="H250" s="536"/>
      <c r="J250" s="551">
        <f>_xll.qlCalendarAdvance(Calendar,J249,"1M","f",,Trigger)</f>
        <v>49625</v>
      </c>
      <c r="K250" s="542">
        <f>_xll.qlCalendarAdvance(Calendar,J250,"3M","mf",,Trigger)</f>
        <v>49717</v>
      </c>
      <c r="L250" s="544" t="e">
        <f>_xll.qlMakeDatedOIS(,J250,K250,"eonia",,,,,Trigger)</f>
        <v>#NUM!</v>
      </c>
      <c r="M250" s="543" t="e">
        <f>_xll.qlIndexFixing("euribor3m",_xll.qlInterestRateIndexFixingDate("Euribor3M",J250),TRUE)</f>
        <v>#NUM!</v>
      </c>
      <c r="N250" s="543" t="e">
        <f>_xll.qlOvernightIndexedSwapFairRate(L250,Trigger)</f>
        <v>#VALUE!</v>
      </c>
      <c r="O250" s="545" t="e">
        <f t="shared" si="5"/>
        <v>#NUM!</v>
      </c>
    </row>
    <row r="251" spans="3:15" x14ac:dyDescent="0.2">
      <c r="C251" s="537"/>
      <c r="D251" s="537"/>
      <c r="E251" s="536"/>
      <c r="G251" s="536"/>
      <c r="H251" s="536"/>
      <c r="J251" s="551">
        <f>_xll.qlCalendarAdvance(Calendar,J250,"1M","f",,Trigger)</f>
        <v>49655</v>
      </c>
      <c r="K251" s="542">
        <f>_xll.qlCalendarAdvance(Calendar,J251,"3M","mf",,Trigger)</f>
        <v>49746</v>
      </c>
      <c r="L251" s="544" t="e">
        <f>_xll.qlMakeDatedOIS(,J251,K251,"eonia",,,,,Trigger)</f>
        <v>#NUM!</v>
      </c>
      <c r="M251" s="543" t="e">
        <f>_xll.qlIndexFixing("euribor3m",_xll.qlInterestRateIndexFixingDate("Euribor3M",J251),TRUE)</f>
        <v>#NUM!</v>
      </c>
      <c r="N251" s="543" t="e">
        <f>_xll.qlOvernightIndexedSwapFairRate(L251,Trigger)</f>
        <v>#VALUE!</v>
      </c>
      <c r="O251" s="545" t="e">
        <f t="shared" si="5"/>
        <v>#NUM!</v>
      </c>
    </row>
    <row r="252" spans="3:15" x14ac:dyDescent="0.2">
      <c r="C252" s="537"/>
      <c r="D252" s="537"/>
      <c r="E252" s="536"/>
      <c r="G252" s="536"/>
      <c r="H252" s="536"/>
      <c r="J252" s="551">
        <f>_xll.qlCalendarAdvance(Calendar,J251,"1M","f",,Trigger)</f>
        <v>49688</v>
      </c>
      <c r="K252" s="542">
        <f>_xll.qlCalendarAdvance(Calendar,J252,"3M","mf",,Trigger)</f>
        <v>49780</v>
      </c>
      <c r="L252" s="544" t="e">
        <f>_xll.qlMakeDatedOIS(,J252,K252,"eonia",,,,,Trigger)</f>
        <v>#NUM!</v>
      </c>
      <c r="M252" s="543" t="e">
        <f>_xll.qlIndexFixing("euribor3m",_xll.qlInterestRateIndexFixingDate("Euribor3M",J252),TRUE)</f>
        <v>#NUM!</v>
      </c>
      <c r="N252" s="543" t="e">
        <f>_xll.qlOvernightIndexedSwapFairRate(L252,Trigger)</f>
        <v>#VALUE!</v>
      </c>
      <c r="O252" s="545" t="e">
        <f t="shared" si="5"/>
        <v>#NUM!</v>
      </c>
    </row>
    <row r="253" spans="3:15" x14ac:dyDescent="0.2">
      <c r="C253" s="537"/>
      <c r="D253" s="537"/>
      <c r="E253" s="536"/>
      <c r="G253" s="536"/>
      <c r="H253" s="536"/>
      <c r="J253" s="551">
        <f>_xll.qlCalendarAdvance(Calendar,J252,"1M","f",,Trigger)</f>
        <v>49719</v>
      </c>
      <c r="K253" s="542">
        <f>_xll.qlCalendarAdvance(Calendar,J253,"3M","mf",,Trigger)</f>
        <v>49809</v>
      </c>
      <c r="L253" s="544" t="e">
        <f>_xll.qlMakeDatedOIS(,J253,K253,"eonia",,,,,Trigger)</f>
        <v>#NUM!</v>
      </c>
      <c r="M253" s="543" t="e">
        <f>_xll.qlIndexFixing("euribor3m",_xll.qlInterestRateIndexFixingDate("Euribor3M",J253),TRUE)</f>
        <v>#NUM!</v>
      </c>
      <c r="N253" s="543" t="e">
        <f>_xll.qlOvernightIndexedSwapFairRate(L253,Trigger)</f>
        <v>#VALUE!</v>
      </c>
      <c r="O253" s="545" t="e">
        <f t="shared" si="5"/>
        <v>#NUM!</v>
      </c>
    </row>
    <row r="254" spans="3:15" x14ac:dyDescent="0.2">
      <c r="C254" s="537"/>
      <c r="D254" s="537"/>
      <c r="E254" s="536"/>
      <c r="G254" s="536"/>
      <c r="H254" s="536"/>
      <c r="J254" s="551">
        <f>_xll.qlCalendarAdvance(Calendar,J253,"1M","f",,Trigger)</f>
        <v>49748</v>
      </c>
      <c r="K254" s="542">
        <f>_xll.qlCalendarAdvance(Calendar,J254,"3M","mf",,Trigger)</f>
        <v>49842</v>
      </c>
      <c r="L254" s="544" t="e">
        <f>_xll.qlMakeDatedOIS(,J254,K254,"eonia",,,,,Trigger)</f>
        <v>#NUM!</v>
      </c>
      <c r="M254" s="543" t="e">
        <f>_xll.qlIndexFixing("euribor3m",_xll.qlInterestRateIndexFixingDate("Euribor3M",J254),TRUE)</f>
        <v>#NUM!</v>
      </c>
      <c r="N254" s="543" t="e">
        <f>_xll.qlOvernightIndexedSwapFairRate(L254,Trigger)</f>
        <v>#VALUE!</v>
      </c>
      <c r="O254" s="545" t="e">
        <f t="shared" si="5"/>
        <v>#NUM!</v>
      </c>
    </row>
    <row r="255" spans="3:15" x14ac:dyDescent="0.2">
      <c r="C255" s="537"/>
      <c r="D255" s="537"/>
      <c r="E255" s="536"/>
      <c r="G255" s="536"/>
      <c r="H255" s="536"/>
      <c r="J255" s="551">
        <f>_xll.qlCalendarAdvance(Calendar,J254,"1M","f",,Trigger)</f>
        <v>49780</v>
      </c>
      <c r="K255" s="542">
        <f>_xll.qlCalendarAdvance(Calendar,J255,"3M","mf",,Trigger)</f>
        <v>49871</v>
      </c>
      <c r="L255" s="544" t="e">
        <f>_xll.qlMakeDatedOIS(,J255,K255,"eonia",,,,,Trigger)</f>
        <v>#NUM!</v>
      </c>
      <c r="M255" s="543" t="e">
        <f>_xll.qlIndexFixing("euribor3m",_xll.qlInterestRateIndexFixingDate("Euribor3M",J255),TRUE)</f>
        <v>#NUM!</v>
      </c>
      <c r="N255" s="543" t="e">
        <f>_xll.qlOvernightIndexedSwapFairRate(L255,Trigger)</f>
        <v>#VALUE!</v>
      </c>
      <c r="O255" s="545" t="e">
        <f t="shared" si="5"/>
        <v>#NUM!</v>
      </c>
    </row>
    <row r="256" spans="3:15" x14ac:dyDescent="0.2">
      <c r="C256" s="537"/>
      <c r="D256" s="537"/>
      <c r="E256" s="536"/>
      <c r="G256" s="536"/>
      <c r="H256" s="536"/>
      <c r="J256" s="551">
        <f>_xll.qlCalendarAdvance(Calendar,J255,"1M","f",,Trigger)</f>
        <v>49810</v>
      </c>
      <c r="K256" s="542">
        <f>_xll.qlCalendarAdvance(Calendar,J256,"3M","mf",,Trigger)</f>
        <v>49902</v>
      </c>
      <c r="L256" s="544" t="e">
        <f>_xll.qlMakeDatedOIS(,J256,K256,"eonia",,,,,Trigger)</f>
        <v>#NUM!</v>
      </c>
      <c r="M256" s="543" t="e">
        <f>_xll.qlIndexFixing("euribor3m",_xll.qlInterestRateIndexFixingDate("Euribor3M",J256),TRUE)</f>
        <v>#NUM!</v>
      </c>
      <c r="N256" s="543" t="e">
        <f>_xll.qlOvernightIndexedSwapFairRate(L256,Trigger)</f>
        <v>#VALUE!</v>
      </c>
      <c r="O256" s="545" t="e">
        <f t="shared" si="5"/>
        <v>#NUM!</v>
      </c>
    </row>
    <row r="257" spans="3:15" x14ac:dyDescent="0.2">
      <c r="C257" s="537"/>
      <c r="D257" s="537"/>
      <c r="E257" s="536"/>
      <c r="G257" s="536"/>
      <c r="H257" s="536"/>
      <c r="J257" s="551">
        <f>_xll.qlCalendarAdvance(Calendar,J256,"1M","f",,Trigger)</f>
        <v>49842</v>
      </c>
      <c r="K257" s="542">
        <f>_xll.qlCalendarAdvance(Calendar,J257,"3M","mf",,Trigger)</f>
        <v>49934</v>
      </c>
      <c r="L257" s="544" t="e">
        <f>_xll.qlMakeDatedOIS(,J257,K257,"eonia",,,,,Trigger)</f>
        <v>#NUM!</v>
      </c>
      <c r="M257" s="543" t="e">
        <f>_xll.qlIndexFixing("euribor3m",_xll.qlInterestRateIndexFixingDate("Euribor3M",J257),TRUE)</f>
        <v>#NUM!</v>
      </c>
      <c r="N257" s="543" t="e">
        <f>_xll.qlOvernightIndexedSwapFairRate(L257,Trigger)</f>
        <v>#VALUE!</v>
      </c>
      <c r="O257" s="545" t="e">
        <f t="shared" si="5"/>
        <v>#NUM!</v>
      </c>
    </row>
    <row r="258" spans="3:15" x14ac:dyDescent="0.2">
      <c r="C258" s="537"/>
      <c r="D258" s="537"/>
      <c r="E258" s="536"/>
      <c r="G258" s="536"/>
      <c r="H258" s="536"/>
      <c r="J258" s="551">
        <f>_xll.qlCalendarAdvance(Calendar,J257,"1M","f",,Trigger)</f>
        <v>49872</v>
      </c>
      <c r="K258" s="542">
        <f>_xll.qlCalendarAdvance(Calendar,J258,"3M","mf",,Trigger)</f>
        <v>49964</v>
      </c>
      <c r="L258" s="544" t="e">
        <f>_xll.qlMakeDatedOIS(,J258,K258,"eonia",,,,,Trigger)</f>
        <v>#NUM!</v>
      </c>
      <c r="M258" s="543" t="e">
        <f>_xll.qlIndexFixing("euribor3m",_xll.qlInterestRateIndexFixingDate("Euribor3M",J258),TRUE)</f>
        <v>#NUM!</v>
      </c>
      <c r="N258" s="543" t="e">
        <f>_xll.qlOvernightIndexedSwapFairRate(L258,Trigger)</f>
        <v>#VALUE!</v>
      </c>
      <c r="O258" s="545" t="e">
        <f t="shared" si="5"/>
        <v>#NUM!</v>
      </c>
    </row>
    <row r="259" spans="3:15" x14ac:dyDescent="0.2">
      <c r="C259" s="537"/>
      <c r="D259" s="537"/>
      <c r="E259" s="536"/>
      <c r="G259" s="536"/>
      <c r="H259" s="536"/>
      <c r="J259" s="551">
        <f>_xll.qlCalendarAdvance(Calendar,J258,"1M","f",,Trigger)</f>
        <v>49905</v>
      </c>
      <c r="K259" s="542">
        <f>_xll.qlCalendarAdvance(Calendar,J259,"3M","mf",,Trigger)</f>
        <v>49997</v>
      </c>
      <c r="L259" s="544" t="e">
        <f>_xll.qlMakeDatedOIS(,J259,K259,"eonia",,,,,Trigger)</f>
        <v>#NUM!</v>
      </c>
      <c r="M259" s="543" t="e">
        <f>_xll.qlIndexFixing("euribor3m",_xll.qlInterestRateIndexFixingDate("Euribor3M",J259),TRUE)</f>
        <v>#NUM!</v>
      </c>
      <c r="N259" s="543" t="e">
        <f>_xll.qlOvernightIndexedSwapFairRate(L259,Trigger)</f>
        <v>#VALUE!</v>
      </c>
      <c r="O259" s="545" t="e">
        <f t="shared" ref="O259:O322" si="6">M259-N259</f>
        <v>#NUM!</v>
      </c>
    </row>
    <row r="260" spans="3:15" x14ac:dyDescent="0.2">
      <c r="C260" s="537"/>
      <c r="D260" s="537"/>
      <c r="E260" s="536"/>
      <c r="G260" s="536"/>
      <c r="H260" s="536"/>
      <c r="J260" s="551">
        <f>_xll.qlCalendarAdvance(Calendar,J259,"1M","f",,Trigger)</f>
        <v>49936</v>
      </c>
      <c r="K260" s="542">
        <f>_xll.qlCalendarAdvance(Calendar,J260,"3M","mf",,Trigger)</f>
        <v>50027</v>
      </c>
      <c r="L260" s="544" t="e">
        <f>_xll.qlMakeDatedOIS(,J260,K260,"eonia",,,,,Trigger)</f>
        <v>#NUM!</v>
      </c>
      <c r="M260" s="543" t="e">
        <f>_xll.qlIndexFixing("euribor3m",_xll.qlInterestRateIndexFixingDate("Euribor3M",J260),TRUE)</f>
        <v>#NUM!</v>
      </c>
      <c r="N260" s="543" t="e">
        <f>_xll.qlOvernightIndexedSwapFairRate(L260,Trigger)</f>
        <v>#VALUE!</v>
      </c>
      <c r="O260" s="545" t="e">
        <f t="shared" si="6"/>
        <v>#NUM!</v>
      </c>
    </row>
    <row r="261" spans="3:15" x14ac:dyDescent="0.2">
      <c r="C261" s="537"/>
      <c r="D261" s="537"/>
      <c r="E261" s="536"/>
      <c r="G261" s="536"/>
      <c r="H261" s="536"/>
      <c r="J261" s="551">
        <f>_xll.qlCalendarAdvance(Calendar,J260,"1M","f",,Trigger)</f>
        <v>49968</v>
      </c>
      <c r="K261" s="542">
        <f>_xll.qlCalendarAdvance(Calendar,J261,"3M","mf",,Trigger)</f>
        <v>50060</v>
      </c>
      <c r="L261" s="544" t="e">
        <f>_xll.qlMakeDatedOIS(,J261,K261,"eonia",,,,,Trigger)</f>
        <v>#NUM!</v>
      </c>
      <c r="M261" s="543" t="e">
        <f>_xll.qlIndexFixing("euribor3m",_xll.qlInterestRateIndexFixingDate("Euribor3M",J261),TRUE)</f>
        <v>#NUM!</v>
      </c>
      <c r="N261" s="543" t="e">
        <f>_xll.qlOvernightIndexedSwapFairRate(L261,Trigger)</f>
        <v>#VALUE!</v>
      </c>
      <c r="O261" s="545" t="e">
        <f t="shared" si="6"/>
        <v>#NUM!</v>
      </c>
    </row>
    <row r="262" spans="3:15" x14ac:dyDescent="0.2">
      <c r="C262" s="537"/>
      <c r="D262" s="537"/>
      <c r="E262" s="536"/>
      <c r="G262" s="536"/>
      <c r="H262" s="536"/>
      <c r="J262" s="551">
        <f>_xll.qlCalendarAdvance(Calendar,J261,"1M","f",,Trigger)</f>
        <v>49999</v>
      </c>
      <c r="K262" s="542">
        <f>_xll.qlCalendarAdvance(Calendar,J262,"3M","mf",,Trigger)</f>
        <v>50091</v>
      </c>
      <c r="L262" s="544" t="e">
        <f>_xll.qlMakeDatedOIS(,J262,K262,"eonia",,,,,Trigger)</f>
        <v>#NUM!</v>
      </c>
      <c r="M262" s="543" t="e">
        <f>_xll.qlIndexFixing("euribor3m",_xll.qlInterestRateIndexFixingDate("Euribor3M",J262),TRUE)</f>
        <v>#NUM!</v>
      </c>
      <c r="N262" s="543" t="e">
        <f>_xll.qlOvernightIndexedSwapFairRate(L262,Trigger)</f>
        <v>#VALUE!</v>
      </c>
      <c r="O262" s="545" t="e">
        <f t="shared" si="6"/>
        <v>#NUM!</v>
      </c>
    </row>
    <row r="263" spans="3:15" x14ac:dyDescent="0.2">
      <c r="C263" s="537"/>
      <c r="D263" s="537"/>
      <c r="E263" s="536"/>
      <c r="G263" s="536"/>
      <c r="H263" s="536"/>
      <c r="J263" s="551">
        <f>_xll.qlCalendarAdvance(Calendar,J262,"1M","f",,Trigger)</f>
        <v>50031</v>
      </c>
      <c r="K263" s="542">
        <f>_xll.qlCalendarAdvance(Calendar,J263,"3M","mf",,Trigger)</f>
        <v>50122</v>
      </c>
      <c r="L263" s="544" t="e">
        <f>_xll.qlMakeDatedOIS(,J263,K263,"eonia",,,,,Trigger)</f>
        <v>#NUM!</v>
      </c>
      <c r="M263" s="543" t="e">
        <f>_xll.qlIndexFixing("euribor3m",_xll.qlInterestRateIndexFixingDate("Euribor3M",J263),TRUE)</f>
        <v>#NUM!</v>
      </c>
      <c r="N263" s="543" t="e">
        <f>_xll.qlOvernightIndexedSwapFairRate(L263,Trigger)</f>
        <v>#VALUE!</v>
      </c>
      <c r="O263" s="545" t="e">
        <f t="shared" si="6"/>
        <v>#NUM!</v>
      </c>
    </row>
    <row r="264" spans="3:15" x14ac:dyDescent="0.2">
      <c r="C264" s="537"/>
      <c r="D264" s="537"/>
      <c r="E264" s="536"/>
      <c r="G264" s="536"/>
      <c r="H264" s="536"/>
      <c r="J264" s="551">
        <f>_xll.qlCalendarAdvance(Calendar,J263,"1M","f",,Trigger)</f>
        <v>50062</v>
      </c>
      <c r="K264" s="542">
        <f>_xll.qlCalendarAdvance(Calendar,J264,"3M","mf",,Trigger)</f>
        <v>50152</v>
      </c>
      <c r="L264" s="544" t="e">
        <f>_xll.qlMakeDatedOIS(,J264,K264,"eonia",,,,,Trigger)</f>
        <v>#NUM!</v>
      </c>
      <c r="M264" s="543" t="e">
        <f>_xll.qlIndexFixing("euribor3m",_xll.qlInterestRateIndexFixingDate("Euribor3M",J264),TRUE)</f>
        <v>#NUM!</v>
      </c>
      <c r="N264" s="543" t="e">
        <f>_xll.qlOvernightIndexedSwapFairRate(L264,Trigger)</f>
        <v>#VALUE!</v>
      </c>
      <c r="O264" s="545" t="e">
        <f t="shared" si="6"/>
        <v>#NUM!</v>
      </c>
    </row>
    <row r="265" spans="3:15" x14ac:dyDescent="0.2">
      <c r="C265" s="537"/>
      <c r="D265" s="537"/>
      <c r="E265" s="536"/>
      <c r="G265" s="536"/>
      <c r="H265" s="536"/>
      <c r="J265" s="551">
        <f>_xll.qlCalendarAdvance(Calendar,J264,"1M","f",,Trigger)</f>
        <v>50094</v>
      </c>
      <c r="K265" s="542">
        <f>_xll.qlCalendarAdvance(Calendar,J265,"3M","mf",,Trigger)</f>
        <v>50185</v>
      </c>
      <c r="L265" s="544" t="e">
        <f>_xll.qlMakeDatedOIS(,J265,K265,"eonia",,,,,Trigger)</f>
        <v>#NUM!</v>
      </c>
      <c r="M265" s="543" t="e">
        <f>_xll.qlIndexFixing("euribor3m",_xll.qlInterestRateIndexFixingDate("Euribor3M",J265),TRUE)</f>
        <v>#NUM!</v>
      </c>
      <c r="N265" s="543" t="e">
        <f>_xll.qlOvernightIndexedSwapFairRate(L265,Trigger)</f>
        <v>#VALUE!</v>
      </c>
      <c r="O265" s="545" t="e">
        <f t="shared" si="6"/>
        <v>#NUM!</v>
      </c>
    </row>
    <row r="266" spans="3:15" x14ac:dyDescent="0.2">
      <c r="C266" s="537"/>
      <c r="D266" s="537"/>
      <c r="E266" s="536"/>
      <c r="G266" s="536"/>
      <c r="H266" s="536"/>
      <c r="J266" s="551">
        <f>_xll.qlCalendarAdvance(Calendar,J265,"1M","f",,Trigger)</f>
        <v>50122</v>
      </c>
      <c r="K266" s="542">
        <f>_xll.qlCalendarAdvance(Calendar,J266,"3M","mf",,Trigger)</f>
        <v>50214</v>
      </c>
      <c r="L266" s="544" t="e">
        <f>_xll.qlMakeDatedOIS(,J266,K266,"eonia",,,,,Trigger)</f>
        <v>#NUM!</v>
      </c>
      <c r="M266" s="543" t="e">
        <f>_xll.qlIndexFixing("euribor3m",_xll.qlInterestRateIndexFixingDate("Euribor3M",J266),TRUE)</f>
        <v>#NUM!</v>
      </c>
      <c r="N266" s="543" t="e">
        <f>_xll.qlOvernightIndexedSwapFairRate(L266,Trigger)</f>
        <v>#VALUE!</v>
      </c>
      <c r="O266" s="545" t="e">
        <f t="shared" si="6"/>
        <v>#NUM!</v>
      </c>
    </row>
    <row r="267" spans="3:15" x14ac:dyDescent="0.2">
      <c r="C267" s="537"/>
      <c r="D267" s="537"/>
      <c r="E267" s="536"/>
      <c r="G267" s="536"/>
      <c r="H267" s="536"/>
      <c r="J267" s="551">
        <f>_xll.qlCalendarAdvance(Calendar,J266,"1M","f",,Trigger)</f>
        <v>50153</v>
      </c>
      <c r="K267" s="542">
        <f>_xll.qlCalendarAdvance(Calendar,J267,"3M","mf",,Trigger)</f>
        <v>50244</v>
      </c>
      <c r="L267" s="544" t="e">
        <f>_xll.qlMakeDatedOIS(,J267,K267,"eonia",,,,,Trigger)</f>
        <v>#NUM!</v>
      </c>
      <c r="M267" s="543" t="e">
        <f>_xll.qlIndexFixing("euribor3m",_xll.qlInterestRateIndexFixingDate("Euribor3M",J267),TRUE)</f>
        <v>#NUM!</v>
      </c>
      <c r="N267" s="543" t="e">
        <f>_xll.qlOvernightIndexedSwapFairRate(L267,Trigger)</f>
        <v>#VALUE!</v>
      </c>
      <c r="O267" s="545" t="e">
        <f t="shared" si="6"/>
        <v>#NUM!</v>
      </c>
    </row>
    <row r="268" spans="3:15" x14ac:dyDescent="0.2">
      <c r="C268" s="537"/>
      <c r="D268" s="537"/>
      <c r="E268" s="536"/>
      <c r="G268" s="536"/>
      <c r="H268" s="536"/>
      <c r="J268" s="551">
        <f>_xll.qlCalendarAdvance(Calendar,J267,"1M","f",,Trigger)</f>
        <v>50185</v>
      </c>
      <c r="K268" s="542">
        <f>_xll.qlCalendarAdvance(Calendar,J268,"3M","mf",,Trigger)</f>
        <v>50277</v>
      </c>
      <c r="L268" s="544" t="e">
        <f>_xll.qlMakeDatedOIS(,J268,K268,"eonia",,,,,Trigger)</f>
        <v>#NUM!</v>
      </c>
      <c r="M268" s="543" t="e">
        <f>_xll.qlIndexFixing("euribor3m",_xll.qlInterestRateIndexFixingDate("Euribor3M",J268),TRUE)</f>
        <v>#NUM!</v>
      </c>
      <c r="N268" s="543" t="e">
        <f>_xll.qlOvernightIndexedSwapFairRate(L268,Trigger)</f>
        <v>#VALUE!</v>
      </c>
      <c r="O268" s="545" t="e">
        <f t="shared" si="6"/>
        <v>#NUM!</v>
      </c>
    </row>
    <row r="269" spans="3:15" x14ac:dyDescent="0.2">
      <c r="C269" s="537"/>
      <c r="D269" s="537"/>
      <c r="E269" s="536"/>
      <c r="G269" s="536"/>
      <c r="H269" s="536"/>
      <c r="J269" s="551">
        <f>_xll.qlCalendarAdvance(Calendar,J268,"1M","f",,Trigger)</f>
        <v>50216</v>
      </c>
      <c r="K269" s="542">
        <f>_xll.qlCalendarAdvance(Calendar,J269,"3M","mf",,Trigger)</f>
        <v>50308</v>
      </c>
      <c r="L269" s="544" t="e">
        <f>_xll.qlMakeDatedOIS(,J269,K269,"eonia",,,,,Trigger)</f>
        <v>#NUM!</v>
      </c>
      <c r="M269" s="543" t="e">
        <f>_xll.qlIndexFixing("euribor3m",_xll.qlInterestRateIndexFixingDate("Euribor3M",J269),TRUE)</f>
        <v>#NUM!</v>
      </c>
      <c r="N269" s="543" t="e">
        <f>_xll.qlOvernightIndexedSwapFairRate(L269,Trigger)</f>
        <v>#VALUE!</v>
      </c>
      <c r="O269" s="545" t="e">
        <f t="shared" si="6"/>
        <v>#NUM!</v>
      </c>
    </row>
    <row r="270" spans="3:15" x14ac:dyDescent="0.2">
      <c r="C270" s="537"/>
      <c r="D270" s="537"/>
      <c r="E270" s="536"/>
      <c r="G270" s="536"/>
      <c r="H270" s="536"/>
      <c r="J270" s="551">
        <f>_xll.qlCalendarAdvance(Calendar,J269,"1M","f",,Trigger)</f>
        <v>50248</v>
      </c>
      <c r="K270" s="542">
        <f>_xll.qlCalendarAdvance(Calendar,J270,"3M","mf",,Trigger)</f>
        <v>50340</v>
      </c>
      <c r="L270" s="544" t="e">
        <f>_xll.qlMakeDatedOIS(,J270,K270,"eonia",,,,,Trigger)</f>
        <v>#NUM!</v>
      </c>
      <c r="M270" s="543" t="e">
        <f>_xll.qlIndexFixing("euribor3m",_xll.qlInterestRateIndexFixingDate("Euribor3M",J270),TRUE)</f>
        <v>#NUM!</v>
      </c>
      <c r="N270" s="543" t="e">
        <f>_xll.qlOvernightIndexedSwapFairRate(L270,Trigger)</f>
        <v>#VALUE!</v>
      </c>
      <c r="O270" s="545" t="e">
        <f t="shared" si="6"/>
        <v>#NUM!</v>
      </c>
    </row>
    <row r="271" spans="3:15" x14ac:dyDescent="0.2">
      <c r="C271" s="537"/>
      <c r="D271" s="537"/>
      <c r="E271" s="536"/>
      <c r="G271" s="536"/>
      <c r="H271" s="536"/>
      <c r="J271" s="551">
        <f>_xll.qlCalendarAdvance(Calendar,J270,"1M","f",,Trigger)</f>
        <v>50279</v>
      </c>
      <c r="K271" s="542">
        <f>_xll.qlCalendarAdvance(Calendar,J271,"3M","mf",,Trigger)</f>
        <v>50371</v>
      </c>
      <c r="L271" s="544" t="e">
        <f>_xll.qlMakeDatedOIS(,J271,K271,"eonia",,,,,Trigger)</f>
        <v>#NUM!</v>
      </c>
      <c r="M271" s="543" t="e">
        <f>_xll.qlIndexFixing("euribor3m",_xll.qlInterestRateIndexFixingDate("Euribor3M",J271),TRUE)</f>
        <v>#NUM!</v>
      </c>
      <c r="N271" s="543" t="e">
        <f>_xll.qlOvernightIndexedSwapFairRate(L271,Trigger)</f>
        <v>#VALUE!</v>
      </c>
      <c r="O271" s="545" t="e">
        <f t="shared" si="6"/>
        <v>#NUM!</v>
      </c>
    </row>
    <row r="272" spans="3:15" x14ac:dyDescent="0.2">
      <c r="C272" s="537"/>
      <c r="D272" s="537"/>
      <c r="E272" s="536"/>
      <c r="G272" s="536"/>
      <c r="H272" s="536"/>
      <c r="J272" s="551">
        <f>_xll.qlCalendarAdvance(Calendar,J271,"1M","f",,Trigger)</f>
        <v>50311</v>
      </c>
      <c r="K272" s="542">
        <f>_xll.qlCalendarAdvance(Calendar,J272,"3M","mf",,Trigger)</f>
        <v>50402</v>
      </c>
      <c r="L272" s="544" t="e">
        <f>_xll.qlMakeDatedOIS(,J272,K272,"eonia",,,,,Trigger)</f>
        <v>#NUM!</v>
      </c>
      <c r="M272" s="543" t="e">
        <f>_xll.qlIndexFixing("euribor3m",_xll.qlInterestRateIndexFixingDate("Euribor3M",J272),TRUE)</f>
        <v>#NUM!</v>
      </c>
      <c r="N272" s="543" t="e">
        <f>_xll.qlOvernightIndexedSwapFairRate(L272,Trigger)</f>
        <v>#VALUE!</v>
      </c>
      <c r="O272" s="545" t="e">
        <f t="shared" si="6"/>
        <v>#NUM!</v>
      </c>
    </row>
    <row r="273" spans="3:15" x14ac:dyDescent="0.2">
      <c r="C273" s="537"/>
      <c r="D273" s="537"/>
      <c r="E273" s="536"/>
      <c r="G273" s="536"/>
      <c r="H273" s="536"/>
      <c r="J273" s="551">
        <f>_xll.qlCalendarAdvance(Calendar,J272,"1M","f",,Trigger)</f>
        <v>50341</v>
      </c>
      <c r="K273" s="542">
        <f>_xll.qlCalendarAdvance(Calendar,J273,"3M","mf",,Trigger)</f>
        <v>50433</v>
      </c>
      <c r="L273" s="544" t="e">
        <f>_xll.qlMakeDatedOIS(,J273,K273,"eonia",,,,,Trigger)</f>
        <v>#NUM!</v>
      </c>
      <c r="M273" s="543" t="e">
        <f>_xll.qlIndexFixing("euribor3m",_xll.qlInterestRateIndexFixingDate("Euribor3M",J273),TRUE)</f>
        <v>#NUM!</v>
      </c>
      <c r="N273" s="543" t="e">
        <f>_xll.qlOvernightIndexedSwapFairRate(L273,Trigger)</f>
        <v>#VALUE!</v>
      </c>
      <c r="O273" s="545" t="e">
        <f t="shared" si="6"/>
        <v>#NUM!</v>
      </c>
    </row>
    <row r="274" spans="3:15" x14ac:dyDescent="0.2">
      <c r="C274" s="537"/>
      <c r="D274" s="537"/>
      <c r="E274" s="536"/>
      <c r="G274" s="536"/>
      <c r="H274" s="536"/>
      <c r="J274" s="551">
        <f>_xll.qlCalendarAdvance(Calendar,J273,"1M","f",,Trigger)</f>
        <v>50374</v>
      </c>
      <c r="K274" s="542">
        <f>_xll.qlCalendarAdvance(Calendar,J274,"3M","mf",,Trigger)</f>
        <v>50462</v>
      </c>
      <c r="L274" s="544" t="e">
        <f>_xll.qlMakeDatedOIS(,J274,K274,"eonia",,,,,Trigger)</f>
        <v>#NUM!</v>
      </c>
      <c r="M274" s="543" t="e">
        <f>_xll.qlIndexFixing("euribor3m",_xll.qlInterestRateIndexFixingDate("Euribor3M",J274),TRUE)</f>
        <v>#NUM!</v>
      </c>
      <c r="N274" s="543" t="e">
        <f>_xll.qlOvernightIndexedSwapFairRate(L274,Trigger)</f>
        <v>#VALUE!</v>
      </c>
      <c r="O274" s="545" t="e">
        <f t="shared" si="6"/>
        <v>#NUM!</v>
      </c>
    </row>
    <row r="275" spans="3:15" x14ac:dyDescent="0.2">
      <c r="C275" s="537"/>
      <c r="D275" s="537"/>
      <c r="E275" s="536"/>
      <c r="G275" s="536"/>
      <c r="H275" s="536"/>
      <c r="J275" s="551">
        <f>_xll.qlCalendarAdvance(Calendar,J274,"1M","f",,Trigger)</f>
        <v>50404</v>
      </c>
      <c r="K275" s="542">
        <f>_xll.qlCalendarAdvance(Calendar,J275,"3M","mf",,Trigger)</f>
        <v>50494</v>
      </c>
      <c r="L275" s="544" t="e">
        <f>_xll.qlMakeDatedOIS(,J275,K275,"eonia",,,,,Trigger)</f>
        <v>#NUM!</v>
      </c>
      <c r="M275" s="543" t="e">
        <f>_xll.qlIndexFixing("euribor3m",_xll.qlInterestRateIndexFixingDate("Euribor3M",J275),TRUE)</f>
        <v>#NUM!</v>
      </c>
      <c r="N275" s="543" t="e">
        <f>_xll.qlOvernightIndexedSwapFairRate(L275,Trigger)</f>
        <v>#VALUE!</v>
      </c>
      <c r="O275" s="545" t="e">
        <f t="shared" si="6"/>
        <v>#NUM!</v>
      </c>
    </row>
    <row r="276" spans="3:15" x14ac:dyDescent="0.2">
      <c r="C276" s="537"/>
      <c r="D276" s="537"/>
      <c r="E276" s="536"/>
      <c r="G276" s="536"/>
      <c r="H276" s="536"/>
      <c r="J276" s="551">
        <f>_xll.qlCalendarAdvance(Calendar,J275,"1M","f",,Trigger)</f>
        <v>50437</v>
      </c>
      <c r="K276" s="542">
        <f>_xll.qlCalendarAdvance(Calendar,J276,"3M","mf",,Trigger)</f>
        <v>50528</v>
      </c>
      <c r="L276" s="544" t="e">
        <f>_xll.qlMakeDatedOIS(,J276,K276,"eonia",,,,,Trigger)</f>
        <v>#NUM!</v>
      </c>
      <c r="M276" s="543" t="e">
        <f>_xll.qlIndexFixing("euribor3m",_xll.qlInterestRateIndexFixingDate("Euribor3M",J276),TRUE)</f>
        <v>#NUM!</v>
      </c>
      <c r="N276" s="543" t="e">
        <f>_xll.qlOvernightIndexedSwapFairRate(L276,Trigger)</f>
        <v>#VALUE!</v>
      </c>
      <c r="O276" s="545" t="e">
        <f t="shared" si="6"/>
        <v>#NUM!</v>
      </c>
    </row>
    <row r="277" spans="3:15" x14ac:dyDescent="0.2">
      <c r="C277" s="537"/>
      <c r="D277" s="537"/>
      <c r="E277" s="536"/>
      <c r="G277" s="536"/>
      <c r="H277" s="536"/>
      <c r="J277" s="551">
        <f>_xll.qlCalendarAdvance(Calendar,J276,"1M","f",,Trigger)</f>
        <v>50465</v>
      </c>
      <c r="K277" s="542">
        <f>_xll.qlCalendarAdvance(Calendar,J277,"3M","mf",,Trigger)</f>
        <v>50557</v>
      </c>
      <c r="L277" s="544" t="e">
        <f>_xll.qlMakeDatedOIS(,J277,K277,"eonia",,,,,Trigger)</f>
        <v>#NUM!</v>
      </c>
      <c r="M277" s="543" t="e">
        <f>_xll.qlIndexFixing("euribor3m",_xll.qlInterestRateIndexFixingDate("Euribor3M",J277),TRUE)</f>
        <v>#NUM!</v>
      </c>
      <c r="N277" s="543" t="e">
        <f>_xll.qlOvernightIndexedSwapFairRate(L277,Trigger)</f>
        <v>#VALUE!</v>
      </c>
      <c r="O277" s="545" t="e">
        <f t="shared" si="6"/>
        <v>#NUM!</v>
      </c>
    </row>
    <row r="278" spans="3:15" x14ac:dyDescent="0.2">
      <c r="C278" s="537"/>
      <c r="D278" s="537"/>
      <c r="E278" s="536"/>
      <c r="G278" s="536"/>
      <c r="H278" s="536"/>
      <c r="J278" s="551">
        <f>_xll.qlCalendarAdvance(Calendar,J277,"1M","f",,Trigger)</f>
        <v>50496</v>
      </c>
      <c r="K278" s="542">
        <f>_xll.qlCalendarAdvance(Calendar,J278,"3M","mf",,Trigger)</f>
        <v>50587</v>
      </c>
      <c r="L278" s="544" t="e">
        <f>_xll.qlMakeDatedOIS(,J278,K278,"eonia",,,,,Trigger)</f>
        <v>#NUM!</v>
      </c>
      <c r="M278" s="543" t="e">
        <f>_xll.qlIndexFixing("euribor3m",_xll.qlInterestRateIndexFixingDate("Euribor3M",J278),TRUE)</f>
        <v>#NUM!</v>
      </c>
      <c r="N278" s="543" t="e">
        <f>_xll.qlOvernightIndexedSwapFairRate(L278,Trigger)</f>
        <v>#VALUE!</v>
      </c>
      <c r="O278" s="545" t="e">
        <f t="shared" si="6"/>
        <v>#NUM!</v>
      </c>
    </row>
    <row r="279" spans="3:15" x14ac:dyDescent="0.2">
      <c r="C279" s="537"/>
      <c r="D279" s="537"/>
      <c r="E279" s="536"/>
      <c r="G279" s="536"/>
      <c r="H279" s="536"/>
      <c r="J279" s="551">
        <f>_xll.qlCalendarAdvance(Calendar,J278,"1M","f",,Trigger)</f>
        <v>50528</v>
      </c>
      <c r="K279" s="542">
        <f>_xll.qlCalendarAdvance(Calendar,J279,"3M","mf",,Trigger)</f>
        <v>50620</v>
      </c>
      <c r="L279" s="544" t="e">
        <f>_xll.qlMakeDatedOIS(,J279,K279,"eonia",,,,,Trigger)</f>
        <v>#NUM!</v>
      </c>
      <c r="M279" s="543" t="e">
        <f>_xll.qlIndexFixing("euribor3m",_xll.qlInterestRateIndexFixingDate("Euribor3M",J279),TRUE)</f>
        <v>#NUM!</v>
      </c>
      <c r="N279" s="543" t="e">
        <f>_xll.qlOvernightIndexedSwapFairRate(L279,Trigger)</f>
        <v>#VALUE!</v>
      </c>
      <c r="O279" s="545" t="e">
        <f t="shared" si="6"/>
        <v>#NUM!</v>
      </c>
    </row>
    <row r="280" spans="3:15" x14ac:dyDescent="0.2">
      <c r="C280" s="537"/>
      <c r="D280" s="537"/>
      <c r="E280" s="536"/>
      <c r="G280" s="536"/>
      <c r="H280" s="536"/>
      <c r="J280" s="551">
        <f>_xll.qlCalendarAdvance(Calendar,J279,"1M","f",,Trigger)</f>
        <v>50559</v>
      </c>
      <c r="K280" s="542">
        <f>_xll.qlCalendarAdvance(Calendar,J280,"3M","mf",,Trigger)</f>
        <v>50651</v>
      </c>
      <c r="L280" s="544" t="e">
        <f>_xll.qlMakeDatedOIS(,J280,K280,"eonia",,,,,Trigger)</f>
        <v>#NUM!</v>
      </c>
      <c r="M280" s="543" t="e">
        <f>_xll.qlIndexFixing("euribor3m",_xll.qlInterestRateIndexFixingDate("Euribor3M",J280),TRUE)</f>
        <v>#NUM!</v>
      </c>
      <c r="N280" s="543" t="e">
        <f>_xll.qlOvernightIndexedSwapFairRate(L280,Trigger)</f>
        <v>#VALUE!</v>
      </c>
      <c r="O280" s="545" t="e">
        <f t="shared" si="6"/>
        <v>#NUM!</v>
      </c>
    </row>
    <row r="281" spans="3:15" x14ac:dyDescent="0.2">
      <c r="C281" s="537"/>
      <c r="D281" s="537"/>
      <c r="E281" s="536"/>
      <c r="G281" s="536"/>
      <c r="H281" s="536"/>
      <c r="J281" s="551">
        <f>_xll.qlCalendarAdvance(Calendar,J280,"1M","f",,Trigger)</f>
        <v>50591</v>
      </c>
      <c r="K281" s="542">
        <f>_xll.qlCalendarAdvance(Calendar,J281,"3M","mf",,Trigger)</f>
        <v>50683</v>
      </c>
      <c r="L281" s="544" t="e">
        <f>_xll.qlMakeDatedOIS(,J281,K281,"eonia",,,,,Trigger)</f>
        <v>#NUM!</v>
      </c>
      <c r="M281" s="543" t="e">
        <f>_xll.qlIndexFixing("euribor3m",_xll.qlInterestRateIndexFixingDate("Euribor3M",J281),TRUE)</f>
        <v>#NUM!</v>
      </c>
      <c r="N281" s="543" t="e">
        <f>_xll.qlOvernightIndexedSwapFairRate(L281,Trigger)</f>
        <v>#VALUE!</v>
      </c>
      <c r="O281" s="545" t="e">
        <f t="shared" si="6"/>
        <v>#NUM!</v>
      </c>
    </row>
    <row r="282" spans="3:15" x14ac:dyDescent="0.2">
      <c r="C282" s="537"/>
      <c r="D282" s="537"/>
      <c r="E282" s="536"/>
      <c r="G282" s="536"/>
      <c r="H282" s="536"/>
      <c r="J282" s="551">
        <f>_xll.qlCalendarAdvance(Calendar,J281,"1M","f",,Trigger)</f>
        <v>50622</v>
      </c>
      <c r="K282" s="542">
        <f>_xll.qlCalendarAdvance(Calendar,J282,"3M","mf",,Trigger)</f>
        <v>50714</v>
      </c>
      <c r="L282" s="544" t="e">
        <f>_xll.qlMakeDatedOIS(,J282,K282,"eonia",,,,,Trigger)</f>
        <v>#NUM!</v>
      </c>
      <c r="M282" s="543" t="e">
        <f>_xll.qlIndexFixing("euribor3m",_xll.qlInterestRateIndexFixingDate("Euribor3M",J282),TRUE)</f>
        <v>#NUM!</v>
      </c>
      <c r="N282" s="543" t="e">
        <f>_xll.qlOvernightIndexedSwapFairRate(L282,Trigger)</f>
        <v>#VALUE!</v>
      </c>
      <c r="O282" s="545" t="e">
        <f t="shared" si="6"/>
        <v>#NUM!</v>
      </c>
    </row>
    <row r="283" spans="3:15" x14ac:dyDescent="0.2">
      <c r="C283" s="537"/>
      <c r="D283" s="537"/>
      <c r="E283" s="536"/>
      <c r="G283" s="536"/>
      <c r="H283" s="536"/>
      <c r="J283" s="551">
        <f>_xll.qlCalendarAdvance(Calendar,J282,"1M","f",,Trigger)</f>
        <v>50654</v>
      </c>
      <c r="K283" s="542">
        <f>_xll.qlCalendarAdvance(Calendar,J283,"3M","mf",,Trigger)</f>
        <v>50745</v>
      </c>
      <c r="L283" s="544" t="e">
        <f>_xll.qlMakeDatedOIS(,J283,K283,"eonia",,,,,Trigger)</f>
        <v>#NUM!</v>
      </c>
      <c r="M283" s="543" t="e">
        <f>_xll.qlIndexFixing("euribor3m",_xll.qlInterestRateIndexFixingDate("Euribor3M",J283),TRUE)</f>
        <v>#NUM!</v>
      </c>
      <c r="N283" s="543" t="e">
        <f>_xll.qlOvernightIndexedSwapFairRate(L283,Trigger)</f>
        <v>#VALUE!</v>
      </c>
      <c r="O283" s="545" t="e">
        <f t="shared" si="6"/>
        <v>#NUM!</v>
      </c>
    </row>
    <row r="284" spans="3:15" x14ac:dyDescent="0.2">
      <c r="C284" s="537"/>
      <c r="D284" s="537"/>
      <c r="E284" s="536"/>
      <c r="G284" s="536"/>
      <c r="H284" s="536"/>
      <c r="J284" s="551">
        <f>_xll.qlCalendarAdvance(Calendar,J283,"1M","f",,Trigger)</f>
        <v>50684</v>
      </c>
      <c r="K284" s="542">
        <f>_xll.qlCalendarAdvance(Calendar,J284,"3M","mf",,Trigger)</f>
        <v>50776</v>
      </c>
      <c r="L284" s="544" t="e">
        <f>_xll.qlMakeDatedOIS(,J284,K284,"eonia",,,,,Trigger)</f>
        <v>#NUM!</v>
      </c>
      <c r="M284" s="543" t="e">
        <f>_xll.qlIndexFixing("euribor3m",_xll.qlInterestRateIndexFixingDate("Euribor3M",J284),TRUE)</f>
        <v>#NUM!</v>
      </c>
      <c r="N284" s="543" t="e">
        <f>_xll.qlOvernightIndexedSwapFairRate(L284,Trigger)</f>
        <v>#VALUE!</v>
      </c>
      <c r="O284" s="545" t="e">
        <f t="shared" si="6"/>
        <v>#NUM!</v>
      </c>
    </row>
    <row r="285" spans="3:15" x14ac:dyDescent="0.2">
      <c r="C285" s="537"/>
      <c r="D285" s="537"/>
      <c r="E285" s="536"/>
      <c r="G285" s="536"/>
      <c r="H285" s="536"/>
      <c r="J285" s="551">
        <f>_xll.qlCalendarAdvance(Calendar,J284,"1M","f",,Trigger)</f>
        <v>50717</v>
      </c>
      <c r="K285" s="542">
        <f>_xll.qlCalendarAdvance(Calendar,J285,"3M","mf",,Trigger)</f>
        <v>50809</v>
      </c>
      <c r="L285" s="544" t="e">
        <f>_xll.qlMakeDatedOIS(,J285,K285,"eonia",,,,,Trigger)</f>
        <v>#NUM!</v>
      </c>
      <c r="M285" s="543" t="e">
        <f>_xll.qlIndexFixing("euribor3m",_xll.qlInterestRateIndexFixingDate("Euribor3M",J285),TRUE)</f>
        <v>#NUM!</v>
      </c>
      <c r="N285" s="543" t="e">
        <f>_xll.qlOvernightIndexedSwapFairRate(L285,Trigger)</f>
        <v>#VALUE!</v>
      </c>
      <c r="O285" s="545" t="e">
        <f t="shared" si="6"/>
        <v>#NUM!</v>
      </c>
    </row>
    <row r="286" spans="3:15" x14ac:dyDescent="0.2">
      <c r="C286" s="537"/>
      <c r="D286" s="537"/>
      <c r="E286" s="536"/>
      <c r="G286" s="536"/>
      <c r="H286" s="536"/>
      <c r="J286" s="551">
        <f>_xll.qlCalendarAdvance(Calendar,J285,"1M","f",,Trigger)</f>
        <v>50747</v>
      </c>
      <c r="K286" s="542">
        <f>_xll.qlCalendarAdvance(Calendar,J286,"3M","mf",,Trigger)</f>
        <v>50837</v>
      </c>
      <c r="L286" s="544" t="e">
        <f>_xll.qlMakeDatedOIS(,J286,K286,"eonia",,,,,Trigger)</f>
        <v>#NUM!</v>
      </c>
      <c r="M286" s="543" t="e">
        <f>_xll.qlIndexFixing("euribor3m",_xll.qlInterestRateIndexFixingDate("Euribor3M",J286),TRUE)</f>
        <v>#NUM!</v>
      </c>
      <c r="N286" s="543" t="e">
        <f>_xll.qlOvernightIndexedSwapFairRate(L286,Trigger)</f>
        <v>#VALUE!</v>
      </c>
      <c r="O286" s="545" t="e">
        <f t="shared" si="6"/>
        <v>#NUM!</v>
      </c>
    </row>
    <row r="287" spans="3:15" x14ac:dyDescent="0.2">
      <c r="C287" s="537"/>
      <c r="D287" s="537"/>
      <c r="E287" s="536"/>
      <c r="G287" s="536"/>
      <c r="H287" s="536"/>
      <c r="J287" s="551">
        <f>_xll.qlCalendarAdvance(Calendar,J286,"1M","f",,Trigger)</f>
        <v>50780</v>
      </c>
      <c r="K287" s="542">
        <f>_xll.qlCalendarAdvance(Calendar,J287,"3M","mf",,Trigger)</f>
        <v>50872</v>
      </c>
      <c r="L287" s="544" t="e">
        <f>_xll.qlMakeDatedOIS(,J287,K287,"eonia",,,,,Trigger)</f>
        <v>#NUM!</v>
      </c>
      <c r="M287" s="543" t="e">
        <f>_xll.qlIndexFixing("euribor3m",_xll.qlInterestRateIndexFixingDate("Euribor3M",J287),TRUE)</f>
        <v>#NUM!</v>
      </c>
      <c r="N287" s="543" t="e">
        <f>_xll.qlOvernightIndexedSwapFairRate(L287,Trigger)</f>
        <v>#VALUE!</v>
      </c>
      <c r="O287" s="545" t="e">
        <f t="shared" si="6"/>
        <v>#NUM!</v>
      </c>
    </row>
    <row r="288" spans="3:15" x14ac:dyDescent="0.2">
      <c r="C288" s="537"/>
      <c r="D288" s="537"/>
      <c r="E288" s="536"/>
      <c r="G288" s="536"/>
      <c r="H288" s="536"/>
      <c r="J288" s="551">
        <f>_xll.qlCalendarAdvance(Calendar,J287,"1M","f",,Trigger)</f>
        <v>50811</v>
      </c>
      <c r="K288" s="542">
        <f>_xll.qlCalendarAdvance(Calendar,J288,"3M","mf",,Trigger)</f>
        <v>50900</v>
      </c>
      <c r="L288" s="544" t="e">
        <f>_xll.qlMakeDatedOIS(,J288,K288,"eonia",,,,,Trigger)</f>
        <v>#NUM!</v>
      </c>
      <c r="M288" s="543" t="e">
        <f>_xll.qlIndexFixing("euribor3m",_xll.qlInterestRateIndexFixingDate("Euribor3M",J288),TRUE)</f>
        <v>#NUM!</v>
      </c>
      <c r="N288" s="543" t="e">
        <f>_xll.qlOvernightIndexedSwapFairRate(L288,Trigger)</f>
        <v>#VALUE!</v>
      </c>
      <c r="O288" s="545" t="e">
        <f t="shared" si="6"/>
        <v>#NUM!</v>
      </c>
    </row>
    <row r="289" spans="3:15" x14ac:dyDescent="0.2">
      <c r="C289" s="537"/>
      <c r="D289" s="537"/>
      <c r="E289" s="536"/>
      <c r="G289" s="536"/>
      <c r="H289" s="536"/>
      <c r="J289" s="551">
        <f>_xll.qlCalendarAdvance(Calendar,J288,"1M","f",,Trigger)</f>
        <v>50839</v>
      </c>
      <c r="K289" s="542">
        <f>_xll.qlCalendarAdvance(Calendar,J289,"3M","mf",,Trigger)</f>
        <v>50931</v>
      </c>
      <c r="L289" s="544" t="e">
        <f>_xll.qlMakeDatedOIS(,J289,K289,"eonia",,,,,Trigger)</f>
        <v>#NUM!</v>
      </c>
      <c r="M289" s="543" t="e">
        <f>_xll.qlIndexFixing("euribor3m",_xll.qlInterestRateIndexFixingDate("Euribor3M",J289),TRUE)</f>
        <v>#NUM!</v>
      </c>
      <c r="N289" s="543" t="e">
        <f>_xll.qlOvernightIndexedSwapFairRate(L289,Trigger)</f>
        <v>#VALUE!</v>
      </c>
      <c r="O289" s="545" t="e">
        <f t="shared" si="6"/>
        <v>#NUM!</v>
      </c>
    </row>
    <row r="290" spans="3:15" x14ac:dyDescent="0.2">
      <c r="C290" s="537"/>
      <c r="D290" s="537"/>
      <c r="E290" s="536"/>
      <c r="G290" s="536"/>
      <c r="H290" s="536"/>
      <c r="J290" s="551">
        <f>_xll.qlCalendarAdvance(Calendar,J289,"1M","f",,Trigger)</f>
        <v>50872</v>
      </c>
      <c r="K290" s="542">
        <f>_xll.qlCalendarAdvance(Calendar,J290,"3M","mf",,Trigger)</f>
        <v>50963</v>
      </c>
      <c r="L290" s="544" t="e">
        <f>_xll.qlMakeDatedOIS(,J290,K290,"eonia",,,,,Trigger)</f>
        <v>#NUM!</v>
      </c>
      <c r="M290" s="543" t="e">
        <f>_xll.qlIndexFixing("euribor3m",_xll.qlInterestRateIndexFixingDate("Euribor3M",J290),TRUE)</f>
        <v>#NUM!</v>
      </c>
      <c r="N290" s="543" t="e">
        <f>_xll.qlOvernightIndexedSwapFairRate(L290,Trigger)</f>
        <v>#VALUE!</v>
      </c>
      <c r="O290" s="545" t="e">
        <f t="shared" si="6"/>
        <v>#NUM!</v>
      </c>
    </row>
    <row r="291" spans="3:15" x14ac:dyDescent="0.2">
      <c r="C291" s="537"/>
      <c r="D291" s="537"/>
      <c r="E291" s="536"/>
      <c r="G291" s="536"/>
      <c r="H291" s="536"/>
      <c r="J291" s="551">
        <f>_xll.qlCalendarAdvance(Calendar,J290,"1M","f",,Trigger)</f>
        <v>50902</v>
      </c>
      <c r="K291" s="542">
        <f>_xll.qlCalendarAdvance(Calendar,J291,"3M","mf",,Trigger)</f>
        <v>50994</v>
      </c>
      <c r="L291" s="544" t="e">
        <f>_xll.qlMakeDatedOIS(,J291,K291,"eonia",,,,,Trigger)</f>
        <v>#NUM!</v>
      </c>
      <c r="M291" s="543" t="e">
        <f>_xll.qlIndexFixing("euribor3m",_xll.qlInterestRateIndexFixingDate("Euribor3M",J291),TRUE)</f>
        <v>#NUM!</v>
      </c>
      <c r="N291" s="543" t="e">
        <f>_xll.qlOvernightIndexedSwapFairRate(L291,Trigger)</f>
        <v>#VALUE!</v>
      </c>
      <c r="O291" s="545" t="e">
        <f t="shared" si="6"/>
        <v>#NUM!</v>
      </c>
    </row>
    <row r="292" spans="3:15" x14ac:dyDescent="0.2">
      <c r="C292" s="537"/>
      <c r="D292" s="537"/>
      <c r="E292" s="536"/>
      <c r="G292" s="536"/>
      <c r="H292" s="536"/>
      <c r="J292" s="551">
        <f>_xll.qlCalendarAdvance(Calendar,J291,"1M","f",,Trigger)</f>
        <v>50934</v>
      </c>
      <c r="K292" s="542">
        <f>_xll.qlCalendarAdvance(Calendar,J292,"3M","mf",,Trigger)</f>
        <v>51026</v>
      </c>
      <c r="L292" s="544" t="e">
        <f>_xll.qlMakeDatedOIS(,J292,K292,"eonia",,,,,Trigger)</f>
        <v>#NUM!</v>
      </c>
      <c r="M292" s="543" t="e">
        <f>_xll.qlIndexFixing("euribor3m",_xll.qlInterestRateIndexFixingDate("Euribor3M",J292),TRUE)</f>
        <v>#NUM!</v>
      </c>
      <c r="N292" s="543" t="e">
        <f>_xll.qlOvernightIndexedSwapFairRate(L292,Trigger)</f>
        <v>#VALUE!</v>
      </c>
      <c r="O292" s="545" t="e">
        <f t="shared" si="6"/>
        <v>#NUM!</v>
      </c>
    </row>
    <row r="293" spans="3:15" x14ac:dyDescent="0.2">
      <c r="C293" s="537"/>
      <c r="D293" s="537"/>
      <c r="E293" s="536"/>
      <c r="G293" s="536"/>
      <c r="H293" s="536"/>
      <c r="J293" s="551">
        <f>_xll.qlCalendarAdvance(Calendar,J292,"1M","f",,Trigger)</f>
        <v>50964</v>
      </c>
      <c r="K293" s="542">
        <f>_xll.qlCalendarAdvance(Calendar,J293,"3M","mf",,Trigger)</f>
        <v>51056</v>
      </c>
      <c r="L293" s="544" t="e">
        <f>_xll.qlMakeDatedOIS(,J293,K293,"eonia",,,,,Trigger)</f>
        <v>#NUM!</v>
      </c>
      <c r="M293" s="543" t="e">
        <f>_xll.qlIndexFixing("euribor3m",_xll.qlInterestRateIndexFixingDate("Euribor3M",J293),TRUE)</f>
        <v>#NUM!</v>
      </c>
      <c r="N293" s="543" t="e">
        <f>_xll.qlOvernightIndexedSwapFairRate(L293,Trigger)</f>
        <v>#VALUE!</v>
      </c>
      <c r="O293" s="545" t="e">
        <f t="shared" si="6"/>
        <v>#NUM!</v>
      </c>
    </row>
    <row r="294" spans="3:15" x14ac:dyDescent="0.2">
      <c r="C294" s="537"/>
      <c r="D294" s="537"/>
      <c r="E294" s="536"/>
      <c r="G294" s="536"/>
      <c r="H294" s="536"/>
      <c r="J294" s="551">
        <f>_xll.qlCalendarAdvance(Calendar,J293,"1M","f",,Trigger)</f>
        <v>50997</v>
      </c>
      <c r="K294" s="542">
        <f>_xll.qlCalendarAdvance(Calendar,J294,"3M","mf",,Trigger)</f>
        <v>51089</v>
      </c>
      <c r="L294" s="544" t="e">
        <f>_xll.qlMakeDatedOIS(,J294,K294,"eonia",,,,,Trigger)</f>
        <v>#NUM!</v>
      </c>
      <c r="M294" s="543" t="e">
        <f>_xll.qlIndexFixing("euribor3m",_xll.qlInterestRateIndexFixingDate("Euribor3M",J294),TRUE)</f>
        <v>#NUM!</v>
      </c>
      <c r="N294" s="543" t="e">
        <f>_xll.qlOvernightIndexedSwapFairRate(L294,Trigger)</f>
        <v>#VALUE!</v>
      </c>
      <c r="O294" s="545" t="e">
        <f t="shared" si="6"/>
        <v>#NUM!</v>
      </c>
    </row>
    <row r="295" spans="3:15" x14ac:dyDescent="0.2">
      <c r="C295" s="537"/>
      <c r="D295" s="537"/>
      <c r="E295" s="536"/>
      <c r="G295" s="536"/>
      <c r="H295" s="536"/>
      <c r="J295" s="551">
        <f>_xll.qlCalendarAdvance(Calendar,J294,"1M","f",,Trigger)</f>
        <v>51028</v>
      </c>
      <c r="K295" s="542">
        <f>_xll.qlCalendarAdvance(Calendar,J295,"3M","mf",,Trigger)</f>
        <v>51119</v>
      </c>
      <c r="L295" s="544" t="e">
        <f>_xll.qlMakeDatedOIS(,J295,K295,"eonia",,,,,Trigger)</f>
        <v>#NUM!</v>
      </c>
      <c r="M295" s="543" t="e">
        <f>_xll.qlIndexFixing("euribor3m",_xll.qlInterestRateIndexFixingDate("Euribor3M",J295),TRUE)</f>
        <v>#NUM!</v>
      </c>
      <c r="N295" s="543" t="e">
        <f>_xll.qlOvernightIndexedSwapFairRate(L295,Trigger)</f>
        <v>#VALUE!</v>
      </c>
      <c r="O295" s="545" t="e">
        <f t="shared" si="6"/>
        <v>#NUM!</v>
      </c>
    </row>
    <row r="296" spans="3:15" x14ac:dyDescent="0.2">
      <c r="C296" s="537"/>
      <c r="D296" s="537"/>
      <c r="E296" s="536"/>
      <c r="G296" s="536"/>
      <c r="H296" s="536"/>
      <c r="J296" s="551">
        <f>_xll.qlCalendarAdvance(Calendar,J295,"1M","f",,Trigger)</f>
        <v>51060</v>
      </c>
      <c r="K296" s="542">
        <f>_xll.qlCalendarAdvance(Calendar,J296,"3M","mf",,Trigger)</f>
        <v>51152</v>
      </c>
      <c r="L296" s="544" t="e">
        <f>_xll.qlMakeDatedOIS(,J296,K296,"eonia",,,,,Trigger)</f>
        <v>#NUM!</v>
      </c>
      <c r="M296" s="543" t="e">
        <f>_xll.qlIndexFixing("euribor3m",_xll.qlInterestRateIndexFixingDate("Euribor3M",J296),TRUE)</f>
        <v>#NUM!</v>
      </c>
      <c r="N296" s="543" t="e">
        <f>_xll.qlOvernightIndexedSwapFairRate(L296,Trigger)</f>
        <v>#VALUE!</v>
      </c>
      <c r="O296" s="545" t="e">
        <f t="shared" si="6"/>
        <v>#NUM!</v>
      </c>
    </row>
    <row r="297" spans="3:15" x14ac:dyDescent="0.2">
      <c r="C297" s="537"/>
      <c r="D297" s="537"/>
      <c r="E297" s="536"/>
      <c r="G297" s="536"/>
      <c r="H297" s="536"/>
      <c r="J297" s="551">
        <f>_xll.qlCalendarAdvance(Calendar,J296,"1M","f",,Trigger)</f>
        <v>51091</v>
      </c>
      <c r="K297" s="542">
        <f>_xll.qlCalendarAdvance(Calendar,J297,"3M","mf",,Trigger)</f>
        <v>51183</v>
      </c>
      <c r="L297" s="544" t="e">
        <f>_xll.qlMakeDatedOIS(,J297,K297,"eonia",,,,,Trigger)</f>
        <v>#NUM!</v>
      </c>
      <c r="M297" s="543" t="e">
        <f>_xll.qlIndexFixing("euribor3m",_xll.qlInterestRateIndexFixingDate("Euribor3M",J297),TRUE)</f>
        <v>#NUM!</v>
      </c>
      <c r="N297" s="543" t="e">
        <f>_xll.qlOvernightIndexedSwapFairRate(L297,Trigger)</f>
        <v>#VALUE!</v>
      </c>
      <c r="O297" s="545" t="e">
        <f t="shared" si="6"/>
        <v>#NUM!</v>
      </c>
    </row>
    <row r="298" spans="3:15" x14ac:dyDescent="0.2">
      <c r="C298" s="537"/>
      <c r="D298" s="537"/>
      <c r="E298" s="536"/>
      <c r="G298" s="536"/>
      <c r="H298" s="536"/>
      <c r="J298" s="551">
        <f>_xll.qlCalendarAdvance(Calendar,J297,"1M","f",,Trigger)</f>
        <v>51123</v>
      </c>
      <c r="K298" s="542">
        <f>_xll.qlCalendarAdvance(Calendar,J298,"3M","mf",,Trigger)</f>
        <v>51214</v>
      </c>
      <c r="L298" s="544" t="e">
        <f>_xll.qlMakeDatedOIS(,J298,K298,"eonia",,,,,Trigger)</f>
        <v>#NUM!</v>
      </c>
      <c r="M298" s="543" t="e">
        <f>_xll.qlIndexFixing("euribor3m",_xll.qlInterestRateIndexFixingDate("Euribor3M",J298),TRUE)</f>
        <v>#NUM!</v>
      </c>
      <c r="N298" s="543" t="e">
        <f>_xll.qlOvernightIndexedSwapFairRate(L298,Trigger)</f>
        <v>#VALUE!</v>
      </c>
      <c r="O298" s="545" t="e">
        <f t="shared" si="6"/>
        <v>#NUM!</v>
      </c>
    </row>
    <row r="299" spans="3:15" x14ac:dyDescent="0.2">
      <c r="C299" s="537"/>
      <c r="D299" s="537"/>
      <c r="E299" s="536"/>
      <c r="G299" s="536"/>
      <c r="H299" s="536"/>
      <c r="J299" s="551">
        <f>_xll.qlCalendarAdvance(Calendar,J298,"1M","f",,Trigger)</f>
        <v>51154</v>
      </c>
      <c r="K299" s="542">
        <f>_xll.qlCalendarAdvance(Calendar,J299,"3M","mf",,Trigger)</f>
        <v>51245</v>
      </c>
      <c r="L299" s="544" t="e">
        <f>_xll.qlMakeDatedOIS(,J299,K299,"eonia",,,,,Trigger)</f>
        <v>#NUM!</v>
      </c>
      <c r="M299" s="543" t="e">
        <f>_xll.qlIndexFixing("euribor3m",_xll.qlInterestRateIndexFixingDate("Euribor3M",J299),TRUE)</f>
        <v>#NUM!</v>
      </c>
      <c r="N299" s="543" t="e">
        <f>_xll.qlOvernightIndexedSwapFairRate(L299,Trigger)</f>
        <v>#VALUE!</v>
      </c>
      <c r="O299" s="545" t="e">
        <f t="shared" si="6"/>
        <v>#NUM!</v>
      </c>
    </row>
    <row r="300" spans="3:15" x14ac:dyDescent="0.2">
      <c r="C300" s="537"/>
      <c r="D300" s="537"/>
      <c r="E300" s="536"/>
      <c r="G300" s="536"/>
      <c r="H300" s="536"/>
      <c r="J300" s="551">
        <f>_xll.qlCalendarAdvance(Calendar,J299,"1M","f",,Trigger)</f>
        <v>51186</v>
      </c>
      <c r="K300" s="542">
        <f>_xll.qlCalendarAdvance(Calendar,J300,"3M","mf",,Trigger)</f>
        <v>51277</v>
      </c>
      <c r="L300" s="544" t="e">
        <f>_xll.qlMakeDatedOIS(,J300,K300,"eonia",,,,,Trigger)</f>
        <v>#NUM!</v>
      </c>
      <c r="M300" s="543" t="e">
        <f>_xll.qlIndexFixing("euribor3m",_xll.qlInterestRateIndexFixingDate("Euribor3M",J300),TRUE)</f>
        <v>#NUM!</v>
      </c>
      <c r="N300" s="543" t="e">
        <f>_xll.qlOvernightIndexedSwapFairRate(L300,Trigger)</f>
        <v>#VALUE!</v>
      </c>
      <c r="O300" s="545" t="e">
        <f t="shared" si="6"/>
        <v>#NUM!</v>
      </c>
    </row>
    <row r="301" spans="3:15" x14ac:dyDescent="0.2">
      <c r="C301" s="537"/>
      <c r="D301" s="537"/>
      <c r="E301" s="536"/>
      <c r="G301" s="536"/>
      <c r="H301" s="536"/>
      <c r="J301" s="551">
        <f>_xll.qlCalendarAdvance(Calendar,J300,"1M","f",,Trigger)</f>
        <v>51215</v>
      </c>
      <c r="K301" s="542">
        <f>_xll.qlCalendarAdvance(Calendar,J301,"3M","mf",,Trigger)</f>
        <v>51307</v>
      </c>
      <c r="L301" s="544" t="e">
        <f>_xll.qlMakeDatedOIS(,J301,K301,"eonia",,,,,Trigger)</f>
        <v>#NUM!</v>
      </c>
      <c r="M301" s="543" t="e">
        <f>_xll.qlIndexFixing("euribor3m",_xll.qlInterestRateIndexFixingDate("Euribor3M",J301),TRUE)</f>
        <v>#NUM!</v>
      </c>
      <c r="N301" s="543" t="e">
        <f>_xll.qlOvernightIndexedSwapFairRate(L301,Trigger)</f>
        <v>#VALUE!</v>
      </c>
      <c r="O301" s="545" t="e">
        <f t="shared" si="6"/>
        <v>#NUM!</v>
      </c>
    </row>
    <row r="302" spans="3:15" x14ac:dyDescent="0.2">
      <c r="C302" s="537"/>
      <c r="D302" s="537"/>
      <c r="E302" s="536"/>
      <c r="G302" s="536"/>
      <c r="H302" s="536"/>
      <c r="J302" s="551">
        <f>_xll.qlCalendarAdvance(Calendar,J301,"1M","f",,Trigger)</f>
        <v>51246</v>
      </c>
      <c r="K302" s="542">
        <f>_xll.qlCalendarAdvance(Calendar,J302,"3M","mf",,Trigger)</f>
        <v>51337</v>
      </c>
      <c r="L302" s="544" t="e">
        <f>_xll.qlMakeDatedOIS(,J302,K302,"eonia",,,,,Trigger)</f>
        <v>#NUM!</v>
      </c>
      <c r="M302" s="543" t="e">
        <f>_xll.qlIndexFixing("euribor3m",_xll.qlInterestRateIndexFixingDate("Euribor3M",J302),TRUE)</f>
        <v>#NUM!</v>
      </c>
      <c r="N302" s="543" t="e">
        <f>_xll.qlOvernightIndexedSwapFairRate(L302,Trigger)</f>
        <v>#VALUE!</v>
      </c>
      <c r="O302" s="545" t="e">
        <f t="shared" si="6"/>
        <v>#NUM!</v>
      </c>
    </row>
    <row r="303" spans="3:15" x14ac:dyDescent="0.2">
      <c r="C303" s="537"/>
      <c r="D303" s="537"/>
      <c r="E303" s="536"/>
      <c r="G303" s="536"/>
      <c r="H303" s="536"/>
      <c r="J303" s="551">
        <f>_xll.qlCalendarAdvance(Calendar,J302,"1M","f",,Trigger)</f>
        <v>51277</v>
      </c>
      <c r="K303" s="542">
        <f>_xll.qlCalendarAdvance(Calendar,J303,"3M","mf",,Trigger)</f>
        <v>51369</v>
      </c>
      <c r="L303" s="544" t="e">
        <f>_xll.qlMakeDatedOIS(,J303,K303,"eonia",,,,,Trigger)</f>
        <v>#NUM!</v>
      </c>
      <c r="M303" s="543" t="e">
        <f>_xll.qlIndexFixing("euribor3m",_xll.qlInterestRateIndexFixingDate("Euribor3M",J303),TRUE)</f>
        <v>#NUM!</v>
      </c>
      <c r="N303" s="543" t="e">
        <f>_xll.qlOvernightIndexedSwapFairRate(L303,Trigger)</f>
        <v>#VALUE!</v>
      </c>
      <c r="O303" s="545" t="e">
        <f t="shared" si="6"/>
        <v>#NUM!</v>
      </c>
    </row>
    <row r="304" spans="3:15" x14ac:dyDescent="0.2">
      <c r="C304" s="537"/>
      <c r="D304" s="537"/>
      <c r="E304" s="536"/>
      <c r="G304" s="536"/>
      <c r="H304" s="536"/>
      <c r="J304" s="551">
        <f>_xll.qlCalendarAdvance(Calendar,J303,"1M","f",,Trigger)</f>
        <v>51308</v>
      </c>
      <c r="K304" s="542">
        <f>_xll.qlCalendarAdvance(Calendar,J304,"3M","mf",,Trigger)</f>
        <v>51400</v>
      </c>
      <c r="L304" s="544" t="e">
        <f>_xll.qlMakeDatedOIS(,J304,K304,"eonia",,,,,Trigger)</f>
        <v>#NUM!</v>
      </c>
      <c r="M304" s="543" t="e">
        <f>_xll.qlIndexFixing("euribor3m",_xll.qlInterestRateIndexFixingDate("Euribor3M",J304),TRUE)</f>
        <v>#NUM!</v>
      </c>
      <c r="N304" s="543" t="e">
        <f>_xll.qlOvernightIndexedSwapFairRate(L304,Trigger)</f>
        <v>#VALUE!</v>
      </c>
      <c r="O304" s="545" t="e">
        <f t="shared" si="6"/>
        <v>#NUM!</v>
      </c>
    </row>
    <row r="305" spans="3:15" x14ac:dyDescent="0.2">
      <c r="C305" s="537"/>
      <c r="D305" s="537"/>
      <c r="E305" s="536"/>
      <c r="G305" s="536"/>
      <c r="H305" s="536"/>
      <c r="J305" s="551">
        <f>_xll.qlCalendarAdvance(Calendar,J304,"1M","f",,Trigger)</f>
        <v>51340</v>
      </c>
      <c r="K305" s="542">
        <f>_xll.qlCalendarAdvance(Calendar,J305,"3M","mf",,Trigger)</f>
        <v>51432</v>
      </c>
      <c r="L305" s="544" t="e">
        <f>_xll.qlMakeDatedOIS(,J305,K305,"eonia",,,,,Trigger)</f>
        <v>#NUM!</v>
      </c>
      <c r="M305" s="543" t="e">
        <f>_xll.qlIndexFixing("euribor3m",_xll.qlInterestRateIndexFixingDate("Euribor3M",J305),TRUE)</f>
        <v>#NUM!</v>
      </c>
      <c r="N305" s="543" t="e">
        <f>_xll.qlOvernightIndexedSwapFairRate(L305,Trigger)</f>
        <v>#VALUE!</v>
      </c>
      <c r="O305" s="545" t="e">
        <f t="shared" si="6"/>
        <v>#NUM!</v>
      </c>
    </row>
    <row r="306" spans="3:15" x14ac:dyDescent="0.2">
      <c r="C306" s="537"/>
      <c r="D306" s="537"/>
      <c r="E306" s="536"/>
      <c r="G306" s="536"/>
      <c r="H306" s="536"/>
      <c r="J306" s="551">
        <f>_xll.qlCalendarAdvance(Calendar,J305,"1M","f",,Trigger)</f>
        <v>51371</v>
      </c>
      <c r="K306" s="542">
        <f>_xll.qlCalendarAdvance(Calendar,J306,"3M","mf",,Trigger)</f>
        <v>51463</v>
      </c>
      <c r="L306" s="544" t="e">
        <f>_xll.qlMakeDatedOIS(,J306,K306,"eonia",,,,,Trigger)</f>
        <v>#NUM!</v>
      </c>
      <c r="M306" s="543" t="e">
        <f>_xll.qlIndexFixing("euribor3m",_xll.qlInterestRateIndexFixingDate("Euribor3M",J306),TRUE)</f>
        <v>#NUM!</v>
      </c>
      <c r="N306" s="543" t="e">
        <f>_xll.qlOvernightIndexedSwapFairRate(L306,Trigger)</f>
        <v>#VALUE!</v>
      </c>
      <c r="O306" s="545" t="e">
        <f t="shared" si="6"/>
        <v>#NUM!</v>
      </c>
    </row>
    <row r="307" spans="3:15" x14ac:dyDescent="0.2">
      <c r="C307" s="537"/>
      <c r="D307" s="537"/>
      <c r="E307" s="536"/>
      <c r="G307" s="536"/>
      <c r="H307" s="536"/>
      <c r="J307" s="551">
        <f>_xll.qlCalendarAdvance(Calendar,J306,"1M","f",,Trigger)</f>
        <v>51403</v>
      </c>
      <c r="K307" s="542">
        <f>_xll.qlCalendarAdvance(Calendar,J307,"3M","mf",,Trigger)</f>
        <v>51494</v>
      </c>
      <c r="L307" s="544" t="e">
        <f>_xll.qlMakeDatedOIS(,J307,K307,"eonia",,,,,Trigger)</f>
        <v>#NUM!</v>
      </c>
      <c r="M307" s="543" t="e">
        <f>_xll.qlIndexFixing("euribor3m",_xll.qlInterestRateIndexFixingDate("Euribor3M",J307),TRUE)</f>
        <v>#NUM!</v>
      </c>
      <c r="N307" s="543" t="e">
        <f>_xll.qlOvernightIndexedSwapFairRate(L307,Trigger)</f>
        <v>#VALUE!</v>
      </c>
      <c r="O307" s="545" t="e">
        <f t="shared" si="6"/>
        <v>#NUM!</v>
      </c>
    </row>
    <row r="308" spans="3:15" x14ac:dyDescent="0.2">
      <c r="C308" s="537"/>
      <c r="D308" s="537"/>
      <c r="E308" s="536"/>
      <c r="G308" s="536"/>
      <c r="H308" s="536"/>
      <c r="J308" s="551">
        <f>_xll.qlCalendarAdvance(Calendar,J307,"1M","f",,Trigger)</f>
        <v>51433</v>
      </c>
      <c r="K308" s="542">
        <f>_xll.qlCalendarAdvance(Calendar,J308,"3M","mf",,Trigger)</f>
        <v>51525</v>
      </c>
      <c r="L308" s="544" t="e">
        <f>_xll.qlMakeDatedOIS(,J308,K308,"eonia",,,,,Trigger)</f>
        <v>#NUM!</v>
      </c>
      <c r="M308" s="543" t="e">
        <f>_xll.qlIndexFixing("euribor3m",_xll.qlInterestRateIndexFixingDate("Euribor3M",J308),TRUE)</f>
        <v>#NUM!</v>
      </c>
      <c r="N308" s="543" t="e">
        <f>_xll.qlOvernightIndexedSwapFairRate(L308,Trigger)</f>
        <v>#VALUE!</v>
      </c>
      <c r="O308" s="545" t="e">
        <f t="shared" si="6"/>
        <v>#NUM!</v>
      </c>
    </row>
    <row r="309" spans="3:15" x14ac:dyDescent="0.2">
      <c r="C309" s="537"/>
      <c r="D309" s="537"/>
      <c r="E309" s="536"/>
      <c r="G309" s="536"/>
      <c r="H309" s="536"/>
      <c r="J309" s="551">
        <f>_xll.qlCalendarAdvance(Calendar,J308,"1M","f",,Trigger)</f>
        <v>51466</v>
      </c>
      <c r="K309" s="542">
        <f>_xll.qlCalendarAdvance(Calendar,J309,"3M","mf",,Trigger)</f>
        <v>51558</v>
      </c>
      <c r="L309" s="544" t="e">
        <f>_xll.qlMakeDatedOIS(,J309,K309,"eonia",,,,,Trigger)</f>
        <v>#NUM!</v>
      </c>
      <c r="M309" s="543" t="e">
        <f>_xll.qlIndexFixing("euribor3m",_xll.qlInterestRateIndexFixingDate("Euribor3M",J309),TRUE)</f>
        <v>#NUM!</v>
      </c>
      <c r="N309" s="543" t="e">
        <f>_xll.qlOvernightIndexedSwapFairRate(L309,Trigger)</f>
        <v>#VALUE!</v>
      </c>
      <c r="O309" s="545" t="e">
        <f t="shared" si="6"/>
        <v>#NUM!</v>
      </c>
    </row>
    <row r="310" spans="3:15" x14ac:dyDescent="0.2">
      <c r="C310" s="537"/>
      <c r="D310" s="537"/>
      <c r="E310" s="536"/>
      <c r="G310" s="536"/>
      <c r="H310" s="536"/>
      <c r="J310" s="551">
        <f>_xll.qlCalendarAdvance(Calendar,J309,"1M","f",,Trigger)</f>
        <v>51497</v>
      </c>
      <c r="K310" s="542">
        <f>_xll.qlCalendarAdvance(Calendar,J310,"3M","mf",,Trigger)</f>
        <v>51587</v>
      </c>
      <c r="L310" s="544" t="e">
        <f>_xll.qlMakeDatedOIS(,J310,K310,"eonia",,,,,Trigger)</f>
        <v>#NUM!</v>
      </c>
      <c r="M310" s="543" t="e">
        <f>_xll.qlIndexFixing("euribor3m",_xll.qlInterestRateIndexFixingDate("Euribor3M",J310),TRUE)</f>
        <v>#NUM!</v>
      </c>
      <c r="N310" s="543" t="e">
        <f>_xll.qlOvernightIndexedSwapFairRate(L310,Trigger)</f>
        <v>#VALUE!</v>
      </c>
      <c r="O310" s="545" t="e">
        <f t="shared" si="6"/>
        <v>#NUM!</v>
      </c>
    </row>
    <row r="311" spans="3:15" x14ac:dyDescent="0.2">
      <c r="C311" s="537"/>
      <c r="D311" s="537"/>
      <c r="E311" s="536"/>
      <c r="G311" s="536"/>
      <c r="H311" s="536"/>
      <c r="J311" s="551">
        <f>_xll.qlCalendarAdvance(Calendar,J310,"1M","f",,Trigger)</f>
        <v>51529</v>
      </c>
      <c r="K311" s="542">
        <f>_xll.qlCalendarAdvance(Calendar,J311,"3M","mf",,Trigger)</f>
        <v>51620</v>
      </c>
      <c r="L311" s="544" t="e">
        <f>_xll.qlMakeDatedOIS(,J311,K311,"eonia",,,,,Trigger)</f>
        <v>#NUM!</v>
      </c>
      <c r="M311" s="543" t="e">
        <f>_xll.qlIndexFixing("euribor3m",_xll.qlInterestRateIndexFixingDate("Euribor3M",J311),TRUE)</f>
        <v>#NUM!</v>
      </c>
      <c r="N311" s="543" t="e">
        <f>_xll.qlOvernightIndexedSwapFairRate(L311,Trigger)</f>
        <v>#VALUE!</v>
      </c>
      <c r="O311" s="545" t="e">
        <f t="shared" si="6"/>
        <v>#NUM!</v>
      </c>
    </row>
    <row r="312" spans="3:15" x14ac:dyDescent="0.2">
      <c r="C312" s="537"/>
      <c r="D312" s="537"/>
      <c r="E312" s="536"/>
      <c r="G312" s="536"/>
      <c r="H312" s="536"/>
      <c r="J312" s="551">
        <f>_xll.qlCalendarAdvance(Calendar,J311,"1M","f",,Trigger)</f>
        <v>51560</v>
      </c>
      <c r="K312" s="542">
        <f>_xll.qlCalendarAdvance(Calendar,J312,"3M","mf",,Trigger)</f>
        <v>51649</v>
      </c>
      <c r="L312" s="544" t="e">
        <f>_xll.qlMakeDatedOIS(,J312,K312,"eonia",,,,,Trigger)</f>
        <v>#NUM!</v>
      </c>
      <c r="M312" s="543" t="e">
        <f>_xll.qlIndexFixing("euribor3m",_xll.qlInterestRateIndexFixingDate("Euribor3M",J312),TRUE)</f>
        <v>#NUM!</v>
      </c>
      <c r="N312" s="543" t="e">
        <f>_xll.qlOvernightIndexedSwapFairRate(L312,Trigger)</f>
        <v>#VALUE!</v>
      </c>
      <c r="O312" s="545" t="e">
        <f t="shared" si="6"/>
        <v>#NUM!</v>
      </c>
    </row>
    <row r="313" spans="3:15" x14ac:dyDescent="0.2">
      <c r="C313" s="537"/>
      <c r="D313" s="537"/>
      <c r="E313" s="536"/>
      <c r="G313" s="536"/>
      <c r="H313" s="536"/>
      <c r="J313" s="551">
        <f>_xll.qlCalendarAdvance(Calendar,J312,"1M","f",,Trigger)</f>
        <v>51588</v>
      </c>
      <c r="K313" s="542">
        <f>_xll.qlCalendarAdvance(Calendar,J313,"3M","mf",,Trigger)</f>
        <v>51680</v>
      </c>
      <c r="L313" s="544" t="e">
        <f>_xll.qlMakeDatedOIS(,J313,K313,"eonia",,,,,Trigger)</f>
        <v>#NUM!</v>
      </c>
      <c r="M313" s="543" t="e">
        <f>_xll.qlIndexFixing("euribor3m",_xll.qlInterestRateIndexFixingDate("Euribor3M",J313),TRUE)</f>
        <v>#NUM!</v>
      </c>
      <c r="N313" s="543" t="e">
        <f>_xll.qlOvernightIndexedSwapFairRate(L313,Trigger)</f>
        <v>#VALUE!</v>
      </c>
      <c r="O313" s="545" t="e">
        <f t="shared" si="6"/>
        <v>#NUM!</v>
      </c>
    </row>
    <row r="314" spans="3:15" x14ac:dyDescent="0.2">
      <c r="C314" s="537"/>
      <c r="D314" s="537"/>
      <c r="E314" s="536"/>
      <c r="G314" s="536"/>
      <c r="H314" s="536"/>
      <c r="J314" s="551">
        <f>_xll.qlCalendarAdvance(Calendar,J313,"1M","f",,Trigger)</f>
        <v>51620</v>
      </c>
      <c r="K314" s="542">
        <f>_xll.qlCalendarAdvance(Calendar,J314,"3M","mf",,Trigger)</f>
        <v>51711</v>
      </c>
      <c r="L314" s="544" t="e">
        <f>_xll.qlMakeDatedOIS(,J314,K314,"eonia",,,,,Trigger)</f>
        <v>#NUM!</v>
      </c>
      <c r="M314" s="543" t="e">
        <f>_xll.qlIndexFixing("euribor3m",_xll.qlInterestRateIndexFixingDate("Euribor3M",J314),TRUE)</f>
        <v>#NUM!</v>
      </c>
      <c r="N314" s="543" t="e">
        <f>_xll.qlOvernightIndexedSwapFairRate(L314,Trigger)</f>
        <v>#VALUE!</v>
      </c>
      <c r="O314" s="545" t="e">
        <f t="shared" si="6"/>
        <v>#NUM!</v>
      </c>
    </row>
    <row r="315" spans="3:15" x14ac:dyDescent="0.2">
      <c r="C315" s="537"/>
      <c r="D315" s="537"/>
      <c r="E315" s="536"/>
      <c r="G315" s="536"/>
      <c r="H315" s="536"/>
      <c r="J315" s="551">
        <f>_xll.qlCalendarAdvance(Calendar,J314,"1M","f",,Trigger)</f>
        <v>51650</v>
      </c>
      <c r="K315" s="542">
        <f>_xll.qlCalendarAdvance(Calendar,J315,"3M","mf",,Trigger)</f>
        <v>51742</v>
      </c>
      <c r="L315" s="544" t="e">
        <f>_xll.qlMakeDatedOIS(,J315,K315,"eonia",,,,,Trigger)</f>
        <v>#NUM!</v>
      </c>
      <c r="M315" s="543" t="e">
        <f>_xll.qlIndexFixing("euribor3m",_xll.qlInterestRateIndexFixingDate("Euribor3M",J315),TRUE)</f>
        <v>#NUM!</v>
      </c>
      <c r="N315" s="543" t="e">
        <f>_xll.qlOvernightIndexedSwapFairRate(L315,Trigger)</f>
        <v>#VALUE!</v>
      </c>
      <c r="O315" s="545" t="e">
        <f t="shared" si="6"/>
        <v>#NUM!</v>
      </c>
    </row>
    <row r="316" spans="3:15" x14ac:dyDescent="0.2">
      <c r="C316" s="537"/>
      <c r="D316" s="537"/>
      <c r="E316" s="536"/>
      <c r="G316" s="536"/>
      <c r="H316" s="536"/>
      <c r="J316" s="551">
        <f>_xll.qlCalendarAdvance(Calendar,J315,"1M","f",,Trigger)</f>
        <v>51683</v>
      </c>
      <c r="K316" s="542">
        <f>_xll.qlCalendarAdvance(Calendar,J316,"3M","mf",,Trigger)</f>
        <v>51775</v>
      </c>
      <c r="L316" s="544" t="e">
        <f>_xll.qlMakeDatedOIS(,J316,K316,"eonia",,,,,Trigger)</f>
        <v>#NUM!</v>
      </c>
      <c r="M316" s="543" t="e">
        <f>_xll.qlIndexFixing("euribor3m",_xll.qlInterestRateIndexFixingDate("Euribor3M",J316),TRUE)</f>
        <v>#NUM!</v>
      </c>
      <c r="N316" s="543" t="e">
        <f>_xll.qlOvernightIndexedSwapFairRate(L316,Trigger)</f>
        <v>#VALUE!</v>
      </c>
      <c r="O316" s="545" t="e">
        <f t="shared" si="6"/>
        <v>#NUM!</v>
      </c>
    </row>
    <row r="317" spans="3:15" x14ac:dyDescent="0.2">
      <c r="C317" s="537"/>
      <c r="D317" s="537"/>
      <c r="E317" s="536"/>
      <c r="G317" s="536"/>
      <c r="H317" s="536"/>
      <c r="J317" s="551">
        <f>_xll.qlCalendarAdvance(Calendar,J316,"1M","f",,Trigger)</f>
        <v>51714</v>
      </c>
      <c r="K317" s="542">
        <f>_xll.qlCalendarAdvance(Calendar,J317,"3M","mf",,Trigger)</f>
        <v>51806</v>
      </c>
      <c r="L317" s="544" t="e">
        <f>_xll.qlMakeDatedOIS(,J317,K317,"eonia",,,,,Trigger)</f>
        <v>#NUM!</v>
      </c>
      <c r="M317" s="543" t="e">
        <f>_xll.qlIndexFixing("euribor3m",_xll.qlInterestRateIndexFixingDate("Euribor3M",J317),TRUE)</f>
        <v>#NUM!</v>
      </c>
      <c r="N317" s="543" t="e">
        <f>_xll.qlOvernightIndexedSwapFairRate(L317,Trigger)</f>
        <v>#VALUE!</v>
      </c>
      <c r="O317" s="545" t="e">
        <f t="shared" si="6"/>
        <v>#NUM!</v>
      </c>
    </row>
    <row r="318" spans="3:15" x14ac:dyDescent="0.2">
      <c r="C318" s="537"/>
      <c r="D318" s="537"/>
      <c r="E318" s="536"/>
      <c r="G318" s="536"/>
      <c r="H318" s="536"/>
      <c r="J318" s="551">
        <f>_xll.qlCalendarAdvance(Calendar,J317,"1M","f",,Trigger)</f>
        <v>51746</v>
      </c>
      <c r="K318" s="542">
        <f>_xll.qlCalendarAdvance(Calendar,J318,"3M","mf",,Trigger)</f>
        <v>51837</v>
      </c>
      <c r="L318" s="544" t="e">
        <f>_xll.qlMakeDatedOIS(,J318,K318,"eonia",,,,,Trigger)</f>
        <v>#NUM!</v>
      </c>
      <c r="M318" s="543" t="e">
        <f>_xll.qlIndexFixing("euribor3m",_xll.qlInterestRateIndexFixingDate("Euribor3M",J318),TRUE)</f>
        <v>#NUM!</v>
      </c>
      <c r="N318" s="543" t="e">
        <f>_xll.qlOvernightIndexedSwapFairRate(L318,Trigger)</f>
        <v>#VALUE!</v>
      </c>
      <c r="O318" s="545" t="e">
        <f t="shared" si="6"/>
        <v>#NUM!</v>
      </c>
    </row>
    <row r="319" spans="3:15" x14ac:dyDescent="0.2">
      <c r="C319" s="537"/>
      <c r="D319" s="537"/>
      <c r="E319" s="536"/>
      <c r="G319" s="536"/>
      <c r="H319" s="536"/>
      <c r="J319" s="551">
        <f>_xll.qlCalendarAdvance(Calendar,J318,"1M","f",,Trigger)</f>
        <v>51776</v>
      </c>
      <c r="K319" s="542">
        <f>_xll.qlCalendarAdvance(Calendar,J319,"3M","mf",,Trigger)</f>
        <v>51868</v>
      </c>
      <c r="L319" s="544" t="e">
        <f>_xll.qlMakeDatedOIS(,J319,K319,"eonia",,,,,Trigger)</f>
        <v>#NUM!</v>
      </c>
      <c r="M319" s="543" t="e">
        <f>_xll.qlIndexFixing("euribor3m",_xll.qlInterestRateIndexFixingDate("Euribor3M",J319),TRUE)</f>
        <v>#NUM!</v>
      </c>
      <c r="N319" s="543" t="e">
        <f>_xll.qlOvernightIndexedSwapFairRate(L319,Trigger)</f>
        <v>#VALUE!</v>
      </c>
      <c r="O319" s="545" t="e">
        <f t="shared" si="6"/>
        <v>#NUM!</v>
      </c>
    </row>
    <row r="320" spans="3:15" x14ac:dyDescent="0.2">
      <c r="C320" s="537"/>
      <c r="D320" s="537"/>
      <c r="E320" s="536"/>
      <c r="G320" s="536"/>
      <c r="H320" s="536"/>
      <c r="J320" s="551">
        <f>_xll.qlCalendarAdvance(Calendar,J319,"1M","f",,Trigger)</f>
        <v>51809</v>
      </c>
      <c r="K320" s="542">
        <f>_xll.qlCalendarAdvance(Calendar,J320,"3M","mf",,Trigger)</f>
        <v>51901</v>
      </c>
      <c r="L320" s="544" t="e">
        <f>_xll.qlMakeDatedOIS(,J320,K320,"eonia",,,,,Trigger)</f>
        <v>#NUM!</v>
      </c>
      <c r="M320" s="543" t="e">
        <f>_xll.qlIndexFixing("euribor3m",_xll.qlInterestRateIndexFixingDate("Euribor3M",J320),TRUE)</f>
        <v>#NUM!</v>
      </c>
      <c r="N320" s="543" t="e">
        <f>_xll.qlOvernightIndexedSwapFairRate(L320,Trigger)</f>
        <v>#VALUE!</v>
      </c>
      <c r="O320" s="545" t="e">
        <f t="shared" si="6"/>
        <v>#NUM!</v>
      </c>
    </row>
    <row r="321" spans="3:15" x14ac:dyDescent="0.2">
      <c r="C321" s="537"/>
      <c r="D321" s="537"/>
      <c r="E321" s="536"/>
      <c r="G321" s="536"/>
      <c r="H321" s="536"/>
      <c r="J321" s="551">
        <f>_xll.qlCalendarAdvance(Calendar,J320,"1M","f",,Trigger)</f>
        <v>51839</v>
      </c>
      <c r="K321" s="542">
        <f>_xll.qlCalendarAdvance(Calendar,J321,"3M","mf",,Trigger)</f>
        <v>51929</v>
      </c>
      <c r="L321" s="544" t="e">
        <f>_xll.qlMakeDatedOIS(,J321,K321,"eonia",,,,,Trigger)</f>
        <v>#NUM!</v>
      </c>
      <c r="M321" s="543" t="e">
        <f>_xll.qlIndexFixing("euribor3m",_xll.qlInterestRateIndexFixingDate("Euribor3M",J321),TRUE)</f>
        <v>#NUM!</v>
      </c>
      <c r="N321" s="543" t="e">
        <f>_xll.qlOvernightIndexedSwapFairRate(L321,Trigger)</f>
        <v>#VALUE!</v>
      </c>
      <c r="O321" s="545" t="e">
        <f t="shared" si="6"/>
        <v>#NUM!</v>
      </c>
    </row>
    <row r="322" spans="3:15" x14ac:dyDescent="0.2">
      <c r="C322" s="537"/>
      <c r="D322" s="537"/>
      <c r="E322" s="536"/>
      <c r="G322" s="536"/>
      <c r="H322" s="536"/>
      <c r="J322" s="551">
        <f>_xll.qlCalendarAdvance(Calendar,J321,"1M","f",,Trigger)</f>
        <v>51872</v>
      </c>
      <c r="K322" s="542">
        <f>_xll.qlCalendarAdvance(Calendar,J322,"3M","mf",,Trigger)</f>
        <v>51964</v>
      </c>
      <c r="L322" s="544" t="e">
        <f>_xll.qlMakeDatedOIS(,J322,K322,"eonia",,,,,Trigger)</f>
        <v>#NUM!</v>
      </c>
      <c r="M322" s="543" t="e">
        <f>_xll.qlIndexFixing("euribor3m",_xll.qlInterestRateIndexFixingDate("Euribor3M",J322),TRUE)</f>
        <v>#NUM!</v>
      </c>
      <c r="N322" s="543" t="e">
        <f>_xll.qlOvernightIndexedSwapFairRate(L322,Trigger)</f>
        <v>#VALUE!</v>
      </c>
      <c r="O322" s="545" t="e">
        <f t="shared" si="6"/>
        <v>#NUM!</v>
      </c>
    </row>
    <row r="323" spans="3:15" x14ac:dyDescent="0.2">
      <c r="C323" s="537"/>
      <c r="D323" s="537"/>
      <c r="E323" s="536"/>
      <c r="G323" s="536"/>
      <c r="H323" s="536"/>
      <c r="J323" s="551">
        <f>_xll.qlCalendarAdvance(Calendar,J322,"1M","f",,Trigger)</f>
        <v>51903</v>
      </c>
      <c r="K323" s="542">
        <f>_xll.qlCalendarAdvance(Calendar,J323,"3M","mf",,Trigger)</f>
        <v>51992</v>
      </c>
      <c r="L323" s="544" t="e">
        <f>_xll.qlMakeDatedOIS(,J323,K323,"eonia",,,,,Trigger)</f>
        <v>#NUM!</v>
      </c>
      <c r="M323" s="543" t="e">
        <f>_xll.qlIndexFixing("euribor3m",_xll.qlInterestRateIndexFixingDate("Euribor3M",J323),TRUE)</f>
        <v>#NUM!</v>
      </c>
      <c r="N323" s="543" t="e">
        <f>_xll.qlOvernightIndexedSwapFairRate(L323,Trigger)</f>
        <v>#VALUE!</v>
      </c>
      <c r="O323" s="545" t="e">
        <f t="shared" ref="O323:O386" si="7">M323-N323</f>
        <v>#NUM!</v>
      </c>
    </row>
    <row r="324" spans="3:15" x14ac:dyDescent="0.2">
      <c r="C324" s="537"/>
      <c r="D324" s="537"/>
      <c r="E324" s="536"/>
      <c r="G324" s="536"/>
      <c r="H324" s="536"/>
      <c r="J324" s="551">
        <f>_xll.qlCalendarAdvance(Calendar,J323,"1M","f",,Trigger)</f>
        <v>51931</v>
      </c>
      <c r="K324" s="542">
        <f>_xll.qlCalendarAdvance(Calendar,J324,"3M","mf",,Trigger)</f>
        <v>52023</v>
      </c>
      <c r="L324" s="544" t="e">
        <f>_xll.qlMakeDatedOIS(,J324,K324,"eonia",,,,,Trigger)</f>
        <v>#NUM!</v>
      </c>
      <c r="M324" s="543" t="e">
        <f>_xll.qlIndexFixing("euribor3m",_xll.qlInterestRateIndexFixingDate("Euribor3M",J324),TRUE)</f>
        <v>#NUM!</v>
      </c>
      <c r="N324" s="543" t="e">
        <f>_xll.qlOvernightIndexedSwapFairRate(L324,Trigger)</f>
        <v>#VALUE!</v>
      </c>
      <c r="O324" s="545" t="e">
        <f t="shared" si="7"/>
        <v>#NUM!</v>
      </c>
    </row>
    <row r="325" spans="3:15" x14ac:dyDescent="0.2">
      <c r="C325" s="537"/>
      <c r="D325" s="537"/>
      <c r="E325" s="536"/>
      <c r="G325" s="536"/>
      <c r="H325" s="536"/>
      <c r="J325" s="551">
        <f>_xll.qlCalendarAdvance(Calendar,J324,"1M","f",,Trigger)</f>
        <v>51964</v>
      </c>
      <c r="K325" s="542">
        <f>_xll.qlCalendarAdvance(Calendar,J325,"3M","mf",,Trigger)</f>
        <v>52055</v>
      </c>
      <c r="L325" s="544" t="e">
        <f>_xll.qlMakeDatedOIS(,J325,K325,"eonia",,,,,Trigger)</f>
        <v>#NUM!</v>
      </c>
      <c r="M325" s="543" t="e">
        <f>_xll.qlIndexFixing("euribor3m",_xll.qlInterestRateIndexFixingDate("Euribor3M",J325),TRUE)</f>
        <v>#NUM!</v>
      </c>
      <c r="N325" s="543" t="e">
        <f>_xll.qlOvernightIndexedSwapFairRate(L325,Trigger)</f>
        <v>#VALUE!</v>
      </c>
      <c r="O325" s="545" t="e">
        <f t="shared" si="7"/>
        <v>#NUM!</v>
      </c>
    </row>
    <row r="326" spans="3:15" x14ac:dyDescent="0.2">
      <c r="C326" s="537"/>
      <c r="D326" s="537"/>
      <c r="E326" s="536"/>
      <c r="G326" s="536"/>
      <c r="H326" s="536"/>
      <c r="J326" s="551">
        <f>_xll.qlCalendarAdvance(Calendar,J325,"1M","f",,Trigger)</f>
        <v>51994</v>
      </c>
      <c r="K326" s="542">
        <f>_xll.qlCalendarAdvance(Calendar,J326,"3M","mf",,Trigger)</f>
        <v>52086</v>
      </c>
      <c r="L326" s="544" t="e">
        <f>_xll.qlMakeDatedOIS(,J326,K326,"eonia",,,,,Trigger)</f>
        <v>#NUM!</v>
      </c>
      <c r="M326" s="543" t="e">
        <f>_xll.qlIndexFixing("euribor3m",_xll.qlInterestRateIndexFixingDate("Euribor3M",J326),TRUE)</f>
        <v>#NUM!</v>
      </c>
      <c r="N326" s="543" t="e">
        <f>_xll.qlOvernightIndexedSwapFairRate(L326,Trigger)</f>
        <v>#VALUE!</v>
      </c>
      <c r="O326" s="545" t="e">
        <f t="shared" si="7"/>
        <v>#NUM!</v>
      </c>
    </row>
    <row r="327" spans="3:15" x14ac:dyDescent="0.2">
      <c r="C327" s="537"/>
      <c r="D327" s="537"/>
      <c r="E327" s="536"/>
      <c r="G327" s="536"/>
      <c r="H327" s="536"/>
      <c r="J327" s="551">
        <f>_xll.qlCalendarAdvance(Calendar,J326,"1M","f",,Trigger)</f>
        <v>52026</v>
      </c>
      <c r="K327" s="542">
        <f>_xll.qlCalendarAdvance(Calendar,J327,"3M","mf",,Trigger)</f>
        <v>52118</v>
      </c>
      <c r="L327" s="544" t="e">
        <f>_xll.qlMakeDatedOIS(,J327,K327,"eonia",,,,,Trigger)</f>
        <v>#NUM!</v>
      </c>
      <c r="M327" s="543" t="e">
        <f>_xll.qlIndexFixing("euribor3m",_xll.qlInterestRateIndexFixingDate("Euribor3M",J327),TRUE)</f>
        <v>#NUM!</v>
      </c>
      <c r="N327" s="543" t="e">
        <f>_xll.qlOvernightIndexedSwapFairRate(L327,Trigger)</f>
        <v>#VALUE!</v>
      </c>
      <c r="O327" s="545" t="e">
        <f t="shared" si="7"/>
        <v>#NUM!</v>
      </c>
    </row>
    <row r="328" spans="3:15" x14ac:dyDescent="0.2">
      <c r="C328" s="537"/>
      <c r="D328" s="537"/>
      <c r="E328" s="536"/>
      <c r="G328" s="536"/>
      <c r="H328" s="536"/>
      <c r="J328" s="551">
        <f>_xll.qlCalendarAdvance(Calendar,J327,"1M","f",,Trigger)</f>
        <v>52056</v>
      </c>
      <c r="K328" s="542">
        <f>_xll.qlCalendarAdvance(Calendar,J328,"3M","mf",,Trigger)</f>
        <v>52148</v>
      </c>
      <c r="L328" s="544" t="e">
        <f>_xll.qlMakeDatedOIS(,J328,K328,"eonia",,,,,Trigger)</f>
        <v>#NUM!</v>
      </c>
      <c r="M328" s="543" t="e">
        <f>_xll.qlIndexFixing("euribor3m",_xll.qlInterestRateIndexFixingDate("Euribor3M",J328),TRUE)</f>
        <v>#NUM!</v>
      </c>
      <c r="N328" s="543" t="e">
        <f>_xll.qlOvernightIndexedSwapFairRate(L328,Trigger)</f>
        <v>#VALUE!</v>
      </c>
      <c r="O328" s="545" t="e">
        <f t="shared" si="7"/>
        <v>#NUM!</v>
      </c>
    </row>
    <row r="329" spans="3:15" x14ac:dyDescent="0.2">
      <c r="C329" s="537"/>
      <c r="D329" s="537"/>
      <c r="E329" s="536"/>
      <c r="G329" s="536"/>
      <c r="H329" s="536"/>
      <c r="J329" s="551">
        <f>_xll.qlCalendarAdvance(Calendar,J328,"1M","f",,Trigger)</f>
        <v>52089</v>
      </c>
      <c r="K329" s="542">
        <f>_xll.qlCalendarAdvance(Calendar,J329,"3M","mf",,Trigger)</f>
        <v>52181</v>
      </c>
      <c r="L329" s="544" t="e">
        <f>_xll.qlMakeDatedOIS(,J329,K329,"eonia",,,,,Trigger)</f>
        <v>#NUM!</v>
      </c>
      <c r="M329" s="543" t="e">
        <f>_xll.qlIndexFixing("euribor3m",_xll.qlInterestRateIndexFixingDate("Euribor3M",J329),TRUE)</f>
        <v>#NUM!</v>
      </c>
      <c r="N329" s="543" t="e">
        <f>_xll.qlOvernightIndexedSwapFairRate(L329,Trigger)</f>
        <v>#VALUE!</v>
      </c>
      <c r="O329" s="545" t="e">
        <f t="shared" si="7"/>
        <v>#NUM!</v>
      </c>
    </row>
    <row r="330" spans="3:15" x14ac:dyDescent="0.2">
      <c r="C330" s="537"/>
      <c r="D330" s="537"/>
      <c r="E330" s="536"/>
      <c r="G330" s="536"/>
      <c r="H330" s="536"/>
      <c r="J330" s="551">
        <f>_xll.qlCalendarAdvance(Calendar,J329,"1M","f",,Trigger)</f>
        <v>52120</v>
      </c>
      <c r="K330" s="542">
        <f>_xll.qlCalendarAdvance(Calendar,J330,"3M","mf",,Trigger)</f>
        <v>52211</v>
      </c>
      <c r="L330" s="544" t="e">
        <f>_xll.qlMakeDatedOIS(,J330,K330,"eonia",,,,,Trigger)</f>
        <v>#NUM!</v>
      </c>
      <c r="M330" s="543" t="e">
        <f>_xll.qlIndexFixing("euribor3m",_xll.qlInterestRateIndexFixingDate("Euribor3M",J330),TRUE)</f>
        <v>#NUM!</v>
      </c>
      <c r="N330" s="543" t="e">
        <f>_xll.qlOvernightIndexedSwapFairRate(L330,Trigger)</f>
        <v>#VALUE!</v>
      </c>
      <c r="O330" s="545" t="e">
        <f t="shared" si="7"/>
        <v>#NUM!</v>
      </c>
    </row>
    <row r="331" spans="3:15" x14ac:dyDescent="0.2">
      <c r="C331" s="537"/>
      <c r="D331" s="537"/>
      <c r="E331" s="536"/>
      <c r="G331" s="536"/>
      <c r="H331" s="536"/>
      <c r="J331" s="551">
        <f>_xll.qlCalendarAdvance(Calendar,J330,"1M","f",,Trigger)</f>
        <v>52152</v>
      </c>
      <c r="K331" s="542">
        <f>_xll.qlCalendarAdvance(Calendar,J331,"3M","mf",,Trigger)</f>
        <v>52244</v>
      </c>
      <c r="L331" s="544" t="e">
        <f>_xll.qlMakeDatedOIS(,J331,K331,"eonia",,,,,Trigger)</f>
        <v>#NUM!</v>
      </c>
      <c r="M331" s="543" t="e">
        <f>_xll.qlIndexFixing("euribor3m",_xll.qlInterestRateIndexFixingDate("Euribor3M",J331),TRUE)</f>
        <v>#NUM!</v>
      </c>
      <c r="N331" s="543" t="e">
        <f>_xll.qlOvernightIndexedSwapFairRate(L331,Trigger)</f>
        <v>#VALUE!</v>
      </c>
      <c r="O331" s="545" t="e">
        <f t="shared" si="7"/>
        <v>#NUM!</v>
      </c>
    </row>
    <row r="332" spans="3:15" x14ac:dyDescent="0.2">
      <c r="C332" s="537"/>
      <c r="D332" s="537"/>
      <c r="E332" s="536"/>
      <c r="G332" s="536"/>
      <c r="H332" s="536"/>
      <c r="J332" s="551">
        <f>_xll.qlCalendarAdvance(Calendar,J331,"1M","f",,Trigger)</f>
        <v>52183</v>
      </c>
      <c r="K332" s="542">
        <f>_xll.qlCalendarAdvance(Calendar,J332,"3M","mf",,Trigger)</f>
        <v>52275</v>
      </c>
      <c r="L332" s="544" t="e">
        <f>_xll.qlMakeDatedOIS(,J332,K332,"eonia",,,,,Trigger)</f>
        <v>#NUM!</v>
      </c>
      <c r="M332" s="543" t="e">
        <f>_xll.qlIndexFixing("euribor3m",_xll.qlInterestRateIndexFixingDate("Euribor3M",J332),TRUE)</f>
        <v>#NUM!</v>
      </c>
      <c r="N332" s="543" t="e">
        <f>_xll.qlOvernightIndexedSwapFairRate(L332,Trigger)</f>
        <v>#VALUE!</v>
      </c>
      <c r="O332" s="545" t="e">
        <f t="shared" si="7"/>
        <v>#NUM!</v>
      </c>
    </row>
    <row r="333" spans="3:15" x14ac:dyDescent="0.2">
      <c r="C333" s="537"/>
      <c r="D333" s="537"/>
      <c r="E333" s="536"/>
      <c r="G333" s="536"/>
      <c r="H333" s="536"/>
      <c r="J333" s="551">
        <f>_xll.qlCalendarAdvance(Calendar,J332,"1M","f",,Trigger)</f>
        <v>52215</v>
      </c>
      <c r="K333" s="542">
        <f>_xll.qlCalendarAdvance(Calendar,J333,"3M","mf",,Trigger)</f>
        <v>52306</v>
      </c>
      <c r="L333" s="544" t="e">
        <f>_xll.qlMakeDatedOIS(,J333,K333,"eonia",,,,,Trigger)</f>
        <v>#NUM!</v>
      </c>
      <c r="M333" s="543" t="e">
        <f>_xll.qlIndexFixing("euribor3m",_xll.qlInterestRateIndexFixingDate("Euribor3M",J333),TRUE)</f>
        <v>#NUM!</v>
      </c>
      <c r="N333" s="543" t="e">
        <f>_xll.qlOvernightIndexedSwapFairRate(L333,Trigger)</f>
        <v>#VALUE!</v>
      </c>
      <c r="O333" s="545" t="e">
        <f t="shared" si="7"/>
        <v>#NUM!</v>
      </c>
    </row>
    <row r="334" spans="3:15" x14ac:dyDescent="0.2">
      <c r="C334" s="537"/>
      <c r="D334" s="537"/>
      <c r="E334" s="536"/>
      <c r="G334" s="536"/>
      <c r="H334" s="536"/>
      <c r="J334" s="551">
        <f>_xll.qlCalendarAdvance(Calendar,J333,"1M","f",,Trigger)</f>
        <v>52246</v>
      </c>
      <c r="K334" s="542">
        <f>_xll.qlCalendarAdvance(Calendar,J334,"3M","mf",,Trigger)</f>
        <v>52336</v>
      </c>
      <c r="L334" s="544" t="e">
        <f>_xll.qlMakeDatedOIS(,J334,K334,"eonia",,,,,Trigger)</f>
        <v>#NUM!</v>
      </c>
      <c r="M334" s="543" t="e">
        <f>_xll.qlIndexFixing("euribor3m",_xll.qlInterestRateIndexFixingDate("Euribor3M",J334),TRUE)</f>
        <v>#NUM!</v>
      </c>
      <c r="N334" s="543" t="e">
        <f>_xll.qlOvernightIndexedSwapFairRate(L334,Trigger)</f>
        <v>#VALUE!</v>
      </c>
      <c r="O334" s="545" t="e">
        <f t="shared" si="7"/>
        <v>#NUM!</v>
      </c>
    </row>
    <row r="335" spans="3:15" x14ac:dyDescent="0.2">
      <c r="C335" s="537"/>
      <c r="D335" s="537"/>
      <c r="E335" s="536"/>
      <c r="G335" s="536"/>
      <c r="H335" s="536"/>
      <c r="J335" s="551">
        <f>_xll.qlCalendarAdvance(Calendar,J334,"1M","f",,Trigger)</f>
        <v>52278</v>
      </c>
      <c r="K335" s="542">
        <f>_xll.qlCalendarAdvance(Calendar,J335,"3M","mf",,Trigger)</f>
        <v>52369</v>
      </c>
      <c r="L335" s="544" t="e">
        <f>_xll.qlMakeDatedOIS(,J335,K335,"eonia",,,,,Trigger)</f>
        <v>#NUM!</v>
      </c>
      <c r="M335" s="543" t="e">
        <f>_xll.qlIndexFixing("euribor3m",_xll.qlInterestRateIndexFixingDate("Euribor3M",J335),TRUE)</f>
        <v>#NUM!</v>
      </c>
      <c r="N335" s="543" t="e">
        <f>_xll.qlOvernightIndexedSwapFairRate(L335,Trigger)</f>
        <v>#VALUE!</v>
      </c>
      <c r="O335" s="545" t="e">
        <f t="shared" si="7"/>
        <v>#NUM!</v>
      </c>
    </row>
    <row r="336" spans="3:15" x14ac:dyDescent="0.2">
      <c r="C336" s="537"/>
      <c r="D336" s="537"/>
      <c r="E336" s="536"/>
      <c r="G336" s="536"/>
      <c r="H336" s="536"/>
      <c r="J336" s="551">
        <f>_xll.qlCalendarAdvance(Calendar,J335,"1M","f",,Trigger)</f>
        <v>52306</v>
      </c>
      <c r="K336" s="542">
        <f>_xll.qlCalendarAdvance(Calendar,J336,"3M","mf",,Trigger)</f>
        <v>52398</v>
      </c>
      <c r="L336" s="544" t="e">
        <f>_xll.qlMakeDatedOIS(,J336,K336,"eonia",,,,,Trigger)</f>
        <v>#NUM!</v>
      </c>
      <c r="M336" s="543" t="e">
        <f>_xll.qlIndexFixing("euribor3m",_xll.qlInterestRateIndexFixingDate("Euribor3M",J336),TRUE)</f>
        <v>#NUM!</v>
      </c>
      <c r="N336" s="543" t="e">
        <f>_xll.qlOvernightIndexedSwapFairRate(L336,Trigger)</f>
        <v>#VALUE!</v>
      </c>
      <c r="O336" s="545" t="e">
        <f t="shared" si="7"/>
        <v>#NUM!</v>
      </c>
    </row>
    <row r="337" spans="3:15" x14ac:dyDescent="0.2">
      <c r="C337" s="537"/>
      <c r="D337" s="537"/>
      <c r="E337" s="536"/>
      <c r="G337" s="536"/>
      <c r="H337" s="536"/>
      <c r="J337" s="551">
        <f>_xll.qlCalendarAdvance(Calendar,J336,"1M","f",,Trigger)</f>
        <v>52337</v>
      </c>
      <c r="K337" s="542">
        <f>_xll.qlCalendarAdvance(Calendar,J337,"3M","mf",,Trigger)</f>
        <v>52428</v>
      </c>
      <c r="L337" s="544" t="e">
        <f>_xll.qlMakeDatedOIS(,J337,K337,"eonia",,,,,Trigger)</f>
        <v>#NUM!</v>
      </c>
      <c r="M337" s="543" t="e">
        <f>_xll.qlIndexFixing("euribor3m",_xll.qlInterestRateIndexFixingDate("Euribor3M",J337),TRUE)</f>
        <v>#NUM!</v>
      </c>
      <c r="N337" s="543" t="e">
        <f>_xll.qlOvernightIndexedSwapFairRate(L337,Trigger)</f>
        <v>#VALUE!</v>
      </c>
      <c r="O337" s="545" t="e">
        <f t="shared" si="7"/>
        <v>#NUM!</v>
      </c>
    </row>
    <row r="338" spans="3:15" x14ac:dyDescent="0.2">
      <c r="C338" s="537"/>
      <c r="D338" s="537"/>
      <c r="E338" s="536"/>
      <c r="G338" s="536"/>
      <c r="H338" s="536"/>
      <c r="J338" s="551">
        <f>_xll.qlCalendarAdvance(Calendar,J337,"1M","f",,Trigger)</f>
        <v>52369</v>
      </c>
      <c r="K338" s="542">
        <f>_xll.qlCalendarAdvance(Calendar,J338,"3M","mf",,Trigger)</f>
        <v>52461</v>
      </c>
      <c r="L338" s="544" t="e">
        <f>_xll.qlMakeDatedOIS(,J338,K338,"eonia",,,,,Trigger)</f>
        <v>#NUM!</v>
      </c>
      <c r="M338" s="543" t="e">
        <f>_xll.qlIndexFixing("euribor3m",_xll.qlInterestRateIndexFixingDate("Euribor3M",J338),TRUE)</f>
        <v>#NUM!</v>
      </c>
      <c r="N338" s="543" t="e">
        <f>_xll.qlOvernightIndexedSwapFairRate(L338,Trigger)</f>
        <v>#VALUE!</v>
      </c>
      <c r="O338" s="545" t="e">
        <f t="shared" si="7"/>
        <v>#NUM!</v>
      </c>
    </row>
    <row r="339" spans="3:15" x14ac:dyDescent="0.2">
      <c r="C339" s="537"/>
      <c r="D339" s="537"/>
      <c r="E339" s="536"/>
      <c r="G339" s="536"/>
      <c r="H339" s="536"/>
      <c r="J339" s="551">
        <f>_xll.qlCalendarAdvance(Calendar,J338,"1M","f",,Trigger)</f>
        <v>52400</v>
      </c>
      <c r="K339" s="542">
        <f>_xll.qlCalendarAdvance(Calendar,J339,"3M","mf",,Trigger)</f>
        <v>52492</v>
      </c>
      <c r="L339" s="544" t="e">
        <f>_xll.qlMakeDatedOIS(,J339,K339,"eonia",,,,,Trigger)</f>
        <v>#NUM!</v>
      </c>
      <c r="M339" s="543" t="e">
        <f>_xll.qlIndexFixing("euribor3m",_xll.qlInterestRateIndexFixingDate("Euribor3M",J339),TRUE)</f>
        <v>#NUM!</v>
      </c>
      <c r="N339" s="543" t="e">
        <f>_xll.qlOvernightIndexedSwapFairRate(L339,Trigger)</f>
        <v>#VALUE!</v>
      </c>
      <c r="O339" s="545" t="e">
        <f t="shared" si="7"/>
        <v>#NUM!</v>
      </c>
    </row>
    <row r="340" spans="3:15" x14ac:dyDescent="0.2">
      <c r="C340" s="537"/>
      <c r="D340" s="537"/>
      <c r="E340" s="536"/>
      <c r="G340" s="536"/>
      <c r="H340" s="536"/>
      <c r="J340" s="551">
        <f>_xll.qlCalendarAdvance(Calendar,J339,"1M","f",,Trigger)</f>
        <v>52432</v>
      </c>
      <c r="K340" s="542">
        <f>_xll.qlCalendarAdvance(Calendar,J340,"3M","mf",,Trigger)</f>
        <v>52524</v>
      </c>
      <c r="L340" s="544" t="e">
        <f>_xll.qlMakeDatedOIS(,J340,K340,"eonia",,,,,Trigger)</f>
        <v>#NUM!</v>
      </c>
      <c r="M340" s="543" t="e">
        <f>_xll.qlIndexFixing("euribor3m",_xll.qlInterestRateIndexFixingDate("Euribor3M",J340),TRUE)</f>
        <v>#NUM!</v>
      </c>
      <c r="N340" s="543" t="e">
        <f>_xll.qlOvernightIndexedSwapFairRate(L340,Trigger)</f>
        <v>#VALUE!</v>
      </c>
      <c r="O340" s="545" t="e">
        <f t="shared" si="7"/>
        <v>#NUM!</v>
      </c>
    </row>
    <row r="341" spans="3:15" x14ac:dyDescent="0.2">
      <c r="C341" s="537"/>
      <c r="D341" s="537"/>
      <c r="E341" s="536"/>
      <c r="G341" s="536"/>
      <c r="H341" s="536"/>
      <c r="J341" s="551">
        <f>_xll.qlCalendarAdvance(Calendar,J340,"1M","f",,Trigger)</f>
        <v>52463</v>
      </c>
      <c r="K341" s="542">
        <f>_xll.qlCalendarAdvance(Calendar,J341,"3M","mf",,Trigger)</f>
        <v>52555</v>
      </c>
      <c r="L341" s="544" t="e">
        <f>_xll.qlMakeDatedOIS(,J341,K341,"eonia",,,,,Trigger)</f>
        <v>#NUM!</v>
      </c>
      <c r="M341" s="543" t="e">
        <f>_xll.qlIndexFixing("euribor3m",_xll.qlInterestRateIndexFixingDate("Euribor3M",J341),TRUE)</f>
        <v>#NUM!</v>
      </c>
      <c r="N341" s="543" t="e">
        <f>_xll.qlOvernightIndexedSwapFairRate(L341,Trigger)</f>
        <v>#VALUE!</v>
      </c>
      <c r="O341" s="545" t="e">
        <f t="shared" si="7"/>
        <v>#NUM!</v>
      </c>
    </row>
    <row r="342" spans="3:15" x14ac:dyDescent="0.2">
      <c r="C342" s="537"/>
      <c r="D342" s="537"/>
      <c r="E342" s="536"/>
      <c r="G342" s="536"/>
      <c r="H342" s="536"/>
      <c r="J342" s="551">
        <f>_xll.qlCalendarAdvance(Calendar,J341,"1M","f",,Trigger)</f>
        <v>52495</v>
      </c>
      <c r="K342" s="542">
        <f>_xll.qlCalendarAdvance(Calendar,J342,"3M","mf",,Trigger)</f>
        <v>52586</v>
      </c>
      <c r="L342" s="544" t="e">
        <f>_xll.qlMakeDatedOIS(,J342,K342,"eonia",,,,,Trigger)</f>
        <v>#NUM!</v>
      </c>
      <c r="M342" s="543" t="e">
        <f>_xll.qlIndexFixing("euribor3m",_xll.qlInterestRateIndexFixingDate("Euribor3M",J342),TRUE)</f>
        <v>#NUM!</v>
      </c>
      <c r="N342" s="543" t="e">
        <f>_xll.qlOvernightIndexedSwapFairRate(L342,Trigger)</f>
        <v>#VALUE!</v>
      </c>
      <c r="O342" s="545" t="e">
        <f t="shared" si="7"/>
        <v>#NUM!</v>
      </c>
    </row>
    <row r="343" spans="3:15" x14ac:dyDescent="0.2">
      <c r="C343" s="537"/>
      <c r="D343" s="537"/>
      <c r="E343" s="536"/>
      <c r="G343" s="536"/>
      <c r="H343" s="536"/>
      <c r="J343" s="551">
        <f>_xll.qlCalendarAdvance(Calendar,J342,"1M","f",,Trigger)</f>
        <v>52525</v>
      </c>
      <c r="K343" s="542">
        <f>_xll.qlCalendarAdvance(Calendar,J343,"3M","mf",,Trigger)</f>
        <v>52617</v>
      </c>
      <c r="L343" s="544" t="e">
        <f>_xll.qlMakeDatedOIS(,J343,K343,"eonia",,,,,Trigger)</f>
        <v>#NUM!</v>
      </c>
      <c r="M343" s="543" t="e">
        <f>_xll.qlIndexFixing("euribor3m",_xll.qlInterestRateIndexFixingDate("Euribor3M",J343),TRUE)</f>
        <v>#NUM!</v>
      </c>
      <c r="N343" s="543" t="e">
        <f>_xll.qlOvernightIndexedSwapFairRate(L343,Trigger)</f>
        <v>#VALUE!</v>
      </c>
      <c r="O343" s="545" t="e">
        <f t="shared" si="7"/>
        <v>#NUM!</v>
      </c>
    </row>
    <row r="344" spans="3:15" x14ac:dyDescent="0.2">
      <c r="C344" s="537"/>
      <c r="D344" s="537"/>
      <c r="E344" s="536"/>
      <c r="G344" s="536"/>
      <c r="H344" s="536"/>
      <c r="J344" s="551">
        <f>_xll.qlCalendarAdvance(Calendar,J343,"1M","f",,Trigger)</f>
        <v>52558</v>
      </c>
      <c r="K344" s="542">
        <f>_xll.qlCalendarAdvance(Calendar,J344,"3M","mf",,Trigger)</f>
        <v>52650</v>
      </c>
      <c r="L344" s="544" t="e">
        <f>_xll.qlMakeDatedOIS(,J344,K344,"eonia",,,,,Trigger)</f>
        <v>#NUM!</v>
      </c>
      <c r="M344" s="543" t="e">
        <f>_xll.qlIndexFixing("euribor3m",_xll.qlInterestRateIndexFixingDate("Euribor3M",J344),TRUE)</f>
        <v>#NUM!</v>
      </c>
      <c r="N344" s="543" t="e">
        <f>_xll.qlOvernightIndexedSwapFairRate(L344,Trigger)</f>
        <v>#VALUE!</v>
      </c>
      <c r="O344" s="545" t="e">
        <f t="shared" si="7"/>
        <v>#NUM!</v>
      </c>
    </row>
    <row r="345" spans="3:15" x14ac:dyDescent="0.2">
      <c r="C345" s="537"/>
      <c r="D345" s="537"/>
      <c r="E345" s="536"/>
      <c r="G345" s="536"/>
      <c r="H345" s="536"/>
      <c r="J345" s="551">
        <f>_xll.qlCalendarAdvance(Calendar,J344,"1M","f",,Trigger)</f>
        <v>52588</v>
      </c>
      <c r="K345" s="542">
        <f>_xll.qlCalendarAdvance(Calendar,J345,"3M","mf",,Trigger)</f>
        <v>52679</v>
      </c>
      <c r="L345" s="544" t="e">
        <f>_xll.qlMakeDatedOIS(,J345,K345,"eonia",,,,,Trigger)</f>
        <v>#NUM!</v>
      </c>
      <c r="M345" s="543" t="e">
        <f>_xll.qlIndexFixing("euribor3m",_xll.qlInterestRateIndexFixingDate("Euribor3M",J345),TRUE)</f>
        <v>#NUM!</v>
      </c>
      <c r="N345" s="543" t="e">
        <f>_xll.qlOvernightIndexedSwapFairRate(L345,Trigger)</f>
        <v>#VALUE!</v>
      </c>
      <c r="O345" s="545" t="e">
        <f t="shared" si="7"/>
        <v>#NUM!</v>
      </c>
    </row>
    <row r="346" spans="3:15" x14ac:dyDescent="0.2">
      <c r="C346" s="537"/>
      <c r="D346" s="537"/>
      <c r="E346" s="536"/>
      <c r="G346" s="536"/>
      <c r="H346" s="536"/>
      <c r="J346" s="551">
        <f>_xll.qlCalendarAdvance(Calendar,J345,"1M","f",,Trigger)</f>
        <v>52621</v>
      </c>
      <c r="K346" s="542">
        <f>_xll.qlCalendarAdvance(Calendar,J346,"3M","mf",,Trigger)</f>
        <v>52712</v>
      </c>
      <c r="L346" s="544" t="e">
        <f>_xll.qlMakeDatedOIS(,J346,K346,"eonia",,,,,Trigger)</f>
        <v>#NUM!</v>
      </c>
      <c r="M346" s="543" t="e">
        <f>_xll.qlIndexFixing("euribor3m",_xll.qlInterestRateIndexFixingDate("Euribor3M",J346),TRUE)</f>
        <v>#NUM!</v>
      </c>
      <c r="N346" s="543" t="e">
        <f>_xll.qlOvernightIndexedSwapFairRate(L346,Trigger)</f>
        <v>#VALUE!</v>
      </c>
      <c r="O346" s="545" t="e">
        <f t="shared" si="7"/>
        <v>#NUM!</v>
      </c>
    </row>
    <row r="347" spans="3:15" x14ac:dyDescent="0.2">
      <c r="C347" s="537"/>
      <c r="D347" s="537"/>
      <c r="E347" s="536"/>
      <c r="G347" s="536"/>
      <c r="H347" s="536"/>
      <c r="J347" s="551">
        <f>_xll.qlCalendarAdvance(Calendar,J346,"1M","f",,Trigger)</f>
        <v>52652</v>
      </c>
      <c r="K347" s="542">
        <f>_xll.qlCalendarAdvance(Calendar,J347,"3M","mf",,Trigger)</f>
        <v>52742</v>
      </c>
      <c r="L347" s="544" t="e">
        <f>_xll.qlMakeDatedOIS(,J347,K347,"eonia",,,,,Trigger)</f>
        <v>#NUM!</v>
      </c>
      <c r="M347" s="543" t="e">
        <f>_xll.qlIndexFixing("euribor3m",_xll.qlInterestRateIndexFixingDate("Euribor3M",J347),TRUE)</f>
        <v>#NUM!</v>
      </c>
      <c r="N347" s="543" t="e">
        <f>_xll.qlOvernightIndexedSwapFairRate(L347,Trigger)</f>
        <v>#VALUE!</v>
      </c>
      <c r="O347" s="545" t="e">
        <f t="shared" si="7"/>
        <v>#NUM!</v>
      </c>
    </row>
    <row r="348" spans="3:15" x14ac:dyDescent="0.2">
      <c r="C348" s="537"/>
      <c r="D348" s="537"/>
      <c r="E348" s="536"/>
      <c r="G348" s="536"/>
      <c r="H348" s="536"/>
      <c r="J348" s="551">
        <f>_xll.qlCalendarAdvance(Calendar,J347,"1M","f",,Trigger)</f>
        <v>52681</v>
      </c>
      <c r="K348" s="542">
        <f>_xll.qlCalendarAdvance(Calendar,J348,"3M","mf",,Trigger)</f>
        <v>52775</v>
      </c>
      <c r="L348" s="544" t="e">
        <f>_xll.qlMakeDatedOIS(,J348,K348,"eonia",,,,,Trigger)</f>
        <v>#NUM!</v>
      </c>
      <c r="M348" s="543" t="e">
        <f>_xll.qlIndexFixing("euribor3m",_xll.qlInterestRateIndexFixingDate("Euribor3M",J348),TRUE)</f>
        <v>#NUM!</v>
      </c>
      <c r="N348" s="543" t="e">
        <f>_xll.qlOvernightIndexedSwapFairRate(L348,Trigger)</f>
        <v>#VALUE!</v>
      </c>
      <c r="O348" s="545" t="e">
        <f t="shared" si="7"/>
        <v>#NUM!</v>
      </c>
    </row>
    <row r="349" spans="3:15" x14ac:dyDescent="0.2">
      <c r="C349" s="537"/>
      <c r="D349" s="537"/>
      <c r="E349" s="536"/>
      <c r="G349" s="536"/>
      <c r="H349" s="536"/>
      <c r="J349" s="551">
        <f>_xll.qlCalendarAdvance(Calendar,J348,"1M","f",,Trigger)</f>
        <v>52712</v>
      </c>
      <c r="K349" s="542">
        <f>_xll.qlCalendarAdvance(Calendar,J349,"3M","mf",,Trigger)</f>
        <v>52803</v>
      </c>
      <c r="L349" s="544" t="e">
        <f>_xll.qlMakeDatedOIS(,J349,K349,"eonia",,,,,Trigger)</f>
        <v>#NUM!</v>
      </c>
      <c r="M349" s="543" t="e">
        <f>_xll.qlIndexFixing("euribor3m",_xll.qlInterestRateIndexFixingDate("Euribor3M",J349),TRUE)</f>
        <v>#NUM!</v>
      </c>
      <c r="N349" s="543" t="e">
        <f>_xll.qlOvernightIndexedSwapFairRate(L349,Trigger)</f>
        <v>#VALUE!</v>
      </c>
      <c r="O349" s="545" t="e">
        <f t="shared" si="7"/>
        <v>#NUM!</v>
      </c>
    </row>
    <row r="350" spans="3:15" x14ac:dyDescent="0.2">
      <c r="C350" s="537"/>
      <c r="D350" s="537"/>
      <c r="E350" s="536"/>
      <c r="G350" s="536"/>
      <c r="H350" s="536"/>
      <c r="J350" s="551">
        <f>_xll.qlCalendarAdvance(Calendar,J349,"1M","f",,Trigger)</f>
        <v>52742</v>
      </c>
      <c r="K350" s="542">
        <f>_xll.qlCalendarAdvance(Calendar,J350,"3M","mf",,Trigger)</f>
        <v>52834</v>
      </c>
      <c r="L350" s="544" t="e">
        <f>_xll.qlMakeDatedOIS(,J350,K350,"eonia",,,,,Trigger)</f>
        <v>#NUM!</v>
      </c>
      <c r="M350" s="543" t="e">
        <f>_xll.qlIndexFixing("euribor3m",_xll.qlInterestRateIndexFixingDate("Euribor3M",J350),TRUE)</f>
        <v>#NUM!</v>
      </c>
      <c r="N350" s="543" t="e">
        <f>_xll.qlOvernightIndexedSwapFairRate(L350,Trigger)</f>
        <v>#VALUE!</v>
      </c>
      <c r="O350" s="545" t="e">
        <f t="shared" si="7"/>
        <v>#NUM!</v>
      </c>
    </row>
    <row r="351" spans="3:15" x14ac:dyDescent="0.2">
      <c r="C351" s="537"/>
      <c r="D351" s="537"/>
      <c r="E351" s="536"/>
      <c r="G351" s="536"/>
      <c r="H351" s="536"/>
      <c r="J351" s="551">
        <f>_xll.qlCalendarAdvance(Calendar,J350,"1M","f",,Trigger)</f>
        <v>52775</v>
      </c>
      <c r="K351" s="542">
        <f>_xll.qlCalendarAdvance(Calendar,J351,"3M","mf",,Trigger)</f>
        <v>52867</v>
      </c>
      <c r="L351" s="544" t="e">
        <f>_xll.qlMakeDatedOIS(,J351,K351,"eonia",,,,,Trigger)</f>
        <v>#NUM!</v>
      </c>
      <c r="M351" s="543" t="e">
        <f>_xll.qlIndexFixing("euribor3m",_xll.qlInterestRateIndexFixingDate("Euribor3M",J351),TRUE)</f>
        <v>#NUM!</v>
      </c>
      <c r="N351" s="543" t="e">
        <f>_xll.qlOvernightIndexedSwapFairRate(L351,Trigger)</f>
        <v>#VALUE!</v>
      </c>
      <c r="O351" s="545" t="e">
        <f t="shared" si="7"/>
        <v>#NUM!</v>
      </c>
    </row>
    <row r="352" spans="3:15" x14ac:dyDescent="0.2">
      <c r="C352" s="537"/>
      <c r="D352" s="537"/>
      <c r="E352" s="536"/>
      <c r="G352" s="536"/>
      <c r="H352" s="536"/>
      <c r="J352" s="551">
        <f>_xll.qlCalendarAdvance(Calendar,J351,"1M","f",,Trigger)</f>
        <v>52805</v>
      </c>
      <c r="K352" s="542">
        <f>_xll.qlCalendarAdvance(Calendar,J352,"3M","mf",,Trigger)</f>
        <v>52897</v>
      </c>
      <c r="L352" s="544" t="e">
        <f>_xll.qlMakeDatedOIS(,J352,K352,"eonia",,,,,Trigger)</f>
        <v>#NUM!</v>
      </c>
      <c r="M352" s="543" t="e">
        <f>_xll.qlIndexFixing("euribor3m",_xll.qlInterestRateIndexFixingDate("Euribor3M",J352),TRUE)</f>
        <v>#NUM!</v>
      </c>
      <c r="N352" s="543" t="e">
        <f>_xll.qlOvernightIndexedSwapFairRate(L352,Trigger)</f>
        <v>#VALUE!</v>
      </c>
      <c r="O352" s="545" t="e">
        <f t="shared" si="7"/>
        <v>#NUM!</v>
      </c>
    </row>
    <row r="353" spans="3:15" x14ac:dyDescent="0.2">
      <c r="C353" s="537"/>
      <c r="D353" s="537"/>
      <c r="E353" s="536"/>
      <c r="G353" s="536"/>
      <c r="H353" s="536"/>
      <c r="J353" s="551">
        <f>_xll.qlCalendarAdvance(Calendar,J352,"1M","f",,Trigger)</f>
        <v>52838</v>
      </c>
      <c r="K353" s="542">
        <f>_xll.qlCalendarAdvance(Calendar,J353,"3M","mf",,Trigger)</f>
        <v>52930</v>
      </c>
      <c r="L353" s="544" t="e">
        <f>_xll.qlMakeDatedOIS(,J353,K353,"eonia",,,,,Trigger)</f>
        <v>#NUM!</v>
      </c>
      <c r="M353" s="543" t="e">
        <f>_xll.qlIndexFixing("euribor3m",_xll.qlInterestRateIndexFixingDate("Euribor3M",J353),TRUE)</f>
        <v>#NUM!</v>
      </c>
      <c r="N353" s="543" t="e">
        <f>_xll.qlOvernightIndexedSwapFairRate(L353,Trigger)</f>
        <v>#VALUE!</v>
      </c>
      <c r="O353" s="545" t="e">
        <f t="shared" si="7"/>
        <v>#NUM!</v>
      </c>
    </row>
    <row r="354" spans="3:15" x14ac:dyDescent="0.2">
      <c r="C354" s="537"/>
      <c r="D354" s="537"/>
      <c r="E354" s="536"/>
      <c r="G354" s="536"/>
      <c r="H354" s="536"/>
      <c r="J354" s="551">
        <f>_xll.qlCalendarAdvance(Calendar,J353,"1M","f",,Trigger)</f>
        <v>52869</v>
      </c>
      <c r="K354" s="542">
        <f>_xll.qlCalendarAdvance(Calendar,J354,"3M","mf",,Trigger)</f>
        <v>52960</v>
      </c>
      <c r="L354" s="544" t="e">
        <f>_xll.qlMakeDatedOIS(,J354,K354,"eonia",,,,,Trigger)</f>
        <v>#NUM!</v>
      </c>
      <c r="M354" s="543" t="e">
        <f>_xll.qlIndexFixing("euribor3m",_xll.qlInterestRateIndexFixingDate("Euribor3M",J354),TRUE)</f>
        <v>#NUM!</v>
      </c>
      <c r="N354" s="543" t="e">
        <f>_xll.qlOvernightIndexedSwapFairRate(L354,Trigger)</f>
        <v>#VALUE!</v>
      </c>
      <c r="O354" s="545" t="e">
        <f t="shared" si="7"/>
        <v>#NUM!</v>
      </c>
    </row>
    <row r="355" spans="3:15" x14ac:dyDescent="0.2">
      <c r="C355" s="537"/>
      <c r="D355" s="537"/>
      <c r="E355" s="536"/>
      <c r="G355" s="536"/>
      <c r="H355" s="536"/>
      <c r="J355" s="551">
        <f>_xll.qlCalendarAdvance(Calendar,J354,"1M","f",,Trigger)</f>
        <v>52901</v>
      </c>
      <c r="K355" s="542">
        <f>_xll.qlCalendarAdvance(Calendar,J355,"3M","mf",,Trigger)</f>
        <v>52993</v>
      </c>
      <c r="L355" s="544" t="e">
        <f>_xll.qlMakeDatedOIS(,J355,K355,"eonia",,,,,Trigger)</f>
        <v>#NUM!</v>
      </c>
      <c r="M355" s="543" t="e">
        <f>_xll.qlIndexFixing("euribor3m",_xll.qlInterestRateIndexFixingDate("Euribor3M",J355),TRUE)</f>
        <v>#NUM!</v>
      </c>
      <c r="N355" s="543" t="e">
        <f>_xll.qlOvernightIndexedSwapFairRate(L355,Trigger)</f>
        <v>#VALUE!</v>
      </c>
      <c r="O355" s="545" t="e">
        <f t="shared" si="7"/>
        <v>#NUM!</v>
      </c>
    </row>
    <row r="356" spans="3:15" x14ac:dyDescent="0.2">
      <c r="C356" s="537"/>
      <c r="D356" s="537"/>
      <c r="E356" s="536"/>
      <c r="G356" s="536"/>
      <c r="H356" s="536"/>
      <c r="J356" s="551">
        <f>_xll.qlCalendarAdvance(Calendar,J355,"1M","f",,Trigger)</f>
        <v>52931</v>
      </c>
      <c r="K356" s="542">
        <f>_xll.qlCalendarAdvance(Calendar,J356,"3M","mf",,Trigger)</f>
        <v>53021</v>
      </c>
      <c r="L356" s="544" t="e">
        <f>_xll.qlMakeDatedOIS(,J356,K356,"eonia",,,,,Trigger)</f>
        <v>#NUM!</v>
      </c>
      <c r="M356" s="543" t="e">
        <f>_xll.qlIndexFixing("euribor3m",_xll.qlInterestRateIndexFixingDate("Euribor3M",J356),TRUE)</f>
        <v>#NUM!</v>
      </c>
      <c r="N356" s="543" t="e">
        <f>_xll.qlOvernightIndexedSwapFairRate(L356,Trigger)</f>
        <v>#VALUE!</v>
      </c>
      <c r="O356" s="545" t="e">
        <f t="shared" si="7"/>
        <v>#NUM!</v>
      </c>
    </row>
    <row r="357" spans="3:15" x14ac:dyDescent="0.2">
      <c r="C357" s="537"/>
      <c r="D357" s="537"/>
      <c r="E357" s="536"/>
      <c r="G357" s="536"/>
      <c r="H357" s="536"/>
      <c r="J357" s="551">
        <f>_xll.qlCalendarAdvance(Calendar,J356,"1M","f",,Trigger)</f>
        <v>52961</v>
      </c>
      <c r="K357" s="542">
        <f>_xll.qlCalendarAdvance(Calendar,J357,"3M","mf",,Trigger)</f>
        <v>53051</v>
      </c>
      <c r="L357" s="544" t="e">
        <f>_xll.qlMakeDatedOIS(,J357,K357,"eonia",,,,,Trigger)</f>
        <v>#NUM!</v>
      </c>
      <c r="M357" s="543" t="e">
        <f>_xll.qlIndexFixing("euribor3m",_xll.qlInterestRateIndexFixingDate("Euribor3M",J357),TRUE)</f>
        <v>#NUM!</v>
      </c>
      <c r="N357" s="543" t="e">
        <f>_xll.qlOvernightIndexedSwapFairRate(L357,Trigger)</f>
        <v>#VALUE!</v>
      </c>
      <c r="O357" s="545" t="e">
        <f t="shared" si="7"/>
        <v>#NUM!</v>
      </c>
    </row>
    <row r="358" spans="3:15" x14ac:dyDescent="0.2">
      <c r="C358" s="537"/>
      <c r="D358" s="537"/>
      <c r="E358" s="536"/>
      <c r="G358" s="536"/>
      <c r="H358" s="536"/>
      <c r="J358" s="551">
        <f>_xll.qlCalendarAdvance(Calendar,J357,"1M","f",,Trigger)</f>
        <v>52992</v>
      </c>
      <c r="K358" s="542">
        <f>_xll.qlCalendarAdvance(Calendar,J358,"3M","mf",,Trigger)</f>
        <v>53080</v>
      </c>
      <c r="L358" s="544" t="e">
        <f>_xll.qlMakeDatedOIS(,J358,K358,"eonia",,,,,Trigger)</f>
        <v>#NUM!</v>
      </c>
      <c r="M358" s="543" t="e">
        <f>_xll.qlIndexFixing("euribor3m",_xll.qlInterestRateIndexFixingDate("Euribor3M",J358),TRUE)</f>
        <v>#NUM!</v>
      </c>
      <c r="N358" s="543" t="e">
        <f>_xll.qlOvernightIndexedSwapFairRate(L358,Trigger)</f>
        <v>#VALUE!</v>
      </c>
      <c r="O358" s="545" t="e">
        <f t="shared" si="7"/>
        <v>#NUM!</v>
      </c>
    </row>
    <row r="359" spans="3:15" x14ac:dyDescent="0.2">
      <c r="C359" s="537"/>
      <c r="D359" s="537"/>
      <c r="E359" s="536"/>
      <c r="G359" s="536"/>
      <c r="H359" s="536"/>
      <c r="J359" s="551">
        <f>_xll.qlCalendarAdvance(Calendar,J358,"1M","f",,Trigger)</f>
        <v>53021</v>
      </c>
      <c r="K359" s="542">
        <f>_xll.qlCalendarAdvance(Calendar,J359,"3M","mf",,Trigger)</f>
        <v>53111</v>
      </c>
      <c r="L359" s="544" t="e">
        <f>_xll.qlMakeDatedOIS(,J359,K359,"eonia",,,,,Trigger)</f>
        <v>#NUM!</v>
      </c>
      <c r="M359" s="543" t="e">
        <f>_xll.qlIndexFixing("euribor3m",_xll.qlInterestRateIndexFixingDate("Euribor3M",J359),TRUE)</f>
        <v>#NUM!</v>
      </c>
      <c r="N359" s="543" t="e">
        <f>_xll.qlOvernightIndexedSwapFairRate(L359,Trigger)</f>
        <v>#VALUE!</v>
      </c>
      <c r="O359" s="545" t="e">
        <f t="shared" si="7"/>
        <v>#NUM!</v>
      </c>
    </row>
    <row r="360" spans="3:15" x14ac:dyDescent="0.2">
      <c r="C360" s="537"/>
      <c r="D360" s="537"/>
      <c r="E360" s="536"/>
      <c r="G360" s="536"/>
      <c r="H360" s="536"/>
      <c r="J360" s="551">
        <f>_xll.qlCalendarAdvance(Calendar,J359,"1M","f",,Trigger)</f>
        <v>53049</v>
      </c>
      <c r="K360" s="542">
        <f>_xll.qlCalendarAdvance(Calendar,J360,"3M","mf",,Trigger)</f>
        <v>53141</v>
      </c>
      <c r="L360" s="544" t="e">
        <f>_xll.qlMakeDatedOIS(,J360,K360,"eonia",,,,,Trigger)</f>
        <v>#NUM!</v>
      </c>
      <c r="M360" s="543" t="e">
        <f>_xll.qlIndexFixing("euribor3m",_xll.qlInterestRateIndexFixingDate("Euribor3M",J360),TRUE)</f>
        <v>#NUM!</v>
      </c>
      <c r="N360" s="543" t="e">
        <f>_xll.qlOvernightIndexedSwapFairRate(L360,Trigger)</f>
        <v>#VALUE!</v>
      </c>
      <c r="O360" s="545" t="e">
        <f t="shared" si="7"/>
        <v>#NUM!</v>
      </c>
    </row>
    <row r="361" spans="3:15" x14ac:dyDescent="0.2">
      <c r="C361" s="537"/>
      <c r="D361" s="537"/>
      <c r="E361" s="536"/>
      <c r="G361" s="536"/>
      <c r="H361" s="536"/>
      <c r="J361" s="551">
        <f>_xll.qlCalendarAdvance(Calendar,J360,"1M","f",,Trigger)</f>
        <v>53080</v>
      </c>
      <c r="K361" s="542">
        <f>_xll.qlCalendarAdvance(Calendar,J361,"3M","mf",,Trigger)</f>
        <v>53171</v>
      </c>
      <c r="L361" s="544" t="e">
        <f>_xll.qlMakeDatedOIS(,J361,K361,"eonia",,,,,Trigger)</f>
        <v>#NUM!</v>
      </c>
      <c r="M361" s="543" t="e">
        <f>_xll.qlIndexFixing("euribor3m",_xll.qlInterestRateIndexFixingDate("Euribor3M",J361),TRUE)</f>
        <v>#NUM!</v>
      </c>
      <c r="N361" s="543" t="e">
        <f>_xll.qlOvernightIndexedSwapFairRate(L361,Trigger)</f>
        <v>#VALUE!</v>
      </c>
      <c r="O361" s="545" t="e">
        <f t="shared" si="7"/>
        <v>#NUM!</v>
      </c>
    </row>
    <row r="362" spans="3:15" x14ac:dyDescent="0.2">
      <c r="C362" s="537"/>
      <c r="D362" s="537"/>
      <c r="E362" s="536"/>
      <c r="G362" s="536"/>
      <c r="H362" s="536"/>
      <c r="J362" s="551">
        <f>_xll.qlCalendarAdvance(Calendar,J361,"1M","f",,Trigger)</f>
        <v>53111</v>
      </c>
      <c r="K362" s="542">
        <f>_xll.qlCalendarAdvance(Calendar,J362,"3M","mf",,Trigger)</f>
        <v>53203</v>
      </c>
      <c r="L362" s="544" t="e">
        <f>_xll.qlMakeDatedOIS(,J362,K362,"eonia",,,,,Trigger)</f>
        <v>#NUM!</v>
      </c>
      <c r="M362" s="543" t="e">
        <f>_xll.qlIndexFixing("euribor3m",_xll.qlInterestRateIndexFixingDate("Euribor3M",J362),TRUE)</f>
        <v>#NUM!</v>
      </c>
      <c r="N362" s="543" t="e">
        <f>_xll.qlOvernightIndexedSwapFairRate(L362,Trigger)</f>
        <v>#VALUE!</v>
      </c>
      <c r="O362" s="545" t="e">
        <f t="shared" si="7"/>
        <v>#NUM!</v>
      </c>
    </row>
    <row r="363" spans="3:15" x14ac:dyDescent="0.2">
      <c r="C363" s="537"/>
      <c r="D363" s="537"/>
      <c r="E363" s="536"/>
      <c r="G363" s="536"/>
      <c r="H363" s="536"/>
      <c r="J363" s="551">
        <f>_xll.qlCalendarAdvance(Calendar,J362,"1M","f",,Trigger)</f>
        <v>53142</v>
      </c>
      <c r="K363" s="542">
        <f>_xll.qlCalendarAdvance(Calendar,J363,"3M","mf",,Trigger)</f>
        <v>53234</v>
      </c>
      <c r="L363" s="544" t="e">
        <f>_xll.qlMakeDatedOIS(,J363,K363,"eonia",,,,,Trigger)</f>
        <v>#NUM!</v>
      </c>
      <c r="M363" s="543" t="e">
        <f>_xll.qlIndexFixing("euribor3m",_xll.qlInterestRateIndexFixingDate("Euribor3M",J363),TRUE)</f>
        <v>#NUM!</v>
      </c>
      <c r="N363" s="543" t="e">
        <f>_xll.qlOvernightIndexedSwapFairRate(L363,Trigger)</f>
        <v>#VALUE!</v>
      </c>
      <c r="O363" s="545" t="e">
        <f t="shared" si="7"/>
        <v>#NUM!</v>
      </c>
    </row>
    <row r="364" spans="3:15" x14ac:dyDescent="0.2">
      <c r="C364" s="537"/>
      <c r="D364" s="537"/>
      <c r="E364" s="536"/>
      <c r="G364" s="536"/>
      <c r="H364" s="536"/>
      <c r="J364" s="551">
        <f>_xll.qlCalendarAdvance(Calendar,J363,"1M","f",,Trigger)</f>
        <v>53174</v>
      </c>
      <c r="K364" s="542">
        <f>_xll.qlCalendarAdvance(Calendar,J364,"3M","mf",,Trigger)</f>
        <v>53266</v>
      </c>
      <c r="L364" s="544" t="e">
        <f>_xll.qlMakeDatedOIS(,J364,K364,"eonia",,,,,Trigger)</f>
        <v>#NUM!</v>
      </c>
      <c r="M364" s="543" t="e">
        <f>_xll.qlIndexFixing("euribor3m",_xll.qlInterestRateIndexFixingDate("Euribor3M",J364),TRUE)</f>
        <v>#NUM!</v>
      </c>
      <c r="N364" s="543" t="e">
        <f>_xll.qlOvernightIndexedSwapFairRate(L364,Trigger)</f>
        <v>#VALUE!</v>
      </c>
      <c r="O364" s="545" t="e">
        <f t="shared" si="7"/>
        <v>#NUM!</v>
      </c>
    </row>
    <row r="365" spans="3:15" x14ac:dyDescent="0.2">
      <c r="C365" s="537"/>
      <c r="D365" s="537"/>
      <c r="E365" s="536"/>
      <c r="G365" s="536"/>
      <c r="H365" s="536"/>
      <c r="J365" s="551">
        <f>_xll.qlCalendarAdvance(Calendar,J364,"1M","f",,Trigger)</f>
        <v>53205</v>
      </c>
      <c r="K365" s="542">
        <f>_xll.qlCalendarAdvance(Calendar,J365,"3M","mf",,Trigger)</f>
        <v>53296</v>
      </c>
      <c r="L365" s="544" t="e">
        <f>_xll.qlMakeDatedOIS(,J365,K365,"eonia",,,,,Trigger)</f>
        <v>#NUM!</v>
      </c>
      <c r="M365" s="543" t="e">
        <f>_xll.qlIndexFixing("euribor3m",_xll.qlInterestRateIndexFixingDate("Euribor3M",J365),TRUE)</f>
        <v>#NUM!</v>
      </c>
      <c r="N365" s="543" t="e">
        <f>_xll.qlOvernightIndexedSwapFairRate(L365,Trigger)</f>
        <v>#VALUE!</v>
      </c>
      <c r="O365" s="545" t="e">
        <f t="shared" si="7"/>
        <v>#NUM!</v>
      </c>
    </row>
    <row r="366" spans="3:15" x14ac:dyDescent="0.2">
      <c r="C366" s="537"/>
      <c r="D366" s="537"/>
      <c r="E366" s="536"/>
      <c r="G366" s="536"/>
      <c r="H366" s="536"/>
      <c r="J366" s="551">
        <f>_xll.qlCalendarAdvance(Calendar,J365,"1M","f",,Trigger)</f>
        <v>53237</v>
      </c>
      <c r="K366" s="542">
        <f>_xll.qlCalendarAdvance(Calendar,J366,"3M","mf",,Trigger)</f>
        <v>53329</v>
      </c>
      <c r="L366" s="544" t="e">
        <f>_xll.qlMakeDatedOIS(,J366,K366,"eonia",,,,,Trigger)</f>
        <v>#NUM!</v>
      </c>
      <c r="M366" s="543" t="e">
        <f>_xll.qlIndexFixing("euribor3m",_xll.qlInterestRateIndexFixingDate("Euribor3M",J366),TRUE)</f>
        <v>#NUM!</v>
      </c>
      <c r="N366" s="543" t="e">
        <f>_xll.qlOvernightIndexedSwapFairRate(L366,Trigger)</f>
        <v>#VALUE!</v>
      </c>
      <c r="O366" s="545" t="e">
        <f t="shared" si="7"/>
        <v>#NUM!</v>
      </c>
    </row>
    <row r="367" spans="3:15" x14ac:dyDescent="0.2">
      <c r="C367" s="537"/>
      <c r="D367" s="537"/>
      <c r="E367" s="536"/>
      <c r="G367" s="536"/>
      <c r="H367" s="536"/>
      <c r="J367" s="551">
        <f>_xll.qlCalendarAdvance(Calendar,J366,"1M","f",,Trigger)</f>
        <v>53268</v>
      </c>
      <c r="K367" s="542">
        <f>_xll.qlCalendarAdvance(Calendar,J367,"3M","mf",,Trigger)</f>
        <v>53360</v>
      </c>
      <c r="L367" s="544" t="e">
        <f>_xll.qlMakeDatedOIS(,J367,K367,"eonia",,,,,Trigger)</f>
        <v>#NUM!</v>
      </c>
      <c r="M367" s="543" t="e">
        <f>_xll.qlIndexFixing("euribor3m",_xll.qlInterestRateIndexFixingDate("Euribor3M",J367),TRUE)</f>
        <v>#NUM!</v>
      </c>
      <c r="N367" s="543" t="e">
        <f>_xll.qlOvernightIndexedSwapFairRate(L367,Trigger)</f>
        <v>#VALUE!</v>
      </c>
      <c r="O367" s="545" t="e">
        <f t="shared" si="7"/>
        <v>#NUM!</v>
      </c>
    </row>
    <row r="368" spans="3:15" x14ac:dyDescent="0.2">
      <c r="C368" s="537"/>
      <c r="D368" s="537"/>
      <c r="E368" s="536"/>
      <c r="G368" s="536"/>
      <c r="H368" s="536"/>
      <c r="J368" s="551">
        <f>_xll.qlCalendarAdvance(Calendar,J367,"1M","f",,Trigger)</f>
        <v>53300</v>
      </c>
      <c r="K368" s="542">
        <f>_xll.qlCalendarAdvance(Calendar,J368,"3M","mf",,Trigger)</f>
        <v>53391</v>
      </c>
      <c r="L368" s="544" t="e">
        <f>_xll.qlMakeDatedOIS(,J368,K368,"eonia",,,,,Trigger)</f>
        <v>#NUM!</v>
      </c>
      <c r="M368" s="543" t="e">
        <f>_xll.qlIndexFixing("euribor3m",_xll.qlInterestRateIndexFixingDate("Euribor3M",J368),TRUE)</f>
        <v>#NUM!</v>
      </c>
      <c r="N368" s="543" t="e">
        <f>_xll.qlOvernightIndexedSwapFairRate(L368,Trigger)</f>
        <v>#VALUE!</v>
      </c>
      <c r="O368" s="545" t="e">
        <f t="shared" si="7"/>
        <v>#NUM!</v>
      </c>
    </row>
    <row r="369" spans="3:15" x14ac:dyDescent="0.2">
      <c r="C369" s="537"/>
      <c r="D369" s="537"/>
      <c r="E369" s="536"/>
      <c r="G369" s="536"/>
      <c r="H369" s="536"/>
      <c r="J369" s="551">
        <f>_xll.qlCalendarAdvance(Calendar,J368,"1M","f",,Trigger)</f>
        <v>53331</v>
      </c>
      <c r="K369" s="542">
        <f>_xll.qlCalendarAdvance(Calendar,J369,"3M","mf",,Trigger)</f>
        <v>53421</v>
      </c>
      <c r="L369" s="544" t="e">
        <f>_xll.qlMakeDatedOIS(,J369,K369,"eonia",,,,,Trigger)</f>
        <v>#NUM!</v>
      </c>
      <c r="M369" s="543" t="e">
        <f>_xll.qlIndexFixing("euribor3m",_xll.qlInterestRateIndexFixingDate("Euribor3M",J369),TRUE)</f>
        <v>#NUM!</v>
      </c>
      <c r="N369" s="543" t="e">
        <f>_xll.qlOvernightIndexedSwapFairRate(L369,Trigger)</f>
        <v>#VALUE!</v>
      </c>
      <c r="O369" s="545" t="e">
        <f t="shared" si="7"/>
        <v>#NUM!</v>
      </c>
    </row>
    <row r="370" spans="3:15" x14ac:dyDescent="0.2">
      <c r="C370" s="537"/>
      <c r="D370" s="537"/>
      <c r="E370" s="536"/>
      <c r="G370" s="536"/>
      <c r="H370" s="536"/>
      <c r="J370" s="551">
        <f>_xll.qlCalendarAdvance(Calendar,J369,"1M","f",,Trigger)</f>
        <v>53363</v>
      </c>
      <c r="K370" s="542">
        <f>_xll.qlCalendarAdvance(Calendar,J370,"3M","mf",,Trigger)</f>
        <v>53454</v>
      </c>
      <c r="L370" s="544" t="e">
        <f>_xll.qlMakeDatedOIS(,J370,K370,"eonia",,,,,Trigger)</f>
        <v>#NUM!</v>
      </c>
      <c r="M370" s="543" t="e">
        <f>_xll.qlIndexFixing("euribor3m",_xll.qlInterestRateIndexFixingDate("Euribor3M",J370),TRUE)</f>
        <v>#NUM!</v>
      </c>
      <c r="N370" s="543" t="e">
        <f>_xll.qlOvernightIndexedSwapFairRate(L370,Trigger)</f>
        <v>#VALUE!</v>
      </c>
      <c r="O370" s="545" t="e">
        <f t="shared" si="7"/>
        <v>#NUM!</v>
      </c>
    </row>
    <row r="371" spans="3:15" x14ac:dyDescent="0.2">
      <c r="C371" s="537"/>
      <c r="D371" s="537"/>
      <c r="E371" s="536"/>
      <c r="G371" s="536"/>
      <c r="H371" s="536"/>
      <c r="J371" s="551">
        <f>_xll.qlCalendarAdvance(Calendar,J370,"1M","f",,Trigger)</f>
        <v>53391</v>
      </c>
      <c r="K371" s="542">
        <f>_xll.qlCalendarAdvance(Calendar,J371,"3M","mf",,Trigger)</f>
        <v>53483</v>
      </c>
      <c r="L371" s="544" t="e">
        <f>_xll.qlMakeDatedOIS(,J371,K371,"eonia",,,,,Trigger)</f>
        <v>#NUM!</v>
      </c>
      <c r="M371" s="543" t="e">
        <f>_xll.qlIndexFixing("euribor3m",_xll.qlInterestRateIndexFixingDate("Euribor3M",J371),TRUE)</f>
        <v>#NUM!</v>
      </c>
      <c r="N371" s="543" t="e">
        <f>_xll.qlOvernightIndexedSwapFairRate(L371,Trigger)</f>
        <v>#VALUE!</v>
      </c>
      <c r="O371" s="545" t="e">
        <f t="shared" si="7"/>
        <v>#NUM!</v>
      </c>
    </row>
    <row r="372" spans="3:15" x14ac:dyDescent="0.2">
      <c r="C372" s="537"/>
      <c r="D372" s="537"/>
      <c r="E372" s="536"/>
      <c r="G372" s="536"/>
      <c r="H372" s="536"/>
      <c r="J372" s="551">
        <f>_xll.qlCalendarAdvance(Calendar,J371,"1M","f",,Trigger)</f>
        <v>53422</v>
      </c>
      <c r="K372" s="542">
        <f>_xll.qlCalendarAdvance(Calendar,J372,"3M","mf",,Trigger)</f>
        <v>53513</v>
      </c>
      <c r="L372" s="544" t="e">
        <f>_xll.qlMakeDatedOIS(,J372,K372,"eonia",,,,,Trigger)</f>
        <v>#NUM!</v>
      </c>
      <c r="M372" s="543" t="e">
        <f>_xll.qlIndexFixing("euribor3m",_xll.qlInterestRateIndexFixingDate("Euribor3M",J372),TRUE)</f>
        <v>#NUM!</v>
      </c>
      <c r="N372" s="543" t="e">
        <f>_xll.qlOvernightIndexedSwapFairRate(L372,Trigger)</f>
        <v>#VALUE!</v>
      </c>
      <c r="O372" s="545" t="e">
        <f t="shared" si="7"/>
        <v>#NUM!</v>
      </c>
    </row>
    <row r="373" spans="3:15" x14ac:dyDescent="0.2">
      <c r="C373" s="537"/>
      <c r="D373" s="537"/>
      <c r="E373" s="536"/>
      <c r="G373" s="536"/>
      <c r="H373" s="536"/>
      <c r="J373" s="551">
        <f>_xll.qlCalendarAdvance(Calendar,J372,"1M","f",,Trigger)</f>
        <v>53454</v>
      </c>
      <c r="K373" s="542">
        <f>_xll.qlCalendarAdvance(Calendar,J373,"3M","mf",,Trigger)</f>
        <v>53546</v>
      </c>
      <c r="L373" s="544" t="e">
        <f>_xll.qlMakeDatedOIS(,J373,K373,"eonia",,,,,Trigger)</f>
        <v>#NUM!</v>
      </c>
      <c r="M373" s="543" t="e">
        <f>_xll.qlIndexFixing("euribor3m",_xll.qlInterestRateIndexFixingDate("Euribor3M",J373),TRUE)</f>
        <v>#NUM!</v>
      </c>
      <c r="N373" s="543" t="e">
        <f>_xll.qlOvernightIndexedSwapFairRate(L373,Trigger)</f>
        <v>#VALUE!</v>
      </c>
      <c r="O373" s="545" t="e">
        <f t="shared" si="7"/>
        <v>#NUM!</v>
      </c>
    </row>
    <row r="374" spans="3:15" x14ac:dyDescent="0.2">
      <c r="C374" s="537"/>
      <c r="D374" s="537"/>
      <c r="E374" s="536"/>
      <c r="G374" s="536"/>
      <c r="H374" s="536"/>
      <c r="J374" s="551">
        <f>_xll.qlCalendarAdvance(Calendar,J373,"1M","f",,Trigger)</f>
        <v>53485</v>
      </c>
      <c r="K374" s="542">
        <f>_xll.qlCalendarAdvance(Calendar,J374,"3M","mf",,Trigger)</f>
        <v>53577</v>
      </c>
      <c r="L374" s="544" t="e">
        <f>_xll.qlMakeDatedOIS(,J374,K374,"eonia",,,,,Trigger)</f>
        <v>#NUM!</v>
      </c>
      <c r="M374" s="543" t="e">
        <f>_xll.qlIndexFixing("euribor3m",_xll.qlInterestRateIndexFixingDate("Euribor3M",J374),TRUE)</f>
        <v>#NUM!</v>
      </c>
      <c r="N374" s="543" t="e">
        <f>_xll.qlOvernightIndexedSwapFairRate(L374,Trigger)</f>
        <v>#VALUE!</v>
      </c>
      <c r="O374" s="545" t="e">
        <f t="shared" si="7"/>
        <v>#NUM!</v>
      </c>
    </row>
    <row r="375" spans="3:15" x14ac:dyDescent="0.2">
      <c r="C375" s="537"/>
      <c r="D375" s="537"/>
      <c r="E375" s="536"/>
      <c r="G375" s="536"/>
      <c r="H375" s="536"/>
      <c r="J375" s="551">
        <f>_xll.qlCalendarAdvance(Calendar,J374,"1M","f",,Trigger)</f>
        <v>53517</v>
      </c>
      <c r="K375" s="542">
        <f>_xll.qlCalendarAdvance(Calendar,J375,"3M","mf",,Trigger)</f>
        <v>53609</v>
      </c>
      <c r="L375" s="544" t="e">
        <f>_xll.qlMakeDatedOIS(,J375,K375,"eonia",,,,,Trigger)</f>
        <v>#NUM!</v>
      </c>
      <c r="M375" s="543" t="e">
        <f>_xll.qlIndexFixing("euribor3m",_xll.qlInterestRateIndexFixingDate("Euribor3M",J375),TRUE)</f>
        <v>#NUM!</v>
      </c>
      <c r="N375" s="543" t="e">
        <f>_xll.qlOvernightIndexedSwapFairRate(L375,Trigger)</f>
        <v>#VALUE!</v>
      </c>
      <c r="O375" s="545" t="e">
        <f t="shared" si="7"/>
        <v>#NUM!</v>
      </c>
    </row>
    <row r="376" spans="3:15" x14ac:dyDescent="0.2">
      <c r="C376" s="537"/>
      <c r="D376" s="537"/>
      <c r="E376" s="536"/>
      <c r="G376" s="536"/>
      <c r="H376" s="536"/>
      <c r="J376" s="551">
        <f>_xll.qlCalendarAdvance(Calendar,J375,"1M","f",,Trigger)</f>
        <v>53548</v>
      </c>
      <c r="K376" s="542">
        <f>_xll.qlCalendarAdvance(Calendar,J376,"3M","mf",,Trigger)</f>
        <v>53640</v>
      </c>
      <c r="L376" s="544" t="e">
        <f>_xll.qlMakeDatedOIS(,J376,K376,"eonia",,,,,Trigger)</f>
        <v>#NUM!</v>
      </c>
      <c r="M376" s="543" t="e">
        <f>_xll.qlIndexFixing("euribor3m",_xll.qlInterestRateIndexFixingDate("Euribor3M",J376),TRUE)</f>
        <v>#NUM!</v>
      </c>
      <c r="N376" s="543" t="e">
        <f>_xll.qlOvernightIndexedSwapFairRate(L376,Trigger)</f>
        <v>#VALUE!</v>
      </c>
      <c r="O376" s="545" t="e">
        <f t="shared" si="7"/>
        <v>#NUM!</v>
      </c>
    </row>
    <row r="377" spans="3:15" x14ac:dyDescent="0.2">
      <c r="C377" s="537"/>
      <c r="D377" s="537"/>
      <c r="E377" s="536"/>
      <c r="G377" s="536"/>
      <c r="H377" s="536"/>
      <c r="J377" s="551">
        <f>_xll.qlCalendarAdvance(Calendar,J376,"1M","f",,Trigger)</f>
        <v>53580</v>
      </c>
      <c r="K377" s="542">
        <f>_xll.qlCalendarAdvance(Calendar,J377,"3M","mf",,Trigger)</f>
        <v>53671</v>
      </c>
      <c r="L377" s="544" t="e">
        <f>_xll.qlMakeDatedOIS(,J377,K377,"eonia",,,,,Trigger)</f>
        <v>#NUM!</v>
      </c>
      <c r="M377" s="543" t="e">
        <f>_xll.qlIndexFixing("euribor3m",_xll.qlInterestRateIndexFixingDate("Euribor3M",J377),TRUE)</f>
        <v>#NUM!</v>
      </c>
      <c r="N377" s="543" t="e">
        <f>_xll.qlOvernightIndexedSwapFairRate(L377,Trigger)</f>
        <v>#VALUE!</v>
      </c>
      <c r="O377" s="545" t="e">
        <f t="shared" si="7"/>
        <v>#NUM!</v>
      </c>
    </row>
    <row r="378" spans="3:15" x14ac:dyDescent="0.2">
      <c r="C378" s="537"/>
      <c r="D378" s="537"/>
      <c r="E378" s="536"/>
      <c r="G378" s="536"/>
      <c r="H378" s="536"/>
      <c r="J378" s="551">
        <f>_xll.qlCalendarAdvance(Calendar,J377,"1M","f",,Trigger)</f>
        <v>53610</v>
      </c>
      <c r="K378" s="542">
        <f>_xll.qlCalendarAdvance(Calendar,J378,"3M","mf",,Trigger)</f>
        <v>53702</v>
      </c>
      <c r="L378" s="544" t="e">
        <f>_xll.qlMakeDatedOIS(,J378,K378,"eonia",,,,,Trigger)</f>
        <v>#NUM!</v>
      </c>
      <c r="M378" s="543" t="e">
        <f>_xll.qlIndexFixing("euribor3m",_xll.qlInterestRateIndexFixingDate("Euribor3M",J378),TRUE)</f>
        <v>#NUM!</v>
      </c>
      <c r="N378" s="543" t="e">
        <f>_xll.qlOvernightIndexedSwapFairRate(L378,Trigger)</f>
        <v>#VALUE!</v>
      </c>
      <c r="O378" s="545" t="e">
        <f t="shared" si="7"/>
        <v>#NUM!</v>
      </c>
    </row>
    <row r="379" spans="3:15" x14ac:dyDescent="0.2">
      <c r="C379" s="537"/>
      <c r="D379" s="537"/>
      <c r="E379" s="536"/>
      <c r="G379" s="536"/>
      <c r="H379" s="536"/>
      <c r="J379" s="551">
        <f>_xll.qlCalendarAdvance(Calendar,J378,"1M","f",,Trigger)</f>
        <v>53643</v>
      </c>
      <c r="K379" s="542">
        <f>_xll.qlCalendarAdvance(Calendar,J379,"3M","mf",,Trigger)</f>
        <v>53735</v>
      </c>
      <c r="L379" s="544" t="e">
        <f>_xll.qlMakeDatedOIS(,J379,K379,"eonia",,,,,Trigger)</f>
        <v>#NUM!</v>
      </c>
      <c r="M379" s="543" t="e">
        <f>_xll.qlIndexFixing("euribor3m",_xll.qlInterestRateIndexFixingDate("Euribor3M",J379),TRUE)</f>
        <v>#NUM!</v>
      </c>
      <c r="N379" s="543" t="e">
        <f>_xll.qlOvernightIndexedSwapFairRate(L379,Trigger)</f>
        <v>#VALUE!</v>
      </c>
      <c r="O379" s="545" t="e">
        <f t="shared" si="7"/>
        <v>#NUM!</v>
      </c>
    </row>
    <row r="380" spans="3:15" x14ac:dyDescent="0.2">
      <c r="C380" s="537"/>
      <c r="D380" s="537"/>
      <c r="E380" s="536"/>
      <c r="G380" s="536"/>
      <c r="H380" s="536"/>
      <c r="J380" s="551">
        <f>_xll.qlCalendarAdvance(Calendar,J379,"1M","f",,Trigger)</f>
        <v>53673</v>
      </c>
      <c r="K380" s="542">
        <f>_xll.qlCalendarAdvance(Calendar,J380,"3M","mf",,Trigger)</f>
        <v>53763</v>
      </c>
      <c r="L380" s="544" t="e">
        <f>_xll.qlMakeDatedOIS(,J380,K380,"eonia",,,,,Trigger)</f>
        <v>#NUM!</v>
      </c>
      <c r="M380" s="543" t="e">
        <f>_xll.qlIndexFixing("euribor3m",_xll.qlInterestRateIndexFixingDate("Euribor3M",J380),TRUE)</f>
        <v>#NUM!</v>
      </c>
      <c r="N380" s="543" t="e">
        <f>_xll.qlOvernightIndexedSwapFairRate(L380,Trigger)</f>
        <v>#VALUE!</v>
      </c>
      <c r="O380" s="545" t="e">
        <f t="shared" si="7"/>
        <v>#NUM!</v>
      </c>
    </row>
    <row r="381" spans="3:15" x14ac:dyDescent="0.2">
      <c r="C381" s="537"/>
      <c r="D381" s="537"/>
      <c r="E381" s="536"/>
      <c r="G381" s="536"/>
      <c r="H381" s="536"/>
      <c r="J381" s="551">
        <f>_xll.qlCalendarAdvance(Calendar,J380,"1M","f",,Trigger)</f>
        <v>53706</v>
      </c>
      <c r="K381" s="542">
        <f>_xll.qlCalendarAdvance(Calendar,J381,"3M","mf",,Trigger)</f>
        <v>53798</v>
      </c>
      <c r="L381" s="544" t="e">
        <f>_xll.qlMakeDatedOIS(,J381,K381,"eonia",,,,,Trigger)</f>
        <v>#NUM!</v>
      </c>
      <c r="M381" s="543" t="e">
        <f>_xll.qlIndexFixing("euribor3m",_xll.qlInterestRateIndexFixingDate("Euribor3M",J381),TRUE)</f>
        <v>#NUM!</v>
      </c>
      <c r="N381" s="543" t="e">
        <f>_xll.qlOvernightIndexedSwapFairRate(L381,Trigger)</f>
        <v>#VALUE!</v>
      </c>
      <c r="O381" s="545" t="e">
        <f t="shared" si="7"/>
        <v>#NUM!</v>
      </c>
    </row>
    <row r="382" spans="3:15" x14ac:dyDescent="0.2">
      <c r="C382" s="537"/>
      <c r="D382" s="537"/>
      <c r="E382" s="536"/>
      <c r="G382" s="536"/>
      <c r="H382" s="536"/>
      <c r="J382" s="551">
        <f>_xll.qlCalendarAdvance(Calendar,J381,"1M","f",,Trigger)</f>
        <v>53737</v>
      </c>
      <c r="K382" s="542">
        <f>_xll.qlCalendarAdvance(Calendar,J382,"3M","mf",,Trigger)</f>
        <v>53826</v>
      </c>
      <c r="L382" s="544" t="e">
        <f>_xll.qlMakeDatedOIS(,J382,K382,"eonia",,,,,Trigger)</f>
        <v>#NUM!</v>
      </c>
      <c r="M382" s="543" t="e">
        <f>_xll.qlIndexFixing("euribor3m",_xll.qlInterestRateIndexFixingDate("Euribor3M",J382),TRUE)</f>
        <v>#NUM!</v>
      </c>
      <c r="N382" s="543" t="e">
        <f>_xll.qlOvernightIndexedSwapFairRate(L382,Trigger)</f>
        <v>#VALUE!</v>
      </c>
      <c r="O382" s="545" t="e">
        <f t="shared" si="7"/>
        <v>#NUM!</v>
      </c>
    </row>
    <row r="383" spans="3:15" x14ac:dyDescent="0.2">
      <c r="C383" s="537"/>
      <c r="D383" s="537"/>
      <c r="E383" s="536"/>
      <c r="G383" s="536"/>
      <c r="H383" s="536"/>
      <c r="J383" s="551">
        <f>_xll.qlCalendarAdvance(Calendar,J382,"1M","f",,Trigger)</f>
        <v>53765</v>
      </c>
      <c r="K383" s="542">
        <f>_xll.qlCalendarAdvance(Calendar,J383,"3M","mf",,Trigger)</f>
        <v>53857</v>
      </c>
      <c r="L383" s="544" t="e">
        <f>_xll.qlMakeDatedOIS(,J383,K383,"eonia",,,,,Trigger)</f>
        <v>#NUM!</v>
      </c>
      <c r="M383" s="543" t="e">
        <f>_xll.qlIndexFixing("euribor3m",_xll.qlInterestRateIndexFixingDate("Euribor3M",J383),TRUE)</f>
        <v>#NUM!</v>
      </c>
      <c r="N383" s="543" t="e">
        <f>_xll.qlOvernightIndexedSwapFairRate(L383,Trigger)</f>
        <v>#VALUE!</v>
      </c>
      <c r="O383" s="545" t="e">
        <f t="shared" si="7"/>
        <v>#NUM!</v>
      </c>
    </row>
    <row r="384" spans="3:15" x14ac:dyDescent="0.2">
      <c r="C384" s="537"/>
      <c r="D384" s="537"/>
      <c r="E384" s="536"/>
      <c r="G384" s="536"/>
      <c r="H384" s="536"/>
      <c r="J384" s="551">
        <f>_xll.qlCalendarAdvance(Calendar,J383,"1M","f",,Trigger)</f>
        <v>53798</v>
      </c>
      <c r="K384" s="542">
        <f>_xll.qlCalendarAdvance(Calendar,J384,"3M","mf",,Trigger)</f>
        <v>53889</v>
      </c>
      <c r="L384" s="544" t="e">
        <f>_xll.qlMakeDatedOIS(,J384,K384,"eonia",,,,,Trigger)</f>
        <v>#NUM!</v>
      </c>
      <c r="M384" s="543" t="e">
        <f>_xll.qlIndexFixing("euribor3m",_xll.qlInterestRateIndexFixingDate("Euribor3M",J384),TRUE)</f>
        <v>#NUM!</v>
      </c>
      <c r="N384" s="543" t="e">
        <f>_xll.qlOvernightIndexedSwapFairRate(L384,Trigger)</f>
        <v>#VALUE!</v>
      </c>
      <c r="O384" s="545" t="e">
        <f t="shared" si="7"/>
        <v>#NUM!</v>
      </c>
    </row>
    <row r="385" spans="3:15" x14ac:dyDescent="0.2">
      <c r="C385" s="537"/>
      <c r="D385" s="537"/>
      <c r="E385" s="536"/>
      <c r="G385" s="536"/>
      <c r="H385" s="536"/>
      <c r="J385" s="551">
        <f>_xll.qlCalendarAdvance(Calendar,J384,"1M","f",,Trigger)</f>
        <v>53828</v>
      </c>
      <c r="K385" s="542">
        <f>_xll.qlCalendarAdvance(Calendar,J385,"3M","mf",,Trigger)</f>
        <v>53920</v>
      </c>
      <c r="L385" s="544" t="e">
        <f>_xll.qlMakeDatedOIS(,J385,K385,"eonia",,,,,Trigger)</f>
        <v>#NUM!</v>
      </c>
      <c r="M385" s="543" t="e">
        <f>_xll.qlIndexFixing("euribor3m",_xll.qlInterestRateIndexFixingDate("Euribor3M",J385),TRUE)</f>
        <v>#NUM!</v>
      </c>
      <c r="N385" s="543" t="e">
        <f>_xll.qlOvernightIndexedSwapFairRate(L385,Trigger)</f>
        <v>#VALUE!</v>
      </c>
      <c r="O385" s="545" t="e">
        <f t="shared" si="7"/>
        <v>#NUM!</v>
      </c>
    </row>
    <row r="386" spans="3:15" x14ac:dyDescent="0.2">
      <c r="C386" s="537"/>
      <c r="D386" s="537"/>
      <c r="E386" s="536"/>
      <c r="G386" s="536"/>
      <c r="H386" s="536"/>
      <c r="J386" s="551">
        <f>_xll.qlCalendarAdvance(Calendar,J385,"1M","f",,Trigger)</f>
        <v>53860</v>
      </c>
      <c r="K386" s="542">
        <f>_xll.qlCalendarAdvance(Calendar,J386,"3M","mf",,Trigger)</f>
        <v>53952</v>
      </c>
      <c r="L386" s="544" t="e">
        <f>_xll.qlMakeDatedOIS(,J386,K386,"eonia",,,,,Trigger)</f>
        <v>#NUM!</v>
      </c>
      <c r="M386" s="543" t="e">
        <f>_xll.qlIndexFixing("euribor3m",_xll.qlInterestRateIndexFixingDate("Euribor3M",J386),TRUE)</f>
        <v>#NUM!</v>
      </c>
      <c r="N386" s="543" t="e">
        <f>_xll.qlOvernightIndexedSwapFairRate(L386,Trigger)</f>
        <v>#VALUE!</v>
      </c>
      <c r="O386" s="545" t="e">
        <f t="shared" si="7"/>
        <v>#NUM!</v>
      </c>
    </row>
    <row r="387" spans="3:15" x14ac:dyDescent="0.2">
      <c r="C387" s="537"/>
      <c r="D387" s="537"/>
      <c r="E387" s="536"/>
      <c r="G387" s="536"/>
      <c r="H387" s="536"/>
      <c r="J387" s="551">
        <f>_xll.qlCalendarAdvance(Calendar,J386,"1M","f",,Trigger)</f>
        <v>53890</v>
      </c>
      <c r="K387" s="542">
        <f>_xll.qlCalendarAdvance(Calendar,J387,"3M","mf",,Trigger)</f>
        <v>53982</v>
      </c>
      <c r="L387" s="544" t="e">
        <f>_xll.qlMakeDatedOIS(,J387,K387,"eonia",,,,,Trigger)</f>
        <v>#NUM!</v>
      </c>
      <c r="M387" s="543" t="e">
        <f>_xll.qlIndexFixing("euribor3m",_xll.qlInterestRateIndexFixingDate("Euribor3M",J387),TRUE)</f>
        <v>#NUM!</v>
      </c>
      <c r="N387" s="543" t="e">
        <f>_xll.qlOvernightIndexedSwapFairRate(L387,Trigger)</f>
        <v>#VALUE!</v>
      </c>
      <c r="O387" s="545" t="e">
        <f t="shared" ref="O387:O450" si="8">M387-N387</f>
        <v>#NUM!</v>
      </c>
    </row>
    <row r="388" spans="3:15" x14ac:dyDescent="0.2">
      <c r="C388" s="537"/>
      <c r="D388" s="537"/>
      <c r="E388" s="536"/>
      <c r="G388" s="536"/>
      <c r="H388" s="536"/>
      <c r="J388" s="551">
        <f>_xll.qlCalendarAdvance(Calendar,J387,"1M","f",,Trigger)</f>
        <v>53923</v>
      </c>
      <c r="K388" s="542">
        <f>_xll.qlCalendarAdvance(Calendar,J388,"3M","mf",,Trigger)</f>
        <v>54015</v>
      </c>
      <c r="L388" s="544" t="e">
        <f>_xll.qlMakeDatedOIS(,J388,K388,"eonia",,,,,Trigger)</f>
        <v>#NUM!</v>
      </c>
      <c r="M388" s="543" t="e">
        <f>_xll.qlIndexFixing("euribor3m",_xll.qlInterestRateIndexFixingDate("Euribor3M",J388),TRUE)</f>
        <v>#NUM!</v>
      </c>
      <c r="N388" s="543" t="e">
        <f>_xll.qlOvernightIndexedSwapFairRate(L388,Trigger)</f>
        <v>#VALUE!</v>
      </c>
      <c r="O388" s="545" t="e">
        <f t="shared" si="8"/>
        <v>#NUM!</v>
      </c>
    </row>
    <row r="389" spans="3:15" x14ac:dyDescent="0.2">
      <c r="C389" s="537"/>
      <c r="D389" s="537"/>
      <c r="E389" s="536"/>
      <c r="G389" s="536"/>
      <c r="H389" s="536"/>
      <c r="J389" s="551">
        <f>_xll.qlCalendarAdvance(Calendar,J388,"1M","f",,Trigger)</f>
        <v>53954</v>
      </c>
      <c r="K389" s="542">
        <f>_xll.qlCalendarAdvance(Calendar,J389,"3M","mf",,Trigger)</f>
        <v>54045</v>
      </c>
      <c r="L389" s="544" t="e">
        <f>_xll.qlMakeDatedOIS(,J389,K389,"eonia",,,,,Trigger)</f>
        <v>#NUM!</v>
      </c>
      <c r="M389" s="543" t="e">
        <f>_xll.qlIndexFixing("euribor3m",_xll.qlInterestRateIndexFixingDate("Euribor3M",J389),TRUE)</f>
        <v>#NUM!</v>
      </c>
      <c r="N389" s="543" t="e">
        <f>_xll.qlOvernightIndexedSwapFairRate(L389,Trigger)</f>
        <v>#VALUE!</v>
      </c>
      <c r="O389" s="545" t="e">
        <f t="shared" si="8"/>
        <v>#NUM!</v>
      </c>
    </row>
    <row r="390" spans="3:15" x14ac:dyDescent="0.2">
      <c r="C390" s="537"/>
      <c r="D390" s="537"/>
      <c r="E390" s="536"/>
      <c r="G390" s="536"/>
      <c r="H390" s="536"/>
      <c r="J390" s="551">
        <f>_xll.qlCalendarAdvance(Calendar,J389,"1M","f",,Trigger)</f>
        <v>53986</v>
      </c>
      <c r="K390" s="542">
        <f>_xll.qlCalendarAdvance(Calendar,J390,"3M","mf",,Trigger)</f>
        <v>54078</v>
      </c>
      <c r="L390" s="544" t="e">
        <f>_xll.qlMakeDatedOIS(,J390,K390,"eonia",,,,,Trigger)</f>
        <v>#NUM!</v>
      </c>
      <c r="M390" s="543" t="e">
        <f>_xll.qlIndexFixing("euribor3m",_xll.qlInterestRateIndexFixingDate("Euribor3M",J390),TRUE)</f>
        <v>#NUM!</v>
      </c>
      <c r="N390" s="543" t="e">
        <f>_xll.qlOvernightIndexedSwapFairRate(L390,Trigger)</f>
        <v>#VALUE!</v>
      </c>
      <c r="O390" s="545" t="e">
        <f t="shared" si="8"/>
        <v>#NUM!</v>
      </c>
    </row>
    <row r="391" spans="3:15" x14ac:dyDescent="0.2">
      <c r="C391" s="537"/>
      <c r="D391" s="537"/>
      <c r="E391" s="536"/>
      <c r="G391" s="536"/>
      <c r="H391" s="536"/>
      <c r="J391" s="551">
        <f>_xll.qlCalendarAdvance(Calendar,J390,"1M","f",,Trigger)</f>
        <v>54017</v>
      </c>
      <c r="K391" s="542">
        <f>_xll.qlCalendarAdvance(Calendar,J391,"3M","mf",,Trigger)</f>
        <v>54109</v>
      </c>
      <c r="L391" s="544" t="e">
        <f>_xll.qlMakeDatedOIS(,J391,K391,"eonia",,,,,Trigger)</f>
        <v>#NUM!</v>
      </c>
      <c r="M391" s="543" t="e">
        <f>_xll.qlIndexFixing("euribor3m",_xll.qlInterestRateIndexFixingDate("Euribor3M",J391),TRUE)</f>
        <v>#NUM!</v>
      </c>
      <c r="N391" s="543" t="e">
        <f>_xll.qlOvernightIndexedSwapFairRate(L391,Trigger)</f>
        <v>#VALUE!</v>
      </c>
      <c r="O391" s="545" t="e">
        <f t="shared" si="8"/>
        <v>#NUM!</v>
      </c>
    </row>
    <row r="392" spans="3:15" x14ac:dyDescent="0.2">
      <c r="C392" s="537"/>
      <c r="D392" s="537"/>
      <c r="E392" s="536"/>
      <c r="G392" s="536"/>
      <c r="H392" s="536"/>
      <c r="J392" s="551">
        <f>_xll.qlCalendarAdvance(Calendar,J391,"1M","f",,Trigger)</f>
        <v>54049</v>
      </c>
      <c r="K392" s="542">
        <f>_xll.qlCalendarAdvance(Calendar,J392,"3M","mf",,Trigger)</f>
        <v>54140</v>
      </c>
      <c r="L392" s="544" t="e">
        <f>_xll.qlMakeDatedOIS(,J392,K392,"eonia",,,,,Trigger)</f>
        <v>#NUM!</v>
      </c>
      <c r="M392" s="543" t="e">
        <f>_xll.qlIndexFixing("euribor3m",_xll.qlInterestRateIndexFixingDate("Euribor3M",J392),TRUE)</f>
        <v>#NUM!</v>
      </c>
      <c r="N392" s="543" t="e">
        <f>_xll.qlOvernightIndexedSwapFairRate(L392,Trigger)</f>
        <v>#VALUE!</v>
      </c>
      <c r="O392" s="545" t="e">
        <f t="shared" si="8"/>
        <v>#NUM!</v>
      </c>
    </row>
    <row r="393" spans="3:15" x14ac:dyDescent="0.2">
      <c r="C393" s="537"/>
      <c r="D393" s="537"/>
      <c r="E393" s="536"/>
      <c r="G393" s="536"/>
      <c r="H393" s="536"/>
      <c r="J393" s="551">
        <f>_xll.qlCalendarAdvance(Calendar,J392,"1M","f",,Trigger)</f>
        <v>54080</v>
      </c>
      <c r="K393" s="542">
        <f>_xll.qlCalendarAdvance(Calendar,J393,"3M","mf",,Trigger)</f>
        <v>54171</v>
      </c>
      <c r="L393" s="544" t="e">
        <f>_xll.qlMakeDatedOIS(,J393,K393,"eonia",,,,,Trigger)</f>
        <v>#NUM!</v>
      </c>
      <c r="M393" s="543" t="e">
        <f>_xll.qlIndexFixing("euribor3m",_xll.qlInterestRateIndexFixingDate("Euribor3M",J393),TRUE)</f>
        <v>#NUM!</v>
      </c>
      <c r="N393" s="543" t="e">
        <f>_xll.qlOvernightIndexedSwapFairRate(L393,Trigger)</f>
        <v>#VALUE!</v>
      </c>
      <c r="O393" s="545" t="e">
        <f t="shared" si="8"/>
        <v>#NUM!</v>
      </c>
    </row>
    <row r="394" spans="3:15" x14ac:dyDescent="0.2">
      <c r="C394" s="537"/>
      <c r="D394" s="537"/>
      <c r="E394" s="536"/>
      <c r="G394" s="536"/>
      <c r="H394" s="536"/>
      <c r="J394" s="551">
        <f>_xll.qlCalendarAdvance(Calendar,J393,"1M","f",,Trigger)</f>
        <v>54112</v>
      </c>
      <c r="K394" s="542">
        <f>_xll.qlCalendarAdvance(Calendar,J394,"3M","mf",,Trigger)</f>
        <v>54203</v>
      </c>
      <c r="L394" s="544" t="e">
        <f>_xll.qlMakeDatedOIS(,J394,K394,"eonia",,,,,Trigger)</f>
        <v>#NUM!</v>
      </c>
      <c r="M394" s="543" t="e">
        <f>_xll.qlIndexFixing("euribor3m",_xll.qlInterestRateIndexFixingDate("Euribor3M",J394),TRUE)</f>
        <v>#NUM!</v>
      </c>
      <c r="N394" s="543" t="e">
        <f>_xll.qlOvernightIndexedSwapFairRate(L394,Trigger)</f>
        <v>#VALUE!</v>
      </c>
      <c r="O394" s="545" t="e">
        <f t="shared" si="8"/>
        <v>#NUM!</v>
      </c>
    </row>
    <row r="395" spans="3:15" x14ac:dyDescent="0.2">
      <c r="C395" s="537"/>
      <c r="D395" s="537"/>
      <c r="E395" s="536"/>
      <c r="G395" s="536"/>
      <c r="H395" s="536"/>
      <c r="J395" s="551">
        <f>_xll.qlCalendarAdvance(Calendar,J394,"1M","f",,Trigger)</f>
        <v>54141</v>
      </c>
      <c r="K395" s="542">
        <f>_xll.qlCalendarAdvance(Calendar,J395,"3M","mf",,Trigger)</f>
        <v>54233</v>
      </c>
      <c r="L395" s="544" t="e">
        <f>_xll.qlMakeDatedOIS(,J395,K395,"eonia",,,,,Trigger)</f>
        <v>#NUM!</v>
      </c>
      <c r="M395" s="543" t="e">
        <f>_xll.qlIndexFixing("euribor3m",_xll.qlInterestRateIndexFixingDate("Euribor3M",J395),TRUE)</f>
        <v>#NUM!</v>
      </c>
      <c r="N395" s="543" t="e">
        <f>_xll.qlOvernightIndexedSwapFairRate(L395,Trigger)</f>
        <v>#VALUE!</v>
      </c>
      <c r="O395" s="545" t="e">
        <f t="shared" si="8"/>
        <v>#NUM!</v>
      </c>
    </row>
    <row r="396" spans="3:15" x14ac:dyDescent="0.2">
      <c r="C396" s="537"/>
      <c r="D396" s="537"/>
      <c r="E396" s="536"/>
      <c r="G396" s="536"/>
      <c r="H396" s="536"/>
      <c r="J396" s="551">
        <f>_xll.qlCalendarAdvance(Calendar,J395,"1M","f",,Trigger)</f>
        <v>54172</v>
      </c>
      <c r="K396" s="542">
        <f>_xll.qlCalendarAdvance(Calendar,J396,"3M","mf",,Trigger)</f>
        <v>54263</v>
      </c>
      <c r="L396" s="544" t="e">
        <f>_xll.qlMakeDatedOIS(,J396,K396,"eonia",,,,,Trigger)</f>
        <v>#NUM!</v>
      </c>
      <c r="M396" s="543" t="e">
        <f>_xll.qlIndexFixing("euribor3m",_xll.qlInterestRateIndexFixingDate("Euribor3M",J396),TRUE)</f>
        <v>#NUM!</v>
      </c>
      <c r="N396" s="543" t="e">
        <f>_xll.qlOvernightIndexedSwapFairRate(L396,Trigger)</f>
        <v>#VALUE!</v>
      </c>
      <c r="O396" s="545" t="e">
        <f t="shared" si="8"/>
        <v>#NUM!</v>
      </c>
    </row>
    <row r="397" spans="3:15" x14ac:dyDescent="0.2">
      <c r="C397" s="537"/>
      <c r="D397" s="537"/>
      <c r="E397" s="536"/>
      <c r="G397" s="536"/>
      <c r="H397" s="536"/>
      <c r="J397" s="551">
        <f>_xll.qlCalendarAdvance(Calendar,J396,"1M","f",,Trigger)</f>
        <v>54203</v>
      </c>
      <c r="K397" s="542">
        <f>_xll.qlCalendarAdvance(Calendar,J397,"3M","mf",,Trigger)</f>
        <v>54295</v>
      </c>
      <c r="L397" s="544" t="e">
        <f>_xll.qlMakeDatedOIS(,J397,K397,"eonia",,,,,Trigger)</f>
        <v>#NUM!</v>
      </c>
      <c r="M397" s="543" t="e">
        <f>_xll.qlIndexFixing("euribor3m",_xll.qlInterestRateIndexFixingDate("Euribor3M",J397),TRUE)</f>
        <v>#NUM!</v>
      </c>
      <c r="N397" s="543" t="e">
        <f>_xll.qlOvernightIndexedSwapFairRate(L397,Trigger)</f>
        <v>#VALUE!</v>
      </c>
      <c r="O397" s="545" t="e">
        <f t="shared" si="8"/>
        <v>#NUM!</v>
      </c>
    </row>
    <row r="398" spans="3:15" x14ac:dyDescent="0.2">
      <c r="C398" s="537"/>
      <c r="D398" s="537"/>
      <c r="E398" s="536"/>
      <c r="G398" s="536"/>
      <c r="H398" s="536"/>
      <c r="J398" s="551">
        <f>_xll.qlCalendarAdvance(Calendar,J397,"1M","f",,Trigger)</f>
        <v>54234</v>
      </c>
      <c r="K398" s="542">
        <f>_xll.qlCalendarAdvance(Calendar,J398,"3M","mf",,Trigger)</f>
        <v>54326</v>
      </c>
      <c r="L398" s="544" t="e">
        <f>_xll.qlMakeDatedOIS(,J398,K398,"eonia",,,,,Trigger)</f>
        <v>#NUM!</v>
      </c>
      <c r="M398" s="543" t="e">
        <f>_xll.qlIndexFixing("euribor3m",_xll.qlInterestRateIndexFixingDate("Euribor3M",J398),TRUE)</f>
        <v>#NUM!</v>
      </c>
      <c r="N398" s="543" t="e">
        <f>_xll.qlOvernightIndexedSwapFairRate(L398,Trigger)</f>
        <v>#VALUE!</v>
      </c>
      <c r="O398" s="545" t="e">
        <f t="shared" si="8"/>
        <v>#NUM!</v>
      </c>
    </row>
    <row r="399" spans="3:15" x14ac:dyDescent="0.2">
      <c r="C399" s="537"/>
      <c r="D399" s="537"/>
      <c r="E399" s="536"/>
      <c r="G399" s="536"/>
      <c r="H399" s="536"/>
      <c r="J399" s="551">
        <f>_xll.qlCalendarAdvance(Calendar,J398,"1M","f",,Trigger)</f>
        <v>54266</v>
      </c>
      <c r="K399" s="542">
        <f>_xll.qlCalendarAdvance(Calendar,J399,"3M","mf",,Trigger)</f>
        <v>54358</v>
      </c>
      <c r="L399" s="544" t="e">
        <f>_xll.qlMakeDatedOIS(,J399,K399,"eonia",,,,,Trigger)</f>
        <v>#NUM!</v>
      </c>
      <c r="M399" s="543" t="e">
        <f>_xll.qlIndexFixing("euribor3m",_xll.qlInterestRateIndexFixingDate("Euribor3M",J399),TRUE)</f>
        <v>#NUM!</v>
      </c>
      <c r="N399" s="543" t="e">
        <f>_xll.qlOvernightIndexedSwapFairRate(L399,Trigger)</f>
        <v>#VALUE!</v>
      </c>
      <c r="O399" s="545" t="e">
        <f t="shared" si="8"/>
        <v>#NUM!</v>
      </c>
    </row>
    <row r="400" spans="3:15" x14ac:dyDescent="0.2">
      <c r="C400" s="537"/>
      <c r="D400" s="537"/>
      <c r="E400" s="536"/>
      <c r="G400" s="536"/>
      <c r="H400" s="536"/>
      <c r="J400" s="551">
        <f>_xll.qlCalendarAdvance(Calendar,J399,"1M","f",,Trigger)</f>
        <v>54297</v>
      </c>
      <c r="K400" s="542">
        <f>_xll.qlCalendarAdvance(Calendar,J400,"3M","mf",,Trigger)</f>
        <v>54389</v>
      </c>
      <c r="L400" s="544" t="e">
        <f>_xll.qlMakeDatedOIS(,J400,K400,"eonia",,,,,Trigger)</f>
        <v>#NUM!</v>
      </c>
      <c r="M400" s="543" t="e">
        <f>_xll.qlIndexFixing("euribor3m",_xll.qlInterestRateIndexFixingDate("Euribor3M",J400),TRUE)</f>
        <v>#NUM!</v>
      </c>
      <c r="N400" s="543" t="e">
        <f>_xll.qlOvernightIndexedSwapFairRate(L400,Trigger)</f>
        <v>#VALUE!</v>
      </c>
      <c r="O400" s="545" t="e">
        <f t="shared" si="8"/>
        <v>#NUM!</v>
      </c>
    </row>
    <row r="401" spans="3:15" x14ac:dyDescent="0.2">
      <c r="C401" s="537"/>
      <c r="D401" s="537"/>
      <c r="E401" s="536"/>
      <c r="G401" s="536"/>
      <c r="H401" s="536"/>
      <c r="J401" s="551">
        <f>_xll.qlCalendarAdvance(Calendar,J400,"1M","f",,Trigger)</f>
        <v>54329</v>
      </c>
      <c r="K401" s="542">
        <f>_xll.qlCalendarAdvance(Calendar,J401,"3M","mf",,Trigger)</f>
        <v>54420</v>
      </c>
      <c r="L401" s="544" t="e">
        <f>_xll.qlMakeDatedOIS(,J401,K401,"eonia",,,,,Trigger)</f>
        <v>#NUM!</v>
      </c>
      <c r="M401" s="543" t="e">
        <f>_xll.qlIndexFixing("euribor3m",_xll.qlInterestRateIndexFixingDate("Euribor3M",J401),TRUE)</f>
        <v>#NUM!</v>
      </c>
      <c r="N401" s="543" t="e">
        <f>_xll.qlOvernightIndexedSwapFairRate(L401,Trigger)</f>
        <v>#VALUE!</v>
      </c>
      <c r="O401" s="545" t="e">
        <f t="shared" si="8"/>
        <v>#NUM!</v>
      </c>
    </row>
    <row r="402" spans="3:15" x14ac:dyDescent="0.2">
      <c r="C402" s="537"/>
      <c r="D402" s="537"/>
      <c r="E402" s="536"/>
      <c r="G402" s="536"/>
      <c r="H402" s="536"/>
      <c r="J402" s="551">
        <f>_xll.qlCalendarAdvance(Calendar,J401,"1M","f",,Trigger)</f>
        <v>54359</v>
      </c>
      <c r="K402" s="542">
        <f>_xll.qlCalendarAdvance(Calendar,J402,"3M","mf",,Trigger)</f>
        <v>54451</v>
      </c>
      <c r="L402" s="544" t="e">
        <f>_xll.qlMakeDatedOIS(,J402,K402,"eonia",,,,,Trigger)</f>
        <v>#NUM!</v>
      </c>
      <c r="M402" s="543" t="e">
        <f>_xll.qlIndexFixing("euribor3m",_xll.qlInterestRateIndexFixingDate("Euribor3M",J402),TRUE)</f>
        <v>#NUM!</v>
      </c>
      <c r="N402" s="543" t="e">
        <f>_xll.qlOvernightIndexedSwapFairRate(L402,Trigger)</f>
        <v>#VALUE!</v>
      </c>
      <c r="O402" s="545" t="e">
        <f t="shared" si="8"/>
        <v>#NUM!</v>
      </c>
    </row>
    <row r="403" spans="3:15" x14ac:dyDescent="0.2">
      <c r="C403" s="537"/>
      <c r="D403" s="537"/>
      <c r="E403" s="536"/>
      <c r="G403" s="536"/>
      <c r="H403" s="536"/>
      <c r="J403" s="551">
        <f>_xll.qlCalendarAdvance(Calendar,J402,"1M","f",,Trigger)</f>
        <v>54392</v>
      </c>
      <c r="K403" s="542">
        <f>_xll.qlCalendarAdvance(Calendar,J403,"3M","mf",,Trigger)</f>
        <v>54480</v>
      </c>
      <c r="L403" s="544" t="e">
        <f>_xll.qlMakeDatedOIS(,J403,K403,"eonia",,,,,Trigger)</f>
        <v>#NUM!</v>
      </c>
      <c r="M403" s="543" t="e">
        <f>_xll.qlIndexFixing("euribor3m",_xll.qlInterestRateIndexFixingDate("Euribor3M",J403),TRUE)</f>
        <v>#NUM!</v>
      </c>
      <c r="N403" s="543" t="e">
        <f>_xll.qlOvernightIndexedSwapFairRate(L403,Trigger)</f>
        <v>#VALUE!</v>
      </c>
      <c r="O403" s="545" t="e">
        <f t="shared" si="8"/>
        <v>#NUM!</v>
      </c>
    </row>
    <row r="404" spans="3:15" x14ac:dyDescent="0.2">
      <c r="C404" s="537"/>
      <c r="D404" s="537"/>
      <c r="E404" s="536"/>
      <c r="G404" s="536"/>
      <c r="H404" s="536"/>
      <c r="J404" s="551">
        <f>_xll.qlCalendarAdvance(Calendar,J403,"1M","f",,Trigger)</f>
        <v>54422</v>
      </c>
      <c r="K404" s="542">
        <f>_xll.qlCalendarAdvance(Calendar,J404,"3M","mf",,Trigger)</f>
        <v>54512</v>
      </c>
      <c r="L404" s="544" t="e">
        <f>_xll.qlMakeDatedOIS(,J404,K404,"eonia",,,,,Trigger)</f>
        <v>#NUM!</v>
      </c>
      <c r="M404" s="543" t="e">
        <f>_xll.qlIndexFixing("euribor3m",_xll.qlInterestRateIndexFixingDate("Euribor3M",J404),TRUE)</f>
        <v>#NUM!</v>
      </c>
      <c r="N404" s="543" t="e">
        <f>_xll.qlOvernightIndexedSwapFairRate(L404,Trigger)</f>
        <v>#VALUE!</v>
      </c>
      <c r="O404" s="545" t="e">
        <f t="shared" si="8"/>
        <v>#NUM!</v>
      </c>
    </row>
    <row r="405" spans="3:15" x14ac:dyDescent="0.2">
      <c r="C405" s="537"/>
      <c r="D405" s="537"/>
      <c r="E405" s="536"/>
      <c r="G405" s="536"/>
      <c r="H405" s="536"/>
      <c r="J405" s="551">
        <f>_xll.qlCalendarAdvance(Calendar,J404,"1M","f",,Trigger)</f>
        <v>54455</v>
      </c>
      <c r="K405" s="542">
        <f>_xll.qlCalendarAdvance(Calendar,J405,"3M","mf",,Trigger)</f>
        <v>54546</v>
      </c>
      <c r="L405" s="544" t="e">
        <f>_xll.qlMakeDatedOIS(,J405,K405,"eonia",,,,,Trigger)</f>
        <v>#NUM!</v>
      </c>
      <c r="M405" s="543" t="e">
        <f>_xll.qlIndexFixing("euribor3m",_xll.qlInterestRateIndexFixingDate("Euribor3M",J405),TRUE)</f>
        <v>#NUM!</v>
      </c>
      <c r="N405" s="543" t="e">
        <f>_xll.qlOvernightIndexedSwapFairRate(L405,Trigger)</f>
        <v>#VALUE!</v>
      </c>
      <c r="O405" s="545" t="e">
        <f t="shared" si="8"/>
        <v>#NUM!</v>
      </c>
    </row>
    <row r="406" spans="3:15" x14ac:dyDescent="0.2">
      <c r="C406" s="537"/>
      <c r="D406" s="537"/>
      <c r="E406" s="536"/>
      <c r="G406" s="536"/>
      <c r="H406" s="536"/>
      <c r="J406" s="551">
        <f>_xll.qlCalendarAdvance(Calendar,J405,"1M","f",,Trigger)</f>
        <v>54483</v>
      </c>
      <c r="K406" s="542">
        <f>_xll.qlCalendarAdvance(Calendar,J406,"3M","mf",,Trigger)</f>
        <v>54575</v>
      </c>
      <c r="L406" s="544" t="e">
        <f>_xll.qlMakeDatedOIS(,J406,K406,"eonia",,,,,Trigger)</f>
        <v>#NUM!</v>
      </c>
      <c r="M406" s="543" t="e">
        <f>_xll.qlIndexFixing("euribor3m",_xll.qlInterestRateIndexFixingDate("Euribor3M",J406),TRUE)</f>
        <v>#NUM!</v>
      </c>
      <c r="N406" s="543" t="e">
        <f>_xll.qlOvernightIndexedSwapFairRate(L406,Trigger)</f>
        <v>#VALUE!</v>
      </c>
      <c r="O406" s="545" t="e">
        <f t="shared" si="8"/>
        <v>#NUM!</v>
      </c>
    </row>
    <row r="407" spans="3:15" x14ac:dyDescent="0.2">
      <c r="C407" s="537"/>
      <c r="D407" s="537"/>
      <c r="E407" s="536"/>
      <c r="G407" s="536"/>
      <c r="H407" s="536"/>
      <c r="J407" s="551">
        <f>_xll.qlCalendarAdvance(Calendar,J406,"1M","f",,Trigger)</f>
        <v>54514</v>
      </c>
      <c r="K407" s="542">
        <f>_xll.qlCalendarAdvance(Calendar,J407,"3M","mf",,Trigger)</f>
        <v>54605</v>
      </c>
      <c r="L407" s="544" t="e">
        <f>_xll.qlMakeDatedOIS(,J407,K407,"eonia",,,,,Trigger)</f>
        <v>#NUM!</v>
      </c>
      <c r="M407" s="543" t="e">
        <f>_xll.qlIndexFixing("euribor3m",_xll.qlInterestRateIndexFixingDate("Euribor3M",J407),TRUE)</f>
        <v>#NUM!</v>
      </c>
      <c r="N407" s="543" t="e">
        <f>_xll.qlOvernightIndexedSwapFairRate(L407,Trigger)</f>
        <v>#VALUE!</v>
      </c>
      <c r="O407" s="545" t="e">
        <f t="shared" si="8"/>
        <v>#NUM!</v>
      </c>
    </row>
    <row r="408" spans="3:15" x14ac:dyDescent="0.2">
      <c r="C408" s="537"/>
      <c r="D408" s="537"/>
      <c r="E408" s="536"/>
      <c r="G408" s="536"/>
      <c r="H408" s="536"/>
      <c r="J408" s="551">
        <f>_xll.qlCalendarAdvance(Calendar,J407,"1M","f",,Trigger)</f>
        <v>54546</v>
      </c>
      <c r="K408" s="542">
        <f>_xll.qlCalendarAdvance(Calendar,J408,"3M","mf",,Trigger)</f>
        <v>54638</v>
      </c>
      <c r="L408" s="544" t="e">
        <f>_xll.qlMakeDatedOIS(,J408,K408,"eonia",,,,,Trigger)</f>
        <v>#NUM!</v>
      </c>
      <c r="M408" s="543" t="e">
        <f>_xll.qlIndexFixing("euribor3m",_xll.qlInterestRateIndexFixingDate("Euribor3M",J408),TRUE)</f>
        <v>#NUM!</v>
      </c>
      <c r="N408" s="543" t="e">
        <f>_xll.qlOvernightIndexedSwapFairRate(L408,Trigger)</f>
        <v>#VALUE!</v>
      </c>
      <c r="O408" s="545" t="e">
        <f t="shared" si="8"/>
        <v>#NUM!</v>
      </c>
    </row>
    <row r="409" spans="3:15" x14ac:dyDescent="0.2">
      <c r="C409" s="537"/>
      <c r="D409" s="537"/>
      <c r="E409" s="536"/>
      <c r="G409" s="536"/>
      <c r="H409" s="536"/>
      <c r="J409" s="551">
        <f>_xll.qlCalendarAdvance(Calendar,J408,"1M","f",,Trigger)</f>
        <v>54577</v>
      </c>
      <c r="K409" s="542">
        <f>_xll.qlCalendarAdvance(Calendar,J409,"3M","mf",,Trigger)</f>
        <v>54669</v>
      </c>
      <c r="L409" s="544" t="e">
        <f>_xll.qlMakeDatedOIS(,J409,K409,"eonia",,,,,Trigger)</f>
        <v>#NUM!</v>
      </c>
      <c r="M409" s="543" t="e">
        <f>_xll.qlIndexFixing("euribor3m",_xll.qlInterestRateIndexFixingDate("Euribor3M",J409),TRUE)</f>
        <v>#NUM!</v>
      </c>
      <c r="N409" s="543" t="e">
        <f>_xll.qlOvernightIndexedSwapFairRate(L409,Trigger)</f>
        <v>#VALUE!</v>
      </c>
      <c r="O409" s="545" t="e">
        <f t="shared" si="8"/>
        <v>#NUM!</v>
      </c>
    </row>
    <row r="410" spans="3:15" x14ac:dyDescent="0.2">
      <c r="C410" s="537"/>
      <c r="D410" s="537"/>
      <c r="E410" s="536"/>
      <c r="G410" s="536"/>
      <c r="H410" s="536"/>
      <c r="J410" s="551">
        <f>_xll.qlCalendarAdvance(Calendar,J409,"1M","f",,Trigger)</f>
        <v>54609</v>
      </c>
      <c r="K410" s="542">
        <f>_xll.qlCalendarAdvance(Calendar,J410,"3M","mf",,Trigger)</f>
        <v>54701</v>
      </c>
      <c r="L410" s="544" t="e">
        <f>_xll.qlMakeDatedOIS(,J410,K410,"eonia",,,,,Trigger)</f>
        <v>#NUM!</v>
      </c>
      <c r="M410" s="543" t="e">
        <f>_xll.qlIndexFixing("euribor3m",_xll.qlInterestRateIndexFixingDate("Euribor3M",J410),TRUE)</f>
        <v>#NUM!</v>
      </c>
      <c r="N410" s="543" t="e">
        <f>_xll.qlOvernightIndexedSwapFairRate(L410,Trigger)</f>
        <v>#VALUE!</v>
      </c>
      <c r="O410" s="545" t="e">
        <f t="shared" si="8"/>
        <v>#NUM!</v>
      </c>
    </row>
    <row r="411" spans="3:15" x14ac:dyDescent="0.2">
      <c r="C411" s="537"/>
      <c r="D411" s="537"/>
      <c r="E411" s="536"/>
      <c r="G411" s="536"/>
      <c r="H411" s="536"/>
      <c r="J411" s="551">
        <f>_xll.qlCalendarAdvance(Calendar,J410,"1M","f",,Trigger)</f>
        <v>54640</v>
      </c>
      <c r="K411" s="542">
        <f>_xll.qlCalendarAdvance(Calendar,J411,"3M","mf",,Trigger)</f>
        <v>54732</v>
      </c>
      <c r="L411" s="544" t="e">
        <f>_xll.qlMakeDatedOIS(,J411,K411,"eonia",,,,,Trigger)</f>
        <v>#NUM!</v>
      </c>
      <c r="M411" s="543" t="e">
        <f>_xll.qlIndexFixing("euribor3m",_xll.qlInterestRateIndexFixingDate("Euribor3M",J411),TRUE)</f>
        <v>#NUM!</v>
      </c>
      <c r="N411" s="543" t="e">
        <f>_xll.qlOvernightIndexedSwapFairRate(L411,Trigger)</f>
        <v>#VALUE!</v>
      </c>
      <c r="O411" s="545" t="e">
        <f t="shared" si="8"/>
        <v>#NUM!</v>
      </c>
    </row>
    <row r="412" spans="3:15" x14ac:dyDescent="0.2">
      <c r="C412" s="537"/>
      <c r="D412" s="537"/>
      <c r="E412" s="536"/>
      <c r="G412" s="536"/>
      <c r="H412" s="536"/>
      <c r="J412" s="551">
        <f>_xll.qlCalendarAdvance(Calendar,J411,"1M","f",,Trigger)</f>
        <v>54672</v>
      </c>
      <c r="K412" s="542">
        <f>_xll.qlCalendarAdvance(Calendar,J412,"3M","mf",,Trigger)</f>
        <v>54763</v>
      </c>
      <c r="L412" s="544" t="e">
        <f>_xll.qlMakeDatedOIS(,J412,K412,"eonia",,,,,Trigger)</f>
        <v>#NUM!</v>
      </c>
      <c r="M412" s="543" t="e">
        <f>_xll.qlIndexFixing("euribor3m",_xll.qlInterestRateIndexFixingDate("Euribor3M",J412),TRUE)</f>
        <v>#NUM!</v>
      </c>
      <c r="N412" s="543" t="e">
        <f>_xll.qlOvernightIndexedSwapFairRate(L412,Trigger)</f>
        <v>#VALUE!</v>
      </c>
      <c r="O412" s="545" t="e">
        <f t="shared" si="8"/>
        <v>#NUM!</v>
      </c>
    </row>
    <row r="413" spans="3:15" x14ac:dyDescent="0.2">
      <c r="C413" s="537"/>
      <c r="D413" s="537"/>
      <c r="E413" s="536"/>
      <c r="G413" s="536"/>
      <c r="H413" s="536"/>
      <c r="J413" s="551">
        <f>_xll.qlCalendarAdvance(Calendar,J412,"1M","f",,Trigger)</f>
        <v>54702</v>
      </c>
      <c r="K413" s="542">
        <f>_xll.qlCalendarAdvance(Calendar,J413,"3M","mf",,Trigger)</f>
        <v>54794</v>
      </c>
      <c r="L413" s="544" t="e">
        <f>_xll.qlMakeDatedOIS(,J413,K413,"eonia",,,,,Trigger)</f>
        <v>#NUM!</v>
      </c>
      <c r="M413" s="543" t="e">
        <f>_xll.qlIndexFixing("euribor3m",_xll.qlInterestRateIndexFixingDate("Euribor3M",J413),TRUE)</f>
        <v>#NUM!</v>
      </c>
      <c r="N413" s="543" t="e">
        <f>_xll.qlOvernightIndexedSwapFairRate(L413,Trigger)</f>
        <v>#VALUE!</v>
      </c>
      <c r="O413" s="545" t="e">
        <f t="shared" si="8"/>
        <v>#NUM!</v>
      </c>
    </row>
    <row r="414" spans="3:15" x14ac:dyDescent="0.2">
      <c r="C414" s="537"/>
      <c r="D414" s="537"/>
      <c r="E414" s="536"/>
      <c r="G414" s="536"/>
      <c r="H414" s="536"/>
      <c r="J414" s="551">
        <f>_xll.qlCalendarAdvance(Calendar,J413,"1M","f",,Trigger)</f>
        <v>54735</v>
      </c>
      <c r="K414" s="542">
        <f>_xll.qlCalendarAdvance(Calendar,J414,"3M","mf",,Trigger)</f>
        <v>54827</v>
      </c>
      <c r="L414" s="544" t="e">
        <f>_xll.qlMakeDatedOIS(,J414,K414,"eonia",,,,,Trigger)</f>
        <v>#NUM!</v>
      </c>
      <c r="M414" s="543" t="e">
        <f>_xll.qlIndexFixing("euribor3m",_xll.qlInterestRateIndexFixingDate("Euribor3M",J414),TRUE)</f>
        <v>#NUM!</v>
      </c>
      <c r="N414" s="543" t="e">
        <f>_xll.qlOvernightIndexedSwapFairRate(L414,Trigger)</f>
        <v>#VALUE!</v>
      </c>
      <c r="O414" s="545" t="e">
        <f t="shared" si="8"/>
        <v>#NUM!</v>
      </c>
    </row>
    <row r="415" spans="3:15" x14ac:dyDescent="0.2">
      <c r="C415" s="537"/>
      <c r="D415" s="537"/>
      <c r="E415" s="536"/>
      <c r="G415" s="536"/>
      <c r="H415" s="536"/>
      <c r="J415" s="551">
        <f>_xll.qlCalendarAdvance(Calendar,J414,"1M","f",,Trigger)</f>
        <v>54765</v>
      </c>
      <c r="K415" s="542">
        <f>_xll.qlCalendarAdvance(Calendar,J415,"3M","mf",,Trigger)</f>
        <v>54855</v>
      </c>
      <c r="L415" s="544" t="e">
        <f>_xll.qlMakeDatedOIS(,J415,K415,"eonia",,,,,Trigger)</f>
        <v>#NUM!</v>
      </c>
      <c r="M415" s="543" t="e">
        <f>_xll.qlIndexFixing("euribor3m",_xll.qlInterestRateIndexFixingDate("Euribor3M",J415),TRUE)</f>
        <v>#NUM!</v>
      </c>
      <c r="N415" s="543" t="e">
        <f>_xll.qlOvernightIndexedSwapFairRate(L415,Trigger)</f>
        <v>#VALUE!</v>
      </c>
      <c r="O415" s="545" t="e">
        <f t="shared" si="8"/>
        <v>#NUM!</v>
      </c>
    </row>
    <row r="416" spans="3:15" x14ac:dyDescent="0.2">
      <c r="C416" s="537"/>
      <c r="D416" s="537"/>
      <c r="E416" s="536"/>
      <c r="G416" s="536"/>
      <c r="H416" s="536"/>
      <c r="J416" s="551">
        <f>_xll.qlCalendarAdvance(Calendar,J415,"1M","f",,Trigger)</f>
        <v>54798</v>
      </c>
      <c r="K416" s="542">
        <f>_xll.qlCalendarAdvance(Calendar,J416,"3M","mf",,Trigger)</f>
        <v>54890</v>
      </c>
      <c r="L416" s="544" t="e">
        <f>_xll.qlMakeDatedOIS(,J416,K416,"eonia",,,,,Trigger)</f>
        <v>#NUM!</v>
      </c>
      <c r="M416" s="543" t="e">
        <f>_xll.qlIndexFixing("euribor3m",_xll.qlInterestRateIndexFixingDate("Euribor3M",J416),TRUE)</f>
        <v>#NUM!</v>
      </c>
      <c r="N416" s="543" t="e">
        <f>_xll.qlOvernightIndexedSwapFairRate(L416,Trigger)</f>
        <v>#VALUE!</v>
      </c>
      <c r="O416" s="545" t="e">
        <f t="shared" si="8"/>
        <v>#NUM!</v>
      </c>
    </row>
    <row r="417" spans="3:15" x14ac:dyDescent="0.2">
      <c r="C417" s="537"/>
      <c r="D417" s="537"/>
      <c r="E417" s="536"/>
      <c r="G417" s="536"/>
      <c r="H417" s="536"/>
      <c r="J417" s="551">
        <f>_xll.qlCalendarAdvance(Calendar,J416,"1M","f",,Trigger)</f>
        <v>54829</v>
      </c>
      <c r="K417" s="542">
        <f>_xll.qlCalendarAdvance(Calendar,J417,"3M","mf",,Trigger)</f>
        <v>54918</v>
      </c>
      <c r="L417" s="544" t="e">
        <f>_xll.qlMakeDatedOIS(,J417,K417,"eonia",,,,,Trigger)</f>
        <v>#NUM!</v>
      </c>
      <c r="M417" s="543" t="e">
        <f>_xll.qlIndexFixing("euribor3m",_xll.qlInterestRateIndexFixingDate("Euribor3M",J417),TRUE)</f>
        <v>#NUM!</v>
      </c>
      <c r="N417" s="543" t="e">
        <f>_xll.qlOvernightIndexedSwapFairRate(L417,Trigger)</f>
        <v>#VALUE!</v>
      </c>
      <c r="O417" s="545" t="e">
        <f t="shared" si="8"/>
        <v>#NUM!</v>
      </c>
    </row>
    <row r="418" spans="3:15" x14ac:dyDescent="0.2">
      <c r="C418" s="537"/>
      <c r="D418" s="537"/>
      <c r="E418" s="536"/>
      <c r="G418" s="536"/>
      <c r="H418" s="536"/>
      <c r="J418" s="551">
        <f>_xll.qlCalendarAdvance(Calendar,J417,"1M","f",,Trigger)</f>
        <v>54857</v>
      </c>
      <c r="K418" s="542">
        <f>_xll.qlCalendarAdvance(Calendar,J418,"3M","mf",,Trigger)</f>
        <v>54949</v>
      </c>
      <c r="L418" s="544" t="e">
        <f>_xll.qlMakeDatedOIS(,J418,K418,"eonia",,,,,Trigger)</f>
        <v>#NUM!</v>
      </c>
      <c r="M418" s="543" t="e">
        <f>_xll.qlIndexFixing("euribor3m",_xll.qlInterestRateIndexFixingDate("Euribor3M",J418),TRUE)</f>
        <v>#NUM!</v>
      </c>
      <c r="N418" s="543" t="e">
        <f>_xll.qlOvernightIndexedSwapFairRate(L418,Trigger)</f>
        <v>#VALUE!</v>
      </c>
      <c r="O418" s="545" t="e">
        <f t="shared" si="8"/>
        <v>#NUM!</v>
      </c>
    </row>
    <row r="419" spans="3:15" x14ac:dyDescent="0.2">
      <c r="C419" s="537"/>
      <c r="D419" s="537"/>
      <c r="E419" s="536"/>
      <c r="G419" s="536"/>
      <c r="H419" s="536"/>
      <c r="J419" s="551">
        <f>_xll.qlCalendarAdvance(Calendar,J418,"1M","f",,Trigger)</f>
        <v>54890</v>
      </c>
      <c r="K419" s="542">
        <f>_xll.qlCalendarAdvance(Calendar,J419,"3M","mf",,Trigger)</f>
        <v>54981</v>
      </c>
      <c r="L419" s="544" t="e">
        <f>_xll.qlMakeDatedOIS(,J419,K419,"eonia",,,,,Trigger)</f>
        <v>#NUM!</v>
      </c>
      <c r="M419" s="543" t="e">
        <f>_xll.qlIndexFixing("euribor3m",_xll.qlInterestRateIndexFixingDate("Euribor3M",J419),TRUE)</f>
        <v>#NUM!</v>
      </c>
      <c r="N419" s="543" t="e">
        <f>_xll.qlOvernightIndexedSwapFairRate(L419,Trigger)</f>
        <v>#VALUE!</v>
      </c>
      <c r="O419" s="545" t="e">
        <f t="shared" si="8"/>
        <v>#NUM!</v>
      </c>
    </row>
    <row r="420" spans="3:15" x14ac:dyDescent="0.2">
      <c r="C420" s="537"/>
      <c r="D420" s="537"/>
      <c r="E420" s="536"/>
      <c r="G420" s="536"/>
      <c r="H420" s="536"/>
      <c r="J420" s="551">
        <f>_xll.qlCalendarAdvance(Calendar,J419,"1M","f",,Trigger)</f>
        <v>54920</v>
      </c>
      <c r="K420" s="542">
        <f>_xll.qlCalendarAdvance(Calendar,J420,"3M","mf",,Trigger)</f>
        <v>55012</v>
      </c>
      <c r="L420" s="544" t="e">
        <f>_xll.qlMakeDatedOIS(,J420,K420,"eonia",,,,,Trigger)</f>
        <v>#NUM!</v>
      </c>
      <c r="M420" s="543" t="e">
        <f>_xll.qlIndexFixing("euribor3m",_xll.qlInterestRateIndexFixingDate("Euribor3M",J420),TRUE)</f>
        <v>#NUM!</v>
      </c>
      <c r="N420" s="543" t="e">
        <f>_xll.qlOvernightIndexedSwapFairRate(L420,Trigger)</f>
        <v>#VALUE!</v>
      </c>
      <c r="O420" s="545" t="e">
        <f t="shared" si="8"/>
        <v>#NUM!</v>
      </c>
    </row>
    <row r="421" spans="3:15" x14ac:dyDescent="0.2">
      <c r="C421" s="537"/>
      <c r="D421" s="537"/>
      <c r="E421" s="536"/>
      <c r="G421" s="536"/>
      <c r="H421" s="536"/>
      <c r="J421" s="551">
        <f>_xll.qlCalendarAdvance(Calendar,J420,"1M","f",,Trigger)</f>
        <v>54952</v>
      </c>
      <c r="K421" s="542">
        <f>_xll.qlCalendarAdvance(Calendar,J421,"3M","mf",,Trigger)</f>
        <v>55044</v>
      </c>
      <c r="L421" s="544" t="e">
        <f>_xll.qlMakeDatedOIS(,J421,K421,"eonia",,,,,Trigger)</f>
        <v>#NUM!</v>
      </c>
      <c r="M421" s="543" t="e">
        <f>_xll.qlIndexFixing("euribor3m",_xll.qlInterestRateIndexFixingDate("Euribor3M",J421),TRUE)</f>
        <v>#NUM!</v>
      </c>
      <c r="N421" s="543" t="e">
        <f>_xll.qlOvernightIndexedSwapFairRate(L421,Trigger)</f>
        <v>#VALUE!</v>
      </c>
      <c r="O421" s="545" t="e">
        <f t="shared" si="8"/>
        <v>#NUM!</v>
      </c>
    </row>
    <row r="422" spans="3:15" x14ac:dyDescent="0.2">
      <c r="C422" s="537"/>
      <c r="D422" s="537"/>
      <c r="E422" s="536"/>
      <c r="G422" s="536"/>
      <c r="H422" s="536"/>
      <c r="J422" s="551">
        <f>_xll.qlCalendarAdvance(Calendar,J421,"1M","f",,Trigger)</f>
        <v>54982</v>
      </c>
      <c r="K422" s="542">
        <f>_xll.qlCalendarAdvance(Calendar,J422,"3M","mf",,Trigger)</f>
        <v>55074</v>
      </c>
      <c r="L422" s="544" t="e">
        <f>_xll.qlMakeDatedOIS(,J422,K422,"eonia",,,,,Trigger)</f>
        <v>#NUM!</v>
      </c>
      <c r="M422" s="543" t="e">
        <f>_xll.qlIndexFixing("euribor3m",_xll.qlInterestRateIndexFixingDate("Euribor3M",J422),TRUE)</f>
        <v>#NUM!</v>
      </c>
      <c r="N422" s="543" t="e">
        <f>_xll.qlOvernightIndexedSwapFairRate(L422,Trigger)</f>
        <v>#VALUE!</v>
      </c>
      <c r="O422" s="545" t="e">
        <f t="shared" si="8"/>
        <v>#NUM!</v>
      </c>
    </row>
    <row r="423" spans="3:15" x14ac:dyDescent="0.2">
      <c r="C423" s="537"/>
      <c r="D423" s="537"/>
      <c r="E423" s="536"/>
      <c r="G423" s="536"/>
      <c r="H423" s="536"/>
      <c r="J423" s="551">
        <f>_xll.qlCalendarAdvance(Calendar,J422,"1M","f",,Trigger)</f>
        <v>55015</v>
      </c>
      <c r="K423" s="542">
        <f>_xll.qlCalendarAdvance(Calendar,J423,"3M","mf",,Trigger)</f>
        <v>55107</v>
      </c>
      <c r="L423" s="544" t="e">
        <f>_xll.qlMakeDatedOIS(,J423,K423,"eonia",,,,,Trigger)</f>
        <v>#NUM!</v>
      </c>
      <c r="M423" s="543" t="e">
        <f>_xll.qlIndexFixing("euribor3m",_xll.qlInterestRateIndexFixingDate("Euribor3M",J423),TRUE)</f>
        <v>#NUM!</v>
      </c>
      <c r="N423" s="543" t="e">
        <f>_xll.qlOvernightIndexedSwapFairRate(L423,Trigger)</f>
        <v>#VALUE!</v>
      </c>
      <c r="O423" s="545" t="e">
        <f t="shared" si="8"/>
        <v>#NUM!</v>
      </c>
    </row>
    <row r="424" spans="3:15" x14ac:dyDescent="0.2">
      <c r="C424" s="537"/>
      <c r="D424" s="537"/>
      <c r="E424" s="536"/>
      <c r="G424" s="536"/>
      <c r="H424" s="536"/>
      <c r="J424" s="551">
        <f>_xll.qlCalendarAdvance(Calendar,J423,"1M","f",,Trigger)</f>
        <v>55046</v>
      </c>
      <c r="K424" s="542">
        <f>_xll.qlCalendarAdvance(Calendar,J424,"3M","mf",,Trigger)</f>
        <v>55137</v>
      </c>
      <c r="L424" s="544" t="e">
        <f>_xll.qlMakeDatedOIS(,J424,K424,"eonia",,,,,Trigger)</f>
        <v>#NUM!</v>
      </c>
      <c r="M424" s="543" t="e">
        <f>_xll.qlIndexFixing("euribor3m",_xll.qlInterestRateIndexFixingDate("Euribor3M",J424),TRUE)</f>
        <v>#NUM!</v>
      </c>
      <c r="N424" s="543" t="e">
        <f>_xll.qlOvernightIndexedSwapFairRate(L424,Trigger)</f>
        <v>#VALUE!</v>
      </c>
      <c r="O424" s="545" t="e">
        <f t="shared" si="8"/>
        <v>#NUM!</v>
      </c>
    </row>
    <row r="425" spans="3:15" x14ac:dyDescent="0.2">
      <c r="C425" s="537"/>
      <c r="D425" s="537"/>
      <c r="E425" s="536"/>
      <c r="G425" s="536"/>
      <c r="H425" s="536"/>
      <c r="J425" s="551">
        <f>_xll.qlCalendarAdvance(Calendar,J424,"1M","f",,Trigger)</f>
        <v>55078</v>
      </c>
      <c r="K425" s="542">
        <f>_xll.qlCalendarAdvance(Calendar,J425,"3M","mf",,Trigger)</f>
        <v>55170</v>
      </c>
      <c r="L425" s="544" t="e">
        <f>_xll.qlMakeDatedOIS(,J425,K425,"eonia",,,,,Trigger)</f>
        <v>#NUM!</v>
      </c>
      <c r="M425" s="543" t="e">
        <f>_xll.qlIndexFixing("euribor3m",_xll.qlInterestRateIndexFixingDate("Euribor3M",J425),TRUE)</f>
        <v>#NUM!</v>
      </c>
      <c r="N425" s="543" t="e">
        <f>_xll.qlOvernightIndexedSwapFairRate(L425,Trigger)</f>
        <v>#VALUE!</v>
      </c>
      <c r="O425" s="545" t="e">
        <f t="shared" si="8"/>
        <v>#NUM!</v>
      </c>
    </row>
    <row r="426" spans="3:15" x14ac:dyDescent="0.2">
      <c r="C426" s="537"/>
      <c r="D426" s="537"/>
      <c r="E426" s="536"/>
      <c r="G426" s="536"/>
      <c r="H426" s="536"/>
      <c r="J426" s="551">
        <f>_xll.qlCalendarAdvance(Calendar,J425,"1M","f",,Trigger)</f>
        <v>55109</v>
      </c>
      <c r="K426" s="542">
        <f>_xll.qlCalendarAdvance(Calendar,J426,"3M","mf",,Trigger)</f>
        <v>55201</v>
      </c>
      <c r="L426" s="544" t="e">
        <f>_xll.qlMakeDatedOIS(,J426,K426,"eonia",,,,,Trigger)</f>
        <v>#NUM!</v>
      </c>
      <c r="M426" s="543" t="e">
        <f>_xll.qlIndexFixing("euribor3m",_xll.qlInterestRateIndexFixingDate("Euribor3M",J426),TRUE)</f>
        <v>#NUM!</v>
      </c>
      <c r="N426" s="543" t="e">
        <f>_xll.qlOvernightIndexedSwapFairRate(L426,Trigger)</f>
        <v>#VALUE!</v>
      </c>
      <c r="O426" s="545" t="e">
        <f t="shared" si="8"/>
        <v>#NUM!</v>
      </c>
    </row>
    <row r="427" spans="3:15" x14ac:dyDescent="0.2">
      <c r="C427" s="537"/>
      <c r="D427" s="537"/>
      <c r="E427" s="536"/>
      <c r="G427" s="536"/>
      <c r="H427" s="536"/>
      <c r="J427" s="551">
        <f>_xll.qlCalendarAdvance(Calendar,J426,"1M","f",,Trigger)</f>
        <v>55141</v>
      </c>
      <c r="K427" s="542">
        <f>_xll.qlCalendarAdvance(Calendar,J427,"3M","mf",,Trigger)</f>
        <v>55232</v>
      </c>
      <c r="L427" s="544" t="e">
        <f>_xll.qlMakeDatedOIS(,J427,K427,"eonia",,,,,Trigger)</f>
        <v>#NUM!</v>
      </c>
      <c r="M427" s="543" t="e">
        <f>_xll.qlIndexFixing("euribor3m",_xll.qlInterestRateIndexFixingDate("Euribor3M",J427),TRUE)</f>
        <v>#NUM!</v>
      </c>
      <c r="N427" s="543" t="e">
        <f>_xll.qlOvernightIndexedSwapFairRate(L427,Trigger)</f>
        <v>#VALUE!</v>
      </c>
      <c r="O427" s="545" t="e">
        <f t="shared" si="8"/>
        <v>#NUM!</v>
      </c>
    </row>
    <row r="428" spans="3:15" x14ac:dyDescent="0.2">
      <c r="C428" s="537"/>
      <c r="D428" s="537"/>
      <c r="E428" s="536"/>
      <c r="G428" s="536"/>
      <c r="H428" s="536"/>
      <c r="J428" s="551">
        <f>_xll.qlCalendarAdvance(Calendar,J427,"1M","f",,Trigger)</f>
        <v>55172</v>
      </c>
      <c r="K428" s="542">
        <f>_xll.qlCalendarAdvance(Calendar,J428,"3M","mf",,Trigger)</f>
        <v>55262</v>
      </c>
      <c r="L428" s="544" t="e">
        <f>_xll.qlMakeDatedOIS(,J428,K428,"eonia",,,,,Trigger)</f>
        <v>#NUM!</v>
      </c>
      <c r="M428" s="543" t="e">
        <f>_xll.qlIndexFixing("euribor3m",_xll.qlInterestRateIndexFixingDate("Euribor3M",J428),TRUE)</f>
        <v>#NUM!</v>
      </c>
      <c r="N428" s="543" t="e">
        <f>_xll.qlOvernightIndexedSwapFairRate(L428,Trigger)</f>
        <v>#VALUE!</v>
      </c>
      <c r="O428" s="545" t="e">
        <f t="shared" si="8"/>
        <v>#NUM!</v>
      </c>
    </row>
    <row r="429" spans="3:15" x14ac:dyDescent="0.2">
      <c r="C429" s="537"/>
      <c r="D429" s="537"/>
      <c r="E429" s="536"/>
      <c r="G429" s="536"/>
      <c r="H429" s="536"/>
      <c r="J429" s="551">
        <f>_xll.qlCalendarAdvance(Calendar,J428,"1M","f",,Trigger)</f>
        <v>55204</v>
      </c>
      <c r="K429" s="542">
        <f>_xll.qlCalendarAdvance(Calendar,J429,"3M","mf",,Trigger)</f>
        <v>55295</v>
      </c>
      <c r="L429" s="544" t="e">
        <f>_xll.qlMakeDatedOIS(,J429,K429,"eonia",,,,,Trigger)</f>
        <v>#NUM!</v>
      </c>
      <c r="M429" s="543" t="e">
        <f>_xll.qlIndexFixing("euribor3m",_xll.qlInterestRateIndexFixingDate("Euribor3M",J429),TRUE)</f>
        <v>#NUM!</v>
      </c>
      <c r="N429" s="543" t="e">
        <f>_xll.qlOvernightIndexedSwapFairRate(L429,Trigger)</f>
        <v>#VALUE!</v>
      </c>
      <c r="O429" s="545" t="e">
        <f t="shared" si="8"/>
        <v>#NUM!</v>
      </c>
    </row>
    <row r="430" spans="3:15" x14ac:dyDescent="0.2">
      <c r="C430" s="537"/>
      <c r="D430" s="537"/>
      <c r="E430" s="536"/>
      <c r="G430" s="536"/>
      <c r="H430" s="536"/>
      <c r="J430" s="551">
        <f>_xll.qlCalendarAdvance(Calendar,J429,"1M","f",,Trigger)</f>
        <v>55232</v>
      </c>
      <c r="K430" s="542">
        <f>_xll.qlCalendarAdvance(Calendar,J430,"3M","mf",,Trigger)</f>
        <v>55324</v>
      </c>
      <c r="L430" s="544" t="e">
        <f>_xll.qlMakeDatedOIS(,J430,K430,"eonia",,,,,Trigger)</f>
        <v>#NUM!</v>
      </c>
      <c r="M430" s="543" t="e">
        <f>_xll.qlIndexFixing("euribor3m",_xll.qlInterestRateIndexFixingDate("Euribor3M",J430),TRUE)</f>
        <v>#NUM!</v>
      </c>
      <c r="N430" s="543" t="e">
        <f>_xll.qlOvernightIndexedSwapFairRate(L430,Trigger)</f>
        <v>#VALUE!</v>
      </c>
      <c r="O430" s="545" t="e">
        <f t="shared" si="8"/>
        <v>#NUM!</v>
      </c>
    </row>
    <row r="431" spans="3:15" x14ac:dyDescent="0.2">
      <c r="C431" s="537"/>
      <c r="D431" s="537"/>
      <c r="E431" s="536"/>
      <c r="G431" s="536"/>
      <c r="H431" s="536"/>
      <c r="J431" s="551">
        <f>_xll.qlCalendarAdvance(Calendar,J430,"1M","f",,Trigger)</f>
        <v>55263</v>
      </c>
      <c r="K431" s="542">
        <f>_xll.qlCalendarAdvance(Calendar,J431,"3M","mf",,Trigger)</f>
        <v>55354</v>
      </c>
      <c r="L431" s="544" t="e">
        <f>_xll.qlMakeDatedOIS(,J431,K431,"eonia",,,,,Trigger)</f>
        <v>#NUM!</v>
      </c>
      <c r="M431" s="543" t="e">
        <f>_xll.qlIndexFixing("euribor3m",_xll.qlInterestRateIndexFixingDate("Euribor3M",J431),TRUE)</f>
        <v>#NUM!</v>
      </c>
      <c r="N431" s="543" t="e">
        <f>_xll.qlOvernightIndexedSwapFairRate(L431,Trigger)</f>
        <v>#VALUE!</v>
      </c>
      <c r="O431" s="545" t="e">
        <f t="shared" si="8"/>
        <v>#NUM!</v>
      </c>
    </row>
    <row r="432" spans="3:15" x14ac:dyDescent="0.2">
      <c r="C432" s="537"/>
      <c r="D432" s="537"/>
      <c r="E432" s="536"/>
      <c r="G432" s="536"/>
      <c r="H432" s="536"/>
      <c r="J432" s="551">
        <f>_xll.qlCalendarAdvance(Calendar,J431,"1M","f",,Trigger)</f>
        <v>55295</v>
      </c>
      <c r="K432" s="542">
        <f>_xll.qlCalendarAdvance(Calendar,J432,"3M","mf",,Trigger)</f>
        <v>55387</v>
      </c>
      <c r="L432" s="544" t="e">
        <f>_xll.qlMakeDatedOIS(,J432,K432,"eonia",,,,,Trigger)</f>
        <v>#NUM!</v>
      </c>
      <c r="M432" s="543" t="e">
        <f>_xll.qlIndexFixing("euribor3m",_xll.qlInterestRateIndexFixingDate("Euribor3M",J432),TRUE)</f>
        <v>#NUM!</v>
      </c>
      <c r="N432" s="543" t="e">
        <f>_xll.qlOvernightIndexedSwapFairRate(L432,Trigger)</f>
        <v>#VALUE!</v>
      </c>
      <c r="O432" s="545" t="e">
        <f t="shared" si="8"/>
        <v>#NUM!</v>
      </c>
    </row>
    <row r="433" spans="3:15" x14ac:dyDescent="0.2">
      <c r="C433" s="537"/>
      <c r="D433" s="537"/>
      <c r="E433" s="536"/>
      <c r="G433" s="536"/>
      <c r="H433" s="536"/>
      <c r="J433" s="551">
        <f>_xll.qlCalendarAdvance(Calendar,J432,"1M","f",,Trigger)</f>
        <v>55326</v>
      </c>
      <c r="K433" s="542">
        <f>_xll.qlCalendarAdvance(Calendar,J433,"3M","mf",,Trigger)</f>
        <v>55418</v>
      </c>
      <c r="L433" s="544" t="e">
        <f>_xll.qlMakeDatedOIS(,J433,K433,"eonia",,,,,Trigger)</f>
        <v>#NUM!</v>
      </c>
      <c r="M433" s="543" t="e">
        <f>_xll.qlIndexFixing("euribor3m",_xll.qlInterestRateIndexFixingDate("Euribor3M",J433),TRUE)</f>
        <v>#NUM!</v>
      </c>
      <c r="N433" s="543" t="e">
        <f>_xll.qlOvernightIndexedSwapFairRate(L433,Trigger)</f>
        <v>#VALUE!</v>
      </c>
      <c r="O433" s="545" t="e">
        <f t="shared" si="8"/>
        <v>#NUM!</v>
      </c>
    </row>
    <row r="434" spans="3:15" x14ac:dyDescent="0.2">
      <c r="C434" s="537"/>
      <c r="D434" s="537"/>
      <c r="E434" s="536"/>
      <c r="G434" s="536"/>
      <c r="H434" s="536"/>
      <c r="J434" s="551">
        <f>_xll.qlCalendarAdvance(Calendar,J433,"1M","f",,Trigger)</f>
        <v>55358</v>
      </c>
      <c r="K434" s="542">
        <f>_xll.qlCalendarAdvance(Calendar,J434,"3M","mf",,Trigger)</f>
        <v>55450</v>
      </c>
      <c r="L434" s="544" t="e">
        <f>_xll.qlMakeDatedOIS(,J434,K434,"eonia",,,,,Trigger)</f>
        <v>#NUM!</v>
      </c>
      <c r="M434" s="543" t="e">
        <f>_xll.qlIndexFixing("euribor3m",_xll.qlInterestRateIndexFixingDate("Euribor3M",J434),TRUE)</f>
        <v>#NUM!</v>
      </c>
      <c r="N434" s="543" t="e">
        <f>_xll.qlOvernightIndexedSwapFairRate(L434,Trigger)</f>
        <v>#VALUE!</v>
      </c>
      <c r="O434" s="545" t="e">
        <f t="shared" si="8"/>
        <v>#NUM!</v>
      </c>
    </row>
    <row r="435" spans="3:15" x14ac:dyDescent="0.2">
      <c r="C435" s="537"/>
      <c r="D435" s="537"/>
      <c r="E435" s="536"/>
      <c r="G435" s="536"/>
      <c r="H435" s="536"/>
      <c r="J435" s="551">
        <f>_xll.qlCalendarAdvance(Calendar,J434,"1M","f",,Trigger)</f>
        <v>55389</v>
      </c>
      <c r="K435" s="542">
        <f>_xll.qlCalendarAdvance(Calendar,J435,"3M","mf",,Trigger)</f>
        <v>55481</v>
      </c>
      <c r="L435" s="544" t="e">
        <f>_xll.qlMakeDatedOIS(,J435,K435,"eonia",,,,,Trigger)</f>
        <v>#NUM!</v>
      </c>
      <c r="M435" s="543" t="e">
        <f>_xll.qlIndexFixing("euribor3m",_xll.qlInterestRateIndexFixingDate("Euribor3M",J435),TRUE)</f>
        <v>#NUM!</v>
      </c>
      <c r="N435" s="543" t="e">
        <f>_xll.qlOvernightIndexedSwapFairRate(L435,Trigger)</f>
        <v>#VALUE!</v>
      </c>
      <c r="O435" s="545" t="e">
        <f t="shared" si="8"/>
        <v>#NUM!</v>
      </c>
    </row>
    <row r="436" spans="3:15" x14ac:dyDescent="0.2">
      <c r="C436" s="537"/>
      <c r="D436" s="537"/>
      <c r="E436" s="536"/>
      <c r="G436" s="536"/>
      <c r="H436" s="536"/>
      <c r="J436" s="551">
        <f>_xll.qlCalendarAdvance(Calendar,J435,"1M","f",,Trigger)</f>
        <v>55421</v>
      </c>
      <c r="K436" s="542">
        <f>_xll.qlCalendarAdvance(Calendar,J436,"3M","mf",,Trigger)</f>
        <v>55514</v>
      </c>
      <c r="L436" s="544" t="e">
        <f>_xll.qlMakeDatedOIS(,J436,K436,"eonia",,,,,Trigger)</f>
        <v>#NUM!</v>
      </c>
      <c r="M436" s="543" t="e">
        <f>_xll.qlIndexFixing("euribor3m",_xll.qlInterestRateIndexFixingDate("Euribor3M",J436),TRUE)</f>
        <v>#NUM!</v>
      </c>
      <c r="N436" s="543" t="e">
        <f>_xll.qlOvernightIndexedSwapFairRate(L436,Trigger)</f>
        <v>#VALUE!</v>
      </c>
      <c r="O436" s="545" t="e">
        <f t="shared" si="8"/>
        <v>#NUM!</v>
      </c>
    </row>
    <row r="437" spans="3:15" x14ac:dyDescent="0.2">
      <c r="C437" s="537"/>
      <c r="D437" s="537"/>
      <c r="E437" s="536"/>
      <c r="G437" s="536"/>
      <c r="H437" s="536"/>
      <c r="J437" s="551">
        <f>_xll.qlCalendarAdvance(Calendar,J436,"1M","f",,Trigger)</f>
        <v>55451</v>
      </c>
      <c r="K437" s="542">
        <f>_xll.qlCalendarAdvance(Calendar,J437,"3M","mf",,Trigger)</f>
        <v>55543</v>
      </c>
      <c r="L437" s="544" t="e">
        <f>_xll.qlMakeDatedOIS(,J437,K437,"eonia",,,,,Trigger)</f>
        <v>#NUM!</v>
      </c>
      <c r="M437" s="543" t="e">
        <f>_xll.qlIndexFixing("euribor3m",_xll.qlInterestRateIndexFixingDate("Euribor3M",J437),TRUE)</f>
        <v>#NUM!</v>
      </c>
      <c r="N437" s="543" t="e">
        <f>_xll.qlOvernightIndexedSwapFairRate(L437,Trigger)</f>
        <v>#VALUE!</v>
      </c>
      <c r="O437" s="545" t="e">
        <f t="shared" si="8"/>
        <v>#NUM!</v>
      </c>
    </row>
    <row r="438" spans="3:15" x14ac:dyDescent="0.2">
      <c r="C438" s="537"/>
      <c r="D438" s="537"/>
      <c r="E438" s="536"/>
      <c r="G438" s="536"/>
      <c r="H438" s="536"/>
      <c r="J438" s="551">
        <f>_xll.qlCalendarAdvance(Calendar,J437,"1M","f",,Trigger)</f>
        <v>55484</v>
      </c>
      <c r="K438" s="542">
        <f>_xll.qlCalendarAdvance(Calendar,J438,"3M","mf",,Trigger)</f>
        <v>55576</v>
      </c>
      <c r="L438" s="544" t="e">
        <f>_xll.qlMakeDatedOIS(,J438,K438,"eonia",,,,,Trigger)</f>
        <v>#NUM!</v>
      </c>
      <c r="M438" s="543" t="e">
        <f>_xll.qlIndexFixing("euribor3m",_xll.qlInterestRateIndexFixingDate("Euribor3M",J438),TRUE)</f>
        <v>#NUM!</v>
      </c>
      <c r="N438" s="543" t="e">
        <f>_xll.qlOvernightIndexedSwapFairRate(L438,Trigger)</f>
        <v>#VALUE!</v>
      </c>
      <c r="O438" s="545" t="e">
        <f t="shared" si="8"/>
        <v>#NUM!</v>
      </c>
    </row>
    <row r="439" spans="3:15" x14ac:dyDescent="0.2">
      <c r="C439" s="537"/>
      <c r="D439" s="537"/>
      <c r="E439" s="536"/>
      <c r="G439" s="536"/>
      <c r="H439" s="536"/>
      <c r="J439" s="551">
        <f>_xll.qlCalendarAdvance(Calendar,J438,"1M","f",,Trigger)</f>
        <v>55514</v>
      </c>
      <c r="K439" s="542">
        <f>_xll.qlCalendarAdvance(Calendar,J439,"3M","mf",,Trigger)</f>
        <v>55605</v>
      </c>
      <c r="L439" s="544" t="e">
        <f>_xll.qlMakeDatedOIS(,J439,K439,"eonia",,,,,Trigger)</f>
        <v>#NUM!</v>
      </c>
      <c r="M439" s="543" t="e">
        <f>_xll.qlIndexFixing("euribor3m",_xll.qlInterestRateIndexFixingDate("Euribor3M",J439),TRUE)</f>
        <v>#NUM!</v>
      </c>
      <c r="N439" s="543" t="e">
        <f>_xll.qlOvernightIndexedSwapFairRate(L439,Trigger)</f>
        <v>#VALUE!</v>
      </c>
      <c r="O439" s="545" t="e">
        <f t="shared" si="8"/>
        <v>#NUM!</v>
      </c>
    </row>
    <row r="440" spans="3:15" x14ac:dyDescent="0.2">
      <c r="C440" s="537"/>
      <c r="D440" s="537"/>
      <c r="E440" s="536"/>
      <c r="G440" s="536"/>
      <c r="H440" s="536"/>
      <c r="J440" s="551">
        <f>_xll.qlCalendarAdvance(Calendar,J439,"1M","f",,Trigger)</f>
        <v>55547</v>
      </c>
      <c r="K440" s="542">
        <f>_xll.qlCalendarAdvance(Calendar,J440,"3M","mf",,Trigger)</f>
        <v>55638</v>
      </c>
      <c r="L440" s="544" t="e">
        <f>_xll.qlMakeDatedOIS(,J440,K440,"eonia",,,,,Trigger)</f>
        <v>#NUM!</v>
      </c>
      <c r="M440" s="543" t="e">
        <f>_xll.qlIndexFixing("euribor3m",_xll.qlInterestRateIndexFixingDate("Euribor3M",J440),TRUE)</f>
        <v>#NUM!</v>
      </c>
      <c r="N440" s="543" t="e">
        <f>_xll.qlOvernightIndexedSwapFairRate(L440,Trigger)</f>
        <v>#VALUE!</v>
      </c>
      <c r="O440" s="545" t="e">
        <f t="shared" si="8"/>
        <v>#NUM!</v>
      </c>
    </row>
    <row r="441" spans="3:15" x14ac:dyDescent="0.2">
      <c r="C441" s="537"/>
      <c r="D441" s="537"/>
      <c r="E441" s="536"/>
      <c r="G441" s="536"/>
      <c r="H441" s="536"/>
      <c r="J441" s="551">
        <f>_xll.qlCalendarAdvance(Calendar,J440,"1M","f",,Trigger)</f>
        <v>55578</v>
      </c>
      <c r="K441" s="542">
        <f>_xll.qlCalendarAdvance(Calendar,J441,"3M","mf",,Trigger)</f>
        <v>55668</v>
      </c>
      <c r="L441" s="544" t="e">
        <f>_xll.qlMakeDatedOIS(,J441,K441,"eonia",,,,,Trigger)</f>
        <v>#NUM!</v>
      </c>
      <c r="M441" s="543" t="e">
        <f>_xll.qlIndexFixing("euribor3m",_xll.qlInterestRateIndexFixingDate("Euribor3M",J441),TRUE)</f>
        <v>#NUM!</v>
      </c>
      <c r="N441" s="543" t="e">
        <f>_xll.qlOvernightIndexedSwapFairRate(L441,Trigger)</f>
        <v>#VALUE!</v>
      </c>
      <c r="O441" s="545" t="e">
        <f t="shared" si="8"/>
        <v>#NUM!</v>
      </c>
    </row>
    <row r="442" spans="3:15" x14ac:dyDescent="0.2">
      <c r="C442" s="537"/>
      <c r="D442" s="537"/>
      <c r="E442" s="536"/>
      <c r="G442" s="536"/>
      <c r="H442" s="536"/>
      <c r="J442" s="551">
        <f>_xll.qlCalendarAdvance(Calendar,J441,"1M","f",,Trigger)</f>
        <v>55607</v>
      </c>
      <c r="K442" s="542">
        <f>_xll.qlCalendarAdvance(Calendar,J442,"3M","mf",,Trigger)</f>
        <v>55698</v>
      </c>
      <c r="L442" s="544" t="e">
        <f>_xll.qlMakeDatedOIS(,J442,K442,"eonia",,,,,Trigger)</f>
        <v>#NUM!</v>
      </c>
      <c r="M442" s="543" t="e">
        <f>_xll.qlIndexFixing("euribor3m",_xll.qlInterestRateIndexFixingDate("Euribor3M",J442),TRUE)</f>
        <v>#NUM!</v>
      </c>
      <c r="N442" s="543" t="e">
        <f>_xll.qlOvernightIndexedSwapFairRate(L442,Trigger)</f>
        <v>#VALUE!</v>
      </c>
      <c r="O442" s="545" t="e">
        <f t="shared" si="8"/>
        <v>#NUM!</v>
      </c>
    </row>
    <row r="443" spans="3:15" x14ac:dyDescent="0.2">
      <c r="C443" s="537"/>
      <c r="D443" s="537"/>
      <c r="E443" s="536"/>
      <c r="G443" s="536"/>
      <c r="H443" s="536"/>
      <c r="J443" s="551">
        <f>_xll.qlCalendarAdvance(Calendar,J442,"1M","f",,Trigger)</f>
        <v>55638</v>
      </c>
      <c r="K443" s="542">
        <f>_xll.qlCalendarAdvance(Calendar,J443,"3M","mf",,Trigger)</f>
        <v>55729</v>
      </c>
      <c r="L443" s="544" t="e">
        <f>_xll.qlMakeDatedOIS(,J443,K443,"eonia",,,,,Trigger)</f>
        <v>#NUM!</v>
      </c>
      <c r="M443" s="543" t="e">
        <f>_xll.qlIndexFixing("euribor3m",_xll.qlInterestRateIndexFixingDate("Euribor3M",J443),TRUE)</f>
        <v>#NUM!</v>
      </c>
      <c r="N443" s="543" t="e">
        <f>_xll.qlOvernightIndexedSwapFairRate(L443,Trigger)</f>
        <v>#VALUE!</v>
      </c>
      <c r="O443" s="545" t="e">
        <f t="shared" si="8"/>
        <v>#NUM!</v>
      </c>
    </row>
    <row r="444" spans="3:15" x14ac:dyDescent="0.2">
      <c r="C444" s="537"/>
      <c r="D444" s="537"/>
      <c r="E444" s="536"/>
      <c r="G444" s="536"/>
      <c r="H444" s="536"/>
      <c r="J444" s="551">
        <f>_xll.qlCalendarAdvance(Calendar,J443,"1M","f",,Trigger)</f>
        <v>55668</v>
      </c>
      <c r="K444" s="542">
        <f>_xll.qlCalendarAdvance(Calendar,J444,"3M","mf",,Trigger)</f>
        <v>55760</v>
      </c>
      <c r="L444" s="544" t="e">
        <f>_xll.qlMakeDatedOIS(,J444,K444,"eonia",,,,,Trigger)</f>
        <v>#NUM!</v>
      </c>
      <c r="M444" s="543" t="e">
        <f>_xll.qlIndexFixing("euribor3m",_xll.qlInterestRateIndexFixingDate("Euribor3M",J444),TRUE)</f>
        <v>#NUM!</v>
      </c>
      <c r="N444" s="543" t="e">
        <f>_xll.qlOvernightIndexedSwapFairRate(L444,Trigger)</f>
        <v>#VALUE!</v>
      </c>
      <c r="O444" s="545" t="e">
        <f t="shared" si="8"/>
        <v>#NUM!</v>
      </c>
    </row>
    <row r="445" spans="3:15" x14ac:dyDescent="0.2">
      <c r="C445" s="537"/>
      <c r="D445" s="537"/>
      <c r="E445" s="536"/>
      <c r="G445" s="536"/>
      <c r="H445" s="536"/>
      <c r="J445" s="551">
        <f>_xll.qlCalendarAdvance(Calendar,J444,"1M","f",,Trigger)</f>
        <v>55701</v>
      </c>
      <c r="K445" s="542">
        <f>_xll.qlCalendarAdvance(Calendar,J445,"3M","mf",,Trigger)</f>
        <v>55793</v>
      </c>
      <c r="L445" s="544" t="e">
        <f>_xll.qlMakeDatedOIS(,J445,K445,"eonia",,,,,Trigger)</f>
        <v>#NUM!</v>
      </c>
      <c r="M445" s="543" t="e">
        <f>_xll.qlIndexFixing("euribor3m",_xll.qlInterestRateIndexFixingDate("Euribor3M",J445),TRUE)</f>
        <v>#NUM!</v>
      </c>
      <c r="N445" s="543" t="e">
        <f>_xll.qlOvernightIndexedSwapFairRate(L445,Trigger)</f>
        <v>#VALUE!</v>
      </c>
      <c r="O445" s="545" t="e">
        <f t="shared" si="8"/>
        <v>#NUM!</v>
      </c>
    </row>
    <row r="446" spans="3:15" x14ac:dyDescent="0.2">
      <c r="C446" s="537"/>
      <c r="D446" s="537"/>
      <c r="E446" s="536"/>
      <c r="G446" s="536"/>
      <c r="H446" s="536"/>
      <c r="J446" s="551">
        <f>_xll.qlCalendarAdvance(Calendar,J445,"1M","f",,Trigger)</f>
        <v>55732</v>
      </c>
      <c r="K446" s="542">
        <f>_xll.qlCalendarAdvance(Calendar,J446,"3M","mf",,Trigger)</f>
        <v>55824</v>
      </c>
      <c r="L446" s="544" t="e">
        <f>_xll.qlMakeDatedOIS(,J446,K446,"eonia",,,,,Trigger)</f>
        <v>#NUM!</v>
      </c>
      <c r="M446" s="543" t="e">
        <f>_xll.qlIndexFixing("euribor3m",_xll.qlInterestRateIndexFixingDate("Euribor3M",J446),TRUE)</f>
        <v>#NUM!</v>
      </c>
      <c r="N446" s="543" t="e">
        <f>_xll.qlOvernightIndexedSwapFairRate(L446,Trigger)</f>
        <v>#VALUE!</v>
      </c>
      <c r="O446" s="545" t="e">
        <f t="shared" si="8"/>
        <v>#NUM!</v>
      </c>
    </row>
    <row r="447" spans="3:15" x14ac:dyDescent="0.2">
      <c r="C447" s="537"/>
      <c r="D447" s="537"/>
      <c r="E447" s="536"/>
      <c r="G447" s="536"/>
      <c r="H447" s="536"/>
      <c r="J447" s="551">
        <f>_xll.qlCalendarAdvance(Calendar,J446,"1M","f",,Trigger)</f>
        <v>55764</v>
      </c>
      <c r="K447" s="542">
        <f>_xll.qlCalendarAdvance(Calendar,J447,"3M","mf",,Trigger)</f>
        <v>55855</v>
      </c>
      <c r="L447" s="544" t="e">
        <f>_xll.qlMakeDatedOIS(,J447,K447,"eonia",,,,,Trigger)</f>
        <v>#NUM!</v>
      </c>
      <c r="M447" s="543" t="e">
        <f>_xll.qlIndexFixing("euribor3m",_xll.qlInterestRateIndexFixingDate("Euribor3M",J447),TRUE)</f>
        <v>#NUM!</v>
      </c>
      <c r="N447" s="543" t="e">
        <f>_xll.qlOvernightIndexedSwapFairRate(L447,Trigger)</f>
        <v>#VALUE!</v>
      </c>
      <c r="O447" s="545" t="e">
        <f t="shared" si="8"/>
        <v>#NUM!</v>
      </c>
    </row>
    <row r="448" spans="3:15" x14ac:dyDescent="0.2">
      <c r="C448" s="537"/>
      <c r="D448" s="537"/>
      <c r="E448" s="536"/>
      <c r="G448" s="536"/>
      <c r="H448" s="536"/>
      <c r="J448" s="551">
        <f>_xll.qlCalendarAdvance(Calendar,J447,"1M","f",,Trigger)</f>
        <v>55794</v>
      </c>
      <c r="K448" s="542">
        <f>_xll.qlCalendarAdvance(Calendar,J448,"3M","mf",,Trigger)</f>
        <v>55886</v>
      </c>
      <c r="L448" s="544" t="e">
        <f>_xll.qlMakeDatedOIS(,J448,K448,"eonia",,,,,Trigger)</f>
        <v>#NUM!</v>
      </c>
      <c r="M448" s="543" t="e">
        <f>_xll.qlIndexFixing("euribor3m",_xll.qlInterestRateIndexFixingDate("Euribor3M",J448),TRUE)</f>
        <v>#NUM!</v>
      </c>
      <c r="N448" s="543" t="e">
        <f>_xll.qlOvernightIndexedSwapFairRate(L448,Trigger)</f>
        <v>#VALUE!</v>
      </c>
      <c r="O448" s="545" t="e">
        <f t="shared" si="8"/>
        <v>#NUM!</v>
      </c>
    </row>
    <row r="449" spans="3:15" x14ac:dyDescent="0.2">
      <c r="C449" s="537"/>
      <c r="D449" s="537"/>
      <c r="E449" s="536"/>
      <c r="G449" s="536"/>
      <c r="H449" s="536"/>
      <c r="J449" s="551">
        <f>_xll.qlCalendarAdvance(Calendar,J448,"1M","f",,Trigger)</f>
        <v>55827</v>
      </c>
      <c r="K449" s="542">
        <f>_xll.qlCalendarAdvance(Calendar,J449,"3M","mf",,Trigger)</f>
        <v>55919</v>
      </c>
      <c r="L449" s="544" t="e">
        <f>_xll.qlMakeDatedOIS(,J449,K449,"eonia",,,,,Trigger)</f>
        <v>#NUM!</v>
      </c>
      <c r="M449" s="543" t="e">
        <f>_xll.qlIndexFixing("euribor3m",_xll.qlInterestRateIndexFixingDate("Euribor3M",J449),TRUE)</f>
        <v>#NUM!</v>
      </c>
      <c r="N449" s="543" t="e">
        <f>_xll.qlOvernightIndexedSwapFairRate(L449,Trigger)</f>
        <v>#VALUE!</v>
      </c>
      <c r="O449" s="545" t="e">
        <f t="shared" si="8"/>
        <v>#NUM!</v>
      </c>
    </row>
    <row r="450" spans="3:15" x14ac:dyDescent="0.2">
      <c r="C450" s="537"/>
      <c r="D450" s="537"/>
      <c r="E450" s="536"/>
      <c r="G450" s="536"/>
      <c r="H450" s="536"/>
      <c r="J450" s="551">
        <f>_xll.qlCalendarAdvance(Calendar,J449,"1M","f",,Trigger)</f>
        <v>55857</v>
      </c>
      <c r="K450" s="542">
        <f>_xll.qlCalendarAdvance(Calendar,J450,"3M","mf",,Trigger)</f>
        <v>55947</v>
      </c>
      <c r="L450" s="544" t="e">
        <f>_xll.qlMakeDatedOIS(,J450,K450,"eonia",,,,,Trigger)</f>
        <v>#NUM!</v>
      </c>
      <c r="M450" s="543" t="e">
        <f>_xll.qlIndexFixing("euribor3m",_xll.qlInterestRateIndexFixingDate("Euribor3M",J450),TRUE)</f>
        <v>#NUM!</v>
      </c>
      <c r="N450" s="543" t="e">
        <f>_xll.qlOvernightIndexedSwapFairRate(L450,Trigger)</f>
        <v>#VALUE!</v>
      </c>
      <c r="O450" s="545" t="e">
        <f t="shared" si="8"/>
        <v>#NUM!</v>
      </c>
    </row>
    <row r="451" spans="3:15" x14ac:dyDescent="0.2">
      <c r="C451" s="537"/>
      <c r="D451" s="537"/>
      <c r="E451" s="536"/>
      <c r="G451" s="536"/>
      <c r="H451" s="536"/>
      <c r="J451" s="551">
        <f>_xll.qlCalendarAdvance(Calendar,J450,"1M","f",,Trigger)</f>
        <v>55890</v>
      </c>
      <c r="K451" s="542">
        <f>_xll.qlCalendarAdvance(Calendar,J451,"3M","mf",,Trigger)</f>
        <v>55982</v>
      </c>
      <c r="L451" s="544" t="e">
        <f>_xll.qlMakeDatedOIS(,J451,K451,"eonia",,,,,Trigger)</f>
        <v>#NUM!</v>
      </c>
      <c r="M451" s="543" t="e">
        <f>_xll.qlIndexFixing("euribor3m",_xll.qlInterestRateIndexFixingDate("Euribor3M",J451),TRUE)</f>
        <v>#NUM!</v>
      </c>
      <c r="N451" s="543" t="e">
        <f>_xll.qlOvernightIndexedSwapFairRate(L451,Trigger)</f>
        <v>#VALUE!</v>
      </c>
      <c r="O451" s="545" t="e">
        <f t="shared" ref="O451:O514" si="9">M451-N451</f>
        <v>#NUM!</v>
      </c>
    </row>
    <row r="452" spans="3:15" x14ac:dyDescent="0.2">
      <c r="C452" s="537"/>
      <c r="D452" s="537"/>
      <c r="E452" s="536"/>
      <c r="G452" s="536"/>
      <c r="H452" s="536"/>
      <c r="J452" s="551">
        <f>_xll.qlCalendarAdvance(Calendar,J451,"1M","f",,Trigger)</f>
        <v>55921</v>
      </c>
      <c r="K452" s="542">
        <f>_xll.qlCalendarAdvance(Calendar,J452,"3M","mf",,Trigger)</f>
        <v>56010</v>
      </c>
      <c r="L452" s="544" t="e">
        <f>_xll.qlMakeDatedOIS(,J452,K452,"eonia",,,,,Trigger)</f>
        <v>#NUM!</v>
      </c>
      <c r="M452" s="543" t="e">
        <f>_xll.qlIndexFixing("euribor3m",_xll.qlInterestRateIndexFixingDate("Euribor3M",J452),TRUE)</f>
        <v>#NUM!</v>
      </c>
      <c r="N452" s="543" t="e">
        <f>_xll.qlOvernightIndexedSwapFairRate(L452,Trigger)</f>
        <v>#VALUE!</v>
      </c>
      <c r="O452" s="545" t="e">
        <f t="shared" si="9"/>
        <v>#NUM!</v>
      </c>
    </row>
    <row r="453" spans="3:15" x14ac:dyDescent="0.2">
      <c r="C453" s="537"/>
      <c r="D453" s="537"/>
      <c r="E453" s="536"/>
      <c r="G453" s="536"/>
      <c r="H453" s="536"/>
      <c r="J453" s="551">
        <f>_xll.qlCalendarAdvance(Calendar,J452,"1M","f",,Trigger)</f>
        <v>55949</v>
      </c>
      <c r="K453" s="542">
        <f>_xll.qlCalendarAdvance(Calendar,J453,"3M","mf",,Trigger)</f>
        <v>56041</v>
      </c>
      <c r="L453" s="544" t="e">
        <f>_xll.qlMakeDatedOIS(,J453,K453,"eonia",,,,,Trigger)</f>
        <v>#NUM!</v>
      </c>
      <c r="M453" s="543" t="e">
        <f>_xll.qlIndexFixing("euribor3m",_xll.qlInterestRateIndexFixingDate("Euribor3M",J453),TRUE)</f>
        <v>#NUM!</v>
      </c>
      <c r="N453" s="543" t="e">
        <f>_xll.qlOvernightIndexedSwapFairRate(L453,Trigger)</f>
        <v>#VALUE!</v>
      </c>
      <c r="O453" s="545" t="e">
        <f t="shared" si="9"/>
        <v>#NUM!</v>
      </c>
    </row>
    <row r="454" spans="3:15" x14ac:dyDescent="0.2">
      <c r="C454" s="537"/>
      <c r="D454" s="537"/>
      <c r="E454" s="536"/>
      <c r="G454" s="536"/>
      <c r="H454" s="536"/>
      <c r="J454" s="551">
        <f>_xll.qlCalendarAdvance(Calendar,J453,"1M","f",,Trigger)</f>
        <v>55982</v>
      </c>
      <c r="K454" s="542">
        <f>_xll.qlCalendarAdvance(Calendar,J454,"3M","mf",,Trigger)</f>
        <v>56073</v>
      </c>
      <c r="L454" s="544" t="e">
        <f>_xll.qlMakeDatedOIS(,J454,K454,"eonia",,,,,Trigger)</f>
        <v>#NUM!</v>
      </c>
      <c r="M454" s="543" t="e">
        <f>_xll.qlIndexFixing("euribor3m",_xll.qlInterestRateIndexFixingDate("Euribor3M",J454),TRUE)</f>
        <v>#NUM!</v>
      </c>
      <c r="N454" s="543" t="e">
        <f>_xll.qlOvernightIndexedSwapFairRate(L454,Trigger)</f>
        <v>#VALUE!</v>
      </c>
      <c r="O454" s="545" t="e">
        <f t="shared" si="9"/>
        <v>#NUM!</v>
      </c>
    </row>
    <row r="455" spans="3:15" x14ac:dyDescent="0.2">
      <c r="C455" s="537"/>
      <c r="D455" s="537"/>
      <c r="E455" s="536"/>
      <c r="G455" s="536"/>
      <c r="H455" s="536"/>
      <c r="J455" s="551">
        <f>_xll.qlCalendarAdvance(Calendar,J454,"1M","f",,Trigger)</f>
        <v>56012</v>
      </c>
      <c r="K455" s="542">
        <f>_xll.qlCalendarAdvance(Calendar,J455,"3M","mf",,Trigger)</f>
        <v>56104</v>
      </c>
      <c r="L455" s="544" t="e">
        <f>_xll.qlMakeDatedOIS(,J455,K455,"eonia",,,,,Trigger)</f>
        <v>#NUM!</v>
      </c>
      <c r="M455" s="543" t="e">
        <f>_xll.qlIndexFixing("euribor3m",_xll.qlInterestRateIndexFixingDate("Euribor3M",J455),TRUE)</f>
        <v>#NUM!</v>
      </c>
      <c r="N455" s="543" t="e">
        <f>_xll.qlOvernightIndexedSwapFairRate(L455,Trigger)</f>
        <v>#VALUE!</v>
      </c>
      <c r="O455" s="545" t="e">
        <f t="shared" si="9"/>
        <v>#NUM!</v>
      </c>
    </row>
    <row r="456" spans="3:15" x14ac:dyDescent="0.2">
      <c r="C456" s="537"/>
      <c r="D456" s="537"/>
      <c r="E456" s="536"/>
      <c r="G456" s="536"/>
      <c r="H456" s="536"/>
      <c r="J456" s="551">
        <f>_xll.qlCalendarAdvance(Calendar,J455,"1M","f",,Trigger)</f>
        <v>56044</v>
      </c>
      <c r="K456" s="542">
        <f>_xll.qlCalendarAdvance(Calendar,J456,"3M","mf",,Trigger)</f>
        <v>56136</v>
      </c>
      <c r="L456" s="544" t="e">
        <f>_xll.qlMakeDatedOIS(,J456,K456,"eonia",,,,,Trigger)</f>
        <v>#NUM!</v>
      </c>
      <c r="M456" s="543" t="e">
        <f>_xll.qlIndexFixing("euribor3m",_xll.qlInterestRateIndexFixingDate("Euribor3M",J456),TRUE)</f>
        <v>#NUM!</v>
      </c>
      <c r="N456" s="543" t="e">
        <f>_xll.qlOvernightIndexedSwapFairRate(L456,Trigger)</f>
        <v>#VALUE!</v>
      </c>
      <c r="O456" s="545" t="e">
        <f t="shared" si="9"/>
        <v>#NUM!</v>
      </c>
    </row>
    <row r="457" spans="3:15" x14ac:dyDescent="0.2">
      <c r="C457" s="537"/>
      <c r="D457" s="537"/>
      <c r="E457" s="536"/>
      <c r="G457" s="536"/>
      <c r="H457" s="536"/>
      <c r="J457" s="551">
        <f>_xll.qlCalendarAdvance(Calendar,J456,"1M","f",,Trigger)</f>
        <v>56074</v>
      </c>
      <c r="K457" s="542">
        <f>_xll.qlCalendarAdvance(Calendar,J457,"3M","mf",,Trigger)</f>
        <v>56166</v>
      </c>
      <c r="L457" s="544" t="e">
        <f>_xll.qlMakeDatedOIS(,J457,K457,"eonia",,,,,Trigger)</f>
        <v>#NUM!</v>
      </c>
      <c r="M457" s="543" t="e">
        <f>_xll.qlIndexFixing("euribor3m",_xll.qlInterestRateIndexFixingDate("Euribor3M",J457),TRUE)</f>
        <v>#NUM!</v>
      </c>
      <c r="N457" s="543" t="e">
        <f>_xll.qlOvernightIndexedSwapFairRate(L457,Trigger)</f>
        <v>#VALUE!</v>
      </c>
      <c r="O457" s="545" t="e">
        <f t="shared" si="9"/>
        <v>#NUM!</v>
      </c>
    </row>
    <row r="458" spans="3:15" x14ac:dyDescent="0.2">
      <c r="C458" s="537"/>
      <c r="D458" s="537"/>
      <c r="E458" s="536"/>
      <c r="G458" s="536"/>
      <c r="H458" s="536"/>
      <c r="J458" s="551">
        <f>_xll.qlCalendarAdvance(Calendar,J457,"1M","f",,Trigger)</f>
        <v>56107</v>
      </c>
      <c r="K458" s="542">
        <f>_xll.qlCalendarAdvance(Calendar,J458,"3M","mf",,Trigger)</f>
        <v>56199</v>
      </c>
      <c r="L458" s="544" t="e">
        <f>_xll.qlMakeDatedOIS(,J458,K458,"eonia",,,,,Trigger)</f>
        <v>#NUM!</v>
      </c>
      <c r="M458" s="543" t="e">
        <f>_xll.qlIndexFixing("euribor3m",_xll.qlInterestRateIndexFixingDate("Euribor3M",J458),TRUE)</f>
        <v>#NUM!</v>
      </c>
      <c r="N458" s="543" t="e">
        <f>_xll.qlOvernightIndexedSwapFairRate(L458,Trigger)</f>
        <v>#VALUE!</v>
      </c>
      <c r="O458" s="545" t="e">
        <f t="shared" si="9"/>
        <v>#NUM!</v>
      </c>
    </row>
    <row r="459" spans="3:15" x14ac:dyDescent="0.2">
      <c r="C459" s="537"/>
      <c r="D459" s="537"/>
      <c r="E459" s="536"/>
      <c r="G459" s="536"/>
      <c r="H459" s="536"/>
      <c r="J459" s="551">
        <f>_xll.qlCalendarAdvance(Calendar,J458,"1M","f",,Trigger)</f>
        <v>56138</v>
      </c>
      <c r="K459" s="542">
        <f>_xll.qlCalendarAdvance(Calendar,J459,"3M","mf",,Trigger)</f>
        <v>56229</v>
      </c>
      <c r="L459" s="544" t="e">
        <f>_xll.qlMakeDatedOIS(,J459,K459,"eonia",,,,,Trigger)</f>
        <v>#NUM!</v>
      </c>
      <c r="M459" s="543" t="e">
        <f>_xll.qlIndexFixing("euribor3m",_xll.qlInterestRateIndexFixingDate("Euribor3M",J459),TRUE)</f>
        <v>#NUM!</v>
      </c>
      <c r="N459" s="543" t="e">
        <f>_xll.qlOvernightIndexedSwapFairRate(L459,Trigger)</f>
        <v>#VALUE!</v>
      </c>
      <c r="O459" s="545" t="e">
        <f t="shared" si="9"/>
        <v>#NUM!</v>
      </c>
    </row>
    <row r="460" spans="3:15" x14ac:dyDescent="0.2">
      <c r="C460" s="537"/>
      <c r="D460" s="537"/>
      <c r="E460" s="536"/>
      <c r="G460" s="536"/>
      <c r="H460" s="536"/>
      <c r="J460" s="551">
        <f>_xll.qlCalendarAdvance(Calendar,J459,"1M","f",,Trigger)</f>
        <v>56170</v>
      </c>
      <c r="K460" s="542">
        <f>_xll.qlCalendarAdvance(Calendar,J460,"3M","mf",,Trigger)</f>
        <v>56262</v>
      </c>
      <c r="L460" s="544" t="e">
        <f>_xll.qlMakeDatedOIS(,J460,K460,"eonia",,,,,Trigger)</f>
        <v>#NUM!</v>
      </c>
      <c r="M460" s="543" t="e">
        <f>_xll.qlIndexFixing("euribor3m",_xll.qlInterestRateIndexFixingDate("Euribor3M",J460),TRUE)</f>
        <v>#NUM!</v>
      </c>
      <c r="N460" s="543" t="e">
        <f>_xll.qlOvernightIndexedSwapFairRate(L460,Trigger)</f>
        <v>#VALUE!</v>
      </c>
      <c r="O460" s="545" t="e">
        <f t="shared" si="9"/>
        <v>#NUM!</v>
      </c>
    </row>
    <row r="461" spans="3:15" x14ac:dyDescent="0.2">
      <c r="C461" s="537"/>
      <c r="D461" s="537"/>
      <c r="E461" s="536"/>
      <c r="G461" s="536"/>
      <c r="H461" s="536"/>
      <c r="J461" s="551">
        <f>_xll.qlCalendarAdvance(Calendar,J460,"1M","f",,Trigger)</f>
        <v>56201</v>
      </c>
      <c r="K461" s="542">
        <f>_xll.qlCalendarAdvance(Calendar,J461,"3M","mf",,Trigger)</f>
        <v>56293</v>
      </c>
      <c r="L461" s="544" t="e">
        <f>_xll.qlMakeDatedOIS(,J461,K461,"eonia",,,,,Trigger)</f>
        <v>#NUM!</v>
      </c>
      <c r="M461" s="543" t="e">
        <f>_xll.qlIndexFixing("euribor3m",_xll.qlInterestRateIndexFixingDate("Euribor3M",J461),TRUE)</f>
        <v>#NUM!</v>
      </c>
      <c r="N461" s="543" t="e">
        <f>_xll.qlOvernightIndexedSwapFairRate(L461,Trigger)</f>
        <v>#VALUE!</v>
      </c>
      <c r="O461" s="545" t="e">
        <f t="shared" si="9"/>
        <v>#NUM!</v>
      </c>
    </row>
    <row r="462" spans="3:15" x14ac:dyDescent="0.2">
      <c r="C462" s="537"/>
      <c r="D462" s="537"/>
      <c r="E462" s="536"/>
      <c r="G462" s="536"/>
      <c r="H462" s="536"/>
      <c r="J462" s="551">
        <f>_xll.qlCalendarAdvance(Calendar,J461,"1M","f",,Trigger)</f>
        <v>56233</v>
      </c>
      <c r="K462" s="542">
        <f>_xll.qlCalendarAdvance(Calendar,J462,"3M","mf",,Trigger)</f>
        <v>56324</v>
      </c>
      <c r="L462" s="544" t="e">
        <f>_xll.qlMakeDatedOIS(,J462,K462,"eonia",,,,,Trigger)</f>
        <v>#NUM!</v>
      </c>
      <c r="M462" s="543" t="e">
        <f>_xll.qlIndexFixing("euribor3m",_xll.qlInterestRateIndexFixingDate("Euribor3M",J462),TRUE)</f>
        <v>#NUM!</v>
      </c>
      <c r="N462" s="543" t="e">
        <f>_xll.qlOvernightIndexedSwapFairRate(L462,Trigger)</f>
        <v>#VALUE!</v>
      </c>
      <c r="O462" s="545" t="e">
        <f t="shared" si="9"/>
        <v>#NUM!</v>
      </c>
    </row>
    <row r="463" spans="3:15" x14ac:dyDescent="0.2">
      <c r="C463" s="537"/>
      <c r="D463" s="537"/>
      <c r="E463" s="536"/>
      <c r="G463" s="536"/>
      <c r="H463" s="536"/>
      <c r="J463" s="551">
        <f>_xll.qlCalendarAdvance(Calendar,J462,"1M","f",,Trigger)</f>
        <v>56264</v>
      </c>
      <c r="K463" s="542">
        <f>_xll.qlCalendarAdvance(Calendar,J463,"3M","mf",,Trigger)</f>
        <v>56354</v>
      </c>
      <c r="L463" s="544" t="e">
        <f>_xll.qlMakeDatedOIS(,J463,K463,"eonia",,,,,Trigger)</f>
        <v>#NUM!</v>
      </c>
      <c r="M463" s="543" t="e">
        <f>_xll.qlIndexFixing("euribor3m",_xll.qlInterestRateIndexFixingDate("Euribor3M",J463),TRUE)</f>
        <v>#NUM!</v>
      </c>
      <c r="N463" s="543" t="e">
        <f>_xll.qlOvernightIndexedSwapFairRate(L463,Trigger)</f>
        <v>#VALUE!</v>
      </c>
      <c r="O463" s="545" t="e">
        <f t="shared" si="9"/>
        <v>#NUM!</v>
      </c>
    </row>
    <row r="464" spans="3:15" x14ac:dyDescent="0.2">
      <c r="C464" s="537"/>
      <c r="D464" s="537"/>
      <c r="E464" s="536"/>
      <c r="G464" s="536"/>
      <c r="H464" s="536"/>
      <c r="J464" s="551">
        <f>_xll.qlCalendarAdvance(Calendar,J463,"1M","f",,Trigger)</f>
        <v>56296</v>
      </c>
      <c r="K464" s="542">
        <f>_xll.qlCalendarAdvance(Calendar,J464,"3M","mf",,Trigger)</f>
        <v>56387</v>
      </c>
      <c r="L464" s="544" t="e">
        <f>_xll.qlMakeDatedOIS(,J464,K464,"eonia",,,,,Trigger)</f>
        <v>#NUM!</v>
      </c>
      <c r="M464" s="543" t="e">
        <f>_xll.qlIndexFixing("euribor3m",_xll.qlInterestRateIndexFixingDate("Euribor3M",J464),TRUE)</f>
        <v>#NUM!</v>
      </c>
      <c r="N464" s="543" t="e">
        <f>_xll.qlOvernightIndexedSwapFairRate(L464,Trigger)</f>
        <v>#VALUE!</v>
      </c>
      <c r="O464" s="545" t="e">
        <f t="shared" si="9"/>
        <v>#NUM!</v>
      </c>
    </row>
    <row r="465" spans="3:15" x14ac:dyDescent="0.2">
      <c r="C465" s="537"/>
      <c r="D465" s="537"/>
      <c r="E465" s="536"/>
      <c r="G465" s="536"/>
      <c r="H465" s="536"/>
      <c r="J465" s="551">
        <f>_xll.qlCalendarAdvance(Calendar,J464,"1M","f",,Trigger)</f>
        <v>56324</v>
      </c>
      <c r="K465" s="542">
        <f>_xll.qlCalendarAdvance(Calendar,J465,"3M","mf",,Trigger)</f>
        <v>56416</v>
      </c>
      <c r="L465" s="544" t="e">
        <f>_xll.qlMakeDatedOIS(,J465,K465,"eonia",,,,,Trigger)</f>
        <v>#NUM!</v>
      </c>
      <c r="M465" s="543" t="e">
        <f>_xll.qlIndexFixing("euribor3m",_xll.qlInterestRateIndexFixingDate("Euribor3M",J465),TRUE)</f>
        <v>#NUM!</v>
      </c>
      <c r="N465" s="543" t="e">
        <f>_xll.qlOvernightIndexedSwapFairRate(L465,Trigger)</f>
        <v>#VALUE!</v>
      </c>
      <c r="O465" s="545" t="e">
        <f t="shared" si="9"/>
        <v>#NUM!</v>
      </c>
    </row>
    <row r="466" spans="3:15" x14ac:dyDescent="0.2">
      <c r="C466" s="537"/>
      <c r="D466" s="537"/>
      <c r="E466" s="536"/>
      <c r="G466" s="536"/>
      <c r="H466" s="536"/>
      <c r="J466" s="551">
        <f>_xll.qlCalendarAdvance(Calendar,J465,"1M","f",,Trigger)</f>
        <v>56355</v>
      </c>
      <c r="K466" s="542">
        <f>_xll.qlCalendarAdvance(Calendar,J466,"3M","mf",,Trigger)</f>
        <v>56446</v>
      </c>
      <c r="L466" s="544" t="e">
        <f>_xll.qlMakeDatedOIS(,J466,K466,"eonia",,,,,Trigger)</f>
        <v>#NUM!</v>
      </c>
      <c r="M466" s="543" t="e">
        <f>_xll.qlIndexFixing("euribor3m",_xll.qlInterestRateIndexFixingDate("Euribor3M",J466),TRUE)</f>
        <v>#NUM!</v>
      </c>
      <c r="N466" s="543" t="e">
        <f>_xll.qlOvernightIndexedSwapFairRate(L466,Trigger)</f>
        <v>#VALUE!</v>
      </c>
      <c r="O466" s="545" t="e">
        <f t="shared" si="9"/>
        <v>#NUM!</v>
      </c>
    </row>
    <row r="467" spans="3:15" x14ac:dyDescent="0.2">
      <c r="C467" s="537"/>
      <c r="D467" s="537"/>
      <c r="E467" s="536"/>
      <c r="G467" s="536"/>
      <c r="H467" s="536"/>
      <c r="J467" s="551">
        <f>_xll.qlCalendarAdvance(Calendar,J466,"1M","f",,Trigger)</f>
        <v>56387</v>
      </c>
      <c r="K467" s="542">
        <f>_xll.qlCalendarAdvance(Calendar,J467,"3M","mf",,Trigger)</f>
        <v>56479</v>
      </c>
      <c r="L467" s="544" t="e">
        <f>_xll.qlMakeDatedOIS(,J467,K467,"eonia",,,,,Trigger)</f>
        <v>#NUM!</v>
      </c>
      <c r="M467" s="543" t="e">
        <f>_xll.qlIndexFixing("euribor3m",_xll.qlInterestRateIndexFixingDate("Euribor3M",J467),TRUE)</f>
        <v>#NUM!</v>
      </c>
      <c r="N467" s="543" t="e">
        <f>_xll.qlOvernightIndexedSwapFairRate(L467,Trigger)</f>
        <v>#VALUE!</v>
      </c>
      <c r="O467" s="545" t="e">
        <f t="shared" si="9"/>
        <v>#NUM!</v>
      </c>
    </row>
    <row r="468" spans="3:15" x14ac:dyDescent="0.2">
      <c r="C468" s="537"/>
      <c r="D468" s="537"/>
      <c r="E468" s="536"/>
      <c r="G468" s="536"/>
      <c r="H468" s="536"/>
      <c r="J468" s="551">
        <f>_xll.qlCalendarAdvance(Calendar,J467,"1M","f",,Trigger)</f>
        <v>56418</v>
      </c>
      <c r="K468" s="542">
        <f>_xll.qlCalendarAdvance(Calendar,J468,"3M","mf",,Trigger)</f>
        <v>56510</v>
      </c>
      <c r="L468" s="544" t="e">
        <f>_xll.qlMakeDatedOIS(,J468,K468,"eonia",,,,,Trigger)</f>
        <v>#NUM!</v>
      </c>
      <c r="M468" s="543" t="e">
        <f>_xll.qlIndexFixing("euribor3m",_xll.qlInterestRateIndexFixingDate("Euribor3M",J468),TRUE)</f>
        <v>#NUM!</v>
      </c>
      <c r="N468" s="543" t="e">
        <f>_xll.qlOvernightIndexedSwapFairRate(L468,Trigger)</f>
        <v>#VALUE!</v>
      </c>
      <c r="O468" s="545" t="e">
        <f t="shared" si="9"/>
        <v>#NUM!</v>
      </c>
    </row>
    <row r="469" spans="3:15" x14ac:dyDescent="0.2">
      <c r="C469" s="537"/>
      <c r="D469" s="537"/>
      <c r="E469" s="536"/>
      <c r="G469" s="536"/>
      <c r="H469" s="536"/>
      <c r="J469" s="551">
        <f>_xll.qlCalendarAdvance(Calendar,J468,"1M","f",,Trigger)</f>
        <v>56450</v>
      </c>
      <c r="K469" s="542">
        <f>_xll.qlCalendarAdvance(Calendar,J469,"3M","mf",,Trigger)</f>
        <v>56542</v>
      </c>
      <c r="L469" s="544" t="e">
        <f>_xll.qlMakeDatedOIS(,J469,K469,"eonia",,,,,Trigger)</f>
        <v>#NUM!</v>
      </c>
      <c r="M469" s="543" t="e">
        <f>_xll.qlIndexFixing("euribor3m",_xll.qlInterestRateIndexFixingDate("Euribor3M",J469),TRUE)</f>
        <v>#NUM!</v>
      </c>
      <c r="N469" s="543" t="e">
        <f>_xll.qlOvernightIndexedSwapFairRate(L469,Trigger)</f>
        <v>#VALUE!</v>
      </c>
      <c r="O469" s="545" t="e">
        <f t="shared" si="9"/>
        <v>#NUM!</v>
      </c>
    </row>
    <row r="470" spans="3:15" x14ac:dyDescent="0.2">
      <c r="C470" s="537"/>
      <c r="D470" s="537"/>
      <c r="E470" s="536"/>
      <c r="G470" s="536"/>
      <c r="H470" s="536"/>
      <c r="J470" s="551">
        <f>_xll.qlCalendarAdvance(Calendar,J469,"1M","f",,Trigger)</f>
        <v>56481</v>
      </c>
      <c r="K470" s="542">
        <f>_xll.qlCalendarAdvance(Calendar,J470,"3M","mf",,Trigger)</f>
        <v>56573</v>
      </c>
      <c r="L470" s="544" t="e">
        <f>_xll.qlMakeDatedOIS(,J470,K470,"eonia",,,,,Trigger)</f>
        <v>#NUM!</v>
      </c>
      <c r="M470" s="543" t="e">
        <f>_xll.qlIndexFixing("euribor3m",_xll.qlInterestRateIndexFixingDate("Euribor3M",J470),TRUE)</f>
        <v>#NUM!</v>
      </c>
      <c r="N470" s="543" t="e">
        <f>_xll.qlOvernightIndexedSwapFairRate(L470,Trigger)</f>
        <v>#VALUE!</v>
      </c>
      <c r="O470" s="545" t="e">
        <f t="shared" si="9"/>
        <v>#NUM!</v>
      </c>
    </row>
    <row r="471" spans="3:15" x14ac:dyDescent="0.2">
      <c r="C471" s="537"/>
      <c r="D471" s="537"/>
      <c r="E471" s="536"/>
      <c r="G471" s="536"/>
      <c r="H471" s="536"/>
      <c r="J471" s="551">
        <f>_xll.qlCalendarAdvance(Calendar,J470,"1M","f",,Trigger)</f>
        <v>56513</v>
      </c>
      <c r="K471" s="542">
        <f>_xll.qlCalendarAdvance(Calendar,J471,"3M","mf",,Trigger)</f>
        <v>56604</v>
      </c>
      <c r="L471" s="544" t="e">
        <f>_xll.qlMakeDatedOIS(,J471,K471,"eonia",,,,,Trigger)</f>
        <v>#NUM!</v>
      </c>
      <c r="M471" s="543" t="e">
        <f>_xll.qlIndexFixing("euribor3m",_xll.qlInterestRateIndexFixingDate("Euribor3M",J471),TRUE)</f>
        <v>#NUM!</v>
      </c>
      <c r="N471" s="543" t="e">
        <f>_xll.qlOvernightIndexedSwapFairRate(L471,Trigger)</f>
        <v>#VALUE!</v>
      </c>
      <c r="O471" s="545" t="e">
        <f t="shared" si="9"/>
        <v>#NUM!</v>
      </c>
    </row>
    <row r="472" spans="3:15" x14ac:dyDescent="0.2">
      <c r="C472" s="537"/>
      <c r="D472" s="537"/>
      <c r="E472" s="536"/>
      <c r="G472" s="536"/>
      <c r="H472" s="536"/>
      <c r="J472" s="551">
        <f>_xll.qlCalendarAdvance(Calendar,J471,"1M","f",,Trigger)</f>
        <v>56543</v>
      </c>
      <c r="K472" s="542">
        <f>_xll.qlCalendarAdvance(Calendar,J472,"3M","mf",,Trigger)</f>
        <v>56635</v>
      </c>
      <c r="L472" s="544" t="e">
        <f>_xll.qlMakeDatedOIS(,J472,K472,"eonia",,,,,Trigger)</f>
        <v>#NUM!</v>
      </c>
      <c r="M472" s="543" t="e">
        <f>_xll.qlIndexFixing("euribor3m",_xll.qlInterestRateIndexFixingDate("Euribor3M",J472),TRUE)</f>
        <v>#NUM!</v>
      </c>
      <c r="N472" s="543" t="e">
        <f>_xll.qlOvernightIndexedSwapFairRate(L472,Trigger)</f>
        <v>#VALUE!</v>
      </c>
      <c r="O472" s="545" t="e">
        <f t="shared" si="9"/>
        <v>#NUM!</v>
      </c>
    </row>
    <row r="473" spans="3:15" x14ac:dyDescent="0.2">
      <c r="C473" s="537"/>
      <c r="D473" s="537"/>
      <c r="E473" s="536"/>
      <c r="G473" s="536"/>
      <c r="H473" s="536"/>
      <c r="J473" s="551">
        <f>_xll.qlCalendarAdvance(Calendar,J472,"1M","f",,Trigger)</f>
        <v>56576</v>
      </c>
      <c r="K473" s="542">
        <f>_xll.qlCalendarAdvance(Calendar,J473,"3M","mf",,Trigger)</f>
        <v>56668</v>
      </c>
      <c r="L473" s="544" t="e">
        <f>_xll.qlMakeDatedOIS(,J473,K473,"eonia",,,,,Trigger)</f>
        <v>#NUM!</v>
      </c>
      <c r="M473" s="543" t="e">
        <f>_xll.qlIndexFixing("euribor3m",_xll.qlInterestRateIndexFixingDate("Euribor3M",J473),TRUE)</f>
        <v>#NUM!</v>
      </c>
      <c r="N473" s="543" t="e">
        <f>_xll.qlOvernightIndexedSwapFairRate(L473,Trigger)</f>
        <v>#VALUE!</v>
      </c>
      <c r="O473" s="545" t="e">
        <f t="shared" si="9"/>
        <v>#NUM!</v>
      </c>
    </row>
    <row r="474" spans="3:15" x14ac:dyDescent="0.2">
      <c r="C474" s="537"/>
      <c r="D474" s="537"/>
      <c r="E474" s="536"/>
      <c r="G474" s="536"/>
      <c r="H474" s="536"/>
      <c r="J474" s="551">
        <f>_xll.qlCalendarAdvance(Calendar,J473,"1M","f",,Trigger)</f>
        <v>56606</v>
      </c>
      <c r="K474" s="542">
        <f>_xll.qlCalendarAdvance(Calendar,J474,"3M","mf",,Trigger)</f>
        <v>56696</v>
      </c>
      <c r="L474" s="544" t="e">
        <f>_xll.qlMakeDatedOIS(,J474,K474,"eonia",,,,,Trigger)</f>
        <v>#NUM!</v>
      </c>
      <c r="M474" s="543" t="e">
        <f>_xll.qlIndexFixing("euribor3m",_xll.qlInterestRateIndexFixingDate("Euribor3M",J474),TRUE)</f>
        <v>#NUM!</v>
      </c>
      <c r="N474" s="543" t="e">
        <f>_xll.qlOvernightIndexedSwapFairRate(L474,Trigger)</f>
        <v>#VALUE!</v>
      </c>
      <c r="O474" s="545" t="e">
        <f t="shared" si="9"/>
        <v>#NUM!</v>
      </c>
    </row>
    <row r="475" spans="3:15" x14ac:dyDescent="0.2">
      <c r="C475" s="537"/>
      <c r="D475" s="537"/>
      <c r="E475" s="536"/>
      <c r="G475" s="536"/>
      <c r="H475" s="536"/>
      <c r="J475" s="551">
        <f>_xll.qlCalendarAdvance(Calendar,J474,"1M","f",,Trigger)</f>
        <v>56639</v>
      </c>
      <c r="K475" s="542">
        <f>_xll.qlCalendarAdvance(Calendar,J475,"3M","mf",,Trigger)</f>
        <v>56730</v>
      </c>
      <c r="L475" s="544" t="e">
        <f>_xll.qlMakeDatedOIS(,J475,K475,"eonia",,,,,Trigger)</f>
        <v>#NUM!</v>
      </c>
      <c r="M475" s="543" t="e">
        <f>_xll.qlIndexFixing("euribor3m",_xll.qlInterestRateIndexFixingDate("Euribor3M",J475),TRUE)</f>
        <v>#NUM!</v>
      </c>
      <c r="N475" s="543" t="e">
        <f>_xll.qlOvernightIndexedSwapFairRate(L475,Trigger)</f>
        <v>#VALUE!</v>
      </c>
      <c r="O475" s="545" t="e">
        <f t="shared" si="9"/>
        <v>#NUM!</v>
      </c>
    </row>
    <row r="476" spans="3:15" x14ac:dyDescent="0.2">
      <c r="C476" s="537"/>
      <c r="D476" s="537"/>
      <c r="E476" s="536"/>
      <c r="G476" s="536"/>
      <c r="H476" s="536"/>
      <c r="J476" s="551">
        <f>_xll.qlCalendarAdvance(Calendar,J475,"1M","f",,Trigger)</f>
        <v>56670</v>
      </c>
      <c r="K476" s="542">
        <f>_xll.qlCalendarAdvance(Calendar,J476,"3M","mf",,Trigger)</f>
        <v>56759</v>
      </c>
      <c r="L476" s="544" t="e">
        <f>_xll.qlMakeDatedOIS(,J476,K476,"eonia",,,,,Trigger)</f>
        <v>#NUM!</v>
      </c>
      <c r="M476" s="543" t="e">
        <f>_xll.qlIndexFixing("euribor3m",_xll.qlInterestRateIndexFixingDate("Euribor3M",J476),TRUE)</f>
        <v>#NUM!</v>
      </c>
      <c r="N476" s="543" t="e">
        <f>_xll.qlOvernightIndexedSwapFairRate(L476,Trigger)</f>
        <v>#VALUE!</v>
      </c>
      <c r="O476" s="545" t="e">
        <f t="shared" si="9"/>
        <v>#NUM!</v>
      </c>
    </row>
    <row r="477" spans="3:15" x14ac:dyDescent="0.2">
      <c r="C477" s="537"/>
      <c r="D477" s="537"/>
      <c r="E477" s="536"/>
      <c r="G477" s="536"/>
      <c r="H477" s="536"/>
      <c r="J477" s="551">
        <f>_xll.qlCalendarAdvance(Calendar,J476,"1M","f",,Trigger)</f>
        <v>56698</v>
      </c>
      <c r="K477" s="542">
        <f>_xll.qlCalendarAdvance(Calendar,J477,"3M","mf",,Trigger)</f>
        <v>56790</v>
      </c>
      <c r="L477" s="544" t="e">
        <f>_xll.qlMakeDatedOIS(,J477,K477,"eonia",,,,,Trigger)</f>
        <v>#NUM!</v>
      </c>
      <c r="M477" s="543" t="e">
        <f>_xll.qlIndexFixing("euribor3m",_xll.qlInterestRateIndexFixingDate("Euribor3M",J477),TRUE)</f>
        <v>#NUM!</v>
      </c>
      <c r="N477" s="543" t="e">
        <f>_xll.qlOvernightIndexedSwapFairRate(L477,Trigger)</f>
        <v>#VALUE!</v>
      </c>
      <c r="O477" s="545" t="e">
        <f t="shared" si="9"/>
        <v>#NUM!</v>
      </c>
    </row>
    <row r="478" spans="3:15" x14ac:dyDescent="0.2">
      <c r="C478" s="537"/>
      <c r="D478" s="537"/>
      <c r="E478" s="536"/>
      <c r="G478" s="536"/>
      <c r="H478" s="536"/>
      <c r="J478" s="551">
        <f>_xll.qlCalendarAdvance(Calendar,J477,"1M","f",,Trigger)</f>
        <v>56730</v>
      </c>
      <c r="K478" s="542">
        <f>_xll.qlCalendarAdvance(Calendar,J478,"3M","mf",,Trigger)</f>
        <v>56821</v>
      </c>
      <c r="L478" s="544" t="e">
        <f>_xll.qlMakeDatedOIS(,J478,K478,"eonia",,,,,Trigger)</f>
        <v>#NUM!</v>
      </c>
      <c r="M478" s="543" t="e">
        <f>_xll.qlIndexFixing("euribor3m",_xll.qlInterestRateIndexFixingDate("Euribor3M",J478),TRUE)</f>
        <v>#NUM!</v>
      </c>
      <c r="N478" s="543" t="e">
        <f>_xll.qlOvernightIndexedSwapFairRate(L478,Trigger)</f>
        <v>#VALUE!</v>
      </c>
      <c r="O478" s="545" t="e">
        <f t="shared" si="9"/>
        <v>#NUM!</v>
      </c>
    </row>
    <row r="479" spans="3:15" x14ac:dyDescent="0.2">
      <c r="C479" s="537"/>
      <c r="D479" s="537"/>
      <c r="E479" s="536"/>
      <c r="G479" s="536"/>
      <c r="H479" s="536"/>
      <c r="J479" s="551">
        <f>_xll.qlCalendarAdvance(Calendar,J478,"1M","f",,Trigger)</f>
        <v>56760</v>
      </c>
      <c r="K479" s="542">
        <f>_xll.qlCalendarAdvance(Calendar,J479,"3M","mf",,Trigger)</f>
        <v>56852</v>
      </c>
      <c r="L479" s="544" t="e">
        <f>_xll.qlMakeDatedOIS(,J479,K479,"eonia",,,,,Trigger)</f>
        <v>#NUM!</v>
      </c>
      <c r="M479" s="543" t="e">
        <f>_xll.qlIndexFixing("euribor3m",_xll.qlInterestRateIndexFixingDate("Euribor3M",J479),TRUE)</f>
        <v>#NUM!</v>
      </c>
      <c r="N479" s="543" t="e">
        <f>_xll.qlOvernightIndexedSwapFairRate(L479,Trigger)</f>
        <v>#VALUE!</v>
      </c>
      <c r="O479" s="545" t="e">
        <f t="shared" si="9"/>
        <v>#NUM!</v>
      </c>
    </row>
    <row r="480" spans="3:15" x14ac:dyDescent="0.2">
      <c r="C480" s="537"/>
      <c r="D480" s="537"/>
      <c r="E480" s="536"/>
      <c r="G480" s="536"/>
      <c r="H480" s="536"/>
      <c r="J480" s="551">
        <f>_xll.qlCalendarAdvance(Calendar,J479,"1M","f",,Trigger)</f>
        <v>56793</v>
      </c>
      <c r="K480" s="542">
        <f>_xll.qlCalendarAdvance(Calendar,J480,"3M","mf",,Trigger)</f>
        <v>56885</v>
      </c>
      <c r="L480" s="544" t="e">
        <f>_xll.qlMakeDatedOIS(,J480,K480,"eonia",,,,,Trigger)</f>
        <v>#NUM!</v>
      </c>
      <c r="M480" s="543" t="e">
        <f>_xll.qlIndexFixing("euribor3m",_xll.qlInterestRateIndexFixingDate("Euribor3M",J480),TRUE)</f>
        <v>#NUM!</v>
      </c>
      <c r="N480" s="543" t="e">
        <f>_xll.qlOvernightIndexedSwapFairRate(L480,Trigger)</f>
        <v>#VALUE!</v>
      </c>
      <c r="O480" s="545" t="e">
        <f t="shared" si="9"/>
        <v>#NUM!</v>
      </c>
    </row>
    <row r="481" spans="3:15" x14ac:dyDescent="0.2">
      <c r="C481" s="537"/>
      <c r="D481" s="537"/>
      <c r="E481" s="536"/>
      <c r="G481" s="536"/>
      <c r="H481" s="536"/>
      <c r="J481" s="551">
        <f>_xll.qlCalendarAdvance(Calendar,J480,"1M","f",,Trigger)</f>
        <v>56823</v>
      </c>
      <c r="K481" s="542">
        <f>_xll.qlCalendarAdvance(Calendar,J481,"3M","mf",,Trigger)</f>
        <v>56915</v>
      </c>
      <c r="L481" s="544" t="e">
        <f>_xll.qlMakeDatedOIS(,J481,K481,"eonia",,,,,Trigger)</f>
        <v>#NUM!</v>
      </c>
      <c r="M481" s="543" t="e">
        <f>_xll.qlIndexFixing("euribor3m",_xll.qlInterestRateIndexFixingDate("Euribor3M",J481),TRUE)</f>
        <v>#NUM!</v>
      </c>
      <c r="N481" s="543" t="e">
        <f>_xll.qlOvernightIndexedSwapFairRate(L481,Trigger)</f>
        <v>#VALUE!</v>
      </c>
      <c r="O481" s="545" t="e">
        <f t="shared" si="9"/>
        <v>#NUM!</v>
      </c>
    </row>
    <row r="482" spans="3:15" x14ac:dyDescent="0.2">
      <c r="C482" s="537"/>
      <c r="D482" s="537"/>
      <c r="E482" s="536"/>
      <c r="G482" s="536"/>
      <c r="H482" s="536"/>
      <c r="J482" s="551">
        <f>_xll.qlCalendarAdvance(Calendar,J481,"1M","f",,Trigger)</f>
        <v>56856</v>
      </c>
      <c r="K482" s="542">
        <f>_xll.qlCalendarAdvance(Calendar,J482,"3M","mf",,Trigger)</f>
        <v>56948</v>
      </c>
      <c r="L482" s="544" t="e">
        <f>_xll.qlMakeDatedOIS(,J482,K482,"eonia",,,,,Trigger)</f>
        <v>#NUM!</v>
      </c>
      <c r="M482" s="543" t="e">
        <f>_xll.qlIndexFixing("euribor3m",_xll.qlInterestRateIndexFixingDate("Euribor3M",J482),TRUE)</f>
        <v>#NUM!</v>
      </c>
      <c r="N482" s="543" t="e">
        <f>_xll.qlOvernightIndexedSwapFairRate(L482,Trigger)</f>
        <v>#VALUE!</v>
      </c>
      <c r="O482" s="545" t="e">
        <f t="shared" si="9"/>
        <v>#NUM!</v>
      </c>
    </row>
    <row r="483" spans="3:15" x14ac:dyDescent="0.2">
      <c r="C483" s="537"/>
      <c r="D483" s="537"/>
      <c r="E483" s="536"/>
      <c r="G483" s="536"/>
      <c r="H483" s="536"/>
      <c r="J483" s="551">
        <f>_xll.qlCalendarAdvance(Calendar,J482,"1M","f",,Trigger)</f>
        <v>56887</v>
      </c>
      <c r="K483" s="542">
        <f>_xll.qlCalendarAdvance(Calendar,J483,"3M","mf",,Trigger)</f>
        <v>56978</v>
      </c>
      <c r="L483" s="544" t="e">
        <f>_xll.qlMakeDatedOIS(,J483,K483,"eonia",,,,,Trigger)</f>
        <v>#NUM!</v>
      </c>
      <c r="M483" s="543" t="e">
        <f>_xll.qlIndexFixing("euribor3m",_xll.qlInterestRateIndexFixingDate("Euribor3M",J483),TRUE)</f>
        <v>#NUM!</v>
      </c>
      <c r="N483" s="543" t="e">
        <f>_xll.qlOvernightIndexedSwapFairRate(L483,Trigger)</f>
        <v>#VALUE!</v>
      </c>
      <c r="O483" s="545" t="e">
        <f t="shared" si="9"/>
        <v>#NUM!</v>
      </c>
    </row>
    <row r="484" spans="3:15" x14ac:dyDescent="0.2">
      <c r="C484" s="537"/>
      <c r="D484" s="537"/>
      <c r="E484" s="536"/>
      <c r="G484" s="536"/>
      <c r="H484" s="536"/>
      <c r="J484" s="551">
        <f>_xll.qlCalendarAdvance(Calendar,J483,"1M","f",,Trigger)</f>
        <v>56919</v>
      </c>
      <c r="K484" s="542">
        <f>_xll.qlCalendarAdvance(Calendar,J484,"3M","mf",,Trigger)</f>
        <v>57011</v>
      </c>
      <c r="L484" s="544" t="e">
        <f>_xll.qlMakeDatedOIS(,J484,K484,"eonia",,,,,Trigger)</f>
        <v>#NUM!</v>
      </c>
      <c r="M484" s="543" t="e">
        <f>_xll.qlIndexFixing("euribor3m",_xll.qlInterestRateIndexFixingDate("Euribor3M",J484),TRUE)</f>
        <v>#NUM!</v>
      </c>
      <c r="N484" s="543" t="e">
        <f>_xll.qlOvernightIndexedSwapFairRate(L484,Trigger)</f>
        <v>#VALUE!</v>
      </c>
      <c r="O484" s="545" t="e">
        <f t="shared" si="9"/>
        <v>#NUM!</v>
      </c>
    </row>
    <row r="485" spans="3:15" x14ac:dyDescent="0.2">
      <c r="C485" s="537"/>
      <c r="D485" s="537"/>
      <c r="E485" s="536"/>
      <c r="G485" s="536"/>
      <c r="H485" s="536"/>
      <c r="J485" s="551">
        <f>_xll.qlCalendarAdvance(Calendar,J484,"1M","f",,Trigger)</f>
        <v>56949</v>
      </c>
      <c r="K485" s="542">
        <f>_xll.qlCalendarAdvance(Calendar,J485,"3M","mf",,Trigger)</f>
        <v>57040</v>
      </c>
      <c r="L485" s="544" t="e">
        <f>_xll.qlMakeDatedOIS(,J485,K485,"eonia",,,,,Trigger)</f>
        <v>#NUM!</v>
      </c>
      <c r="M485" s="543" t="e">
        <f>_xll.qlIndexFixing("euribor3m",_xll.qlInterestRateIndexFixingDate("Euribor3M",J485),TRUE)</f>
        <v>#NUM!</v>
      </c>
      <c r="N485" s="543" t="e">
        <f>_xll.qlOvernightIndexedSwapFairRate(L485,Trigger)</f>
        <v>#VALUE!</v>
      </c>
      <c r="O485" s="545" t="e">
        <f t="shared" si="9"/>
        <v>#NUM!</v>
      </c>
    </row>
    <row r="486" spans="3:15" x14ac:dyDescent="0.2">
      <c r="C486" s="537"/>
      <c r="D486" s="537"/>
      <c r="E486" s="536"/>
      <c r="G486" s="536"/>
      <c r="H486" s="536"/>
      <c r="J486" s="551">
        <f>_xll.qlCalendarAdvance(Calendar,J485,"1M","f",,Trigger)</f>
        <v>56982</v>
      </c>
      <c r="K486" s="542">
        <f>_xll.qlCalendarAdvance(Calendar,J486,"3M","mf",,Trigger)</f>
        <v>57074</v>
      </c>
      <c r="L486" s="544" t="e">
        <f>_xll.qlMakeDatedOIS(,J486,K486,"eonia",,,,,Trigger)</f>
        <v>#NUM!</v>
      </c>
      <c r="M486" s="543" t="e">
        <f>_xll.qlIndexFixing("euribor3m",_xll.qlInterestRateIndexFixingDate("Euribor3M",J486),TRUE)</f>
        <v>#NUM!</v>
      </c>
      <c r="N486" s="543" t="e">
        <f>_xll.qlOvernightIndexedSwapFairRate(L486,Trigger)</f>
        <v>#VALUE!</v>
      </c>
      <c r="O486" s="545" t="e">
        <f t="shared" si="9"/>
        <v>#NUM!</v>
      </c>
    </row>
    <row r="487" spans="3:15" x14ac:dyDescent="0.2">
      <c r="C487" s="537"/>
      <c r="D487" s="537"/>
      <c r="E487" s="536"/>
      <c r="G487" s="536"/>
      <c r="H487" s="536"/>
      <c r="J487" s="551">
        <f>_xll.qlCalendarAdvance(Calendar,J486,"1M","f",,Trigger)</f>
        <v>57013</v>
      </c>
      <c r="K487" s="542">
        <f>_xll.qlCalendarAdvance(Calendar,J487,"3M","mf",,Trigger)</f>
        <v>57103</v>
      </c>
      <c r="L487" s="544" t="e">
        <f>_xll.qlMakeDatedOIS(,J487,K487,"eonia",,,,,Trigger)</f>
        <v>#NUM!</v>
      </c>
      <c r="M487" s="543" t="e">
        <f>_xll.qlIndexFixing("euribor3m",_xll.qlInterestRateIndexFixingDate("Euribor3M",J487),TRUE)</f>
        <v>#NUM!</v>
      </c>
      <c r="N487" s="543" t="e">
        <f>_xll.qlOvernightIndexedSwapFairRate(L487,Trigger)</f>
        <v>#VALUE!</v>
      </c>
      <c r="O487" s="545" t="e">
        <f t="shared" si="9"/>
        <v>#NUM!</v>
      </c>
    </row>
    <row r="488" spans="3:15" x14ac:dyDescent="0.2">
      <c r="C488" s="537"/>
      <c r="D488" s="537"/>
      <c r="E488" s="536"/>
      <c r="G488" s="536"/>
      <c r="H488" s="536"/>
      <c r="J488" s="551">
        <f>_xll.qlCalendarAdvance(Calendar,J487,"1M","f",,Trigger)</f>
        <v>57042</v>
      </c>
      <c r="K488" s="542">
        <f>_xll.qlCalendarAdvance(Calendar,J488,"3M","mf",,Trigger)</f>
        <v>57136</v>
      </c>
      <c r="L488" s="544" t="e">
        <f>_xll.qlMakeDatedOIS(,J488,K488,"eonia",,,,,Trigger)</f>
        <v>#NUM!</v>
      </c>
      <c r="M488" s="543" t="e">
        <f>_xll.qlIndexFixing("euribor3m",_xll.qlInterestRateIndexFixingDate("Euribor3M",J488),TRUE)</f>
        <v>#NUM!</v>
      </c>
      <c r="N488" s="543" t="e">
        <f>_xll.qlOvernightIndexedSwapFairRate(L488,Trigger)</f>
        <v>#VALUE!</v>
      </c>
      <c r="O488" s="545" t="e">
        <f t="shared" si="9"/>
        <v>#NUM!</v>
      </c>
    </row>
    <row r="489" spans="3:15" x14ac:dyDescent="0.2">
      <c r="C489" s="537"/>
      <c r="D489" s="537"/>
      <c r="E489" s="536"/>
      <c r="G489" s="536"/>
      <c r="H489" s="536"/>
      <c r="J489" s="551">
        <f>_xll.qlCalendarAdvance(Calendar,J488,"1M","f",,Trigger)</f>
        <v>57074</v>
      </c>
      <c r="K489" s="542">
        <f>_xll.qlCalendarAdvance(Calendar,J489,"3M","mf",,Trigger)</f>
        <v>57165</v>
      </c>
      <c r="L489" s="544" t="e">
        <f>_xll.qlMakeDatedOIS(,J489,K489,"eonia",,,,,Trigger)</f>
        <v>#NUM!</v>
      </c>
      <c r="M489" s="543" t="e">
        <f>_xll.qlIndexFixing("euribor3m",_xll.qlInterestRateIndexFixingDate("Euribor3M",J489),TRUE)</f>
        <v>#NUM!</v>
      </c>
      <c r="N489" s="543" t="e">
        <f>_xll.qlOvernightIndexedSwapFairRate(L489,Trigger)</f>
        <v>#VALUE!</v>
      </c>
      <c r="O489" s="545" t="e">
        <f t="shared" si="9"/>
        <v>#NUM!</v>
      </c>
    </row>
    <row r="490" spans="3:15" x14ac:dyDescent="0.2">
      <c r="C490" s="537"/>
      <c r="D490" s="537"/>
      <c r="E490" s="536"/>
      <c r="G490" s="536"/>
      <c r="H490" s="536"/>
      <c r="J490" s="551">
        <f>_xll.qlCalendarAdvance(Calendar,J489,"1M","f",,Trigger)</f>
        <v>57104</v>
      </c>
      <c r="K490" s="542">
        <f>_xll.qlCalendarAdvance(Calendar,J490,"3M","mf",,Trigger)</f>
        <v>57196</v>
      </c>
      <c r="L490" s="544" t="e">
        <f>_xll.qlMakeDatedOIS(,J490,K490,"eonia",,,,,Trigger)</f>
        <v>#NUM!</v>
      </c>
      <c r="M490" s="543" t="e">
        <f>_xll.qlIndexFixing("euribor3m",_xll.qlInterestRateIndexFixingDate("Euribor3M",J490),TRUE)</f>
        <v>#NUM!</v>
      </c>
      <c r="N490" s="543" t="e">
        <f>_xll.qlOvernightIndexedSwapFairRate(L490,Trigger)</f>
        <v>#VALUE!</v>
      </c>
      <c r="O490" s="545" t="e">
        <f t="shared" si="9"/>
        <v>#NUM!</v>
      </c>
    </row>
    <row r="491" spans="3:15" x14ac:dyDescent="0.2">
      <c r="C491" s="537"/>
      <c r="D491" s="537"/>
      <c r="E491" s="536"/>
      <c r="G491" s="536"/>
      <c r="H491" s="536"/>
      <c r="J491" s="551">
        <f>_xll.qlCalendarAdvance(Calendar,J490,"1M","f",,Trigger)</f>
        <v>57136</v>
      </c>
      <c r="K491" s="542">
        <f>_xll.qlCalendarAdvance(Calendar,J491,"3M","mf",,Trigger)</f>
        <v>57228</v>
      </c>
      <c r="L491" s="544" t="e">
        <f>_xll.qlMakeDatedOIS(,J491,K491,"eonia",,,,,Trigger)</f>
        <v>#NUM!</v>
      </c>
      <c r="M491" s="543" t="e">
        <f>_xll.qlIndexFixing("euribor3m",_xll.qlInterestRateIndexFixingDate("Euribor3M",J491),TRUE)</f>
        <v>#NUM!</v>
      </c>
      <c r="N491" s="543" t="e">
        <f>_xll.qlOvernightIndexedSwapFairRate(L491,Trigger)</f>
        <v>#VALUE!</v>
      </c>
      <c r="O491" s="545" t="e">
        <f t="shared" si="9"/>
        <v>#NUM!</v>
      </c>
    </row>
    <row r="492" spans="3:15" x14ac:dyDescent="0.2">
      <c r="C492" s="537"/>
      <c r="D492" s="537"/>
      <c r="E492" s="536"/>
      <c r="G492" s="536"/>
      <c r="H492" s="536"/>
      <c r="J492" s="551">
        <f>_xll.qlCalendarAdvance(Calendar,J491,"1M","f",,Trigger)</f>
        <v>57166</v>
      </c>
      <c r="K492" s="542">
        <f>_xll.qlCalendarAdvance(Calendar,J492,"3M","mf",,Trigger)</f>
        <v>57258</v>
      </c>
      <c r="L492" s="544" t="e">
        <f>_xll.qlMakeDatedOIS(,J492,K492,"eonia",,,,,Trigger)</f>
        <v>#NUM!</v>
      </c>
      <c r="M492" s="543" t="e">
        <f>_xll.qlIndexFixing("euribor3m",_xll.qlInterestRateIndexFixingDate("Euribor3M",J492),TRUE)</f>
        <v>#NUM!</v>
      </c>
      <c r="N492" s="543" t="e">
        <f>_xll.qlOvernightIndexedSwapFairRate(L492,Trigger)</f>
        <v>#VALUE!</v>
      </c>
      <c r="O492" s="545" t="e">
        <f t="shared" si="9"/>
        <v>#NUM!</v>
      </c>
    </row>
    <row r="493" spans="3:15" x14ac:dyDescent="0.2">
      <c r="C493" s="537"/>
      <c r="D493" s="537"/>
      <c r="E493" s="536"/>
      <c r="G493" s="536"/>
      <c r="H493" s="536"/>
      <c r="J493" s="551">
        <f>_xll.qlCalendarAdvance(Calendar,J492,"1M","f",,Trigger)</f>
        <v>57199</v>
      </c>
      <c r="K493" s="542">
        <f>_xll.qlCalendarAdvance(Calendar,J493,"3M","mf",,Trigger)</f>
        <v>57291</v>
      </c>
      <c r="L493" s="544" t="e">
        <f>_xll.qlMakeDatedOIS(,J493,K493,"eonia",,,,,Trigger)</f>
        <v>#NUM!</v>
      </c>
      <c r="M493" s="543" t="e">
        <f>_xll.qlIndexFixing("euribor3m",_xll.qlInterestRateIndexFixingDate("Euribor3M",J493),TRUE)</f>
        <v>#NUM!</v>
      </c>
      <c r="N493" s="543" t="e">
        <f>_xll.qlOvernightIndexedSwapFairRate(L493,Trigger)</f>
        <v>#VALUE!</v>
      </c>
      <c r="O493" s="545" t="e">
        <f t="shared" si="9"/>
        <v>#NUM!</v>
      </c>
    </row>
    <row r="494" spans="3:15" x14ac:dyDescent="0.2">
      <c r="C494" s="537"/>
      <c r="D494" s="537"/>
      <c r="E494" s="536"/>
      <c r="G494" s="536"/>
      <c r="H494" s="536"/>
      <c r="J494" s="551">
        <f>_xll.qlCalendarAdvance(Calendar,J493,"1M","f",,Trigger)</f>
        <v>57230</v>
      </c>
      <c r="K494" s="542">
        <f>_xll.qlCalendarAdvance(Calendar,J494,"3M","mf",,Trigger)</f>
        <v>57321</v>
      </c>
      <c r="L494" s="544" t="e">
        <f>_xll.qlMakeDatedOIS(,J494,K494,"eonia",,,,,Trigger)</f>
        <v>#NUM!</v>
      </c>
      <c r="M494" s="543" t="e">
        <f>_xll.qlIndexFixing("euribor3m",_xll.qlInterestRateIndexFixingDate("Euribor3M",J494),TRUE)</f>
        <v>#NUM!</v>
      </c>
      <c r="N494" s="543" t="e">
        <f>_xll.qlOvernightIndexedSwapFairRate(L494,Trigger)</f>
        <v>#VALUE!</v>
      </c>
      <c r="O494" s="545" t="e">
        <f t="shared" si="9"/>
        <v>#NUM!</v>
      </c>
    </row>
    <row r="495" spans="3:15" x14ac:dyDescent="0.2">
      <c r="C495" s="537"/>
      <c r="D495" s="537"/>
      <c r="E495" s="536"/>
      <c r="G495" s="536"/>
      <c r="H495" s="536"/>
      <c r="J495" s="551">
        <f>_xll.qlCalendarAdvance(Calendar,J494,"1M","f",,Trigger)</f>
        <v>57262</v>
      </c>
      <c r="K495" s="542">
        <f>_xll.qlCalendarAdvance(Calendar,J495,"3M","mf",,Trigger)</f>
        <v>57354</v>
      </c>
      <c r="L495" s="544" t="e">
        <f>_xll.qlMakeDatedOIS(,J495,K495,"eonia",,,,,Trigger)</f>
        <v>#NUM!</v>
      </c>
      <c r="M495" s="543" t="e">
        <f>_xll.qlIndexFixing("euribor3m",_xll.qlInterestRateIndexFixingDate("Euribor3M",J495),TRUE)</f>
        <v>#NUM!</v>
      </c>
      <c r="N495" s="543" t="e">
        <f>_xll.qlOvernightIndexedSwapFairRate(L495,Trigger)</f>
        <v>#VALUE!</v>
      </c>
      <c r="O495" s="545" t="e">
        <f t="shared" si="9"/>
        <v>#NUM!</v>
      </c>
    </row>
    <row r="496" spans="3:15" x14ac:dyDescent="0.2">
      <c r="C496" s="537"/>
      <c r="D496" s="537"/>
      <c r="E496" s="536"/>
      <c r="G496" s="536"/>
      <c r="H496" s="536"/>
      <c r="J496" s="551">
        <f>_xll.qlCalendarAdvance(Calendar,J495,"1M","f",,Trigger)</f>
        <v>57293</v>
      </c>
      <c r="K496" s="542">
        <f>_xll.qlCalendarAdvance(Calendar,J496,"3M","mf",,Trigger)</f>
        <v>57385</v>
      </c>
      <c r="L496" s="544" t="e">
        <f>_xll.qlMakeDatedOIS(,J496,K496,"eonia",,,,,Trigger)</f>
        <v>#NUM!</v>
      </c>
      <c r="M496" s="543" t="e">
        <f>_xll.qlIndexFixing("euribor3m",_xll.qlInterestRateIndexFixingDate("Euribor3M",J496),TRUE)</f>
        <v>#NUM!</v>
      </c>
      <c r="N496" s="543" t="e">
        <f>_xll.qlOvernightIndexedSwapFairRate(L496,Trigger)</f>
        <v>#VALUE!</v>
      </c>
      <c r="O496" s="545" t="e">
        <f t="shared" si="9"/>
        <v>#NUM!</v>
      </c>
    </row>
    <row r="497" spans="3:15" x14ac:dyDescent="0.2">
      <c r="C497" s="537"/>
      <c r="D497" s="537"/>
      <c r="E497" s="536"/>
      <c r="G497" s="536"/>
      <c r="H497" s="536"/>
      <c r="J497" s="551">
        <f>_xll.qlCalendarAdvance(Calendar,J496,"1M","f",,Trigger)</f>
        <v>57325</v>
      </c>
      <c r="K497" s="542">
        <f>_xll.qlCalendarAdvance(Calendar,J497,"3M","mf",,Trigger)</f>
        <v>57416</v>
      </c>
      <c r="L497" s="544" t="e">
        <f>_xll.qlMakeDatedOIS(,J497,K497,"eonia",,,,,Trigger)</f>
        <v>#NUM!</v>
      </c>
      <c r="M497" s="543" t="e">
        <f>_xll.qlIndexFixing("euribor3m",_xll.qlInterestRateIndexFixingDate("Euribor3M",J497),TRUE)</f>
        <v>#NUM!</v>
      </c>
      <c r="N497" s="543" t="e">
        <f>_xll.qlOvernightIndexedSwapFairRate(L497,Trigger)</f>
        <v>#VALUE!</v>
      </c>
      <c r="O497" s="545" t="e">
        <f t="shared" si="9"/>
        <v>#NUM!</v>
      </c>
    </row>
    <row r="498" spans="3:15" x14ac:dyDescent="0.2">
      <c r="C498" s="537"/>
      <c r="D498" s="537"/>
      <c r="E498" s="536"/>
      <c r="G498" s="536"/>
      <c r="H498" s="536"/>
      <c r="J498" s="551">
        <f>_xll.qlCalendarAdvance(Calendar,J497,"1M","f",,Trigger)</f>
        <v>57356</v>
      </c>
      <c r="K498" s="542">
        <f>_xll.qlCalendarAdvance(Calendar,J498,"3M","mf",,Trigger)</f>
        <v>57446</v>
      </c>
      <c r="L498" s="544" t="e">
        <f>_xll.qlMakeDatedOIS(,J498,K498,"eonia",,,,,Trigger)</f>
        <v>#NUM!</v>
      </c>
      <c r="M498" s="543" t="e">
        <f>_xll.qlIndexFixing("euribor3m",_xll.qlInterestRateIndexFixingDate("Euribor3M",J498),TRUE)</f>
        <v>#NUM!</v>
      </c>
      <c r="N498" s="543" t="e">
        <f>_xll.qlOvernightIndexedSwapFairRate(L498,Trigger)</f>
        <v>#VALUE!</v>
      </c>
      <c r="O498" s="545" t="e">
        <f t="shared" si="9"/>
        <v>#NUM!</v>
      </c>
    </row>
    <row r="499" spans="3:15" x14ac:dyDescent="0.2">
      <c r="C499" s="537"/>
      <c r="D499" s="537"/>
      <c r="E499" s="536"/>
      <c r="G499" s="536"/>
      <c r="H499" s="536"/>
      <c r="J499" s="551">
        <f>_xll.qlCalendarAdvance(Calendar,J498,"1M","f",,Trigger)</f>
        <v>57388</v>
      </c>
      <c r="K499" s="542">
        <f>_xll.qlCalendarAdvance(Calendar,J499,"3M","mf",,Trigger)</f>
        <v>57479</v>
      </c>
      <c r="L499" s="544" t="e">
        <f>_xll.qlMakeDatedOIS(,J499,K499,"eonia",,,,,Trigger)</f>
        <v>#NUM!</v>
      </c>
      <c r="M499" s="543" t="e">
        <f>_xll.qlIndexFixing("euribor3m",_xll.qlInterestRateIndexFixingDate("Euribor3M",J499),TRUE)</f>
        <v>#NUM!</v>
      </c>
      <c r="N499" s="543" t="e">
        <f>_xll.qlOvernightIndexedSwapFairRate(L499,Trigger)</f>
        <v>#VALUE!</v>
      </c>
      <c r="O499" s="545" t="e">
        <f t="shared" si="9"/>
        <v>#NUM!</v>
      </c>
    </row>
    <row r="500" spans="3:15" x14ac:dyDescent="0.2">
      <c r="C500" s="537"/>
      <c r="D500" s="537"/>
      <c r="E500" s="536"/>
      <c r="G500" s="536"/>
      <c r="H500" s="536"/>
      <c r="J500" s="551">
        <f>_xll.qlCalendarAdvance(Calendar,J499,"1M","f",,Trigger)</f>
        <v>57416</v>
      </c>
      <c r="K500" s="542">
        <f>_xll.qlCalendarAdvance(Calendar,J500,"3M","mf",,Trigger)</f>
        <v>57508</v>
      </c>
      <c r="L500" s="544" t="e">
        <f>_xll.qlMakeDatedOIS(,J500,K500,"eonia",,,,,Trigger)</f>
        <v>#NUM!</v>
      </c>
      <c r="M500" s="543" t="e">
        <f>_xll.qlIndexFixing("euribor3m",_xll.qlInterestRateIndexFixingDate("Euribor3M",J500),TRUE)</f>
        <v>#NUM!</v>
      </c>
      <c r="N500" s="543" t="e">
        <f>_xll.qlOvernightIndexedSwapFairRate(L500,Trigger)</f>
        <v>#VALUE!</v>
      </c>
      <c r="O500" s="545" t="e">
        <f t="shared" si="9"/>
        <v>#NUM!</v>
      </c>
    </row>
    <row r="501" spans="3:15" x14ac:dyDescent="0.2">
      <c r="C501" s="537"/>
      <c r="D501" s="537"/>
      <c r="E501" s="536"/>
      <c r="G501" s="536"/>
      <c r="H501" s="536"/>
      <c r="J501" s="551">
        <f>_xll.qlCalendarAdvance(Calendar,J500,"1M","f",,Trigger)</f>
        <v>57447</v>
      </c>
      <c r="K501" s="542">
        <f>_xll.qlCalendarAdvance(Calendar,J501,"3M","mf",,Trigger)</f>
        <v>57538</v>
      </c>
      <c r="L501" s="544" t="e">
        <f>_xll.qlMakeDatedOIS(,J501,K501,"eonia",,,,,Trigger)</f>
        <v>#NUM!</v>
      </c>
      <c r="M501" s="543" t="e">
        <f>_xll.qlIndexFixing("euribor3m",_xll.qlInterestRateIndexFixingDate("Euribor3M",J501),TRUE)</f>
        <v>#NUM!</v>
      </c>
      <c r="N501" s="543" t="e">
        <f>_xll.qlOvernightIndexedSwapFairRate(L501,Trigger)</f>
        <v>#VALUE!</v>
      </c>
      <c r="O501" s="545" t="e">
        <f t="shared" si="9"/>
        <v>#NUM!</v>
      </c>
    </row>
    <row r="502" spans="3:15" x14ac:dyDescent="0.2">
      <c r="C502" s="537"/>
      <c r="D502" s="537"/>
      <c r="E502" s="536"/>
      <c r="G502" s="536"/>
      <c r="H502" s="536"/>
      <c r="J502" s="551">
        <f>_xll.qlCalendarAdvance(Calendar,J501,"1M","f",,Trigger)</f>
        <v>57479</v>
      </c>
      <c r="K502" s="542">
        <f>_xll.qlCalendarAdvance(Calendar,J502,"3M","mf",,Trigger)</f>
        <v>57571</v>
      </c>
      <c r="L502" s="544" t="e">
        <f>_xll.qlMakeDatedOIS(,J502,K502,"eonia",,,,,Trigger)</f>
        <v>#NUM!</v>
      </c>
      <c r="M502" s="543" t="e">
        <f>_xll.qlIndexFixing("euribor3m",_xll.qlInterestRateIndexFixingDate("Euribor3M",J502),TRUE)</f>
        <v>#NUM!</v>
      </c>
      <c r="N502" s="543" t="e">
        <f>_xll.qlOvernightIndexedSwapFairRate(L502,Trigger)</f>
        <v>#VALUE!</v>
      </c>
      <c r="O502" s="545" t="e">
        <f t="shared" si="9"/>
        <v>#NUM!</v>
      </c>
    </row>
    <row r="503" spans="3:15" x14ac:dyDescent="0.2">
      <c r="C503" s="537"/>
      <c r="D503" s="537"/>
      <c r="E503" s="536"/>
      <c r="G503" s="536"/>
      <c r="H503" s="536"/>
      <c r="J503" s="551">
        <f>_xll.qlCalendarAdvance(Calendar,J502,"1M","f",,Trigger)</f>
        <v>57510</v>
      </c>
      <c r="K503" s="542">
        <f>_xll.qlCalendarAdvance(Calendar,J503,"3M","mf",,Trigger)</f>
        <v>57602</v>
      </c>
      <c r="L503" s="544" t="e">
        <f>_xll.qlMakeDatedOIS(,J503,K503,"eonia",,,,,Trigger)</f>
        <v>#NUM!</v>
      </c>
      <c r="M503" s="543" t="e">
        <f>_xll.qlIndexFixing("euribor3m",_xll.qlInterestRateIndexFixingDate("Euribor3M",J503),TRUE)</f>
        <v>#NUM!</v>
      </c>
      <c r="N503" s="543" t="e">
        <f>_xll.qlOvernightIndexedSwapFairRate(L503,Trigger)</f>
        <v>#VALUE!</v>
      </c>
      <c r="O503" s="545" t="e">
        <f t="shared" si="9"/>
        <v>#NUM!</v>
      </c>
    </row>
    <row r="504" spans="3:15" x14ac:dyDescent="0.2">
      <c r="C504" s="537"/>
      <c r="D504" s="537"/>
      <c r="E504" s="536"/>
      <c r="G504" s="536"/>
      <c r="H504" s="536"/>
      <c r="J504" s="551">
        <f>_xll.qlCalendarAdvance(Calendar,J503,"1M","f",,Trigger)</f>
        <v>57542</v>
      </c>
      <c r="K504" s="542">
        <f>_xll.qlCalendarAdvance(Calendar,J504,"3M","mf",,Trigger)</f>
        <v>57634</v>
      </c>
      <c r="L504" s="544" t="e">
        <f>_xll.qlMakeDatedOIS(,J504,K504,"eonia",,,,,Trigger)</f>
        <v>#NUM!</v>
      </c>
      <c r="M504" s="543" t="e">
        <f>_xll.qlIndexFixing("euribor3m",_xll.qlInterestRateIndexFixingDate("Euribor3M",J504),TRUE)</f>
        <v>#NUM!</v>
      </c>
      <c r="N504" s="543" t="e">
        <f>_xll.qlOvernightIndexedSwapFairRate(L504,Trigger)</f>
        <v>#VALUE!</v>
      </c>
      <c r="O504" s="545" t="e">
        <f t="shared" si="9"/>
        <v>#NUM!</v>
      </c>
    </row>
    <row r="505" spans="3:15" x14ac:dyDescent="0.2">
      <c r="C505" s="537"/>
      <c r="D505" s="537"/>
      <c r="E505" s="536"/>
      <c r="G505" s="536"/>
      <c r="H505" s="536"/>
      <c r="J505" s="551">
        <f>_xll.qlCalendarAdvance(Calendar,J504,"1M","f",,Trigger)</f>
        <v>57573</v>
      </c>
      <c r="K505" s="542">
        <f>_xll.qlCalendarAdvance(Calendar,J505,"3M","mf",,Trigger)</f>
        <v>57665</v>
      </c>
      <c r="L505" s="544" t="e">
        <f>_xll.qlMakeDatedOIS(,J505,K505,"eonia",,,,,Trigger)</f>
        <v>#NUM!</v>
      </c>
      <c r="M505" s="543" t="e">
        <f>_xll.qlIndexFixing("euribor3m",_xll.qlInterestRateIndexFixingDate("Euribor3M",J505),TRUE)</f>
        <v>#NUM!</v>
      </c>
      <c r="N505" s="543" t="e">
        <f>_xll.qlOvernightIndexedSwapFairRate(L505,Trigger)</f>
        <v>#VALUE!</v>
      </c>
      <c r="O505" s="545" t="e">
        <f t="shared" si="9"/>
        <v>#NUM!</v>
      </c>
    </row>
    <row r="506" spans="3:15" x14ac:dyDescent="0.2">
      <c r="C506" s="537"/>
      <c r="D506" s="537"/>
      <c r="E506" s="536"/>
      <c r="G506" s="536"/>
      <c r="H506" s="536"/>
      <c r="J506" s="551">
        <f>_xll.qlCalendarAdvance(Calendar,J505,"1M","f",,Trigger)</f>
        <v>57605</v>
      </c>
      <c r="K506" s="542">
        <f>_xll.qlCalendarAdvance(Calendar,J506,"3M","mf",,Trigger)</f>
        <v>57696</v>
      </c>
      <c r="L506" s="544" t="e">
        <f>_xll.qlMakeDatedOIS(,J506,K506,"eonia",,,,,Trigger)</f>
        <v>#NUM!</v>
      </c>
      <c r="M506" s="543" t="e">
        <f>_xll.qlIndexFixing("euribor3m",_xll.qlInterestRateIndexFixingDate("Euribor3M",J506),TRUE)</f>
        <v>#NUM!</v>
      </c>
      <c r="N506" s="543" t="e">
        <f>_xll.qlOvernightIndexedSwapFairRate(L506,Trigger)</f>
        <v>#VALUE!</v>
      </c>
      <c r="O506" s="545" t="e">
        <f t="shared" si="9"/>
        <v>#NUM!</v>
      </c>
    </row>
    <row r="507" spans="3:15" x14ac:dyDescent="0.2">
      <c r="C507" s="537"/>
      <c r="D507" s="537"/>
      <c r="E507" s="536"/>
      <c r="G507" s="536"/>
      <c r="H507" s="536"/>
      <c r="J507" s="551">
        <f>_xll.qlCalendarAdvance(Calendar,J506,"1M","f",,Trigger)</f>
        <v>57635</v>
      </c>
      <c r="K507" s="542">
        <f>_xll.qlCalendarAdvance(Calendar,J507,"3M","mf",,Trigger)</f>
        <v>57727</v>
      </c>
      <c r="L507" s="544" t="e">
        <f>_xll.qlMakeDatedOIS(,J507,K507,"eonia",,,,,Trigger)</f>
        <v>#NUM!</v>
      </c>
      <c r="M507" s="543" t="e">
        <f>_xll.qlIndexFixing("euribor3m",_xll.qlInterestRateIndexFixingDate("Euribor3M",J507),TRUE)</f>
        <v>#NUM!</v>
      </c>
      <c r="N507" s="543" t="e">
        <f>_xll.qlOvernightIndexedSwapFairRate(L507,Trigger)</f>
        <v>#VALUE!</v>
      </c>
      <c r="O507" s="545" t="e">
        <f t="shared" si="9"/>
        <v>#NUM!</v>
      </c>
    </row>
    <row r="508" spans="3:15" x14ac:dyDescent="0.2">
      <c r="C508" s="537"/>
      <c r="D508" s="537"/>
      <c r="E508" s="536"/>
      <c r="G508" s="536"/>
      <c r="H508" s="536"/>
      <c r="J508" s="551">
        <f>_xll.qlCalendarAdvance(Calendar,J507,"1M","f",,Trigger)</f>
        <v>57668</v>
      </c>
      <c r="K508" s="542">
        <f>_xll.qlCalendarAdvance(Calendar,J508,"3M","mf",,Trigger)</f>
        <v>57760</v>
      </c>
      <c r="L508" s="544" t="e">
        <f>_xll.qlMakeDatedOIS(,J508,K508,"eonia",,,,,Trigger)</f>
        <v>#NUM!</v>
      </c>
      <c r="M508" s="543" t="e">
        <f>_xll.qlIndexFixing("euribor3m",_xll.qlInterestRateIndexFixingDate("Euribor3M",J508),TRUE)</f>
        <v>#NUM!</v>
      </c>
      <c r="N508" s="543" t="e">
        <f>_xll.qlOvernightIndexedSwapFairRate(L508,Trigger)</f>
        <v>#VALUE!</v>
      </c>
      <c r="O508" s="545" t="e">
        <f t="shared" si="9"/>
        <v>#NUM!</v>
      </c>
    </row>
    <row r="509" spans="3:15" x14ac:dyDescent="0.2">
      <c r="C509" s="537"/>
      <c r="D509" s="537"/>
      <c r="E509" s="536"/>
      <c r="G509" s="536"/>
      <c r="H509" s="536"/>
      <c r="J509" s="551">
        <f>_xll.qlCalendarAdvance(Calendar,J508,"1M","f",,Trigger)</f>
        <v>57698</v>
      </c>
      <c r="K509" s="542">
        <f>_xll.qlCalendarAdvance(Calendar,J509,"3M","mf",,Trigger)</f>
        <v>57788</v>
      </c>
      <c r="L509" s="544" t="e">
        <f>_xll.qlMakeDatedOIS(,J509,K509,"eonia",,,,,Trigger)</f>
        <v>#NUM!</v>
      </c>
      <c r="M509" s="543" t="e">
        <f>_xll.qlIndexFixing("euribor3m",_xll.qlInterestRateIndexFixingDate("Euribor3M",J509),TRUE)</f>
        <v>#NUM!</v>
      </c>
      <c r="N509" s="543" t="e">
        <f>_xll.qlOvernightIndexedSwapFairRate(L509,Trigger)</f>
        <v>#VALUE!</v>
      </c>
      <c r="O509" s="545" t="e">
        <f t="shared" si="9"/>
        <v>#NUM!</v>
      </c>
    </row>
    <row r="510" spans="3:15" x14ac:dyDescent="0.2">
      <c r="C510" s="537"/>
      <c r="D510" s="537"/>
      <c r="E510" s="536"/>
      <c r="G510" s="536"/>
      <c r="H510" s="536"/>
      <c r="J510" s="551">
        <f>_xll.qlCalendarAdvance(Calendar,J509,"1M","f",,Trigger)</f>
        <v>57731</v>
      </c>
      <c r="K510" s="542">
        <f>_xll.qlCalendarAdvance(Calendar,J510,"3M","mf",,Trigger)</f>
        <v>57822</v>
      </c>
      <c r="L510" s="544" t="e">
        <f>_xll.qlMakeDatedOIS(,J510,K510,"eonia",,,,,Trigger)</f>
        <v>#NUM!</v>
      </c>
      <c r="M510" s="543" t="e">
        <f>_xll.qlIndexFixing("euribor3m",_xll.qlInterestRateIndexFixingDate("Euribor3M",J510),TRUE)</f>
        <v>#NUM!</v>
      </c>
      <c r="N510" s="543" t="e">
        <f>_xll.qlOvernightIndexedSwapFairRate(L510,Trigger)</f>
        <v>#VALUE!</v>
      </c>
      <c r="O510" s="545" t="e">
        <f t="shared" si="9"/>
        <v>#NUM!</v>
      </c>
    </row>
    <row r="511" spans="3:15" x14ac:dyDescent="0.2">
      <c r="C511" s="537"/>
      <c r="D511" s="537"/>
      <c r="E511" s="536"/>
      <c r="G511" s="536"/>
      <c r="H511" s="536"/>
      <c r="J511" s="551">
        <f>_xll.qlCalendarAdvance(Calendar,J510,"1M","f",,Trigger)</f>
        <v>57762</v>
      </c>
      <c r="K511" s="542">
        <f>_xll.qlCalendarAdvance(Calendar,J511,"3M","mf",,Trigger)</f>
        <v>57851</v>
      </c>
      <c r="L511" s="544" t="e">
        <f>_xll.qlMakeDatedOIS(,J511,K511,"eonia",,,,,Trigger)</f>
        <v>#NUM!</v>
      </c>
      <c r="M511" s="543" t="e">
        <f>_xll.qlIndexFixing("euribor3m",_xll.qlInterestRateIndexFixingDate("Euribor3M",J511),TRUE)</f>
        <v>#NUM!</v>
      </c>
      <c r="N511" s="543" t="e">
        <f>_xll.qlOvernightIndexedSwapFairRate(L511,Trigger)</f>
        <v>#VALUE!</v>
      </c>
      <c r="O511" s="545" t="e">
        <f t="shared" si="9"/>
        <v>#NUM!</v>
      </c>
    </row>
    <row r="512" spans="3:15" x14ac:dyDescent="0.2">
      <c r="C512" s="537"/>
      <c r="D512" s="537"/>
      <c r="E512" s="536"/>
      <c r="G512" s="536"/>
      <c r="H512" s="536"/>
      <c r="J512" s="551">
        <f>_xll.qlCalendarAdvance(Calendar,J511,"1M","f",,Trigger)</f>
        <v>57790</v>
      </c>
      <c r="K512" s="542">
        <f>_xll.qlCalendarAdvance(Calendar,J512,"3M","mf",,Trigger)</f>
        <v>57882</v>
      </c>
      <c r="L512" s="544" t="e">
        <f>_xll.qlMakeDatedOIS(,J512,K512,"eonia",,,,,Trigger)</f>
        <v>#NUM!</v>
      </c>
      <c r="M512" s="543" t="e">
        <f>_xll.qlIndexFixing("euribor3m",_xll.qlInterestRateIndexFixingDate("Euribor3M",J512),TRUE)</f>
        <v>#NUM!</v>
      </c>
      <c r="N512" s="543" t="e">
        <f>_xll.qlOvernightIndexedSwapFairRate(L512,Trigger)</f>
        <v>#VALUE!</v>
      </c>
      <c r="O512" s="545" t="e">
        <f t="shared" si="9"/>
        <v>#NUM!</v>
      </c>
    </row>
    <row r="513" spans="3:15" x14ac:dyDescent="0.2">
      <c r="C513" s="537"/>
      <c r="D513" s="537"/>
      <c r="E513" s="536"/>
      <c r="G513" s="536"/>
      <c r="H513" s="536"/>
      <c r="J513" s="551">
        <f>_xll.qlCalendarAdvance(Calendar,J512,"1M","f",,Trigger)</f>
        <v>57822</v>
      </c>
      <c r="K513" s="542">
        <f>_xll.qlCalendarAdvance(Calendar,J513,"3M","mf",,Trigger)</f>
        <v>57913</v>
      </c>
      <c r="L513" s="544" t="e">
        <f>_xll.qlMakeDatedOIS(,J513,K513,"eonia",,,,,Trigger)</f>
        <v>#NUM!</v>
      </c>
      <c r="M513" s="543" t="e">
        <f>_xll.qlIndexFixing("euribor3m",_xll.qlInterestRateIndexFixingDate("Euribor3M",J513),TRUE)</f>
        <v>#NUM!</v>
      </c>
      <c r="N513" s="543" t="e">
        <f>_xll.qlOvernightIndexedSwapFairRate(L513,Trigger)</f>
        <v>#VALUE!</v>
      </c>
      <c r="O513" s="545" t="e">
        <f t="shared" si="9"/>
        <v>#NUM!</v>
      </c>
    </row>
    <row r="514" spans="3:15" x14ac:dyDescent="0.2">
      <c r="C514" s="537"/>
      <c r="D514" s="537"/>
      <c r="E514" s="536"/>
      <c r="G514" s="536"/>
      <c r="H514" s="536"/>
      <c r="J514" s="551">
        <f>_xll.qlCalendarAdvance(Calendar,J513,"1M","f",,Trigger)</f>
        <v>57852</v>
      </c>
      <c r="K514" s="542">
        <f>_xll.qlCalendarAdvance(Calendar,J514,"3M","mf",,Trigger)</f>
        <v>57944</v>
      </c>
      <c r="L514" s="544" t="e">
        <f>_xll.qlMakeDatedOIS(,J514,K514,"eonia",,,,,Trigger)</f>
        <v>#NUM!</v>
      </c>
      <c r="M514" s="543" t="e">
        <f>_xll.qlIndexFixing("euribor3m",_xll.qlInterestRateIndexFixingDate("Euribor3M",J514),TRUE)</f>
        <v>#NUM!</v>
      </c>
      <c r="N514" s="543" t="e">
        <f>_xll.qlOvernightIndexedSwapFairRate(L514,Trigger)</f>
        <v>#VALUE!</v>
      </c>
      <c r="O514" s="545" t="e">
        <f t="shared" si="9"/>
        <v>#NUM!</v>
      </c>
    </row>
    <row r="515" spans="3:15" x14ac:dyDescent="0.2">
      <c r="C515" s="537"/>
      <c r="D515" s="537"/>
      <c r="E515" s="536"/>
      <c r="G515" s="536"/>
      <c r="H515" s="536"/>
      <c r="J515" s="551">
        <f>_xll.qlCalendarAdvance(Calendar,J514,"1M","f",,Trigger)</f>
        <v>57885</v>
      </c>
      <c r="K515" s="542">
        <f>_xll.qlCalendarAdvance(Calendar,J515,"3M","mf",,Trigger)</f>
        <v>57977</v>
      </c>
      <c r="L515" s="544" t="e">
        <f>_xll.qlMakeDatedOIS(,J515,K515,"eonia",,,,,Trigger)</f>
        <v>#NUM!</v>
      </c>
      <c r="M515" s="543" t="e">
        <f>_xll.qlIndexFixing("euribor3m",_xll.qlInterestRateIndexFixingDate("Euribor3M",J515),TRUE)</f>
        <v>#NUM!</v>
      </c>
      <c r="N515" s="543" t="e">
        <f>_xll.qlOvernightIndexedSwapFairRate(L515,Trigger)</f>
        <v>#VALUE!</v>
      </c>
      <c r="O515" s="545" t="e">
        <f t="shared" ref="O515:O578" si="10">M515-N515</f>
        <v>#NUM!</v>
      </c>
    </row>
    <row r="516" spans="3:15" x14ac:dyDescent="0.2">
      <c r="C516" s="537"/>
      <c r="D516" s="537"/>
      <c r="E516" s="536"/>
      <c r="G516" s="536"/>
      <c r="H516" s="536"/>
      <c r="J516" s="551">
        <f>_xll.qlCalendarAdvance(Calendar,J515,"1M","f",,Trigger)</f>
        <v>57915</v>
      </c>
      <c r="K516" s="542">
        <f>_xll.qlCalendarAdvance(Calendar,J516,"3M","mf",,Trigger)</f>
        <v>58007</v>
      </c>
      <c r="L516" s="544" t="e">
        <f>_xll.qlMakeDatedOIS(,J516,K516,"eonia",,,,,Trigger)</f>
        <v>#NUM!</v>
      </c>
      <c r="M516" s="543" t="e">
        <f>_xll.qlIndexFixing("euribor3m",_xll.qlInterestRateIndexFixingDate("Euribor3M",J516),TRUE)</f>
        <v>#NUM!</v>
      </c>
      <c r="N516" s="543" t="e">
        <f>_xll.qlOvernightIndexedSwapFairRate(L516,Trigger)</f>
        <v>#VALUE!</v>
      </c>
      <c r="O516" s="545" t="e">
        <f t="shared" si="10"/>
        <v>#NUM!</v>
      </c>
    </row>
    <row r="517" spans="3:15" x14ac:dyDescent="0.2">
      <c r="C517" s="537"/>
      <c r="D517" s="537"/>
      <c r="E517" s="536"/>
      <c r="G517" s="536"/>
      <c r="H517" s="536"/>
      <c r="J517" s="551">
        <f>_xll.qlCalendarAdvance(Calendar,J516,"1M","f",,Trigger)</f>
        <v>57948</v>
      </c>
      <c r="K517" s="542">
        <f>_xll.qlCalendarAdvance(Calendar,J517,"3M","mf",,Trigger)</f>
        <v>58040</v>
      </c>
      <c r="L517" s="544" t="e">
        <f>_xll.qlMakeDatedOIS(,J517,K517,"eonia",,,,,Trigger)</f>
        <v>#NUM!</v>
      </c>
      <c r="M517" s="543" t="e">
        <f>_xll.qlIndexFixing("euribor3m",_xll.qlInterestRateIndexFixingDate("Euribor3M",J517),TRUE)</f>
        <v>#NUM!</v>
      </c>
      <c r="N517" s="543" t="e">
        <f>_xll.qlOvernightIndexedSwapFairRate(L517,Trigger)</f>
        <v>#VALUE!</v>
      </c>
      <c r="O517" s="545" t="e">
        <f t="shared" si="10"/>
        <v>#NUM!</v>
      </c>
    </row>
    <row r="518" spans="3:15" x14ac:dyDescent="0.2">
      <c r="C518" s="537"/>
      <c r="D518" s="537"/>
      <c r="E518" s="536"/>
      <c r="G518" s="536"/>
      <c r="H518" s="536"/>
      <c r="J518" s="551">
        <f>_xll.qlCalendarAdvance(Calendar,J517,"1M","f",,Trigger)</f>
        <v>57979</v>
      </c>
      <c r="K518" s="542">
        <f>_xll.qlCalendarAdvance(Calendar,J518,"3M","mf",,Trigger)</f>
        <v>58071</v>
      </c>
      <c r="L518" s="544" t="e">
        <f>_xll.qlMakeDatedOIS(,J518,K518,"eonia",,,,,Trigger)</f>
        <v>#NUM!</v>
      </c>
      <c r="M518" s="543" t="e">
        <f>_xll.qlIndexFixing("euribor3m",_xll.qlInterestRateIndexFixingDate("Euribor3M",J518),TRUE)</f>
        <v>#NUM!</v>
      </c>
      <c r="N518" s="543" t="e">
        <f>_xll.qlOvernightIndexedSwapFairRate(L518,Trigger)</f>
        <v>#VALUE!</v>
      </c>
      <c r="O518" s="545" t="e">
        <f t="shared" si="10"/>
        <v>#NUM!</v>
      </c>
    </row>
    <row r="519" spans="3:15" x14ac:dyDescent="0.2">
      <c r="C519" s="537"/>
      <c r="D519" s="537"/>
      <c r="E519" s="536"/>
      <c r="G519" s="536"/>
      <c r="H519" s="536"/>
      <c r="J519" s="551">
        <f>_xll.qlCalendarAdvance(Calendar,J518,"1M","f",,Trigger)</f>
        <v>58011</v>
      </c>
      <c r="K519" s="542">
        <f>_xll.qlCalendarAdvance(Calendar,J519,"3M","mf",,Trigger)</f>
        <v>58103</v>
      </c>
      <c r="L519" s="544" t="e">
        <f>_xll.qlMakeDatedOIS(,J519,K519,"eonia",,,,,Trigger)</f>
        <v>#NUM!</v>
      </c>
      <c r="M519" s="543" t="e">
        <f>_xll.qlIndexFixing("euribor3m",_xll.qlInterestRateIndexFixingDate("Euribor3M",J519),TRUE)</f>
        <v>#NUM!</v>
      </c>
      <c r="N519" s="543" t="e">
        <f>_xll.qlOvernightIndexedSwapFairRate(L519,Trigger)</f>
        <v>#VALUE!</v>
      </c>
      <c r="O519" s="545" t="e">
        <f t="shared" si="10"/>
        <v>#NUM!</v>
      </c>
    </row>
    <row r="520" spans="3:15" x14ac:dyDescent="0.2">
      <c r="C520" s="537"/>
      <c r="D520" s="537"/>
      <c r="E520" s="536"/>
      <c r="G520" s="536"/>
      <c r="H520" s="536"/>
      <c r="J520" s="551">
        <f>_xll.qlCalendarAdvance(Calendar,J519,"1M","f",,Trigger)</f>
        <v>58042</v>
      </c>
      <c r="K520" s="542">
        <f>_xll.qlCalendarAdvance(Calendar,J520,"3M","mf",,Trigger)</f>
        <v>58134</v>
      </c>
      <c r="L520" s="544" t="e">
        <f>_xll.qlMakeDatedOIS(,J520,K520,"eonia",,,,,Trigger)</f>
        <v>#NUM!</v>
      </c>
      <c r="M520" s="543" t="e">
        <f>_xll.qlIndexFixing("euribor3m",_xll.qlInterestRateIndexFixingDate("Euribor3M",J520),TRUE)</f>
        <v>#NUM!</v>
      </c>
      <c r="N520" s="543" t="e">
        <f>_xll.qlOvernightIndexedSwapFairRate(L520,Trigger)</f>
        <v>#VALUE!</v>
      </c>
      <c r="O520" s="545" t="e">
        <f t="shared" si="10"/>
        <v>#NUM!</v>
      </c>
    </row>
    <row r="521" spans="3:15" x14ac:dyDescent="0.2">
      <c r="C521" s="537"/>
      <c r="D521" s="537"/>
      <c r="E521" s="536"/>
      <c r="G521" s="536"/>
      <c r="H521" s="536"/>
      <c r="J521" s="551">
        <f>_xll.qlCalendarAdvance(Calendar,J520,"1M","f",,Trigger)</f>
        <v>58074</v>
      </c>
      <c r="K521" s="542">
        <f>_xll.qlCalendarAdvance(Calendar,J521,"3M","mf",,Trigger)</f>
        <v>58161</v>
      </c>
      <c r="L521" s="544" t="e">
        <f>_xll.qlMakeDatedOIS(,J521,K521,"eonia",,,,,Trigger)</f>
        <v>#NUM!</v>
      </c>
      <c r="M521" s="543" t="e">
        <f>_xll.qlIndexFixing("euribor3m",_xll.qlInterestRateIndexFixingDate("Euribor3M",J521),TRUE)</f>
        <v>#NUM!</v>
      </c>
      <c r="N521" s="543" t="e">
        <f>_xll.qlOvernightIndexedSwapFairRate(L521,Trigger)</f>
        <v>#VALUE!</v>
      </c>
      <c r="O521" s="545" t="e">
        <f t="shared" si="10"/>
        <v>#NUM!</v>
      </c>
    </row>
    <row r="522" spans="3:15" x14ac:dyDescent="0.2">
      <c r="C522" s="537"/>
      <c r="D522" s="537"/>
      <c r="E522" s="536"/>
      <c r="G522" s="536"/>
      <c r="H522" s="536"/>
      <c r="J522" s="551">
        <f>_xll.qlCalendarAdvance(Calendar,J521,"1M","f",,Trigger)</f>
        <v>58105</v>
      </c>
      <c r="K522" s="542">
        <f>_xll.qlCalendarAdvance(Calendar,J522,"3M","mf",,Trigger)</f>
        <v>58195</v>
      </c>
      <c r="L522" s="544" t="e">
        <f>_xll.qlMakeDatedOIS(,J522,K522,"eonia",,,,,Trigger)</f>
        <v>#NUM!</v>
      </c>
      <c r="M522" s="543" t="e">
        <f>_xll.qlIndexFixing("euribor3m",_xll.qlInterestRateIndexFixingDate("Euribor3M",J522),TRUE)</f>
        <v>#NUM!</v>
      </c>
      <c r="N522" s="543" t="e">
        <f>_xll.qlOvernightIndexedSwapFairRate(L522,Trigger)</f>
        <v>#VALUE!</v>
      </c>
      <c r="O522" s="545" t="e">
        <f t="shared" si="10"/>
        <v>#NUM!</v>
      </c>
    </row>
    <row r="523" spans="3:15" x14ac:dyDescent="0.2">
      <c r="C523" s="537"/>
      <c r="D523" s="537"/>
      <c r="E523" s="536"/>
      <c r="G523" s="536"/>
      <c r="H523" s="536"/>
      <c r="J523" s="551">
        <f>_xll.qlCalendarAdvance(Calendar,J522,"1M","f",,Trigger)</f>
        <v>58134</v>
      </c>
      <c r="K523" s="542">
        <f>_xll.qlCalendarAdvance(Calendar,J523,"3M","mf",,Trigger)</f>
        <v>58223</v>
      </c>
      <c r="L523" s="544" t="e">
        <f>_xll.qlMakeDatedOIS(,J523,K523,"eonia",,,,,Trigger)</f>
        <v>#NUM!</v>
      </c>
      <c r="M523" s="543" t="e">
        <f>_xll.qlIndexFixing("euribor3m",_xll.qlInterestRateIndexFixingDate("Euribor3M",J523),TRUE)</f>
        <v>#NUM!</v>
      </c>
      <c r="N523" s="543" t="e">
        <f>_xll.qlOvernightIndexedSwapFairRate(L523,Trigger)</f>
        <v>#VALUE!</v>
      </c>
      <c r="O523" s="545" t="e">
        <f t="shared" si="10"/>
        <v>#NUM!</v>
      </c>
    </row>
    <row r="524" spans="3:15" x14ac:dyDescent="0.2">
      <c r="C524" s="537"/>
      <c r="D524" s="537"/>
      <c r="E524" s="536"/>
      <c r="G524" s="536"/>
      <c r="H524" s="536"/>
      <c r="J524" s="551">
        <f>_xll.qlCalendarAdvance(Calendar,J523,"1M","f",,Trigger)</f>
        <v>58166</v>
      </c>
      <c r="K524" s="542">
        <f>_xll.qlCalendarAdvance(Calendar,J524,"3M","mf",,Trigger)</f>
        <v>58257</v>
      </c>
      <c r="L524" s="544" t="e">
        <f>_xll.qlMakeDatedOIS(,J524,K524,"eonia",,,,,Trigger)</f>
        <v>#NUM!</v>
      </c>
      <c r="M524" s="543" t="e">
        <f>_xll.qlIndexFixing("euribor3m",_xll.qlInterestRateIndexFixingDate("Euribor3M",J524),TRUE)</f>
        <v>#NUM!</v>
      </c>
      <c r="N524" s="543" t="e">
        <f>_xll.qlOvernightIndexedSwapFairRate(L524,Trigger)</f>
        <v>#VALUE!</v>
      </c>
      <c r="O524" s="545" t="e">
        <f t="shared" si="10"/>
        <v>#NUM!</v>
      </c>
    </row>
    <row r="525" spans="3:15" x14ac:dyDescent="0.2">
      <c r="C525" s="537"/>
      <c r="D525" s="537"/>
      <c r="E525" s="536"/>
      <c r="G525" s="536"/>
      <c r="H525" s="536"/>
      <c r="J525" s="551">
        <f>_xll.qlCalendarAdvance(Calendar,J524,"1M","f",,Trigger)</f>
        <v>58197</v>
      </c>
      <c r="K525" s="542">
        <f>_xll.qlCalendarAdvance(Calendar,J525,"3M","mf",,Trigger)</f>
        <v>58291</v>
      </c>
      <c r="L525" s="544" t="e">
        <f>_xll.qlMakeDatedOIS(,J525,K525,"eonia",,,,,Trigger)</f>
        <v>#NUM!</v>
      </c>
      <c r="M525" s="543" t="e">
        <f>_xll.qlIndexFixing("euribor3m",_xll.qlInterestRateIndexFixingDate("Euribor3M",J525),TRUE)</f>
        <v>#NUM!</v>
      </c>
      <c r="N525" s="543" t="e">
        <f>_xll.qlOvernightIndexedSwapFairRate(L525,Trigger)</f>
        <v>#VALUE!</v>
      </c>
      <c r="O525" s="545" t="e">
        <f t="shared" si="10"/>
        <v>#NUM!</v>
      </c>
    </row>
    <row r="526" spans="3:15" x14ac:dyDescent="0.2">
      <c r="C526" s="537"/>
      <c r="D526" s="537"/>
      <c r="E526" s="536"/>
      <c r="G526" s="536"/>
      <c r="H526" s="536"/>
      <c r="J526" s="551">
        <f>_xll.qlCalendarAdvance(Calendar,J525,"1M","f",,Trigger)</f>
        <v>58228</v>
      </c>
      <c r="K526" s="542">
        <f>_xll.qlCalendarAdvance(Calendar,J526,"3M","mf",,Trigger)</f>
        <v>58320</v>
      </c>
      <c r="L526" s="544" t="e">
        <f>_xll.qlMakeDatedOIS(,J526,K526,"eonia",,,,,Trigger)</f>
        <v>#NUM!</v>
      </c>
      <c r="M526" s="543" t="e">
        <f>_xll.qlIndexFixing("euribor3m",_xll.qlInterestRateIndexFixingDate("Euribor3M",J526),TRUE)</f>
        <v>#NUM!</v>
      </c>
      <c r="N526" s="543" t="e">
        <f>_xll.qlOvernightIndexedSwapFairRate(L526,Trigger)</f>
        <v>#VALUE!</v>
      </c>
      <c r="O526" s="545" t="e">
        <f t="shared" si="10"/>
        <v>#NUM!</v>
      </c>
    </row>
    <row r="527" spans="3:15" x14ac:dyDescent="0.2">
      <c r="C527" s="537"/>
      <c r="D527" s="537"/>
      <c r="E527" s="536"/>
      <c r="G527" s="536"/>
      <c r="H527" s="536"/>
      <c r="J527" s="551">
        <f>_xll.qlCalendarAdvance(Calendar,J526,"1M","f",,Trigger)</f>
        <v>58258</v>
      </c>
      <c r="K527" s="542">
        <f>_xll.qlCalendarAdvance(Calendar,J527,"3M","mf",,Trigger)</f>
        <v>58350</v>
      </c>
      <c r="L527" s="544" t="e">
        <f>_xll.qlMakeDatedOIS(,J527,K527,"eonia",,,,,Trigger)</f>
        <v>#NUM!</v>
      </c>
      <c r="M527" s="543" t="e">
        <f>_xll.qlIndexFixing("euribor3m",_xll.qlInterestRateIndexFixingDate("Euribor3M",J527),TRUE)</f>
        <v>#NUM!</v>
      </c>
      <c r="N527" s="543" t="e">
        <f>_xll.qlOvernightIndexedSwapFairRate(L527,Trigger)</f>
        <v>#VALUE!</v>
      </c>
      <c r="O527" s="545" t="e">
        <f t="shared" si="10"/>
        <v>#NUM!</v>
      </c>
    </row>
    <row r="528" spans="3:15" x14ac:dyDescent="0.2">
      <c r="C528" s="537"/>
      <c r="D528" s="537"/>
      <c r="E528" s="536"/>
      <c r="G528" s="536"/>
      <c r="H528" s="536"/>
      <c r="J528" s="551">
        <f>_xll.qlCalendarAdvance(Calendar,J527,"1M","f",,Trigger)</f>
        <v>58291</v>
      </c>
      <c r="K528" s="542">
        <f>_xll.qlCalendarAdvance(Calendar,J528,"3M","mf",,Trigger)</f>
        <v>58383</v>
      </c>
      <c r="L528" s="544" t="e">
        <f>_xll.qlMakeDatedOIS(,J528,K528,"eonia",,,,,Trigger)</f>
        <v>#NUM!</v>
      </c>
      <c r="M528" s="543" t="e">
        <f>_xll.qlIndexFixing("euribor3m",_xll.qlInterestRateIndexFixingDate("Euribor3M",J528),TRUE)</f>
        <v>#NUM!</v>
      </c>
      <c r="N528" s="543" t="e">
        <f>_xll.qlOvernightIndexedSwapFairRate(L528,Trigger)</f>
        <v>#VALUE!</v>
      </c>
      <c r="O528" s="545" t="e">
        <f t="shared" si="10"/>
        <v>#NUM!</v>
      </c>
    </row>
    <row r="529" spans="3:15" x14ac:dyDescent="0.2">
      <c r="C529" s="537"/>
      <c r="D529" s="537"/>
      <c r="E529" s="536"/>
      <c r="G529" s="536"/>
      <c r="H529" s="536"/>
      <c r="J529" s="551">
        <f>_xll.qlCalendarAdvance(Calendar,J528,"1M","f",,Trigger)</f>
        <v>58322</v>
      </c>
      <c r="K529" s="542">
        <f>_xll.qlCalendarAdvance(Calendar,J529,"3M","mf",,Trigger)</f>
        <v>58413</v>
      </c>
      <c r="L529" s="544" t="e">
        <f>_xll.qlMakeDatedOIS(,J529,K529,"eonia",,,,,Trigger)</f>
        <v>#NUM!</v>
      </c>
      <c r="M529" s="543" t="e">
        <f>_xll.qlIndexFixing("euribor3m",_xll.qlInterestRateIndexFixingDate("Euribor3M",J529),TRUE)</f>
        <v>#NUM!</v>
      </c>
      <c r="N529" s="543" t="e">
        <f>_xll.qlOvernightIndexedSwapFairRate(L529,Trigger)</f>
        <v>#VALUE!</v>
      </c>
      <c r="O529" s="545" t="e">
        <f t="shared" si="10"/>
        <v>#NUM!</v>
      </c>
    </row>
    <row r="530" spans="3:15" x14ac:dyDescent="0.2">
      <c r="C530" s="537"/>
      <c r="D530" s="537"/>
      <c r="E530" s="536"/>
      <c r="G530" s="536"/>
      <c r="H530" s="536"/>
      <c r="J530" s="551">
        <f>_xll.qlCalendarAdvance(Calendar,J529,"1M","f",,Trigger)</f>
        <v>58354</v>
      </c>
      <c r="K530" s="542">
        <f>_xll.qlCalendarAdvance(Calendar,J530,"3M","mf",,Trigger)</f>
        <v>58446</v>
      </c>
      <c r="L530" s="544" t="e">
        <f>_xll.qlMakeDatedOIS(,J530,K530,"eonia",,,,,Trigger)</f>
        <v>#NUM!</v>
      </c>
      <c r="M530" s="543" t="e">
        <f>_xll.qlIndexFixing("euribor3m",_xll.qlInterestRateIndexFixingDate("Euribor3M",J530),TRUE)</f>
        <v>#NUM!</v>
      </c>
      <c r="N530" s="543" t="e">
        <f>_xll.qlOvernightIndexedSwapFairRate(L530,Trigger)</f>
        <v>#VALUE!</v>
      </c>
      <c r="O530" s="545" t="e">
        <f t="shared" si="10"/>
        <v>#NUM!</v>
      </c>
    </row>
    <row r="531" spans="3:15" x14ac:dyDescent="0.2">
      <c r="C531" s="537"/>
      <c r="D531" s="537"/>
      <c r="E531" s="536"/>
      <c r="G531" s="536"/>
      <c r="H531" s="536"/>
      <c r="J531" s="551">
        <f>_xll.qlCalendarAdvance(Calendar,J530,"1M","f",,Trigger)</f>
        <v>58385</v>
      </c>
      <c r="K531" s="542">
        <f>_xll.qlCalendarAdvance(Calendar,J531,"3M","mf",,Trigger)</f>
        <v>58477</v>
      </c>
      <c r="L531" s="544" t="e">
        <f>_xll.qlMakeDatedOIS(,J531,K531,"eonia",,,,,Trigger)</f>
        <v>#NUM!</v>
      </c>
      <c r="M531" s="543" t="e">
        <f>_xll.qlIndexFixing("euribor3m",_xll.qlInterestRateIndexFixingDate("Euribor3M",J531),TRUE)</f>
        <v>#NUM!</v>
      </c>
      <c r="N531" s="543" t="e">
        <f>_xll.qlOvernightIndexedSwapFairRate(L531,Trigger)</f>
        <v>#VALUE!</v>
      </c>
      <c r="O531" s="545" t="e">
        <f t="shared" si="10"/>
        <v>#NUM!</v>
      </c>
    </row>
    <row r="532" spans="3:15" x14ac:dyDescent="0.2">
      <c r="C532" s="537"/>
      <c r="D532" s="537"/>
      <c r="E532" s="536"/>
      <c r="G532" s="536"/>
      <c r="H532" s="536"/>
      <c r="J532" s="551">
        <f>_xll.qlCalendarAdvance(Calendar,J531,"1M","f",,Trigger)</f>
        <v>58417</v>
      </c>
      <c r="K532" s="542">
        <f>_xll.qlCalendarAdvance(Calendar,J532,"3M","mf",,Trigger)</f>
        <v>58508</v>
      </c>
      <c r="L532" s="544" t="e">
        <f>_xll.qlMakeDatedOIS(,J532,K532,"eonia",,,,,Trigger)</f>
        <v>#NUM!</v>
      </c>
      <c r="M532" s="543" t="e">
        <f>_xll.qlIndexFixing("euribor3m",_xll.qlInterestRateIndexFixingDate("Euribor3M",J532),TRUE)</f>
        <v>#NUM!</v>
      </c>
      <c r="N532" s="543" t="e">
        <f>_xll.qlOvernightIndexedSwapFairRate(L532,Trigger)</f>
        <v>#VALUE!</v>
      </c>
      <c r="O532" s="545" t="e">
        <f t="shared" si="10"/>
        <v>#NUM!</v>
      </c>
    </row>
    <row r="533" spans="3:15" x14ac:dyDescent="0.2">
      <c r="C533" s="537"/>
      <c r="D533" s="537"/>
      <c r="E533" s="536"/>
      <c r="G533" s="536"/>
      <c r="H533" s="536"/>
      <c r="J533" s="551">
        <f>_xll.qlCalendarAdvance(Calendar,J532,"1M","f",,Trigger)</f>
        <v>58448</v>
      </c>
      <c r="K533" s="542">
        <f>_xll.qlCalendarAdvance(Calendar,J533,"3M","mf",,Trigger)</f>
        <v>58539</v>
      </c>
      <c r="L533" s="544" t="e">
        <f>_xll.qlMakeDatedOIS(,J533,K533,"eonia",,,,,Trigger)</f>
        <v>#NUM!</v>
      </c>
      <c r="M533" s="543" t="e">
        <f>_xll.qlIndexFixing("euribor3m",_xll.qlInterestRateIndexFixingDate("Euribor3M",J533),TRUE)</f>
        <v>#NUM!</v>
      </c>
      <c r="N533" s="543" t="e">
        <f>_xll.qlOvernightIndexedSwapFairRate(L533,Trigger)</f>
        <v>#VALUE!</v>
      </c>
      <c r="O533" s="545" t="e">
        <f t="shared" si="10"/>
        <v>#NUM!</v>
      </c>
    </row>
    <row r="534" spans="3:15" x14ac:dyDescent="0.2">
      <c r="C534" s="537"/>
      <c r="D534" s="537"/>
      <c r="E534" s="536"/>
      <c r="G534" s="536"/>
      <c r="H534" s="536"/>
      <c r="J534" s="551">
        <f>_xll.qlCalendarAdvance(Calendar,J533,"1M","f",,Trigger)</f>
        <v>58480</v>
      </c>
      <c r="K534" s="542">
        <f>_xll.qlCalendarAdvance(Calendar,J534,"3M","mf",,Trigger)</f>
        <v>58571</v>
      </c>
      <c r="L534" s="544" t="e">
        <f>_xll.qlMakeDatedOIS(,J534,K534,"eonia",,,,,Trigger)</f>
        <v>#NUM!</v>
      </c>
      <c r="M534" s="543" t="e">
        <f>_xll.qlIndexFixing("euribor3m",_xll.qlInterestRateIndexFixingDate("Euribor3M",J534),TRUE)</f>
        <v>#NUM!</v>
      </c>
      <c r="N534" s="543" t="e">
        <f>_xll.qlOvernightIndexedSwapFairRate(L534,Trigger)</f>
        <v>#VALUE!</v>
      </c>
      <c r="O534" s="545" t="e">
        <f t="shared" si="10"/>
        <v>#NUM!</v>
      </c>
    </row>
    <row r="535" spans="3:15" x14ac:dyDescent="0.2">
      <c r="C535" s="537"/>
      <c r="D535" s="537"/>
      <c r="E535" s="536"/>
      <c r="G535" s="536"/>
      <c r="H535" s="536"/>
      <c r="J535" s="551">
        <f>_xll.qlCalendarAdvance(Calendar,J534,"1M","f",,Trigger)</f>
        <v>58509</v>
      </c>
      <c r="K535" s="542">
        <f>_xll.qlCalendarAdvance(Calendar,J535,"3M","mf",,Trigger)</f>
        <v>58601</v>
      </c>
      <c r="L535" s="544" t="e">
        <f>_xll.qlMakeDatedOIS(,J535,K535,"eonia",,,,,Trigger)</f>
        <v>#NUM!</v>
      </c>
      <c r="M535" s="543" t="e">
        <f>_xll.qlIndexFixing("euribor3m",_xll.qlInterestRateIndexFixingDate("Euribor3M",J535),TRUE)</f>
        <v>#NUM!</v>
      </c>
      <c r="N535" s="543" t="e">
        <f>_xll.qlOvernightIndexedSwapFairRate(L535,Trigger)</f>
        <v>#VALUE!</v>
      </c>
      <c r="O535" s="545" t="e">
        <f t="shared" si="10"/>
        <v>#NUM!</v>
      </c>
    </row>
    <row r="536" spans="3:15" x14ac:dyDescent="0.2">
      <c r="C536" s="537"/>
      <c r="D536" s="537"/>
      <c r="E536" s="536"/>
      <c r="G536" s="536"/>
      <c r="H536" s="536"/>
      <c r="J536" s="551">
        <f>_xll.qlCalendarAdvance(Calendar,J535,"1M","f",,Trigger)</f>
        <v>58540</v>
      </c>
      <c r="K536" s="542">
        <f>_xll.qlCalendarAdvance(Calendar,J536,"3M","mf",,Trigger)</f>
        <v>58631</v>
      </c>
      <c r="L536" s="544" t="e">
        <f>_xll.qlMakeDatedOIS(,J536,K536,"eonia",,,,,Trigger)</f>
        <v>#NUM!</v>
      </c>
      <c r="M536" s="543" t="e">
        <f>_xll.qlIndexFixing("euribor3m",_xll.qlInterestRateIndexFixingDate("Euribor3M",J536),TRUE)</f>
        <v>#NUM!</v>
      </c>
      <c r="N536" s="543" t="e">
        <f>_xll.qlOvernightIndexedSwapFairRate(L536,Trigger)</f>
        <v>#VALUE!</v>
      </c>
      <c r="O536" s="545" t="e">
        <f t="shared" si="10"/>
        <v>#NUM!</v>
      </c>
    </row>
    <row r="537" spans="3:15" x14ac:dyDescent="0.2">
      <c r="C537" s="537"/>
      <c r="D537" s="537"/>
      <c r="E537" s="536"/>
      <c r="G537" s="536"/>
      <c r="H537" s="536"/>
      <c r="J537" s="551">
        <f>_xll.qlCalendarAdvance(Calendar,J536,"1M","f",,Trigger)</f>
        <v>58571</v>
      </c>
      <c r="K537" s="542">
        <f>_xll.qlCalendarAdvance(Calendar,J537,"3M","mf",,Trigger)</f>
        <v>58663</v>
      </c>
      <c r="L537" s="544" t="e">
        <f>_xll.qlMakeDatedOIS(,J537,K537,"eonia",,,,,Trigger)</f>
        <v>#NUM!</v>
      </c>
      <c r="M537" s="543" t="e">
        <f>_xll.qlIndexFixing("euribor3m",_xll.qlInterestRateIndexFixingDate("Euribor3M",J537),TRUE)</f>
        <v>#NUM!</v>
      </c>
      <c r="N537" s="543" t="e">
        <f>_xll.qlOvernightIndexedSwapFairRate(L537,Trigger)</f>
        <v>#VALUE!</v>
      </c>
      <c r="O537" s="545" t="e">
        <f t="shared" si="10"/>
        <v>#NUM!</v>
      </c>
    </row>
    <row r="538" spans="3:15" x14ac:dyDescent="0.2">
      <c r="C538" s="537"/>
      <c r="D538" s="537"/>
      <c r="E538" s="536"/>
      <c r="G538" s="536"/>
      <c r="H538" s="536"/>
      <c r="J538" s="551">
        <f>_xll.qlCalendarAdvance(Calendar,J537,"1M","f",,Trigger)</f>
        <v>58602</v>
      </c>
      <c r="K538" s="542">
        <f>_xll.qlCalendarAdvance(Calendar,J538,"3M","mf",,Trigger)</f>
        <v>58694</v>
      </c>
      <c r="L538" s="544" t="e">
        <f>_xll.qlMakeDatedOIS(,J538,K538,"eonia",,,,,Trigger)</f>
        <v>#NUM!</v>
      </c>
      <c r="M538" s="543" t="e">
        <f>_xll.qlIndexFixing("euribor3m",_xll.qlInterestRateIndexFixingDate("Euribor3M",J538),TRUE)</f>
        <v>#NUM!</v>
      </c>
      <c r="N538" s="543" t="e">
        <f>_xll.qlOvernightIndexedSwapFairRate(L538,Trigger)</f>
        <v>#VALUE!</v>
      </c>
      <c r="O538" s="545" t="e">
        <f t="shared" si="10"/>
        <v>#NUM!</v>
      </c>
    </row>
    <row r="539" spans="3:15" x14ac:dyDescent="0.2">
      <c r="C539" s="537"/>
      <c r="D539" s="537"/>
      <c r="E539" s="536"/>
      <c r="G539" s="536"/>
      <c r="H539" s="536"/>
      <c r="J539" s="551">
        <f>_xll.qlCalendarAdvance(Calendar,J538,"1M","f",,Trigger)</f>
        <v>58634</v>
      </c>
      <c r="K539" s="542">
        <f>_xll.qlCalendarAdvance(Calendar,J539,"3M","mf",,Trigger)</f>
        <v>58726</v>
      </c>
      <c r="L539" s="544" t="e">
        <f>_xll.qlMakeDatedOIS(,J539,K539,"eonia",,,,,Trigger)</f>
        <v>#NUM!</v>
      </c>
      <c r="M539" s="543" t="e">
        <f>_xll.qlIndexFixing("euribor3m",_xll.qlInterestRateIndexFixingDate("Euribor3M",J539),TRUE)</f>
        <v>#NUM!</v>
      </c>
      <c r="N539" s="543" t="e">
        <f>_xll.qlOvernightIndexedSwapFairRate(L539,Trigger)</f>
        <v>#VALUE!</v>
      </c>
      <c r="O539" s="545" t="e">
        <f t="shared" si="10"/>
        <v>#NUM!</v>
      </c>
    </row>
    <row r="540" spans="3:15" x14ac:dyDescent="0.2">
      <c r="C540" s="537"/>
      <c r="D540" s="537"/>
      <c r="E540" s="536"/>
      <c r="G540" s="536"/>
      <c r="H540" s="536"/>
      <c r="J540" s="551">
        <f>_xll.qlCalendarAdvance(Calendar,J539,"1M","f",,Trigger)</f>
        <v>58665</v>
      </c>
      <c r="K540" s="542">
        <f>_xll.qlCalendarAdvance(Calendar,J540,"3M","mf",,Trigger)</f>
        <v>58757</v>
      </c>
      <c r="L540" s="544" t="e">
        <f>_xll.qlMakeDatedOIS(,J540,K540,"eonia",,,,,Trigger)</f>
        <v>#NUM!</v>
      </c>
      <c r="M540" s="543" t="e">
        <f>_xll.qlIndexFixing("euribor3m",_xll.qlInterestRateIndexFixingDate("Euribor3M",J540),TRUE)</f>
        <v>#NUM!</v>
      </c>
      <c r="N540" s="543" t="e">
        <f>_xll.qlOvernightIndexedSwapFairRate(L540,Trigger)</f>
        <v>#VALUE!</v>
      </c>
      <c r="O540" s="545" t="e">
        <f t="shared" si="10"/>
        <v>#NUM!</v>
      </c>
    </row>
    <row r="541" spans="3:15" x14ac:dyDescent="0.2">
      <c r="C541" s="537"/>
      <c r="D541" s="537"/>
      <c r="E541" s="536"/>
      <c r="G541" s="536"/>
      <c r="H541" s="536"/>
      <c r="J541" s="551">
        <f>_xll.qlCalendarAdvance(Calendar,J540,"1M","f",,Trigger)</f>
        <v>58697</v>
      </c>
      <c r="K541" s="542">
        <f>_xll.qlCalendarAdvance(Calendar,J541,"3M","mf",,Trigger)</f>
        <v>58788</v>
      </c>
      <c r="L541" s="544" t="e">
        <f>_xll.qlMakeDatedOIS(,J541,K541,"eonia",,,,,Trigger)</f>
        <v>#NUM!</v>
      </c>
      <c r="M541" s="543" t="e">
        <f>_xll.qlIndexFixing("euribor3m",_xll.qlInterestRateIndexFixingDate("Euribor3M",J541),TRUE)</f>
        <v>#NUM!</v>
      </c>
      <c r="N541" s="543" t="e">
        <f>_xll.qlOvernightIndexedSwapFairRate(L541,Trigger)</f>
        <v>#VALUE!</v>
      </c>
      <c r="O541" s="545" t="e">
        <f t="shared" si="10"/>
        <v>#NUM!</v>
      </c>
    </row>
    <row r="542" spans="3:15" x14ac:dyDescent="0.2">
      <c r="C542" s="537"/>
      <c r="D542" s="537"/>
      <c r="E542" s="536"/>
      <c r="G542" s="536"/>
      <c r="H542" s="536"/>
      <c r="J542" s="551">
        <f>_xll.qlCalendarAdvance(Calendar,J541,"1M","f",,Trigger)</f>
        <v>58727</v>
      </c>
      <c r="K542" s="542">
        <f>_xll.qlCalendarAdvance(Calendar,J542,"3M","mf",,Trigger)</f>
        <v>58819</v>
      </c>
      <c r="L542" s="544" t="e">
        <f>_xll.qlMakeDatedOIS(,J542,K542,"eonia",,,,,Trigger)</f>
        <v>#NUM!</v>
      </c>
      <c r="M542" s="543" t="e">
        <f>_xll.qlIndexFixing("euribor3m",_xll.qlInterestRateIndexFixingDate("Euribor3M",J542),TRUE)</f>
        <v>#NUM!</v>
      </c>
      <c r="N542" s="543" t="e">
        <f>_xll.qlOvernightIndexedSwapFairRate(L542,Trigger)</f>
        <v>#VALUE!</v>
      </c>
      <c r="O542" s="545" t="e">
        <f t="shared" si="10"/>
        <v>#NUM!</v>
      </c>
    </row>
    <row r="543" spans="3:15" x14ac:dyDescent="0.2">
      <c r="C543" s="537"/>
      <c r="D543" s="537"/>
      <c r="E543" s="536"/>
      <c r="G543" s="536"/>
      <c r="H543" s="536"/>
      <c r="J543" s="551">
        <f>_xll.qlCalendarAdvance(Calendar,J542,"1M","f",,Trigger)</f>
        <v>58760</v>
      </c>
      <c r="K543" s="542">
        <f>_xll.qlCalendarAdvance(Calendar,J543,"3M","mf",,Trigger)</f>
        <v>58852</v>
      </c>
      <c r="L543" s="544" t="e">
        <f>_xll.qlMakeDatedOIS(,J543,K543,"eonia",,,,,Trigger)</f>
        <v>#NUM!</v>
      </c>
      <c r="M543" s="543" t="e">
        <f>_xll.qlIndexFixing("euribor3m",_xll.qlInterestRateIndexFixingDate("Euribor3M",J543),TRUE)</f>
        <v>#NUM!</v>
      </c>
      <c r="N543" s="543" t="e">
        <f>_xll.qlOvernightIndexedSwapFairRate(L543,Trigger)</f>
        <v>#VALUE!</v>
      </c>
      <c r="O543" s="545" t="e">
        <f t="shared" si="10"/>
        <v>#NUM!</v>
      </c>
    </row>
    <row r="544" spans="3:15" x14ac:dyDescent="0.2">
      <c r="C544" s="537"/>
      <c r="D544" s="537"/>
      <c r="E544" s="536"/>
      <c r="G544" s="536"/>
      <c r="H544" s="536"/>
      <c r="J544" s="551">
        <f>_xll.qlCalendarAdvance(Calendar,J543,"1M","f",,Trigger)</f>
        <v>58790</v>
      </c>
      <c r="K544" s="542">
        <f>_xll.qlCalendarAdvance(Calendar,J544,"3M","mf",,Trigger)</f>
        <v>58880</v>
      </c>
      <c r="L544" s="544" t="e">
        <f>_xll.qlMakeDatedOIS(,J544,K544,"eonia",,,,,Trigger)</f>
        <v>#NUM!</v>
      </c>
      <c r="M544" s="543" t="e">
        <f>_xll.qlIndexFixing("euribor3m",_xll.qlInterestRateIndexFixingDate("Euribor3M",J544),TRUE)</f>
        <v>#NUM!</v>
      </c>
      <c r="N544" s="543" t="e">
        <f>_xll.qlOvernightIndexedSwapFairRate(L544,Trigger)</f>
        <v>#VALUE!</v>
      </c>
      <c r="O544" s="545" t="e">
        <f t="shared" si="10"/>
        <v>#NUM!</v>
      </c>
    </row>
    <row r="545" spans="3:15" x14ac:dyDescent="0.2">
      <c r="C545" s="537"/>
      <c r="D545" s="537"/>
      <c r="E545" s="536"/>
      <c r="G545" s="536"/>
      <c r="H545" s="536"/>
      <c r="J545" s="551">
        <f>_xll.qlCalendarAdvance(Calendar,J544,"1M","f",,Trigger)</f>
        <v>58823</v>
      </c>
      <c r="K545" s="542">
        <f>_xll.qlCalendarAdvance(Calendar,J545,"3M","mf",,Trigger)</f>
        <v>58914</v>
      </c>
      <c r="L545" s="544" t="e">
        <f>_xll.qlMakeDatedOIS(,J545,K545,"eonia",,,,,Trigger)</f>
        <v>#NUM!</v>
      </c>
      <c r="M545" s="543" t="e">
        <f>_xll.qlIndexFixing("euribor3m",_xll.qlInterestRateIndexFixingDate("Euribor3M",J545),TRUE)</f>
        <v>#NUM!</v>
      </c>
      <c r="N545" s="543" t="e">
        <f>_xll.qlOvernightIndexedSwapFairRate(L545,Trigger)</f>
        <v>#VALUE!</v>
      </c>
      <c r="O545" s="545" t="e">
        <f t="shared" si="10"/>
        <v>#NUM!</v>
      </c>
    </row>
    <row r="546" spans="3:15" x14ac:dyDescent="0.2">
      <c r="C546" s="537"/>
      <c r="D546" s="537"/>
      <c r="E546" s="536"/>
      <c r="G546" s="536"/>
      <c r="H546" s="536"/>
      <c r="J546" s="551">
        <f>_xll.qlCalendarAdvance(Calendar,J545,"1M","f",,Trigger)</f>
        <v>58854</v>
      </c>
      <c r="K546" s="542">
        <f>_xll.qlCalendarAdvance(Calendar,J546,"3M","mf",,Trigger)</f>
        <v>58943</v>
      </c>
      <c r="L546" s="544" t="e">
        <f>_xll.qlMakeDatedOIS(,J546,K546,"eonia",,,,,Trigger)</f>
        <v>#NUM!</v>
      </c>
      <c r="M546" s="543" t="e">
        <f>_xll.qlIndexFixing("euribor3m",_xll.qlInterestRateIndexFixingDate("Euribor3M",J546),TRUE)</f>
        <v>#NUM!</v>
      </c>
      <c r="N546" s="543" t="e">
        <f>_xll.qlOvernightIndexedSwapFairRate(L546,Trigger)</f>
        <v>#VALUE!</v>
      </c>
      <c r="O546" s="545" t="e">
        <f t="shared" si="10"/>
        <v>#NUM!</v>
      </c>
    </row>
    <row r="547" spans="3:15" x14ac:dyDescent="0.2">
      <c r="C547" s="537"/>
      <c r="D547" s="537"/>
      <c r="E547" s="536"/>
      <c r="G547" s="536"/>
      <c r="H547" s="536"/>
      <c r="J547" s="551">
        <f>_xll.qlCalendarAdvance(Calendar,J546,"1M","f",,Trigger)</f>
        <v>58882</v>
      </c>
      <c r="K547" s="542">
        <f>_xll.qlCalendarAdvance(Calendar,J547,"3M","mf",,Trigger)</f>
        <v>58974</v>
      </c>
      <c r="L547" s="544" t="e">
        <f>_xll.qlMakeDatedOIS(,J547,K547,"eonia",,,,,Trigger)</f>
        <v>#NUM!</v>
      </c>
      <c r="M547" s="543" t="e">
        <f>_xll.qlIndexFixing("euribor3m",_xll.qlInterestRateIndexFixingDate("Euribor3M",J547),TRUE)</f>
        <v>#NUM!</v>
      </c>
      <c r="N547" s="543" t="e">
        <f>_xll.qlOvernightIndexedSwapFairRate(L547,Trigger)</f>
        <v>#VALUE!</v>
      </c>
      <c r="O547" s="545" t="e">
        <f t="shared" si="10"/>
        <v>#NUM!</v>
      </c>
    </row>
    <row r="548" spans="3:15" x14ac:dyDescent="0.2">
      <c r="C548" s="537"/>
      <c r="D548" s="537"/>
      <c r="E548" s="536"/>
      <c r="G548" s="536"/>
      <c r="H548" s="536"/>
      <c r="J548" s="551">
        <f>_xll.qlCalendarAdvance(Calendar,J547,"1M","f",,Trigger)</f>
        <v>58914</v>
      </c>
      <c r="K548" s="542">
        <f>_xll.qlCalendarAdvance(Calendar,J548,"3M","mf",,Trigger)</f>
        <v>59005</v>
      </c>
      <c r="L548" s="544" t="e">
        <f>_xll.qlMakeDatedOIS(,J548,K548,"eonia",,,,,Trigger)</f>
        <v>#NUM!</v>
      </c>
      <c r="M548" s="543" t="e">
        <f>_xll.qlIndexFixing("euribor3m",_xll.qlInterestRateIndexFixingDate("Euribor3M",J548),TRUE)</f>
        <v>#NUM!</v>
      </c>
      <c r="N548" s="543" t="e">
        <f>_xll.qlOvernightIndexedSwapFairRate(L548,Trigger)</f>
        <v>#VALUE!</v>
      </c>
      <c r="O548" s="545" t="e">
        <f t="shared" si="10"/>
        <v>#NUM!</v>
      </c>
    </row>
    <row r="549" spans="3:15" x14ac:dyDescent="0.2">
      <c r="C549" s="537"/>
      <c r="D549" s="537"/>
      <c r="E549" s="536"/>
      <c r="G549" s="536"/>
      <c r="H549" s="536"/>
      <c r="J549" s="551">
        <f>_xll.qlCalendarAdvance(Calendar,J548,"1M","f",,Trigger)</f>
        <v>58944</v>
      </c>
      <c r="K549" s="542">
        <f>_xll.qlCalendarAdvance(Calendar,J549,"3M","mf",,Trigger)</f>
        <v>59036</v>
      </c>
      <c r="L549" s="544" t="e">
        <f>_xll.qlMakeDatedOIS(,J549,K549,"eonia",,,,,Trigger)</f>
        <v>#NUM!</v>
      </c>
      <c r="M549" s="543" t="e">
        <f>_xll.qlIndexFixing("euribor3m",_xll.qlInterestRateIndexFixingDate("Euribor3M",J549),TRUE)</f>
        <v>#NUM!</v>
      </c>
      <c r="N549" s="543" t="e">
        <f>_xll.qlOvernightIndexedSwapFairRate(L549,Trigger)</f>
        <v>#VALUE!</v>
      </c>
      <c r="O549" s="545" t="e">
        <f t="shared" si="10"/>
        <v>#NUM!</v>
      </c>
    </row>
    <row r="550" spans="3:15" x14ac:dyDescent="0.2">
      <c r="C550" s="537"/>
      <c r="D550" s="537"/>
      <c r="E550" s="536"/>
      <c r="G550" s="536"/>
      <c r="H550" s="536"/>
      <c r="J550" s="551">
        <f>_xll.qlCalendarAdvance(Calendar,J549,"1M","f",,Trigger)</f>
        <v>58977</v>
      </c>
      <c r="K550" s="542">
        <f>_xll.qlCalendarAdvance(Calendar,J550,"3M","mf",,Trigger)</f>
        <v>59069</v>
      </c>
      <c r="L550" s="544" t="e">
        <f>_xll.qlMakeDatedOIS(,J550,K550,"eonia",,,,,Trigger)</f>
        <v>#NUM!</v>
      </c>
      <c r="M550" s="543" t="e">
        <f>_xll.qlIndexFixing("euribor3m",_xll.qlInterestRateIndexFixingDate("Euribor3M",J550),TRUE)</f>
        <v>#NUM!</v>
      </c>
      <c r="N550" s="543" t="e">
        <f>_xll.qlOvernightIndexedSwapFairRate(L550,Trigger)</f>
        <v>#VALUE!</v>
      </c>
      <c r="O550" s="545" t="e">
        <f t="shared" si="10"/>
        <v>#NUM!</v>
      </c>
    </row>
    <row r="551" spans="3:15" x14ac:dyDescent="0.2">
      <c r="C551" s="537"/>
      <c r="D551" s="537"/>
      <c r="E551" s="536"/>
      <c r="G551" s="536"/>
      <c r="H551" s="536"/>
      <c r="J551" s="551">
        <f>_xll.qlCalendarAdvance(Calendar,J550,"1M","f",,Trigger)</f>
        <v>59007</v>
      </c>
      <c r="K551" s="542">
        <f>_xll.qlCalendarAdvance(Calendar,J551,"3M","mf",,Trigger)</f>
        <v>59099</v>
      </c>
      <c r="L551" s="544" t="e">
        <f>_xll.qlMakeDatedOIS(,J551,K551,"eonia",,,,,Trigger)</f>
        <v>#NUM!</v>
      </c>
      <c r="M551" s="543" t="e">
        <f>_xll.qlIndexFixing("euribor3m",_xll.qlInterestRateIndexFixingDate("Euribor3M",J551),TRUE)</f>
        <v>#NUM!</v>
      </c>
      <c r="N551" s="543" t="e">
        <f>_xll.qlOvernightIndexedSwapFairRate(L551,Trigger)</f>
        <v>#VALUE!</v>
      </c>
      <c r="O551" s="545" t="e">
        <f t="shared" si="10"/>
        <v>#NUM!</v>
      </c>
    </row>
    <row r="552" spans="3:15" x14ac:dyDescent="0.2">
      <c r="C552" s="537"/>
      <c r="D552" s="537"/>
      <c r="E552" s="536"/>
      <c r="G552" s="536"/>
      <c r="H552" s="536"/>
      <c r="J552" s="551">
        <f>_xll.qlCalendarAdvance(Calendar,J551,"1M","f",,Trigger)</f>
        <v>59040</v>
      </c>
      <c r="K552" s="542">
        <f>_xll.qlCalendarAdvance(Calendar,J552,"3M","mf",,Trigger)</f>
        <v>59132</v>
      </c>
      <c r="L552" s="544" t="e">
        <f>_xll.qlMakeDatedOIS(,J552,K552,"eonia",,,,,Trigger)</f>
        <v>#NUM!</v>
      </c>
      <c r="M552" s="543" t="e">
        <f>_xll.qlIndexFixing("euribor3m",_xll.qlInterestRateIndexFixingDate("Euribor3M",J552),TRUE)</f>
        <v>#NUM!</v>
      </c>
      <c r="N552" s="543" t="e">
        <f>_xll.qlOvernightIndexedSwapFairRate(L552,Trigger)</f>
        <v>#VALUE!</v>
      </c>
      <c r="O552" s="545" t="e">
        <f t="shared" si="10"/>
        <v>#NUM!</v>
      </c>
    </row>
    <row r="553" spans="3:15" x14ac:dyDescent="0.2">
      <c r="C553" s="537"/>
      <c r="D553" s="537"/>
      <c r="E553" s="536"/>
      <c r="G553" s="536"/>
      <c r="H553" s="536"/>
      <c r="J553" s="551">
        <f>_xll.qlCalendarAdvance(Calendar,J552,"1M","f",,Trigger)</f>
        <v>59071</v>
      </c>
      <c r="K553" s="542">
        <f>_xll.qlCalendarAdvance(Calendar,J553,"3M","mf",,Trigger)</f>
        <v>59162</v>
      </c>
      <c r="L553" s="544" t="e">
        <f>_xll.qlMakeDatedOIS(,J553,K553,"eonia",,,,,Trigger)</f>
        <v>#NUM!</v>
      </c>
      <c r="M553" s="543" t="e">
        <f>_xll.qlIndexFixing("euribor3m",_xll.qlInterestRateIndexFixingDate("Euribor3M",J553),TRUE)</f>
        <v>#NUM!</v>
      </c>
      <c r="N553" s="543" t="e">
        <f>_xll.qlOvernightIndexedSwapFairRate(L553,Trigger)</f>
        <v>#VALUE!</v>
      </c>
      <c r="O553" s="545" t="e">
        <f t="shared" si="10"/>
        <v>#NUM!</v>
      </c>
    </row>
    <row r="554" spans="3:15" x14ac:dyDescent="0.2">
      <c r="C554" s="537"/>
      <c r="D554" s="537"/>
      <c r="E554" s="536"/>
      <c r="G554" s="536"/>
      <c r="H554" s="536"/>
      <c r="J554" s="551">
        <f>_xll.qlCalendarAdvance(Calendar,J553,"1M","f",,Trigger)</f>
        <v>59103</v>
      </c>
      <c r="K554" s="542">
        <f>_xll.qlCalendarAdvance(Calendar,J554,"3M","mf",,Trigger)</f>
        <v>59195</v>
      </c>
      <c r="L554" s="544" t="e">
        <f>_xll.qlMakeDatedOIS(,J554,K554,"eonia",,,,,Trigger)</f>
        <v>#NUM!</v>
      </c>
      <c r="M554" s="543" t="e">
        <f>_xll.qlIndexFixing("euribor3m",_xll.qlInterestRateIndexFixingDate("Euribor3M",J554),TRUE)</f>
        <v>#NUM!</v>
      </c>
      <c r="N554" s="543" t="e">
        <f>_xll.qlOvernightIndexedSwapFairRate(L554,Trigger)</f>
        <v>#VALUE!</v>
      </c>
      <c r="O554" s="545" t="e">
        <f t="shared" si="10"/>
        <v>#NUM!</v>
      </c>
    </row>
    <row r="555" spans="3:15" x14ac:dyDescent="0.2">
      <c r="C555" s="537"/>
      <c r="D555" s="537"/>
      <c r="E555" s="536"/>
      <c r="G555" s="536"/>
      <c r="H555" s="536"/>
      <c r="J555" s="551">
        <f>_xll.qlCalendarAdvance(Calendar,J554,"1M","f",,Trigger)</f>
        <v>59134</v>
      </c>
      <c r="K555" s="542">
        <f>_xll.qlCalendarAdvance(Calendar,J555,"3M","mf",,Trigger)</f>
        <v>59226</v>
      </c>
      <c r="L555" s="544" t="e">
        <f>_xll.qlMakeDatedOIS(,J555,K555,"eonia",,,,,Trigger)</f>
        <v>#NUM!</v>
      </c>
      <c r="M555" s="543" t="e">
        <f>_xll.qlIndexFixing("euribor3m",_xll.qlInterestRateIndexFixingDate("Euribor3M",J555),TRUE)</f>
        <v>#NUM!</v>
      </c>
      <c r="N555" s="543" t="e">
        <f>_xll.qlOvernightIndexedSwapFairRate(L555,Trigger)</f>
        <v>#VALUE!</v>
      </c>
      <c r="O555" s="545" t="e">
        <f t="shared" si="10"/>
        <v>#NUM!</v>
      </c>
    </row>
    <row r="556" spans="3:15" x14ac:dyDescent="0.2">
      <c r="C556" s="537"/>
      <c r="D556" s="537"/>
      <c r="E556" s="536"/>
      <c r="G556" s="536"/>
      <c r="H556" s="536"/>
      <c r="J556" s="551">
        <f>_xll.qlCalendarAdvance(Calendar,J555,"1M","f",,Trigger)</f>
        <v>59167</v>
      </c>
      <c r="K556" s="542">
        <f>_xll.qlCalendarAdvance(Calendar,J556,"3M","mf",,Trigger)</f>
        <v>59258</v>
      </c>
      <c r="L556" s="544" t="e">
        <f>_xll.qlMakeDatedOIS(,J556,K556,"eonia",,,,,Trigger)</f>
        <v>#NUM!</v>
      </c>
      <c r="M556" s="543" t="e">
        <f>_xll.qlIndexFixing("euribor3m",_xll.qlInterestRateIndexFixingDate("Euribor3M",J556),TRUE)</f>
        <v>#NUM!</v>
      </c>
      <c r="N556" s="543" t="e">
        <f>_xll.qlOvernightIndexedSwapFairRate(L556,Trigger)</f>
        <v>#VALUE!</v>
      </c>
      <c r="O556" s="545" t="e">
        <f t="shared" si="10"/>
        <v>#NUM!</v>
      </c>
    </row>
    <row r="557" spans="3:15" x14ac:dyDescent="0.2">
      <c r="C557" s="537"/>
      <c r="D557" s="537"/>
      <c r="E557" s="536"/>
      <c r="G557" s="536"/>
      <c r="H557" s="536"/>
      <c r="J557" s="551">
        <f>_xll.qlCalendarAdvance(Calendar,J556,"1M","f",,Trigger)</f>
        <v>59198</v>
      </c>
      <c r="K557" s="542">
        <f>_xll.qlCalendarAdvance(Calendar,J557,"3M","mf",,Trigger)</f>
        <v>59288</v>
      </c>
      <c r="L557" s="544" t="e">
        <f>_xll.qlMakeDatedOIS(,J557,K557,"eonia",,,,,Trigger)</f>
        <v>#NUM!</v>
      </c>
      <c r="M557" s="543" t="e">
        <f>_xll.qlIndexFixing("euribor3m",_xll.qlInterestRateIndexFixingDate("Euribor3M",J557),TRUE)</f>
        <v>#NUM!</v>
      </c>
      <c r="N557" s="543" t="e">
        <f>_xll.qlOvernightIndexedSwapFairRate(L557,Trigger)</f>
        <v>#VALUE!</v>
      </c>
      <c r="O557" s="545" t="e">
        <f t="shared" si="10"/>
        <v>#NUM!</v>
      </c>
    </row>
    <row r="558" spans="3:15" x14ac:dyDescent="0.2">
      <c r="C558" s="537"/>
      <c r="D558" s="537"/>
      <c r="E558" s="536"/>
      <c r="G558" s="536"/>
      <c r="H558" s="536"/>
      <c r="J558" s="551">
        <f>_xll.qlCalendarAdvance(Calendar,J557,"1M","f",,Trigger)</f>
        <v>59229</v>
      </c>
      <c r="K558" s="542">
        <f>_xll.qlCalendarAdvance(Calendar,J558,"3M","mf",,Trigger)</f>
        <v>59320</v>
      </c>
      <c r="L558" s="544" t="e">
        <f>_xll.qlMakeDatedOIS(,J558,K558,"eonia",,,,,Trigger)</f>
        <v>#NUM!</v>
      </c>
      <c r="M558" s="543" t="e">
        <f>_xll.qlIndexFixing("euribor3m",_xll.qlInterestRateIndexFixingDate("Euribor3M",J558),TRUE)</f>
        <v>#NUM!</v>
      </c>
      <c r="N558" s="543" t="e">
        <f>_xll.qlOvernightIndexedSwapFairRate(L558,Trigger)</f>
        <v>#VALUE!</v>
      </c>
      <c r="O558" s="545" t="e">
        <f t="shared" si="10"/>
        <v>#NUM!</v>
      </c>
    </row>
    <row r="559" spans="3:15" x14ac:dyDescent="0.2">
      <c r="C559" s="537"/>
      <c r="D559" s="537"/>
      <c r="E559" s="536"/>
      <c r="G559" s="536"/>
      <c r="H559" s="536"/>
      <c r="J559" s="551">
        <f>_xll.qlCalendarAdvance(Calendar,J558,"1M","f",,Trigger)</f>
        <v>59258</v>
      </c>
      <c r="K559" s="542">
        <f>_xll.qlCalendarAdvance(Calendar,J559,"3M","mf",,Trigger)</f>
        <v>59350</v>
      </c>
      <c r="L559" s="544" t="e">
        <f>_xll.qlMakeDatedOIS(,J559,K559,"eonia",,,,,Trigger)</f>
        <v>#NUM!</v>
      </c>
      <c r="M559" s="543" t="e">
        <f>_xll.qlIndexFixing("euribor3m",_xll.qlInterestRateIndexFixingDate("Euribor3M",J559),TRUE)</f>
        <v>#NUM!</v>
      </c>
      <c r="N559" s="543" t="e">
        <f>_xll.qlOvernightIndexedSwapFairRate(L559,Trigger)</f>
        <v>#VALUE!</v>
      </c>
      <c r="O559" s="545" t="e">
        <f t="shared" si="10"/>
        <v>#NUM!</v>
      </c>
    </row>
    <row r="560" spans="3:15" x14ac:dyDescent="0.2">
      <c r="C560" s="537"/>
      <c r="D560" s="537"/>
      <c r="E560" s="536"/>
      <c r="G560" s="536"/>
      <c r="H560" s="536"/>
      <c r="J560" s="551">
        <f>_xll.qlCalendarAdvance(Calendar,J559,"1M","f",,Trigger)</f>
        <v>59289</v>
      </c>
      <c r="K560" s="542">
        <f>_xll.qlCalendarAdvance(Calendar,J560,"3M","mf",,Trigger)</f>
        <v>59380</v>
      </c>
      <c r="L560" s="544" t="e">
        <f>_xll.qlMakeDatedOIS(,J560,K560,"eonia",,,,,Trigger)</f>
        <v>#NUM!</v>
      </c>
      <c r="M560" s="543" t="e">
        <f>_xll.qlIndexFixing("euribor3m",_xll.qlInterestRateIndexFixingDate("Euribor3M",J560),TRUE)</f>
        <v>#NUM!</v>
      </c>
      <c r="N560" s="543" t="e">
        <f>_xll.qlOvernightIndexedSwapFairRate(L560,Trigger)</f>
        <v>#VALUE!</v>
      </c>
      <c r="O560" s="545" t="e">
        <f t="shared" si="10"/>
        <v>#NUM!</v>
      </c>
    </row>
    <row r="561" spans="3:15" x14ac:dyDescent="0.2">
      <c r="C561" s="537"/>
      <c r="D561" s="537"/>
      <c r="E561" s="536"/>
      <c r="G561" s="536"/>
      <c r="H561" s="536"/>
      <c r="J561" s="551">
        <f>_xll.qlCalendarAdvance(Calendar,J560,"1M","f",,Trigger)</f>
        <v>59320</v>
      </c>
      <c r="K561" s="542">
        <f>_xll.qlCalendarAdvance(Calendar,J561,"3M","mf",,Trigger)</f>
        <v>59412</v>
      </c>
      <c r="L561" s="544" t="e">
        <f>_xll.qlMakeDatedOIS(,J561,K561,"eonia",,,,,Trigger)</f>
        <v>#NUM!</v>
      </c>
      <c r="M561" s="543" t="e">
        <f>_xll.qlIndexFixing("euribor3m",_xll.qlInterestRateIndexFixingDate("Euribor3M",J561),TRUE)</f>
        <v>#NUM!</v>
      </c>
      <c r="N561" s="543" t="e">
        <f>_xll.qlOvernightIndexedSwapFairRate(L561,Trigger)</f>
        <v>#VALUE!</v>
      </c>
      <c r="O561" s="545" t="e">
        <f t="shared" si="10"/>
        <v>#NUM!</v>
      </c>
    </row>
    <row r="562" spans="3:15" x14ac:dyDescent="0.2">
      <c r="C562" s="537"/>
      <c r="D562" s="537"/>
      <c r="E562" s="536"/>
      <c r="G562" s="536"/>
      <c r="H562" s="536"/>
      <c r="J562" s="551">
        <f>_xll.qlCalendarAdvance(Calendar,J561,"1M","f",,Trigger)</f>
        <v>59351</v>
      </c>
      <c r="K562" s="542">
        <f>_xll.qlCalendarAdvance(Calendar,J562,"3M","mf",,Trigger)</f>
        <v>59443</v>
      </c>
      <c r="L562" s="544" t="e">
        <f>_xll.qlMakeDatedOIS(,J562,K562,"eonia",,,,,Trigger)</f>
        <v>#NUM!</v>
      </c>
      <c r="M562" s="543" t="e">
        <f>_xll.qlIndexFixing("euribor3m",_xll.qlInterestRateIndexFixingDate("Euribor3M",J562),TRUE)</f>
        <v>#NUM!</v>
      </c>
      <c r="N562" s="543" t="e">
        <f>_xll.qlOvernightIndexedSwapFairRate(L562,Trigger)</f>
        <v>#VALUE!</v>
      </c>
      <c r="O562" s="545" t="e">
        <f t="shared" si="10"/>
        <v>#NUM!</v>
      </c>
    </row>
    <row r="563" spans="3:15" x14ac:dyDescent="0.2">
      <c r="C563" s="537"/>
      <c r="D563" s="537"/>
      <c r="E563" s="536"/>
      <c r="G563" s="536"/>
      <c r="H563" s="536"/>
      <c r="J563" s="551">
        <f>_xll.qlCalendarAdvance(Calendar,J562,"1M","f",,Trigger)</f>
        <v>59383</v>
      </c>
      <c r="K563" s="542">
        <f>_xll.qlCalendarAdvance(Calendar,J563,"3M","mf",,Trigger)</f>
        <v>59475</v>
      </c>
      <c r="L563" s="544" t="e">
        <f>_xll.qlMakeDatedOIS(,J563,K563,"eonia",,,,,Trigger)</f>
        <v>#NUM!</v>
      </c>
      <c r="M563" s="543" t="e">
        <f>_xll.qlIndexFixing("euribor3m",_xll.qlInterestRateIndexFixingDate("Euribor3M",J563),TRUE)</f>
        <v>#NUM!</v>
      </c>
      <c r="N563" s="543" t="e">
        <f>_xll.qlOvernightIndexedSwapFairRate(L563,Trigger)</f>
        <v>#VALUE!</v>
      </c>
      <c r="O563" s="545" t="e">
        <f t="shared" si="10"/>
        <v>#NUM!</v>
      </c>
    </row>
    <row r="564" spans="3:15" x14ac:dyDescent="0.2">
      <c r="C564" s="537"/>
      <c r="D564" s="537"/>
      <c r="E564" s="536"/>
      <c r="G564" s="536"/>
      <c r="H564" s="536"/>
      <c r="J564" s="551">
        <f>_xll.qlCalendarAdvance(Calendar,J563,"1M","f",,Trigger)</f>
        <v>59414</v>
      </c>
      <c r="K564" s="542">
        <f>_xll.qlCalendarAdvance(Calendar,J564,"3M","mf",,Trigger)</f>
        <v>59505</v>
      </c>
      <c r="L564" s="544" t="e">
        <f>_xll.qlMakeDatedOIS(,J564,K564,"eonia",,,,,Trigger)</f>
        <v>#NUM!</v>
      </c>
      <c r="M564" s="543" t="e">
        <f>_xll.qlIndexFixing("euribor3m",_xll.qlInterestRateIndexFixingDate("Euribor3M",J564),TRUE)</f>
        <v>#NUM!</v>
      </c>
      <c r="N564" s="543" t="e">
        <f>_xll.qlOvernightIndexedSwapFairRate(L564,Trigger)</f>
        <v>#VALUE!</v>
      </c>
      <c r="O564" s="545" t="e">
        <f t="shared" si="10"/>
        <v>#NUM!</v>
      </c>
    </row>
    <row r="565" spans="3:15" x14ac:dyDescent="0.2">
      <c r="C565" s="537"/>
      <c r="D565" s="537"/>
      <c r="E565" s="536"/>
      <c r="G565" s="536"/>
      <c r="H565" s="536"/>
      <c r="J565" s="551">
        <f>_xll.qlCalendarAdvance(Calendar,J564,"1M","f",,Trigger)</f>
        <v>59446</v>
      </c>
      <c r="K565" s="542">
        <f>_xll.qlCalendarAdvance(Calendar,J565,"3M","mf",,Trigger)</f>
        <v>59538</v>
      </c>
      <c r="L565" s="544" t="e">
        <f>_xll.qlMakeDatedOIS(,J565,K565,"eonia",,,,,Trigger)</f>
        <v>#NUM!</v>
      </c>
      <c r="M565" s="543" t="e">
        <f>_xll.qlIndexFixing("euribor3m",_xll.qlInterestRateIndexFixingDate("Euribor3M",J565),TRUE)</f>
        <v>#NUM!</v>
      </c>
      <c r="N565" s="543" t="e">
        <f>_xll.qlOvernightIndexedSwapFairRate(L565,Trigger)</f>
        <v>#VALUE!</v>
      </c>
      <c r="O565" s="545" t="e">
        <f t="shared" si="10"/>
        <v>#NUM!</v>
      </c>
    </row>
    <row r="566" spans="3:15" x14ac:dyDescent="0.2">
      <c r="C566" s="537"/>
      <c r="D566" s="537"/>
      <c r="E566" s="536"/>
      <c r="G566" s="536"/>
      <c r="H566" s="536"/>
      <c r="J566" s="551">
        <f>_xll.qlCalendarAdvance(Calendar,J565,"1M","f",,Trigger)</f>
        <v>59477</v>
      </c>
      <c r="K566" s="542">
        <f>_xll.qlCalendarAdvance(Calendar,J566,"3M","mf",,Trigger)</f>
        <v>59569</v>
      </c>
      <c r="L566" s="544" t="e">
        <f>_xll.qlMakeDatedOIS(,J566,K566,"eonia",,,,,Trigger)</f>
        <v>#NUM!</v>
      </c>
      <c r="M566" s="543" t="e">
        <f>_xll.qlIndexFixing("euribor3m",_xll.qlInterestRateIndexFixingDate("Euribor3M",J566),TRUE)</f>
        <v>#NUM!</v>
      </c>
      <c r="N566" s="543" t="e">
        <f>_xll.qlOvernightIndexedSwapFairRate(L566,Trigger)</f>
        <v>#VALUE!</v>
      </c>
      <c r="O566" s="545" t="e">
        <f t="shared" si="10"/>
        <v>#NUM!</v>
      </c>
    </row>
    <row r="567" spans="3:15" x14ac:dyDescent="0.2">
      <c r="C567" s="537"/>
      <c r="D567" s="537"/>
      <c r="E567" s="536"/>
      <c r="G567" s="536"/>
      <c r="H567" s="536"/>
      <c r="J567" s="551">
        <f>_xll.qlCalendarAdvance(Calendar,J566,"1M","f",,Trigger)</f>
        <v>59509</v>
      </c>
      <c r="K567" s="542">
        <f>_xll.qlCalendarAdvance(Calendar,J567,"3M","mf",,Trigger)</f>
        <v>59600</v>
      </c>
      <c r="L567" s="544" t="e">
        <f>_xll.qlMakeDatedOIS(,J567,K567,"eonia",,,,,Trigger)</f>
        <v>#NUM!</v>
      </c>
      <c r="M567" s="543" t="e">
        <f>_xll.qlIndexFixing("euribor3m",_xll.qlInterestRateIndexFixingDate("Euribor3M",J567),TRUE)</f>
        <v>#NUM!</v>
      </c>
      <c r="N567" s="543" t="e">
        <f>_xll.qlOvernightIndexedSwapFairRate(L567,Trigger)</f>
        <v>#VALUE!</v>
      </c>
      <c r="O567" s="545" t="e">
        <f t="shared" si="10"/>
        <v>#NUM!</v>
      </c>
    </row>
    <row r="568" spans="3:15" x14ac:dyDescent="0.2">
      <c r="C568" s="537"/>
      <c r="D568" s="537"/>
      <c r="E568" s="536"/>
      <c r="G568" s="536"/>
      <c r="H568" s="536"/>
      <c r="J568" s="551">
        <f>_xll.qlCalendarAdvance(Calendar,J567,"1M","f",,Trigger)</f>
        <v>59540</v>
      </c>
      <c r="K568" s="542">
        <f>_xll.qlCalendarAdvance(Calendar,J568,"3M","mf",,Trigger)</f>
        <v>59630</v>
      </c>
      <c r="L568" s="544" t="e">
        <f>_xll.qlMakeDatedOIS(,J568,K568,"eonia",,,,,Trigger)</f>
        <v>#NUM!</v>
      </c>
      <c r="M568" s="543" t="e">
        <f>_xll.qlIndexFixing("euribor3m",_xll.qlInterestRateIndexFixingDate("Euribor3M",J568),TRUE)</f>
        <v>#NUM!</v>
      </c>
      <c r="N568" s="543" t="e">
        <f>_xll.qlOvernightIndexedSwapFairRate(L568,Trigger)</f>
        <v>#VALUE!</v>
      </c>
      <c r="O568" s="545" t="e">
        <f t="shared" si="10"/>
        <v>#NUM!</v>
      </c>
    </row>
    <row r="569" spans="3:15" x14ac:dyDescent="0.2">
      <c r="C569" s="537"/>
      <c r="D569" s="537"/>
      <c r="E569" s="536"/>
      <c r="G569" s="536"/>
      <c r="H569" s="536"/>
      <c r="J569" s="551">
        <f>_xll.qlCalendarAdvance(Calendar,J568,"1M","f",,Trigger)</f>
        <v>59572</v>
      </c>
      <c r="K569" s="542">
        <f>_xll.qlCalendarAdvance(Calendar,J569,"3M","mf",,Trigger)</f>
        <v>59663</v>
      </c>
      <c r="L569" s="544" t="e">
        <f>_xll.qlMakeDatedOIS(,J569,K569,"eonia",,,,,Trigger)</f>
        <v>#NUM!</v>
      </c>
      <c r="M569" s="543" t="e">
        <f>_xll.qlIndexFixing("euribor3m",_xll.qlInterestRateIndexFixingDate("Euribor3M",J569),TRUE)</f>
        <v>#NUM!</v>
      </c>
      <c r="N569" s="543" t="e">
        <f>_xll.qlOvernightIndexedSwapFairRate(L569,Trigger)</f>
        <v>#VALUE!</v>
      </c>
      <c r="O569" s="545" t="e">
        <f t="shared" si="10"/>
        <v>#NUM!</v>
      </c>
    </row>
    <row r="570" spans="3:15" x14ac:dyDescent="0.2">
      <c r="C570" s="537"/>
      <c r="D570" s="537"/>
      <c r="E570" s="536"/>
      <c r="G570" s="536"/>
      <c r="H570" s="536"/>
      <c r="J570" s="551">
        <f>_xll.qlCalendarAdvance(Calendar,J569,"1M","f",,Trigger)</f>
        <v>59600</v>
      </c>
      <c r="K570" s="542">
        <f>_xll.qlCalendarAdvance(Calendar,J570,"3M","mf",,Trigger)</f>
        <v>59692</v>
      </c>
      <c r="L570" s="544" t="e">
        <f>_xll.qlMakeDatedOIS(,J570,K570,"eonia",,,,,Trigger)</f>
        <v>#NUM!</v>
      </c>
      <c r="M570" s="543" t="e">
        <f>_xll.qlIndexFixing("euribor3m",_xll.qlInterestRateIndexFixingDate("Euribor3M",J570),TRUE)</f>
        <v>#NUM!</v>
      </c>
      <c r="N570" s="543" t="e">
        <f>_xll.qlOvernightIndexedSwapFairRate(L570,Trigger)</f>
        <v>#VALUE!</v>
      </c>
      <c r="O570" s="545" t="e">
        <f t="shared" si="10"/>
        <v>#NUM!</v>
      </c>
    </row>
    <row r="571" spans="3:15" x14ac:dyDescent="0.2">
      <c r="C571" s="537"/>
      <c r="D571" s="537"/>
      <c r="E571" s="536"/>
      <c r="G571" s="536"/>
      <c r="H571" s="536"/>
      <c r="J571" s="551">
        <f>_xll.qlCalendarAdvance(Calendar,J570,"1M","f",,Trigger)</f>
        <v>59631</v>
      </c>
      <c r="K571" s="542">
        <f>_xll.qlCalendarAdvance(Calendar,J571,"3M","mf",,Trigger)</f>
        <v>59722</v>
      </c>
      <c r="L571" s="544" t="e">
        <f>_xll.qlMakeDatedOIS(,J571,K571,"eonia",,,,,Trigger)</f>
        <v>#NUM!</v>
      </c>
      <c r="M571" s="543" t="e">
        <f>_xll.qlIndexFixing("euribor3m",_xll.qlInterestRateIndexFixingDate("Euribor3M",J571),TRUE)</f>
        <v>#NUM!</v>
      </c>
      <c r="N571" s="543" t="e">
        <f>_xll.qlOvernightIndexedSwapFairRate(L571,Trigger)</f>
        <v>#VALUE!</v>
      </c>
      <c r="O571" s="545" t="e">
        <f t="shared" si="10"/>
        <v>#NUM!</v>
      </c>
    </row>
    <row r="572" spans="3:15" x14ac:dyDescent="0.2">
      <c r="C572" s="537"/>
      <c r="D572" s="537"/>
      <c r="E572" s="536"/>
      <c r="G572" s="536"/>
      <c r="H572" s="536"/>
      <c r="J572" s="551">
        <f>_xll.qlCalendarAdvance(Calendar,J571,"1M","f",,Trigger)</f>
        <v>59663</v>
      </c>
      <c r="K572" s="542">
        <f>_xll.qlCalendarAdvance(Calendar,J572,"3M","mf",,Trigger)</f>
        <v>59755</v>
      </c>
      <c r="L572" s="544" t="e">
        <f>_xll.qlMakeDatedOIS(,J572,K572,"eonia",,,,,Trigger)</f>
        <v>#NUM!</v>
      </c>
      <c r="M572" s="543" t="e">
        <f>_xll.qlIndexFixing("euribor3m",_xll.qlInterestRateIndexFixingDate("Euribor3M",J572),TRUE)</f>
        <v>#NUM!</v>
      </c>
      <c r="N572" s="543" t="e">
        <f>_xll.qlOvernightIndexedSwapFairRate(L572,Trigger)</f>
        <v>#VALUE!</v>
      </c>
      <c r="O572" s="545" t="e">
        <f t="shared" si="10"/>
        <v>#NUM!</v>
      </c>
    </row>
    <row r="573" spans="3:15" x14ac:dyDescent="0.2">
      <c r="C573" s="537"/>
      <c r="D573" s="537"/>
      <c r="E573" s="536"/>
      <c r="G573" s="536"/>
      <c r="H573" s="536"/>
      <c r="J573" s="551">
        <f>_xll.qlCalendarAdvance(Calendar,J572,"1M","f",,Trigger)</f>
        <v>59694</v>
      </c>
      <c r="K573" s="542">
        <f>_xll.qlCalendarAdvance(Calendar,J573,"3M","mf",,Trigger)</f>
        <v>59786</v>
      </c>
      <c r="L573" s="544" t="e">
        <f>_xll.qlMakeDatedOIS(,J573,K573,"eonia",,,,,Trigger)</f>
        <v>#NUM!</v>
      </c>
      <c r="M573" s="543" t="e">
        <f>_xll.qlIndexFixing("euribor3m",_xll.qlInterestRateIndexFixingDate("Euribor3M",J573),TRUE)</f>
        <v>#NUM!</v>
      </c>
      <c r="N573" s="543" t="e">
        <f>_xll.qlOvernightIndexedSwapFairRate(L573,Trigger)</f>
        <v>#VALUE!</v>
      </c>
      <c r="O573" s="545" t="e">
        <f t="shared" si="10"/>
        <v>#NUM!</v>
      </c>
    </row>
    <row r="574" spans="3:15" x14ac:dyDescent="0.2">
      <c r="C574" s="537"/>
      <c r="D574" s="537"/>
      <c r="E574" s="536"/>
      <c r="G574" s="536"/>
      <c r="H574" s="536"/>
      <c r="J574" s="551">
        <f>_xll.qlCalendarAdvance(Calendar,J573,"1M","f",,Trigger)</f>
        <v>59726</v>
      </c>
      <c r="K574" s="542">
        <f>_xll.qlCalendarAdvance(Calendar,J574,"3M","mf",,Trigger)</f>
        <v>59818</v>
      </c>
      <c r="L574" s="544" t="e">
        <f>_xll.qlMakeDatedOIS(,J574,K574,"eonia",,,,,Trigger)</f>
        <v>#NUM!</v>
      </c>
      <c r="M574" s="543" t="e">
        <f>_xll.qlIndexFixing("euribor3m",_xll.qlInterestRateIndexFixingDate("Euribor3M",J574),TRUE)</f>
        <v>#NUM!</v>
      </c>
      <c r="N574" s="543" t="e">
        <f>_xll.qlOvernightIndexedSwapFairRate(L574,Trigger)</f>
        <v>#VALUE!</v>
      </c>
      <c r="O574" s="545" t="e">
        <f t="shared" si="10"/>
        <v>#NUM!</v>
      </c>
    </row>
    <row r="575" spans="3:15" x14ac:dyDescent="0.2">
      <c r="C575" s="537"/>
      <c r="D575" s="537"/>
      <c r="E575" s="536"/>
      <c r="G575" s="536"/>
      <c r="H575" s="536"/>
      <c r="J575" s="551">
        <f>_xll.qlCalendarAdvance(Calendar,J574,"1M","f",,Trigger)</f>
        <v>59757</v>
      </c>
      <c r="K575" s="542">
        <f>_xll.qlCalendarAdvance(Calendar,J575,"3M","mf",,Trigger)</f>
        <v>59849</v>
      </c>
      <c r="L575" s="544" t="e">
        <f>_xll.qlMakeDatedOIS(,J575,K575,"eonia",,,,,Trigger)</f>
        <v>#NUM!</v>
      </c>
      <c r="M575" s="543" t="e">
        <f>_xll.qlIndexFixing("euribor3m",_xll.qlInterestRateIndexFixingDate("Euribor3M",J575),TRUE)</f>
        <v>#NUM!</v>
      </c>
      <c r="N575" s="543" t="e">
        <f>_xll.qlOvernightIndexedSwapFairRate(L575,Trigger)</f>
        <v>#VALUE!</v>
      </c>
      <c r="O575" s="545" t="e">
        <f t="shared" si="10"/>
        <v>#NUM!</v>
      </c>
    </row>
    <row r="576" spans="3:15" x14ac:dyDescent="0.2">
      <c r="C576" s="537"/>
      <c r="D576" s="537"/>
      <c r="E576" s="536"/>
      <c r="G576" s="536"/>
      <c r="H576" s="536"/>
      <c r="J576" s="551">
        <f>_xll.qlCalendarAdvance(Calendar,J575,"1M","f",,Trigger)</f>
        <v>59789</v>
      </c>
      <c r="K576" s="542">
        <f>_xll.qlCalendarAdvance(Calendar,J576,"3M","mf",,Trigger)</f>
        <v>59880</v>
      </c>
      <c r="L576" s="544" t="e">
        <f>_xll.qlMakeDatedOIS(,J576,K576,"eonia",,,,,Trigger)</f>
        <v>#NUM!</v>
      </c>
      <c r="M576" s="543" t="e">
        <f>_xll.qlIndexFixing("euribor3m",_xll.qlInterestRateIndexFixingDate("Euribor3M",J576),TRUE)</f>
        <v>#NUM!</v>
      </c>
      <c r="N576" s="543" t="e">
        <f>_xll.qlOvernightIndexedSwapFairRate(L576,Trigger)</f>
        <v>#VALUE!</v>
      </c>
      <c r="O576" s="545" t="e">
        <f t="shared" si="10"/>
        <v>#NUM!</v>
      </c>
    </row>
    <row r="577" spans="3:15" x14ac:dyDescent="0.2">
      <c r="C577" s="537"/>
      <c r="D577" s="537"/>
      <c r="E577" s="536"/>
      <c r="G577" s="536"/>
      <c r="H577" s="536"/>
      <c r="J577" s="551">
        <f>_xll.qlCalendarAdvance(Calendar,J576,"1M","f",,Trigger)</f>
        <v>59819</v>
      </c>
      <c r="K577" s="542">
        <f>_xll.qlCalendarAdvance(Calendar,J577,"3M","mf",,Trigger)</f>
        <v>59911</v>
      </c>
      <c r="L577" s="544" t="e">
        <f>_xll.qlMakeDatedOIS(,J577,K577,"eonia",,,,,Trigger)</f>
        <v>#NUM!</v>
      </c>
      <c r="M577" s="543" t="e">
        <f>_xll.qlIndexFixing("euribor3m",_xll.qlInterestRateIndexFixingDate("Euribor3M",J577),TRUE)</f>
        <v>#NUM!</v>
      </c>
      <c r="N577" s="543" t="e">
        <f>_xll.qlOvernightIndexedSwapFairRate(L577,Trigger)</f>
        <v>#VALUE!</v>
      </c>
      <c r="O577" s="545" t="e">
        <f t="shared" si="10"/>
        <v>#NUM!</v>
      </c>
    </row>
    <row r="578" spans="3:15" x14ac:dyDescent="0.2">
      <c r="J578" s="551">
        <f>_xll.qlCalendarAdvance(Calendar,J577,"1M","f",,Trigger)</f>
        <v>59852</v>
      </c>
      <c r="K578" s="542">
        <f>_xll.qlCalendarAdvance(Calendar,J578,"3M","mf",,Trigger)</f>
        <v>59944</v>
      </c>
      <c r="L578" s="544" t="e">
        <f>_xll.qlMakeDatedOIS(,J578,K578,"eonia",,,,,Trigger)</f>
        <v>#NUM!</v>
      </c>
      <c r="M578" s="543" t="e">
        <f>_xll.qlIndexFixing("euribor3m",_xll.qlInterestRateIndexFixingDate("Euribor3M",J578),TRUE)</f>
        <v>#NUM!</v>
      </c>
      <c r="N578" s="543" t="e">
        <f>_xll.qlOvernightIndexedSwapFairRate(L578,Trigger)</f>
        <v>#VALUE!</v>
      </c>
      <c r="O578" s="545" t="e">
        <f t="shared" si="10"/>
        <v>#NUM!</v>
      </c>
    </row>
    <row r="579" spans="3:15" x14ac:dyDescent="0.2">
      <c r="J579" s="551">
        <f>_xll.qlCalendarAdvance(Calendar,J578,"1M","f",,Trigger)</f>
        <v>59882</v>
      </c>
      <c r="K579" s="542">
        <f>_xll.qlCalendarAdvance(Calendar,J579,"3M","mf",,Trigger)</f>
        <v>59973</v>
      </c>
      <c r="L579" s="544" t="e">
        <f>_xll.qlMakeDatedOIS(,J579,K579,"eonia",,,,,Trigger)</f>
        <v>#NUM!</v>
      </c>
      <c r="M579" s="543" t="e">
        <f>_xll.qlIndexFixing("euribor3m",_xll.qlInterestRateIndexFixingDate("Euribor3M",J579),TRUE)</f>
        <v>#NUM!</v>
      </c>
      <c r="N579" s="543" t="e">
        <f>_xll.qlOvernightIndexedSwapFairRate(L579,Trigger)</f>
        <v>#VALUE!</v>
      </c>
      <c r="O579" s="545" t="e">
        <f t="shared" ref="O579:O581" si="11">M579-N579</f>
        <v>#NUM!</v>
      </c>
    </row>
    <row r="580" spans="3:15" x14ac:dyDescent="0.2">
      <c r="J580" s="551">
        <f>_xll.qlCalendarAdvance(Calendar,J579,"1M","f",,Trigger)</f>
        <v>59915</v>
      </c>
      <c r="K580" s="542">
        <f>_xll.qlCalendarAdvance(Calendar,J580,"3M","mf",,Trigger)</f>
        <v>60006</v>
      </c>
      <c r="L580" s="544" t="e">
        <f>_xll.qlMakeDatedOIS(,J580,K580,"eonia",,,,,Trigger)</f>
        <v>#NUM!</v>
      </c>
      <c r="M580" s="543" t="e">
        <f>_xll.qlIndexFixing("euribor3m",_xll.qlInterestRateIndexFixingDate("Euribor3M",J580),TRUE)</f>
        <v>#NUM!</v>
      </c>
      <c r="N580" s="543" t="e">
        <f>_xll.qlOvernightIndexedSwapFairRate(L580,Trigger)</f>
        <v>#VALUE!</v>
      </c>
      <c r="O580" s="545" t="e">
        <f t="shared" si="11"/>
        <v>#NUM!</v>
      </c>
    </row>
    <row r="581" spans="3:15" ht="12" thickBot="1" x14ac:dyDescent="0.25">
      <c r="J581" s="552">
        <f>_xll.qlCalendarAdvance(Calendar,J580,"1M","f",,Trigger)</f>
        <v>59946</v>
      </c>
      <c r="K581" s="547">
        <f>_xll.qlCalendarAdvance(Calendar,J581,"3M","mf",,Trigger)</f>
        <v>60036</v>
      </c>
      <c r="L581" s="549" t="e">
        <f>_xll.qlMakeDatedOIS(,J581,K581,"eonia",,,,,Trigger)</f>
        <v>#NUM!</v>
      </c>
      <c r="M581" s="543" t="e">
        <f>_xll.qlIndexFixing("euribor3m",_xll.qlInterestRateIndexFixingDate("Euribor3M",J581),TRUE)</f>
        <v>#NUM!</v>
      </c>
      <c r="N581" s="548" t="e">
        <f>_xll.qlOvernightIndexedSwapFairRate(L581,Trigger)</f>
        <v>#VALUE!</v>
      </c>
      <c r="O581" s="550" t="e">
        <f t="shared" si="11"/>
        <v>#NUM!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5"/>
  <sheetViews>
    <sheetView showGridLines="0" workbookViewId="0">
      <selection activeCell="D2" sqref="D2"/>
    </sheetView>
  </sheetViews>
  <sheetFormatPr defaultRowHeight="11.25" outlineLevelCol="1" x14ac:dyDescent="0.2"/>
  <cols>
    <col min="1" max="1" width="3.1640625" bestFit="1" customWidth="1"/>
    <col min="2" max="2" width="2.1640625" bestFit="1" customWidth="1"/>
    <col min="3" max="3" width="3.1640625" bestFit="1" customWidth="1"/>
    <col min="4" max="4" width="23.6640625" bestFit="1" customWidth="1"/>
    <col min="5" max="6" width="16.6640625" bestFit="1" customWidth="1"/>
    <col min="7" max="7" width="9.33203125" bestFit="1" customWidth="1"/>
    <col min="8" max="8" width="15.1640625" hidden="1" customWidth="1" outlineLevel="1"/>
    <col min="9" max="9" width="9" bestFit="1" customWidth="1" collapsed="1"/>
    <col min="10" max="10" width="8.33203125" bestFit="1" customWidth="1"/>
    <col min="12" max="13" width="16.6640625" bestFit="1" customWidth="1"/>
    <col min="14" max="14" width="14.6640625" hidden="1" customWidth="1" outlineLevel="1"/>
    <col min="15" max="15" width="8.83203125" bestFit="1" customWidth="1" collapsed="1"/>
    <col min="16" max="16" width="10" customWidth="1"/>
    <col min="17" max="17" width="10.1640625" customWidth="1"/>
  </cols>
  <sheetData>
    <row r="1" spans="1:17" ht="29.25" customHeight="1" x14ac:dyDescent="0.2">
      <c r="D1" s="538" t="s">
        <v>178</v>
      </c>
      <c r="E1" s="539" t="s">
        <v>173</v>
      </c>
      <c r="F1" s="539" t="s">
        <v>174</v>
      </c>
      <c r="G1" s="539" t="s">
        <v>184</v>
      </c>
      <c r="H1" s="539" t="s">
        <v>177</v>
      </c>
      <c r="I1" s="539" t="s">
        <v>185</v>
      </c>
      <c r="J1" s="540" t="s">
        <v>181</v>
      </c>
      <c r="L1" s="538" t="s">
        <v>173</v>
      </c>
      <c r="M1" s="539" t="s">
        <v>174</v>
      </c>
      <c r="N1" s="539"/>
      <c r="O1" s="539" t="s">
        <v>172</v>
      </c>
      <c r="P1" s="539" t="s">
        <v>186</v>
      </c>
      <c r="Q1" s="540" t="s">
        <v>181</v>
      </c>
    </row>
    <row r="2" spans="1:17" x14ac:dyDescent="0.2">
      <c r="C2">
        <v>6</v>
      </c>
      <c r="D2" s="541" t="str">
        <f>PROPER(Currency&amp;IborType)&amp;"6M"&amp;"LastFixing"&amp;QuoteSuffix</f>
        <v>Euribor6MLastFixing_Quote</v>
      </c>
      <c r="E2" s="542">
        <f>SettlementDate</f>
        <v>41887</v>
      </c>
      <c r="F2" s="542">
        <f>_xll.qlCalendarAdvance(Calendar,E2,"6M","mf",,Trigger)</f>
        <v>42068</v>
      </c>
      <c r="G2" s="543">
        <f>_xll.qlQuoteValue(D2,LastFixingsTrigger)</f>
        <v>2.5000000000000001E-3</v>
      </c>
      <c r="H2" s="544" t="str">
        <f>_xll.qlMakeDatedOIS(,E2,F2,OvernightIndex,0,,,,EvaluationDate)</f>
        <v>obj_00397#0000</v>
      </c>
      <c r="I2" s="543">
        <f>_xll.qlOvernightIndexedSwapFairRate(H2,AllTriggers)</f>
        <v>-5.5414031765884372E-5</v>
      </c>
      <c r="J2" s="545">
        <f t="shared" ref="J2:J20" si="0">G2-I2</f>
        <v>2.5554140317658844E-3</v>
      </c>
      <c r="L2" s="551">
        <f>SettlementDate</f>
        <v>41887</v>
      </c>
      <c r="M2" s="542">
        <f>_xll.qlCalendarAdvance(Calendar,L2,"3M","f",,Trigger)</f>
        <v>41978</v>
      </c>
      <c r="N2" s="544" t="str">
        <f>_xll.qlMakeDatedOIS(,L2,M2,OvernightIndex,0,,,,EvaluationDate)</f>
        <v>obj_0062a#0000</v>
      </c>
      <c r="O2" s="543">
        <f>_xll.qlIndexFixing("euribor6m",_xll.qlInterestRateIndexFixingDate("Euribor6M",L2),TRUE,AllTriggers)</f>
        <v>2.4855821928571669E-3</v>
      </c>
      <c r="P2" s="543">
        <f>_xll.qlOvernightIndexedSwapFairRate(N2,AllTriggers)</f>
        <v>-5.186812264306002E-5</v>
      </c>
      <c r="Q2" s="545">
        <f>O2-P2</f>
        <v>2.5374503155002268E-3</v>
      </c>
    </row>
    <row r="3" spans="1:17" x14ac:dyDescent="0.2">
      <c r="A3">
        <v>1</v>
      </c>
      <c r="B3" t="s">
        <v>55</v>
      </c>
      <c r="C3">
        <f>A3+6</f>
        <v>7</v>
      </c>
      <c r="D3" s="541" t="str">
        <f t="shared" ref="D3:D20" si="1">Currency&amp;A3&amp;B3&amp;C3&amp;"F"&amp;QuoteSuffix</f>
        <v>EUR1x7F_Quote</v>
      </c>
      <c r="E3" s="542">
        <f>_xll.qlCalendarAdvance("target",$E$2,A3&amp;"M","mf",,Trigger)</f>
        <v>41918</v>
      </c>
      <c r="F3" s="542">
        <f>_xll.qlCalendarAdvance(Calendar,E3,"6M","mf",,Trigger)</f>
        <v>42101</v>
      </c>
      <c r="G3" s="543">
        <f>_xll.qlQuoteValue(D3,AllTriggers)</f>
        <v>2.3499999999999997E-3</v>
      </c>
      <c r="H3" s="544" t="str">
        <f>_xll.qlMakeDatedOIS(,E3,F3,OvernightIndex,0,,,,EvaluationDate)</f>
        <v>obj_003a8#0000</v>
      </c>
      <c r="I3" s="543">
        <f>_xll.qlOvernightIndexedSwapFairRate(H3,AllTriggers)</f>
        <v>-9.0454181819716223E-5</v>
      </c>
      <c r="J3" s="545">
        <f t="shared" si="0"/>
        <v>2.4404541818197159E-3</v>
      </c>
      <c r="L3" s="551">
        <f>_xll.qlCalendarAdvance(Calendar,L2,"1M","f",,Trigger)</f>
        <v>41918</v>
      </c>
      <c r="M3" s="542">
        <f>_xll.qlCalendarAdvance(Calendar,L3,"3M","f",,Trigger)</f>
        <v>42010</v>
      </c>
      <c r="N3" s="544" t="str">
        <f>_xll.qlMakeDatedOIS(,L3,M3,OvernightIndex,0,,,,EvaluationDate)</f>
        <v>obj_003c8#0000</v>
      </c>
      <c r="O3" s="543">
        <f>_xll.qlIndexFixing("euribor6m",_xll.qlInterestRateIndexFixingDate("Euribor6M",L3),TRUE,AllTriggers)</f>
        <v>2.3499999997846511E-3</v>
      </c>
      <c r="P3" s="543">
        <f>_xll.qlOvernightIndexedSwapFairRate(N3,AllTriggers)</f>
        <v>-9.2861829257901121E-5</v>
      </c>
      <c r="Q3" s="545">
        <f t="shared" ref="Q3:Q66" si="2">O3-P3</f>
        <v>2.4428618290425522E-3</v>
      </c>
    </row>
    <row r="4" spans="1:17" x14ac:dyDescent="0.2">
      <c r="A4">
        <v>2</v>
      </c>
      <c r="B4" t="s">
        <v>55</v>
      </c>
      <c r="C4">
        <f t="shared" ref="C4:C20" si="3">A4+6</f>
        <v>8</v>
      </c>
      <c r="D4" s="541" t="str">
        <f t="shared" si="1"/>
        <v>EUR2x8F_Quote</v>
      </c>
      <c r="E4" s="542">
        <f>_xll.qlCalendarAdvance("target",$E$2,A4&amp;"M","mf",,Trigger)</f>
        <v>41948</v>
      </c>
      <c r="F4" s="542">
        <f>_xll.qlCalendarAdvance(Calendar,E4,"6M","mf",,Trigger)</f>
        <v>42129</v>
      </c>
      <c r="G4" s="543">
        <f>_xll.qlQuoteValue(D4,AllTriggers)</f>
        <v>2.32E-3</v>
      </c>
      <c r="H4" s="544" t="str">
        <f>_xll.qlMakeDatedOIS(,E4,F4,OvernightIndex,0,,,,EvaluationDate)</f>
        <v>obj_003ad#0000</v>
      </c>
      <c r="I4" s="543">
        <f>_xll.qlOvernightIndexedSwapFairRate(H4,AllTriggers)</f>
        <v>-1.124145565694841E-4</v>
      </c>
      <c r="J4" s="545">
        <f t="shared" si="0"/>
        <v>2.432414556569484E-3</v>
      </c>
      <c r="L4" s="551">
        <f>_xll.qlCalendarAdvance(Calendar,L3,"1M","f",,Trigger)</f>
        <v>41949</v>
      </c>
      <c r="M4" s="542">
        <f>_xll.qlCalendarAdvance(Calendar,L4,"3M","f",,Trigger)</f>
        <v>42041</v>
      </c>
      <c r="N4" s="544" t="str">
        <f>_xll.qlMakeDatedOIS(,L4,M4,OvernightIndex,0,,,,EvaluationDate)</f>
        <v>obj_003d8#0000</v>
      </c>
      <c r="O4" s="543">
        <f>_xll.qlIndexFixing("euribor6m",_xll.qlInterestRateIndexFixingDate("Euribor6M",L4),TRUE,AllTriggers)</f>
        <v>2.3194728197481122E-3</v>
      </c>
      <c r="P4" s="543">
        <f>_xll.qlOvernightIndexedSwapFairRate(N4,AllTriggers)</f>
        <v>-7.9564998595713944E-5</v>
      </c>
      <c r="Q4" s="545">
        <f t="shared" si="2"/>
        <v>2.399037818343826E-3</v>
      </c>
    </row>
    <row r="5" spans="1:17" x14ac:dyDescent="0.2">
      <c r="A5">
        <f>A4+1</f>
        <v>3</v>
      </c>
      <c r="B5" t="s">
        <v>55</v>
      </c>
      <c r="C5">
        <f t="shared" si="3"/>
        <v>9</v>
      </c>
      <c r="D5" s="541" t="str">
        <f t="shared" si="1"/>
        <v>EUR3x9F_Quote</v>
      </c>
      <c r="E5" s="542">
        <f>_xll.qlCalendarAdvance("target",$E$2,A5&amp;"M","mf",,Trigger)</f>
        <v>41978</v>
      </c>
      <c r="F5" s="542">
        <f>_xll.qlCalendarAdvance(Calendar,E5,"6M","mf",,Trigger)</f>
        <v>42160</v>
      </c>
      <c r="G5" s="543">
        <f>_xll.qlQuoteValue(D5,AllTriggers)</f>
        <v>2.2899999999999999E-3</v>
      </c>
      <c r="H5" s="544" t="str">
        <f>_xll.qlMakeDatedOIS(,E5,F5,OvernightIndex,0,,,,EvaluationDate)</f>
        <v>obj_003c7#0000</v>
      </c>
      <c r="I5" s="543">
        <f>_xll.qlOvernightIndexedSwapFairRate(H5,AllTriggers)</f>
        <v>-1.5406795868012381E-4</v>
      </c>
      <c r="J5" s="545">
        <f t="shared" si="0"/>
        <v>2.4440679586801239E-3</v>
      </c>
      <c r="L5" s="551">
        <f>_xll.qlCalendarAdvance(Calendar,L4,"1M","f",,Trigger)</f>
        <v>41981</v>
      </c>
      <c r="M5" s="542">
        <f>_xll.qlCalendarAdvance(Calendar,L5,"3M","f",,Trigger)</f>
        <v>42072</v>
      </c>
      <c r="N5" s="544" t="str">
        <f>_xll.qlMakeDatedOIS(,L5,M5,OvernightIndex,0,,,,EvaluationDate)</f>
        <v>obj_003df#0000</v>
      </c>
      <c r="O5" s="543">
        <f>_xll.qlIndexFixing("euribor6m",_xll.qlInterestRateIndexFixingDate("Euribor6M",L5),TRUE,AllTriggers)</f>
        <v>2.2870417309151202E-3</v>
      </c>
      <c r="P5" s="543">
        <f>_xll.qlOvernightIndexedSwapFairRate(N5,AllTriggers)</f>
        <v>-5.648365595728638E-5</v>
      </c>
      <c r="Q5" s="545">
        <f t="shared" si="2"/>
        <v>2.3435253868724065E-3</v>
      </c>
    </row>
    <row r="6" spans="1:17" x14ac:dyDescent="0.2">
      <c r="A6">
        <f t="shared" ref="A6:A20" si="4">A5+1</f>
        <v>4</v>
      </c>
      <c r="B6" t="s">
        <v>55</v>
      </c>
      <c r="C6">
        <f t="shared" si="3"/>
        <v>10</v>
      </c>
      <c r="D6" s="541" t="str">
        <f t="shared" si="1"/>
        <v>EUR4x10F_Quote</v>
      </c>
      <c r="E6" s="542">
        <f>_xll.qlCalendarAdvance("target",$E$2,A6&amp;"M","mf",,Trigger)</f>
        <v>42009</v>
      </c>
      <c r="F6" s="542">
        <f>_xll.qlCalendarAdvance(Calendar,E6,"6M","mf",,Trigger)</f>
        <v>42191</v>
      </c>
      <c r="G6" s="543">
        <f>_xll.qlQuoteValue(D6,AllTriggers)</f>
        <v>2.2699999999999999E-3</v>
      </c>
      <c r="H6" s="544" t="str">
        <f>_xll.qlMakeDatedOIS(,E6,F6,OvernightIndex,0,,,,EvaluationDate)</f>
        <v>obj_003a0#0000</v>
      </c>
      <c r="I6" s="543">
        <f>_xll.qlOvernightIndexedSwapFairRate(H6,AllTriggers)</f>
        <v>-1.7324578386428987E-4</v>
      </c>
      <c r="J6" s="545">
        <f t="shared" si="0"/>
        <v>2.4432457838642896E-3</v>
      </c>
      <c r="L6" s="551">
        <f>_xll.qlCalendarAdvance(Calendar,L5,"1M","f",,Trigger)</f>
        <v>42012</v>
      </c>
      <c r="M6" s="542">
        <f>_xll.qlCalendarAdvance(Calendar,L6,"3M","f",,Trigger)</f>
        <v>42102</v>
      </c>
      <c r="N6" s="544" t="str">
        <f>_xll.qlMakeDatedOIS(,L6,M6,OvernightIndex,0,,,,EvaluationDate)</f>
        <v>obj_003e0#0000</v>
      </c>
      <c r="O6" s="543">
        <f>_xll.qlIndexFixing("euribor6m",_xll.qlInterestRateIndexFixingDate("Euribor6M",L6),TRUE,AllTriggers)</f>
        <v>2.2699246076787181E-3</v>
      </c>
      <c r="P6" s="543">
        <f>_xll.qlOvernightIndexedSwapFairRate(N6,AllTriggers)</f>
        <v>-8.8889093489807891E-5</v>
      </c>
      <c r="Q6" s="545">
        <f t="shared" si="2"/>
        <v>2.358813701168526E-3</v>
      </c>
    </row>
    <row r="7" spans="1:17" x14ac:dyDescent="0.2">
      <c r="A7">
        <f t="shared" si="4"/>
        <v>5</v>
      </c>
      <c r="B7" t="s">
        <v>55</v>
      </c>
      <c r="C7">
        <f t="shared" si="3"/>
        <v>11</v>
      </c>
      <c r="D7" s="541" t="str">
        <f t="shared" si="1"/>
        <v>EUR5x11F_Quote</v>
      </c>
      <c r="E7" s="542">
        <f>_xll.qlCalendarAdvance("target",$E$2,A7&amp;"M","mf",,Trigger)</f>
        <v>42040</v>
      </c>
      <c r="F7" s="542">
        <f>_xll.qlCalendarAdvance(Calendar,E7,"6M","mf",,Trigger)</f>
        <v>42221</v>
      </c>
      <c r="G7" s="543">
        <f>_xll.qlQuoteValue(D7,AllTriggers)</f>
        <v>2.2599999999999999E-3</v>
      </c>
      <c r="H7" s="544" t="str">
        <f>_xll.qlMakeDatedOIS(,E7,F7,OvernightIndex,0,,,,EvaluationDate)</f>
        <v>obj_003bc#0000</v>
      </c>
      <c r="I7" s="543">
        <f>_xll.qlOvernightIndexedSwapFairRate(H7,AllTriggers)</f>
        <v>-1.998405588771394E-4</v>
      </c>
      <c r="J7" s="545">
        <f t="shared" si="0"/>
        <v>2.4598405588771395E-3</v>
      </c>
      <c r="L7" s="551">
        <f>_xll.qlCalendarAdvance(Calendar,L6,"1M","f",,Trigger)</f>
        <v>42044</v>
      </c>
      <c r="M7" s="542">
        <f>_xll.qlCalendarAdvance(Calendar,L7,"3M","f",,Trigger)</f>
        <v>42135</v>
      </c>
      <c r="N7" s="544" t="str">
        <f>_xll.qlMakeDatedOIS(,L7,M7,OvernightIndex,0,,,,EvaluationDate)</f>
        <v>obj_003e2#0000</v>
      </c>
      <c r="O7" s="543">
        <f>_xll.qlIndexFixing("euribor6m",_xll.qlInterestRateIndexFixingDate("Euribor6M",L7),TRUE,AllTriggers)</f>
        <v>2.2561477634723899E-3</v>
      </c>
      <c r="P7" s="543">
        <f>_xll.qlOvernightIndexedSwapFairRate(N7,AllTriggers)</f>
        <v>-1.6215454104034118E-4</v>
      </c>
      <c r="Q7" s="545">
        <f t="shared" si="2"/>
        <v>2.4183023045127312E-3</v>
      </c>
    </row>
    <row r="8" spans="1:17" x14ac:dyDescent="0.2">
      <c r="A8">
        <f t="shared" si="4"/>
        <v>6</v>
      </c>
      <c r="B8" t="s">
        <v>55</v>
      </c>
      <c r="C8">
        <f t="shared" si="3"/>
        <v>12</v>
      </c>
      <c r="D8" s="541" t="str">
        <f t="shared" si="1"/>
        <v>EUR6x12F_Quote</v>
      </c>
      <c r="E8" s="542">
        <f>_xll.qlCalendarAdvance("target",$E$2,A8&amp;"M","mf",,Trigger)</f>
        <v>42068</v>
      </c>
      <c r="F8" s="542">
        <f>_xll.qlCalendarAdvance(Calendar,E8,"6M","mf",,Trigger)</f>
        <v>42254</v>
      </c>
      <c r="G8" s="543">
        <f>_xll.qlQuoteValue(D8,AllTriggers)</f>
        <v>2.2400000000000002E-3</v>
      </c>
      <c r="H8" s="544" t="str">
        <f>_xll.qlMakeDatedOIS(,E8,F8,OvernightIndex,0,,,,EvaluationDate)</f>
        <v>obj_003bf#0000</v>
      </c>
      <c r="I8" s="543">
        <f>_xll.qlOvernightIndexedSwapFairRate(H8,AllTriggers)</f>
        <v>-2.6178181096353319E-4</v>
      </c>
      <c r="J8" s="545">
        <f t="shared" si="0"/>
        <v>2.5017818109635335E-3</v>
      </c>
      <c r="L8" s="551">
        <f>_xll.qlCalendarAdvance(Calendar,L7,"1M","f",,Trigger)</f>
        <v>42072</v>
      </c>
      <c r="M8" s="542">
        <f>_xll.qlCalendarAdvance(Calendar,L8,"3M","f",,Trigger)</f>
        <v>42164</v>
      </c>
      <c r="N8" s="544" t="str">
        <f>_xll.qlMakeDatedOIS(,L8,M8,OvernightIndex,0,,,,EvaluationDate)</f>
        <v>obj_003e3#0000</v>
      </c>
      <c r="O8" s="543">
        <f>_xll.qlIndexFixing("euribor6m",_xll.qlInterestRateIndexFixingDate("Euribor6M",L8),TRUE,AllTriggers)</f>
        <v>2.2395854915804028E-3</v>
      </c>
      <c r="P8" s="543">
        <f>_xll.qlOvernightIndexedSwapFairRate(N8,AllTriggers)</f>
        <v>-2.5742367038831789E-4</v>
      </c>
      <c r="Q8" s="545">
        <f t="shared" si="2"/>
        <v>2.4970091619687207E-3</v>
      </c>
    </row>
    <row r="9" spans="1:17" x14ac:dyDescent="0.2">
      <c r="A9">
        <f t="shared" si="4"/>
        <v>7</v>
      </c>
      <c r="B9" t="s">
        <v>55</v>
      </c>
      <c r="C9">
        <f t="shared" si="3"/>
        <v>13</v>
      </c>
      <c r="D9" s="541" t="str">
        <f t="shared" si="1"/>
        <v>EUR7x13F_Quote</v>
      </c>
      <c r="E9" s="542">
        <f>_xll.qlCalendarAdvance("target",$E$2,A9&amp;"M","mf",,Trigger)</f>
        <v>42101</v>
      </c>
      <c r="F9" s="542">
        <f>_xll.qlCalendarAdvance(Calendar,E9,"6M","mf",,Trigger)</f>
        <v>42284</v>
      </c>
      <c r="G9" s="543">
        <f>_xll.qlQuoteValue(D9,AllTriggers)</f>
        <v>2.2599999999999999E-3</v>
      </c>
      <c r="H9" s="544" t="str">
        <f>_xll.qlMakeDatedOIS(,E9,F9,OvernightIndex,0,,,,EvaluationDate)</f>
        <v>obj_0039d#0000</v>
      </c>
      <c r="I9" s="543">
        <f>_xll.qlOvernightIndexedSwapFairRate(H9,AllTriggers)</f>
        <v>-2.7552444605925754E-4</v>
      </c>
      <c r="J9" s="545">
        <f t="shared" si="0"/>
        <v>2.5355244460592572E-3</v>
      </c>
      <c r="L9" s="551">
        <f>_xll.qlCalendarAdvance(Calendar,L8,"1M","f",,Trigger)</f>
        <v>42103</v>
      </c>
      <c r="M9" s="542">
        <f>_xll.qlCalendarAdvance(Calendar,L9,"3M","f",,Trigger)</f>
        <v>42194</v>
      </c>
      <c r="N9" s="544" t="str">
        <f>_xll.qlMakeDatedOIS(,L9,M9,OvernightIndex,0,,,,EvaluationDate)</f>
        <v>obj_003e4#0000</v>
      </c>
      <c r="O9" s="543">
        <f>_xll.qlIndexFixing("euribor6m",_xll.qlInterestRateIndexFixingDate("Euribor6M",L9),TRUE,AllTriggers)</f>
        <v>2.262015294253311E-3</v>
      </c>
      <c r="P9" s="543">
        <f>_xll.qlOvernightIndexedSwapFairRate(N9,AllTriggers)</f>
        <v>-2.6005834193132036E-4</v>
      </c>
      <c r="Q9" s="545">
        <f t="shared" si="2"/>
        <v>2.5220736361846316E-3</v>
      </c>
    </row>
    <row r="10" spans="1:17" x14ac:dyDescent="0.2">
      <c r="A10">
        <f t="shared" si="4"/>
        <v>8</v>
      </c>
      <c r="B10" t="s">
        <v>55</v>
      </c>
      <c r="C10">
        <f t="shared" si="3"/>
        <v>14</v>
      </c>
      <c r="D10" s="541" t="str">
        <f t="shared" si="1"/>
        <v>EUR8x14F_Quote</v>
      </c>
      <c r="E10" s="542">
        <f>_xll.qlCalendarAdvance("target",$E$2,A10&amp;"M","mf",,Trigger)</f>
        <v>42129</v>
      </c>
      <c r="F10" s="542">
        <f>_xll.qlCalendarAdvance(Calendar,E10,"6M","mf",,Trigger)</f>
        <v>42313</v>
      </c>
      <c r="G10" s="543">
        <f>_xll.qlQuoteValue(D10,AllTriggers)</f>
        <v>2.2899999999999999E-3</v>
      </c>
      <c r="H10" s="544" t="str">
        <f>_xll.qlMakeDatedOIS(,E10,F10,OvernightIndex,0,,,,EvaluationDate)</f>
        <v>obj_003a3#0000</v>
      </c>
      <c r="I10" s="543">
        <f>_xll.qlOvernightIndexedSwapFairRate(H10,AllTriggers)</f>
        <v>-2.7517765957037991E-4</v>
      </c>
      <c r="J10" s="545">
        <f t="shared" si="0"/>
        <v>2.5651776595703797E-3</v>
      </c>
      <c r="L10" s="551">
        <f>_xll.qlCalendarAdvance(Calendar,L9,"1M","f",,Trigger)</f>
        <v>42135</v>
      </c>
      <c r="M10" s="542">
        <f>_xll.qlCalendarAdvance(Calendar,L10,"3M","f",,Trigger)</f>
        <v>42227</v>
      </c>
      <c r="N10" s="544" t="str">
        <f>_xll.qlMakeDatedOIS(,L10,M10,OvernightIndex,0,,,,EvaluationDate)</f>
        <v>obj_003e5#0000</v>
      </c>
      <c r="O10" s="543">
        <f>_xll.qlIndexFixing("euribor6m",_xll.qlInterestRateIndexFixingDate("Euribor6M",L10),TRUE,AllTriggers)</f>
        <v>2.2963052824814087E-3</v>
      </c>
      <c r="P10" s="543">
        <f>_xll.qlOvernightIndexedSwapFairRate(N10,AllTriggers)</f>
        <v>-2.5728998362709152E-4</v>
      </c>
      <c r="Q10" s="545">
        <f t="shared" si="2"/>
        <v>2.5535952661085003E-3</v>
      </c>
    </row>
    <row r="11" spans="1:17" x14ac:dyDescent="0.2">
      <c r="A11">
        <f t="shared" si="4"/>
        <v>9</v>
      </c>
      <c r="B11" t="s">
        <v>55</v>
      </c>
      <c r="C11">
        <f t="shared" si="3"/>
        <v>15</v>
      </c>
      <c r="D11" s="541" t="str">
        <f t="shared" si="1"/>
        <v>EUR9x15F_Quote</v>
      </c>
      <c r="E11" s="542">
        <f>_xll.qlCalendarAdvance("target",$E$2,A11&amp;"M","mf",,Trigger)</f>
        <v>42160</v>
      </c>
      <c r="F11" s="542">
        <f>_xll.qlCalendarAdvance(Calendar,E11,"6M","mf",,Trigger)</f>
        <v>42345</v>
      </c>
      <c r="G11" s="543">
        <f>_xll.qlQuoteValue(D11,AllTriggers)</f>
        <v>2.33E-3</v>
      </c>
      <c r="H11" s="544" t="str">
        <f>_xll.qlMakeDatedOIS(,E11,F11,OvernightIndex,0,,,,EvaluationDate)</f>
        <v>obj_003ae#0000</v>
      </c>
      <c r="I11" s="543">
        <f>_xll.qlOvernightIndexedSwapFairRate(H11,AllTriggers)</f>
        <v>-2.6854145061660763E-4</v>
      </c>
      <c r="J11" s="545">
        <f t="shared" si="0"/>
        <v>2.5985414506166076E-3</v>
      </c>
      <c r="L11" s="551">
        <f>_xll.qlCalendarAdvance(Calendar,L10,"1M","f",,Trigger)</f>
        <v>42166</v>
      </c>
      <c r="M11" s="542">
        <f>_xll.qlCalendarAdvance(Calendar,L11,"3M","f",,Trigger)</f>
        <v>42258</v>
      </c>
      <c r="N11" s="544" t="str">
        <f>_xll.qlMakeDatedOIS(,L11,M11,OvernightIndex,0,,,,EvaluationDate)</f>
        <v>obj_003e6#0000</v>
      </c>
      <c r="O11" s="543">
        <f>_xll.qlIndexFixing("euribor6m",_xll.qlInterestRateIndexFixingDate("Euribor6M",L11),TRUE,AllTriggers)</f>
        <v>2.3391883501841381E-3</v>
      </c>
      <c r="P11" s="543">
        <f>_xll.qlOvernightIndexedSwapFairRate(N11,AllTriggers)</f>
        <v>-2.7930993094741393E-4</v>
      </c>
      <c r="Q11" s="545">
        <f t="shared" si="2"/>
        <v>2.618498281131552E-3</v>
      </c>
    </row>
    <row r="12" spans="1:17" x14ac:dyDescent="0.2">
      <c r="A12">
        <f t="shared" si="4"/>
        <v>10</v>
      </c>
      <c r="B12" t="s">
        <v>55</v>
      </c>
      <c r="C12">
        <f t="shared" si="3"/>
        <v>16</v>
      </c>
      <c r="D12" s="541" t="str">
        <f t="shared" si="1"/>
        <v>EUR10x16F_Quote</v>
      </c>
      <c r="E12" s="542">
        <f>_xll.qlCalendarAdvance("target",$E$2,A12&amp;"M","mf",,Trigger)</f>
        <v>42191</v>
      </c>
      <c r="F12" s="542">
        <f>_xll.qlCalendarAdvance(Calendar,E12,"6M","mf",,Trigger)</f>
        <v>42375</v>
      </c>
      <c r="G12" s="543">
        <f>_xll.qlQuoteValue(D12,AllTriggers)</f>
        <v>2.3899999999999998E-3</v>
      </c>
      <c r="H12" s="544" t="str">
        <f>_xll.qlMakeDatedOIS(,E12,F12,OvernightIndex,0,,,,EvaluationDate)</f>
        <v>obj_003cb#0000</v>
      </c>
      <c r="I12" s="543">
        <f>_xll.qlOvernightIndexedSwapFairRate(H12,AllTriggers)</f>
        <v>-2.5277367979813166E-4</v>
      </c>
      <c r="J12" s="545">
        <f t="shared" si="0"/>
        <v>2.6427736797981316E-3</v>
      </c>
      <c r="L12" s="551">
        <f>_xll.qlCalendarAdvance(Calendar,L11,"1M","f",,Trigger)</f>
        <v>42198</v>
      </c>
      <c r="M12" s="542">
        <f>_xll.qlCalendarAdvance(Calendar,L12,"3M","f",,Trigger)</f>
        <v>42290</v>
      </c>
      <c r="N12" s="544" t="str">
        <f>_xll.qlMakeDatedOIS(,L12,M12,OvernightIndex,0,,,,EvaluationDate)</f>
        <v>obj_003e7#0000</v>
      </c>
      <c r="O12" s="543">
        <f>_xll.qlIndexFixing("euribor6m",_xll.qlInterestRateIndexFixingDate("Euribor6M",L12),TRUE,AllTriggers)</f>
        <v>2.4040427158643295E-3</v>
      </c>
      <c r="P12" s="543">
        <f>_xll.qlOvernightIndexedSwapFairRate(N12,AllTriggers)</f>
        <v>-2.9234710462368855E-4</v>
      </c>
      <c r="Q12" s="545">
        <f t="shared" si="2"/>
        <v>2.6963898204880182E-3</v>
      </c>
    </row>
    <row r="13" spans="1:17" x14ac:dyDescent="0.2">
      <c r="A13">
        <f t="shared" si="4"/>
        <v>11</v>
      </c>
      <c r="B13" t="s">
        <v>55</v>
      </c>
      <c r="C13">
        <f t="shared" si="3"/>
        <v>17</v>
      </c>
      <c r="D13" s="541" t="str">
        <f t="shared" si="1"/>
        <v>EUR11x17F_Quote</v>
      </c>
      <c r="E13" s="542">
        <f>_xll.qlCalendarAdvance("target",$E$2,A13&amp;"M","mf",,Trigger)</f>
        <v>42221</v>
      </c>
      <c r="F13" s="542">
        <f>_xll.qlCalendarAdvance(Calendar,E13,"6M","mf",,Trigger)</f>
        <v>42405</v>
      </c>
      <c r="G13" s="543">
        <f>_xll.qlQuoteValue(D13,AllTriggers)</f>
        <v>2.4499999999999999E-3</v>
      </c>
      <c r="H13" s="544" t="str">
        <f>_xll.qlMakeDatedOIS(,E13,F13,OvernightIndex,0,,,,EvaluationDate)</f>
        <v>obj_003b9#0000</v>
      </c>
      <c r="I13" s="543">
        <f>_xll.qlOvernightIndexedSwapFairRate(H13,AllTriggers)</f>
        <v>-2.3293688247446066E-4</v>
      </c>
      <c r="J13" s="545">
        <f t="shared" si="0"/>
        <v>2.6829368824744606E-3</v>
      </c>
      <c r="L13" s="551">
        <f>_xll.qlCalendarAdvance(Calendar,L12,"1M","f",,Trigger)</f>
        <v>42229</v>
      </c>
      <c r="M13" s="542">
        <f>_xll.qlCalendarAdvance(Calendar,L13,"3M","f",,Trigger)</f>
        <v>42321</v>
      </c>
      <c r="N13" s="544" t="str">
        <f>_xll.qlMakeDatedOIS(,L13,M13,OvernightIndex,0,,,,EvaluationDate)</f>
        <v>obj_003e8#0000</v>
      </c>
      <c r="O13" s="543">
        <f>_xll.qlIndexFixing("euribor6m",_xll.qlInterestRateIndexFixingDate("Euribor6M",L13),TRUE,AllTriggers)</f>
        <v>2.4670433966539158E-3</v>
      </c>
      <c r="P13" s="543">
        <f>_xll.qlOvernightIndexedSwapFairRate(N13,AllTriggers)</f>
        <v>-2.8831903779099564E-4</v>
      </c>
      <c r="Q13" s="545">
        <f t="shared" si="2"/>
        <v>2.7553624344449114E-3</v>
      </c>
    </row>
    <row r="14" spans="1:17" x14ac:dyDescent="0.2">
      <c r="A14">
        <f t="shared" si="4"/>
        <v>12</v>
      </c>
      <c r="B14" t="s">
        <v>55</v>
      </c>
      <c r="C14">
        <f t="shared" si="3"/>
        <v>18</v>
      </c>
      <c r="D14" s="541" t="str">
        <f t="shared" si="1"/>
        <v>EUR12x18F_Quote</v>
      </c>
      <c r="E14" s="542">
        <f>_xll.qlCalendarAdvance("target",$E$2,A14&amp;"M","mf",,Trigger)</f>
        <v>42254</v>
      </c>
      <c r="F14" s="542">
        <f>_xll.qlCalendarAdvance(Calendar,E14,"6M","mf",,Trigger)</f>
        <v>42436</v>
      </c>
      <c r="G14" s="543">
        <f>_xll.qlQuoteValue(D14,AllTriggers)</f>
        <v>2.5200000000000001E-3</v>
      </c>
      <c r="H14" s="544" t="str">
        <f>_xll.qlMakeDatedOIS(,E14,F14,OvernightIndex,0,,,,EvaluationDate)</f>
        <v>obj_003ca#0000</v>
      </c>
      <c r="I14" s="543">
        <f>_xll.qlOvernightIndexedSwapFairRate(H14,AllTriggers)</f>
        <v>-1.9016289655959684E-4</v>
      </c>
      <c r="J14" s="545">
        <f t="shared" si="0"/>
        <v>2.7101628965595969E-3</v>
      </c>
      <c r="L14" s="551">
        <f>_xll.qlCalendarAdvance(Calendar,L13,"1M","f",,Trigger)</f>
        <v>42261</v>
      </c>
      <c r="M14" s="542">
        <f>_xll.qlCalendarAdvance(Calendar,L14,"3M","f",,Trigger)</f>
        <v>42352</v>
      </c>
      <c r="N14" s="544" t="str">
        <f>_xll.qlMakeDatedOIS(,L14,M14,OvernightIndex,0,,,,EvaluationDate)</f>
        <v>obj_003e9#0000</v>
      </c>
      <c r="O14" s="543">
        <f>_xll.qlIndexFixing("euribor6m",_xll.qlInterestRateIndexFixingDate("Euribor6M",L14),TRUE,AllTriggers)</f>
        <v>2.5337902097297351E-3</v>
      </c>
      <c r="P14" s="543">
        <f>_xll.qlOvernightIndexedSwapFairRate(N14,AllTriggers)</f>
        <v>-2.4981002196723499E-4</v>
      </c>
      <c r="Q14" s="545">
        <f t="shared" si="2"/>
        <v>2.78360023169697E-3</v>
      </c>
    </row>
    <row r="15" spans="1:17" x14ac:dyDescent="0.2">
      <c r="A15">
        <f t="shared" si="4"/>
        <v>13</v>
      </c>
      <c r="B15" t="s">
        <v>55</v>
      </c>
      <c r="C15">
        <f t="shared" si="3"/>
        <v>19</v>
      </c>
      <c r="D15" s="541" t="str">
        <f t="shared" si="1"/>
        <v>EUR13x19F_Quote</v>
      </c>
      <c r="E15" s="542">
        <f>_xll.qlCalendarAdvance("target",$E$2,A15&amp;"M","mf",,Trigger)</f>
        <v>42282</v>
      </c>
      <c r="F15" s="542">
        <f>_xll.qlCalendarAdvance(Calendar,E15,"6M","mf",,Trigger)</f>
        <v>42465</v>
      </c>
      <c r="G15" s="543">
        <f>_xll.qlQuoteValue(D15,AllTriggers)</f>
        <v>2.5800000000000003E-3</v>
      </c>
      <c r="H15" s="544" t="str">
        <f>_xll.qlMakeDatedOIS(,E15,F15,OvernightIndex,0,,,,EvaluationDate)</f>
        <v>obj_0039c#0000</v>
      </c>
      <c r="I15" s="543">
        <f>_xll.qlOvernightIndexedSwapFairRate(H15,AllTriggers)</f>
        <v>-1.5389537577844249E-4</v>
      </c>
      <c r="J15" s="545">
        <f t="shared" si="0"/>
        <v>2.7338953757784427E-3</v>
      </c>
      <c r="L15" s="551">
        <f>_xll.qlCalendarAdvance(Calendar,L14,"1M","f",,Trigger)</f>
        <v>42291</v>
      </c>
      <c r="M15" s="542">
        <f>_xll.qlCalendarAdvance(Calendar,L15,"3M","f",,Trigger)</f>
        <v>42383</v>
      </c>
      <c r="N15" s="544" t="str">
        <f>_xll.qlMakeDatedOIS(,L15,M15,OvernightIndex,0,,,,EvaluationDate)</f>
        <v>obj_003ea#0000</v>
      </c>
      <c r="O15" s="543">
        <f>_xll.qlIndexFixing("euribor6m",_xll.qlInterestRateIndexFixingDate("Euribor6M",L15),TRUE,AllTriggers)</f>
        <v>2.6027849603803394E-3</v>
      </c>
      <c r="P15" s="543">
        <f>_xll.qlOvernightIndexedSwapFairRate(N15,AllTriggers)</f>
        <v>-2.024260325474691E-4</v>
      </c>
      <c r="Q15" s="545">
        <f t="shared" si="2"/>
        <v>2.8052109929278084E-3</v>
      </c>
    </row>
    <row r="16" spans="1:17" x14ac:dyDescent="0.2">
      <c r="A16">
        <f t="shared" si="4"/>
        <v>14</v>
      </c>
      <c r="B16" t="s">
        <v>55</v>
      </c>
      <c r="C16">
        <f t="shared" si="3"/>
        <v>20</v>
      </c>
      <c r="D16" s="541" t="str">
        <f t="shared" si="1"/>
        <v>EUR14x20F_Quote</v>
      </c>
      <c r="E16" s="542">
        <f>_xll.qlCalendarAdvance("target",$E$2,A16&amp;"M","mf",,Trigger)</f>
        <v>42313</v>
      </c>
      <c r="F16" s="542">
        <f>_xll.qlCalendarAdvance(Calendar,E16,"6M","mf",,Trigger)</f>
        <v>42495</v>
      </c>
      <c r="G16" s="543">
        <f>_xll.qlQuoteValue(D16,AllTriggers)</f>
        <v>2.66E-3</v>
      </c>
      <c r="H16" s="544" t="str">
        <f>_xll.qlMakeDatedOIS(,E16,F16,OvernightIndex,0,,,,EvaluationDate)</f>
        <v>obj_003c3#0000</v>
      </c>
      <c r="I16" s="543">
        <f>_xll.qlOvernightIndexedSwapFairRate(H16,AllTriggers)</f>
        <v>-1.1518325999586651E-4</v>
      </c>
      <c r="J16" s="545">
        <f t="shared" si="0"/>
        <v>2.7751832599958665E-3</v>
      </c>
      <c r="L16" s="551">
        <f>_xll.qlCalendarAdvance(Calendar,L15,"1M","f",,Trigger)</f>
        <v>42324</v>
      </c>
      <c r="M16" s="542">
        <f>_xll.qlCalendarAdvance(Calendar,L16,"3M","f",,Trigger)</f>
        <v>42416</v>
      </c>
      <c r="N16" s="544" t="str">
        <f>_xll.qlMakeDatedOIS(,L16,M16,OvernightIndex,0,,,,EvaluationDate)</f>
        <v>obj_003eb#0000</v>
      </c>
      <c r="O16" s="543">
        <f>_xll.qlIndexFixing("euribor6m",_xll.qlInterestRateIndexFixingDate("Euribor6M",L16),TRUE,AllTriggers)</f>
        <v>2.6887343031043237E-3</v>
      </c>
      <c r="P16" s="543">
        <f>_xll.qlOvernightIndexedSwapFairRate(N16,AllTriggers)</f>
        <v>-1.5185899594989972E-4</v>
      </c>
      <c r="Q16" s="545">
        <f t="shared" si="2"/>
        <v>2.8405932990542234E-3</v>
      </c>
    </row>
    <row r="17" spans="1:17" x14ac:dyDescent="0.2">
      <c r="A17">
        <f t="shared" si="4"/>
        <v>15</v>
      </c>
      <c r="B17" t="s">
        <v>55</v>
      </c>
      <c r="C17">
        <f t="shared" si="3"/>
        <v>21</v>
      </c>
      <c r="D17" s="541" t="str">
        <f t="shared" si="1"/>
        <v>EUR15x21F_Quote</v>
      </c>
      <c r="E17" s="542">
        <f>_xll.qlCalendarAdvance("target",$E$2,A17&amp;"M","mf",,Trigger)</f>
        <v>42345</v>
      </c>
      <c r="F17" s="542">
        <f>_xll.qlCalendarAdvance(Calendar,E17,"6M","mf",,Trigger)</f>
        <v>42528</v>
      </c>
      <c r="G17" s="543">
        <f>_xll.qlQuoteValue(D17,AllTriggers)</f>
        <v>2.7400000000000002E-3</v>
      </c>
      <c r="H17" s="544" t="str">
        <f>_xll.qlMakeDatedOIS(,E17,F17,OvernightIndex,0,,,,EvaluationDate)</f>
        <v>obj_003b6#0000</v>
      </c>
      <c r="I17" s="543">
        <f>_xll.qlOvernightIndexedSwapFairRate(H17,AllTriggers)</f>
        <v>-7.2732817987599104E-5</v>
      </c>
      <c r="J17" s="545">
        <f t="shared" si="0"/>
        <v>2.8127328179875992E-3</v>
      </c>
      <c r="L17" s="551">
        <f>_xll.qlCalendarAdvance(Calendar,L16,"1M","f",,Trigger)</f>
        <v>42354</v>
      </c>
      <c r="M17" s="542">
        <f>_xll.qlCalendarAdvance(Calendar,L17,"3M","f",,Trigger)</f>
        <v>42445</v>
      </c>
      <c r="N17" s="544" t="str">
        <f>_xll.qlMakeDatedOIS(,L17,M17,OvernightIndex,0,,,,EvaluationDate)</f>
        <v>obj_003ec#0000</v>
      </c>
      <c r="O17" s="543">
        <f>_xll.qlIndexFixing("euribor6m",_xll.qlInterestRateIndexFixingDate("Euribor6M",L17),TRUE,AllTriggers)</f>
        <v>2.7606260005157719E-3</v>
      </c>
      <c r="P17" s="543">
        <f>_xll.qlOvernightIndexedSwapFairRate(N17,AllTriggers)</f>
        <v>-1.1074619412158732E-4</v>
      </c>
      <c r="Q17" s="545">
        <f t="shared" si="2"/>
        <v>2.8713721946373593E-3</v>
      </c>
    </row>
    <row r="18" spans="1:17" x14ac:dyDescent="0.2">
      <c r="A18">
        <f t="shared" si="4"/>
        <v>16</v>
      </c>
      <c r="B18" t="s">
        <v>55</v>
      </c>
      <c r="C18">
        <f t="shared" si="3"/>
        <v>22</v>
      </c>
      <c r="D18" s="541" t="str">
        <f t="shared" si="1"/>
        <v>EUR16x22F_Quote</v>
      </c>
      <c r="E18" s="542">
        <f>_xll.qlCalendarAdvance("target",$E$2,A18&amp;"M","mf",,Trigger)</f>
        <v>42374</v>
      </c>
      <c r="F18" s="542">
        <f>_xll.qlCalendarAdvance(Calendar,E18,"6M","mf",,Trigger)</f>
        <v>42556</v>
      </c>
      <c r="G18" s="543">
        <f>_xll.qlQuoteValue(D18,AllTriggers)</f>
        <v>2.8100000000000004E-3</v>
      </c>
      <c r="H18" s="544" t="str">
        <f>_xll.qlMakeDatedOIS(,E18,F18,OvernightIndex,0,,,,EvaluationDate)</f>
        <v>obj_003bb#0000</v>
      </c>
      <c r="I18" s="543">
        <f>_xll.qlOvernightIndexedSwapFairRate(H18,AllTriggers)</f>
        <v>-1.5346553675107923E-5</v>
      </c>
      <c r="J18" s="545">
        <f t="shared" si="0"/>
        <v>2.8253465536751082E-3</v>
      </c>
      <c r="L18" s="551">
        <f>_xll.qlCalendarAdvance(Calendar,L17,"1M","f",,Trigger)</f>
        <v>42387</v>
      </c>
      <c r="M18" s="542">
        <f>_xll.qlCalendarAdvance(Calendar,L18,"3M","f",,Trigger)</f>
        <v>42478</v>
      </c>
      <c r="N18" s="544" t="str">
        <f>_xll.qlMakeDatedOIS(,L18,M18,OvernightIndex,0,,,,EvaluationDate)</f>
        <v>obj_003ed#0000</v>
      </c>
      <c r="O18" s="543">
        <f>_xll.qlIndexFixing("euribor6m",_xll.qlInterestRateIndexFixingDate("Euribor6M",L18),TRUE,AllTriggers)</f>
        <v>2.8493840303058524E-3</v>
      </c>
      <c r="P18" s="543">
        <f>_xll.qlOvernightIndexedSwapFairRate(N18,AllTriggers)</f>
        <v>-7.7990008181209376E-5</v>
      </c>
      <c r="Q18" s="545">
        <f t="shared" si="2"/>
        <v>2.9273740384870616E-3</v>
      </c>
    </row>
    <row r="19" spans="1:17" x14ac:dyDescent="0.2">
      <c r="A19">
        <f t="shared" si="4"/>
        <v>17</v>
      </c>
      <c r="B19" t="s">
        <v>55</v>
      </c>
      <c r="C19">
        <f t="shared" si="3"/>
        <v>23</v>
      </c>
      <c r="D19" s="541" t="str">
        <f t="shared" si="1"/>
        <v>EUR17x23F_Quote</v>
      </c>
      <c r="E19" s="542">
        <f>_xll.qlCalendarAdvance("target",$E$2,A19&amp;"M","mf",,Trigger)</f>
        <v>42405</v>
      </c>
      <c r="F19" s="542">
        <f>_xll.qlCalendarAdvance(Calendar,E19,"6M","mf",,Trigger)</f>
        <v>42587</v>
      </c>
      <c r="G19" s="543">
        <f>_xll.qlQuoteValue(D19,AllTriggers)</f>
        <v>2.9100000000000003E-3</v>
      </c>
      <c r="H19" s="544" t="str">
        <f>_xll.qlMakeDatedOIS(,E19,F19,OvernightIndex,0,,,,EvaluationDate)</f>
        <v>obj_003b3#0000</v>
      </c>
      <c r="I19" s="543">
        <f>_xll.qlOvernightIndexedSwapFairRate(H19,AllTriggers)</f>
        <v>4.7904592309230682E-5</v>
      </c>
      <c r="J19" s="545">
        <f t="shared" si="0"/>
        <v>2.8620954076907694E-3</v>
      </c>
      <c r="L19" s="551">
        <f>_xll.qlCalendarAdvance(Calendar,L18,"1M","f",,Trigger)</f>
        <v>42418</v>
      </c>
      <c r="M19" s="542">
        <f>_xll.qlCalendarAdvance(Calendar,L19,"3M","f",,Trigger)</f>
        <v>42508</v>
      </c>
      <c r="N19" s="544" t="str">
        <f>_xll.qlMakeDatedOIS(,L19,M19,OvernightIndex,0,,,,EvaluationDate)</f>
        <v>obj_003ee#0000</v>
      </c>
      <c r="O19" s="543">
        <f>_xll.qlIndexFixing("euribor6m",_xll.qlInterestRateIndexFixingDate("Euribor6M",L19),TRUE,AllTriggers)</f>
        <v>2.954249671643378E-3</v>
      </c>
      <c r="P19" s="543">
        <f>_xll.qlOvernightIndexedSwapFairRate(N19,AllTriggers)</f>
        <v>-4.7417326383136782E-5</v>
      </c>
      <c r="Q19" s="545">
        <f t="shared" si="2"/>
        <v>3.0016669980265148E-3</v>
      </c>
    </row>
    <row r="20" spans="1:17" ht="12" thickBot="1" x14ac:dyDescent="0.25">
      <c r="A20">
        <f t="shared" si="4"/>
        <v>18</v>
      </c>
      <c r="B20" t="s">
        <v>55</v>
      </c>
      <c r="C20">
        <f t="shared" si="3"/>
        <v>24</v>
      </c>
      <c r="D20" s="546" t="str">
        <f t="shared" si="1"/>
        <v>EUR18x24F_Quote</v>
      </c>
      <c r="E20" s="547">
        <f>_xll.qlCalendarAdvance("target",$E$2,A20&amp;"M","mf",,Trigger)</f>
        <v>42436</v>
      </c>
      <c r="F20" s="547">
        <f>_xll.qlCalendarAdvance(Calendar,E20,"6M","mf",,Trigger)</f>
        <v>42620</v>
      </c>
      <c r="G20" s="548">
        <f>_xll.qlQuoteValue(D20,AllTriggers)</f>
        <v>3.0100000000000005E-3</v>
      </c>
      <c r="H20" s="544" t="str">
        <f>_xll.qlMakeDatedOIS(,E20,F20,OvernightIndex,0,,,,EvaluationDate)</f>
        <v>obj_003b7#0000</v>
      </c>
      <c r="I20" s="548">
        <f>_xll.qlOvernightIndexedSwapFairRate(H20,AllTriggers)</f>
        <v>1.2126845237296807E-4</v>
      </c>
      <c r="J20" s="550">
        <f t="shared" si="0"/>
        <v>2.8887315476270325E-3</v>
      </c>
      <c r="L20" s="551">
        <f>_xll.qlCalendarAdvance(Calendar,L19,"1M","f",,Trigger)</f>
        <v>42447</v>
      </c>
      <c r="M20" s="542">
        <f>_xll.qlCalendarAdvance(Calendar,L20,"3M","f",,Trigger)</f>
        <v>42541</v>
      </c>
      <c r="N20" s="544" t="str">
        <f>_xll.qlMakeDatedOIS(,L20,M20,OvernightIndex,0,,,,EvaluationDate)</f>
        <v>obj_003ef#0000</v>
      </c>
      <c r="O20" s="543">
        <f>_xll.qlIndexFixing("euribor6m",_xll.qlInterestRateIndexFixingDate("Euribor6M",L20),TRUE,AllTriggers)</f>
        <v>3.0370626416361471E-3</v>
      </c>
      <c r="P20" s="543">
        <f>_xll.qlOvernightIndexedSwapFairRate(N20,AllTriggers)</f>
        <v>1.2501311625039471E-5</v>
      </c>
      <c r="Q20" s="545">
        <f t="shared" si="2"/>
        <v>3.0245613300111077E-3</v>
      </c>
    </row>
    <row r="21" spans="1:17" x14ac:dyDescent="0.2">
      <c r="E21" s="537"/>
      <c r="F21" s="537"/>
      <c r="G21" s="536"/>
      <c r="H21" s="553"/>
      <c r="I21" s="536"/>
      <c r="J21" s="536"/>
      <c r="L21" s="551">
        <f>_xll.qlCalendarAdvance(Calendar,L20,"1M","f",,Trigger)</f>
        <v>42478</v>
      </c>
      <c r="M21" s="542">
        <f>_xll.qlCalendarAdvance(Calendar,L21,"3M","f",,Trigger)</f>
        <v>42569</v>
      </c>
      <c r="N21" s="544" t="str">
        <f>_xll.qlMakeDatedOIS(,L21,M21,OvernightIndex,0,,,,EvaluationDate)</f>
        <v>obj_003f0#0000</v>
      </c>
      <c r="O21" s="543">
        <f>_xll.qlIndexFixing("euribor6m",_xll.qlInterestRateIndexFixingDate("Euribor6M",L21),TRUE,AllTriggers)</f>
        <v>3.0798439611043568E-3</v>
      </c>
      <c r="P21" s="543">
        <f>_xll.qlOvernightIndexedSwapFairRate(N21,AllTriggers)</f>
        <v>1.0034773485914548E-4</v>
      </c>
      <c r="Q21" s="545">
        <f t="shared" si="2"/>
        <v>2.9794962262452112E-3</v>
      </c>
    </row>
    <row r="22" spans="1:17" x14ac:dyDescent="0.2">
      <c r="E22" s="537"/>
      <c r="F22" s="537"/>
      <c r="G22" s="536"/>
      <c r="I22" s="536"/>
      <c r="J22" s="536"/>
      <c r="L22" s="551">
        <f>_xll.qlCalendarAdvance(Calendar,L21,"1M","f",,Trigger)</f>
        <v>42508</v>
      </c>
      <c r="M22" s="542">
        <f>_xll.qlCalendarAdvance(Calendar,L22,"3M","f",,Trigger)</f>
        <v>42600</v>
      </c>
      <c r="N22" s="544" t="str">
        <f>_xll.qlMakeDatedOIS(,L22,M22,OvernightIndex,0,,,,EvaluationDate)</f>
        <v>obj_003f1#0000</v>
      </c>
      <c r="O22" s="543">
        <f>_xll.qlIndexFixing("euribor6m",_xll.qlInterestRateIndexFixingDate("Euribor6M",L22),TRUE,AllTriggers)</f>
        <v>3.1436537509495995E-3</v>
      </c>
      <c r="P22" s="543">
        <f>_xll.qlOvernightIndexedSwapFairRate(N22,AllTriggers)</f>
        <v>1.9363050641569944E-4</v>
      </c>
      <c r="Q22" s="545">
        <f t="shared" si="2"/>
        <v>2.9500232445339E-3</v>
      </c>
    </row>
    <row r="23" spans="1:17" x14ac:dyDescent="0.2">
      <c r="E23" s="537"/>
      <c r="F23" s="537"/>
      <c r="G23" s="536"/>
      <c r="I23" s="536"/>
      <c r="J23" s="536"/>
      <c r="L23" s="551">
        <f>_xll.qlCalendarAdvance(Calendar,L22,"1M","f",,Trigger)</f>
        <v>42541</v>
      </c>
      <c r="M23" s="542">
        <f>_xll.qlCalendarAdvance(Calendar,L23,"3M","f",,Trigger)</f>
        <v>42633</v>
      </c>
      <c r="N23" s="544" t="str">
        <f>_xll.qlMakeDatedOIS(,L23,M23,OvernightIndex,0,,,,EvaluationDate)</f>
        <v>obj_003f2#0000</v>
      </c>
      <c r="O23" s="543">
        <f>_xll.qlIndexFixing("euribor6m",_xll.qlInterestRateIndexFixingDate("Euribor6M",L23),TRUE,AllTriggers)</f>
        <v>3.2774394702972387E-3</v>
      </c>
      <c r="P23" s="543">
        <f>_xll.qlOvernightIndexedSwapFairRate(N23,AllTriggers)</f>
        <v>3.8042162674175066E-4</v>
      </c>
      <c r="Q23" s="545">
        <f t="shared" si="2"/>
        <v>2.897017843555488E-3</v>
      </c>
    </row>
    <row r="24" spans="1:17" x14ac:dyDescent="0.2">
      <c r="E24" s="537"/>
      <c r="F24" s="537"/>
      <c r="G24" s="536"/>
      <c r="I24" s="536"/>
      <c r="J24" s="536"/>
      <c r="L24" s="551">
        <f>_xll.qlCalendarAdvance(Calendar,L23,"1M","f",,Trigger)</f>
        <v>42571</v>
      </c>
      <c r="M24" s="542">
        <f>_xll.qlCalendarAdvance(Calendar,L24,"3M","f",,Trigger)</f>
        <v>42663</v>
      </c>
      <c r="N24" s="544" t="str">
        <f>_xll.qlMakeDatedOIS(,L24,M24,OvernightIndex,0,,,,EvaluationDate)</f>
        <v>obj_003f3#0000</v>
      </c>
      <c r="O24" s="543">
        <f>_xll.qlIndexFixing("euribor6m",_xll.qlInterestRateIndexFixingDate("Euribor6M",L24),TRUE,AllTriggers)</f>
        <v>3.4161823448425094E-3</v>
      </c>
      <c r="P24" s="543">
        <f>_xll.qlOvernightIndexedSwapFairRate(N24,AllTriggers)</f>
        <v>6.3793956530116375E-4</v>
      </c>
      <c r="Q24" s="545">
        <f t="shared" si="2"/>
        <v>2.7782427795413457E-3</v>
      </c>
    </row>
    <row r="25" spans="1:17" x14ac:dyDescent="0.2">
      <c r="E25" s="537"/>
      <c r="F25" s="537"/>
      <c r="G25" s="536"/>
      <c r="I25" s="536"/>
      <c r="J25" s="536"/>
      <c r="L25" s="551">
        <f>_xll.qlCalendarAdvance(Calendar,L24,"1M","f",,Trigger)</f>
        <v>42604</v>
      </c>
      <c r="M25" s="542">
        <f>_xll.qlCalendarAdvance(Calendar,L25,"3M","f",,Trigger)</f>
        <v>42696</v>
      </c>
      <c r="N25" s="544" t="str">
        <f>_xll.qlMakeDatedOIS(,L25,M25,OvernightIndex,0,,,,EvaluationDate)</f>
        <v>obj_003f4#0000</v>
      </c>
      <c r="O25" s="543">
        <f>_xll.qlIndexFixing("euribor6m",_xll.qlInterestRateIndexFixingDate("Euribor6M",L25),TRUE,AllTriggers)</f>
        <v>3.5799852539478757E-3</v>
      </c>
      <c r="P25" s="543">
        <f>_xll.qlOvernightIndexedSwapFairRate(N25,AllTriggers)</f>
        <v>9.2122886997737395E-4</v>
      </c>
      <c r="Q25" s="545">
        <f t="shared" si="2"/>
        <v>2.6587563839705016E-3</v>
      </c>
    </row>
    <row r="26" spans="1:17" x14ac:dyDescent="0.2">
      <c r="E26" s="537"/>
      <c r="F26" s="537"/>
      <c r="G26" s="536"/>
      <c r="I26" s="536"/>
      <c r="J26" s="536"/>
      <c r="L26" s="551">
        <f>_xll.qlCalendarAdvance(Calendar,L25,"1M","f",,Trigger)</f>
        <v>42635</v>
      </c>
      <c r="M26" s="542">
        <f>_xll.qlCalendarAdvance(Calendar,L26,"3M","f",,Trigger)</f>
        <v>42726</v>
      </c>
      <c r="N26" s="544" t="str">
        <f>_xll.qlMakeDatedOIS(,L26,M26,OvernightIndex,0,,,,EvaluationDate)</f>
        <v>obj_003f5#0000</v>
      </c>
      <c r="O26" s="543">
        <f>_xll.qlIndexFixing("euribor6m",_xll.qlInterestRateIndexFixingDate("Euribor6M",L26),TRUE,AllTriggers)</f>
        <v>3.7464094285553588E-3</v>
      </c>
      <c r="P26" s="543">
        <f>_xll.qlOvernightIndexedSwapFairRate(N26,AllTriggers)</f>
        <v>1.0414169001041957E-3</v>
      </c>
      <c r="Q26" s="545">
        <f t="shared" si="2"/>
        <v>2.7049925284511629E-3</v>
      </c>
    </row>
    <row r="27" spans="1:17" x14ac:dyDescent="0.2">
      <c r="E27" s="537"/>
      <c r="F27" s="537"/>
      <c r="G27" s="536"/>
      <c r="I27" s="536"/>
      <c r="J27" s="536"/>
      <c r="L27" s="551">
        <f>_xll.qlCalendarAdvance(Calendar,L26,"1M","f",,Trigger)</f>
        <v>42667</v>
      </c>
      <c r="M27" s="542">
        <f>_xll.qlCalendarAdvance(Calendar,L27,"3M","f",,Trigger)</f>
        <v>42759</v>
      </c>
      <c r="N27" s="544" t="str">
        <f>_xll.qlMakeDatedOIS(,L27,M27,OvernightIndex,0,,,,EvaluationDate)</f>
        <v>obj_003f6#0000</v>
      </c>
      <c r="O27" s="543">
        <f>_xll.qlIndexFixing("euribor6m",_xll.qlInterestRateIndexFixingDate("Euribor6M",L27),TRUE,AllTriggers)</f>
        <v>3.9322380993514396E-3</v>
      </c>
      <c r="P27" s="543">
        <f>_xll.qlOvernightIndexedSwapFairRate(N27,AllTriggers)</f>
        <v>1.0414184062921079E-3</v>
      </c>
      <c r="Q27" s="545">
        <f t="shared" si="2"/>
        <v>2.8908196930593315E-3</v>
      </c>
    </row>
    <row r="28" spans="1:17" x14ac:dyDescent="0.2">
      <c r="E28" s="537"/>
      <c r="F28" s="537"/>
      <c r="G28" s="536"/>
      <c r="I28" s="536"/>
      <c r="J28" s="536"/>
      <c r="L28" s="551">
        <f>_xll.qlCalendarAdvance(Calendar,L27,"1M","f",,Trigger)</f>
        <v>42698</v>
      </c>
      <c r="M28" s="542">
        <f>_xll.qlCalendarAdvance(Calendar,L28,"3M","f",,Trigger)</f>
        <v>42790</v>
      </c>
      <c r="N28" s="544" t="str">
        <f>_xll.qlMakeDatedOIS(,L28,M28,OvernightIndex,0,,,,EvaluationDate)</f>
        <v>obj_003f7#0000</v>
      </c>
      <c r="O28" s="543">
        <f>_xll.qlIndexFixing("euribor6m",_xll.qlInterestRateIndexFixingDate("Euribor6M",L28),TRUE,AllTriggers)</f>
        <v>4.1078345421528498E-3</v>
      </c>
      <c r="P28" s="543">
        <f>_xll.qlOvernightIndexedSwapFairRate(N28,AllTriggers)</f>
        <v>1.0414184062921081E-3</v>
      </c>
      <c r="Q28" s="545">
        <f t="shared" si="2"/>
        <v>3.0664161358607417E-3</v>
      </c>
    </row>
    <row r="29" spans="1:17" x14ac:dyDescent="0.2">
      <c r="E29" s="537"/>
      <c r="F29" s="537"/>
      <c r="G29" s="536"/>
      <c r="I29" s="536"/>
      <c r="J29" s="536"/>
      <c r="L29" s="551">
        <f>_xll.qlCalendarAdvance(Calendar,L28,"1M","f",,Trigger)</f>
        <v>42731</v>
      </c>
      <c r="M29" s="542">
        <f>_xll.qlCalendarAdvance(Calendar,L29,"3M","f",,Trigger)</f>
        <v>42821</v>
      </c>
      <c r="N29" s="544" t="str">
        <f>_xll.qlMakeDatedOIS(,L29,M29,OvernightIndex,0,,,,EvaluationDate)</f>
        <v>obj_003f8#0000</v>
      </c>
      <c r="O29" s="543">
        <f>_xll.qlIndexFixing("euribor6m",_xll.qlInterestRateIndexFixingDate("Euribor6M",L29),TRUE,AllTriggers)</f>
        <v>4.3022266253013421E-3</v>
      </c>
      <c r="P29" s="543">
        <f>_xll.qlOvernightIndexedSwapFairRate(N29,AllTriggers)</f>
        <v>1.0414153939199977E-3</v>
      </c>
      <c r="Q29" s="545">
        <f t="shared" si="2"/>
        <v>3.2608112313813444E-3</v>
      </c>
    </row>
    <row r="30" spans="1:17" x14ac:dyDescent="0.2">
      <c r="E30" s="537"/>
      <c r="F30" s="537"/>
      <c r="G30" s="536"/>
      <c r="I30" s="536"/>
      <c r="J30" s="536"/>
      <c r="L30" s="551">
        <f>_xll.qlCalendarAdvance(Calendar,L29,"1M","f",,Trigger)</f>
        <v>42762</v>
      </c>
      <c r="M30" s="542">
        <f>_xll.qlCalendarAdvance(Calendar,L30,"3M","f",,Trigger)</f>
        <v>42852</v>
      </c>
      <c r="N30" s="544" t="str">
        <f>_xll.qlMakeDatedOIS(,L30,M30,OvernightIndex,0,,,,EvaluationDate)</f>
        <v>obj_003f9#0000</v>
      </c>
      <c r="O30" s="543">
        <f>_xll.qlIndexFixing("euribor6m",_xll.qlInterestRateIndexFixingDate("Euribor6M",L30),TRUE,AllTriggers)</f>
        <v>4.4804280146912064E-3</v>
      </c>
      <c r="P30" s="543">
        <f>_xll.qlOvernightIndexedSwapFairRate(N30,AllTriggers)</f>
        <v>1.0414153939208859E-3</v>
      </c>
      <c r="Q30" s="545">
        <f t="shared" si="2"/>
        <v>3.4390126207703205E-3</v>
      </c>
    </row>
    <row r="31" spans="1:17" x14ac:dyDescent="0.2">
      <c r="E31" s="537"/>
      <c r="F31" s="537"/>
      <c r="G31" s="536"/>
      <c r="I31" s="536"/>
      <c r="J31" s="536"/>
      <c r="L31" s="551">
        <f>_xll.qlCalendarAdvance(Calendar,L30,"1M","f",,Trigger)</f>
        <v>42793</v>
      </c>
      <c r="M31" s="542">
        <f>_xll.qlCalendarAdvance(Calendar,L31,"3M","f",,Trigger)</f>
        <v>42884</v>
      </c>
      <c r="N31" s="544" t="str">
        <f>_xll.qlMakeDatedOIS(,L31,M31,OvernightIndex,0,,,,EvaluationDate)</f>
        <v>obj_003fa#0000</v>
      </c>
      <c r="O31" s="543">
        <f>_xll.qlIndexFixing("euribor6m",_xll.qlInterestRateIndexFixingDate("Euribor6M",L31),TRUE,AllTriggers)</f>
        <v>4.6658751969652877E-3</v>
      </c>
      <c r="P31" s="543">
        <f>_xll.qlOvernightIndexedSwapFairRate(N31,AllTriggers)</f>
        <v>1.0414169001050743E-3</v>
      </c>
      <c r="Q31" s="545">
        <f t="shared" si="2"/>
        <v>3.6244582968602132E-3</v>
      </c>
    </row>
    <row r="32" spans="1:17" x14ac:dyDescent="0.2">
      <c r="E32" s="537"/>
      <c r="F32" s="537"/>
      <c r="G32" s="536"/>
      <c r="I32" s="536"/>
      <c r="J32" s="536"/>
      <c r="L32" s="551">
        <f>_xll.qlCalendarAdvance(Calendar,L31,"1M","f",,Trigger)</f>
        <v>42821</v>
      </c>
      <c r="M32" s="542">
        <f>_xll.qlCalendarAdvance(Calendar,L32,"3M","f",,Trigger)</f>
        <v>42913</v>
      </c>
      <c r="N32" s="544" t="str">
        <f>_xll.qlMakeDatedOIS(,L32,M32,OvernightIndex,0,,,,EvaluationDate)</f>
        <v>obj_003fb#0000</v>
      </c>
      <c r="O32" s="543">
        <f>_xll.qlIndexFixing("euribor6m",_xll.qlInterestRateIndexFixingDate("Euribor6M",L32),TRUE,AllTriggers)</f>
        <v>4.8378728543858225E-3</v>
      </c>
      <c r="P32" s="543">
        <f>_xll.qlOvernightIndexedSwapFairRate(N32,AllTriggers)</f>
        <v>1.0414184062921079E-3</v>
      </c>
      <c r="Q32" s="545">
        <f t="shared" si="2"/>
        <v>3.7964544480937144E-3</v>
      </c>
    </row>
    <row r="33" spans="5:17" x14ac:dyDescent="0.2">
      <c r="E33" s="537"/>
      <c r="F33" s="537"/>
      <c r="G33" s="536"/>
      <c r="I33" s="536"/>
      <c r="J33" s="536"/>
      <c r="L33" s="551">
        <f>_xll.qlCalendarAdvance(Calendar,L32,"1M","f",,Trigger)</f>
        <v>42852</v>
      </c>
      <c r="M33" s="542">
        <f>_xll.qlCalendarAdvance(Calendar,L33,"3M","f",,Trigger)</f>
        <v>42943</v>
      </c>
      <c r="N33" s="544" t="str">
        <f>_xll.qlMakeDatedOIS(,L33,M33,OvernightIndex,0,,,,EvaluationDate)</f>
        <v>obj_003fc#0000</v>
      </c>
      <c r="O33" s="543">
        <f>_xll.qlIndexFixing("euribor6m",_xll.qlInterestRateIndexFixingDate("Euribor6M",L33),TRUE,AllTriggers)</f>
        <v>5.0201998785104158E-3</v>
      </c>
      <c r="P33" s="543">
        <f>_xll.qlOvernightIndexedSwapFairRate(N33,AllTriggers)</f>
        <v>1.0414169001050743E-3</v>
      </c>
      <c r="Q33" s="545">
        <f t="shared" si="2"/>
        <v>3.9787829784053413E-3</v>
      </c>
    </row>
    <row r="34" spans="5:17" x14ac:dyDescent="0.2">
      <c r="E34" s="537"/>
      <c r="F34" s="537"/>
      <c r="G34" s="536"/>
      <c r="I34" s="536"/>
      <c r="J34" s="536"/>
      <c r="L34" s="551">
        <f>_xll.qlCalendarAdvance(Calendar,L33,"1M","f",,Trigger)</f>
        <v>42884</v>
      </c>
      <c r="M34" s="542">
        <f>_xll.qlCalendarAdvance(Calendar,L34,"3M","f",,Trigger)</f>
        <v>42976</v>
      </c>
      <c r="N34" s="544" t="str">
        <f>_xll.qlMakeDatedOIS(,L34,M34,OvernightIndex,0,,,,EvaluationDate)</f>
        <v>obj_003fd#0000</v>
      </c>
      <c r="O34" s="543">
        <f>_xll.qlIndexFixing("euribor6m",_xll.qlInterestRateIndexFixingDate("Euribor6M",L34),TRUE,AllTriggers)</f>
        <v>5.2170265046524522E-3</v>
      </c>
      <c r="P34" s="543">
        <f>_xll.qlOvernightIndexedSwapFairRate(N34,AllTriggers)</f>
        <v>1.0414184062921081E-3</v>
      </c>
      <c r="Q34" s="545">
        <f t="shared" si="2"/>
        <v>4.1756080983603441E-3</v>
      </c>
    </row>
    <row r="35" spans="5:17" x14ac:dyDescent="0.2">
      <c r="E35" s="537"/>
      <c r="F35" s="537"/>
      <c r="G35" s="536"/>
      <c r="I35" s="536"/>
      <c r="J35" s="536"/>
      <c r="L35" s="551">
        <f>_xll.qlCalendarAdvance(Calendar,L34,"1M","f",,Trigger)</f>
        <v>42915</v>
      </c>
      <c r="M35" s="542">
        <f>_xll.qlCalendarAdvance(Calendar,L35,"3M","f",,Trigger)</f>
        <v>43007</v>
      </c>
      <c r="N35" s="544" t="str">
        <f>_xll.qlMakeDatedOIS(,L35,M35,OvernightIndex,0,,,,EvaluationDate)</f>
        <v>obj_003fe#0000</v>
      </c>
      <c r="O35" s="543">
        <f>_xll.qlIndexFixing("euribor6m",_xll.qlInterestRateIndexFixingDate("Euribor6M",L35),TRUE,AllTriggers)</f>
        <v>5.4044126171390004E-3</v>
      </c>
      <c r="P35" s="543">
        <f>_xll.qlOvernightIndexedSwapFairRate(N35,AllTriggers)</f>
        <v>1.553843982461631E-3</v>
      </c>
      <c r="Q35" s="545">
        <f t="shared" si="2"/>
        <v>3.8505686346773692E-3</v>
      </c>
    </row>
    <row r="36" spans="5:17" x14ac:dyDescent="0.2">
      <c r="E36" s="537"/>
      <c r="F36" s="537"/>
      <c r="G36" s="536"/>
      <c r="I36" s="536"/>
      <c r="J36" s="536"/>
      <c r="L36" s="551">
        <f>_xll.qlCalendarAdvance(Calendar,L35,"1M","f",,Trigger)</f>
        <v>42947</v>
      </c>
      <c r="M36" s="542">
        <f>_xll.qlCalendarAdvance(Calendar,L36,"3M","f",,Trigger)</f>
        <v>43039</v>
      </c>
      <c r="N36" s="544" t="str">
        <f>_xll.qlMakeDatedOIS(,L36,M36,OvernightIndex,0,,,,EvaluationDate)</f>
        <v>obj_003ff#0000</v>
      </c>
      <c r="O36" s="543">
        <f>_xll.qlIndexFixing("euribor6m",_xll.qlInterestRateIndexFixingDate("Euribor6M",L36),TRUE,AllTriggers)</f>
        <v>5.6079270077351974E-3</v>
      </c>
      <c r="P36" s="543">
        <f>_xll.qlOvernightIndexedSwapFairRate(N36,AllTriggers)</f>
        <v>2.2371824414089427E-3</v>
      </c>
      <c r="Q36" s="545">
        <f t="shared" si="2"/>
        <v>3.3707445663262547E-3</v>
      </c>
    </row>
    <row r="37" spans="5:17" x14ac:dyDescent="0.2">
      <c r="E37" s="537"/>
      <c r="F37" s="537"/>
      <c r="G37" s="536"/>
      <c r="I37" s="536"/>
      <c r="J37" s="536"/>
      <c r="L37" s="551">
        <f>_xll.qlCalendarAdvance(Calendar,L36,"1M","f",,Trigger)</f>
        <v>42978</v>
      </c>
      <c r="M37" s="542">
        <f>_xll.qlCalendarAdvance(Calendar,L37,"3M","f",,Trigger)</f>
        <v>43069</v>
      </c>
      <c r="N37" s="544" t="str">
        <f>_xll.qlMakeDatedOIS(,L37,M37,OvernightIndex,0,,,,EvaluationDate)</f>
        <v>obj_00400#0000</v>
      </c>
      <c r="O37" s="543">
        <f>_xll.qlIndexFixing("euribor6m",_xll.qlInterestRateIndexFixingDate("Euribor6M",L37),TRUE,AllTriggers)</f>
        <v>5.7959963898507544E-3</v>
      </c>
      <c r="P37" s="543">
        <f>_xll.qlOvernightIndexedSwapFairRate(N37,AllTriggers)</f>
        <v>2.8980950470337539E-3</v>
      </c>
      <c r="Q37" s="545">
        <f t="shared" si="2"/>
        <v>2.8979013428170005E-3</v>
      </c>
    </row>
    <row r="38" spans="5:17" x14ac:dyDescent="0.2">
      <c r="E38" s="537"/>
      <c r="F38" s="537"/>
      <c r="G38" s="536"/>
      <c r="I38" s="536"/>
      <c r="J38" s="536"/>
      <c r="L38" s="551">
        <f>_xll.qlCalendarAdvance(Calendar,L37,"1M","f",,Trigger)</f>
        <v>43010</v>
      </c>
      <c r="M38" s="542">
        <f>_xll.qlCalendarAdvance(Calendar,L38,"3M","f",,Trigger)</f>
        <v>43102</v>
      </c>
      <c r="N38" s="544" t="str">
        <f>_xll.qlMakeDatedOIS(,L38,M38,OvernightIndex,0,,,,EvaluationDate)</f>
        <v>obj_00401#0000</v>
      </c>
      <c r="O38" s="543">
        <f>_xll.qlIndexFixing("euribor6m",_xll.qlInterestRateIndexFixingDate("Euribor6M",L38),TRUE,AllTriggers)</f>
        <v>6.0118549960803212E-3</v>
      </c>
      <c r="P38" s="543">
        <f>_xll.qlOvernightIndexedSwapFairRate(N38,AllTriggers)</f>
        <v>3.0060807912180502E-3</v>
      </c>
      <c r="Q38" s="545">
        <f t="shared" si="2"/>
        <v>3.0057742048622709E-3</v>
      </c>
    </row>
    <row r="39" spans="5:17" x14ac:dyDescent="0.2">
      <c r="E39" s="537"/>
      <c r="F39" s="537"/>
      <c r="G39" s="536"/>
      <c r="I39" s="536"/>
      <c r="J39" s="536"/>
      <c r="L39" s="551">
        <f>_xll.qlCalendarAdvance(Calendar,L38,"1M","f",,Trigger)</f>
        <v>43041</v>
      </c>
      <c r="M39" s="542">
        <f>_xll.qlCalendarAdvance(Calendar,L39,"3M","f",,Trigger)</f>
        <v>43133</v>
      </c>
      <c r="N39" s="544" t="str">
        <f>_xll.qlMakeDatedOIS(,L39,M39,OvernightIndex,0,,,,EvaluationDate)</f>
        <v>obj_00402#0000</v>
      </c>
      <c r="O39" s="543">
        <f>_xll.qlIndexFixing("euribor6m",_xll.qlInterestRateIndexFixingDate("Euribor6M",L39),TRUE,AllTriggers)</f>
        <v>6.212202925393249E-3</v>
      </c>
      <c r="P39" s="543">
        <f>_xll.qlOvernightIndexedSwapFairRate(N39,AllTriggers)</f>
        <v>3.0060807912180511E-3</v>
      </c>
      <c r="Q39" s="545">
        <f t="shared" si="2"/>
        <v>3.2061221341751979E-3</v>
      </c>
    </row>
    <row r="40" spans="5:17" x14ac:dyDescent="0.2">
      <c r="E40" s="537"/>
      <c r="F40" s="537"/>
      <c r="G40" s="536"/>
      <c r="I40" s="536"/>
      <c r="J40" s="536"/>
      <c r="L40" s="551">
        <f>_xll.qlCalendarAdvance(Calendar,L39,"1M","f",,Trigger)</f>
        <v>43073</v>
      </c>
      <c r="M40" s="542">
        <f>_xll.qlCalendarAdvance(Calendar,L40,"3M","f",,Trigger)</f>
        <v>43164</v>
      </c>
      <c r="N40" s="544" t="str">
        <f>_xll.qlMakeDatedOIS(,L40,M40,OvernightIndex,0,,,,EvaluationDate)</f>
        <v>obj_00403#0000</v>
      </c>
      <c r="O40" s="543">
        <f>_xll.qlIndexFixing("euribor6m",_xll.qlInterestRateIndexFixingDate("Euribor6M",L40),TRUE,AllTriggers)</f>
        <v>6.4345728694641955E-3</v>
      </c>
      <c r="P40" s="543">
        <f>_xll.qlOvernightIndexedSwapFairRate(N40,AllTriggers)</f>
        <v>3.006068243741672E-3</v>
      </c>
      <c r="Q40" s="545">
        <f t="shared" si="2"/>
        <v>3.4285046257225235E-3</v>
      </c>
    </row>
    <row r="41" spans="5:17" x14ac:dyDescent="0.2">
      <c r="E41" s="537"/>
      <c r="F41" s="537"/>
      <c r="G41" s="536"/>
      <c r="I41" s="536"/>
      <c r="J41" s="536"/>
      <c r="L41" s="551">
        <f>_xll.qlCalendarAdvance(Calendar,L40,"1M","f",,Trigger)</f>
        <v>43104</v>
      </c>
      <c r="M41" s="542">
        <f>_xll.qlCalendarAdvance(Calendar,L41,"3M","f",,Trigger)</f>
        <v>43194</v>
      </c>
      <c r="N41" s="544" t="str">
        <f>_xll.qlMakeDatedOIS(,L41,M41,OvernightIndex,0,,,,EvaluationDate)</f>
        <v>obj_00404#0000</v>
      </c>
      <c r="O41" s="543">
        <f>_xll.qlIndexFixing("euribor6m",_xll.qlInterestRateIndexFixingDate("Euribor6M",L41),TRUE,AllTriggers)</f>
        <v>6.6476692380286837E-3</v>
      </c>
      <c r="P41" s="543">
        <f>_xll.qlOvernightIndexedSwapFairRate(N41,AllTriggers)</f>
        <v>3.0060556963338314E-3</v>
      </c>
      <c r="Q41" s="545">
        <f t="shared" si="2"/>
        <v>3.6416135416948523E-3</v>
      </c>
    </row>
    <row r="42" spans="5:17" x14ac:dyDescent="0.2">
      <c r="E42" s="537"/>
      <c r="F42" s="537"/>
      <c r="G42" s="536"/>
      <c r="I42" s="536"/>
      <c r="J42" s="536"/>
      <c r="L42" s="551">
        <f>_xll.qlCalendarAdvance(Calendar,L41,"1M","f",,Trigger)</f>
        <v>43136</v>
      </c>
      <c r="M42" s="542">
        <f>_xll.qlCalendarAdvance(Calendar,L42,"3M","f",,Trigger)</f>
        <v>43227</v>
      </c>
      <c r="N42" s="544" t="str">
        <f>_xll.qlMakeDatedOIS(,L42,M42,OvernightIndex,0,,,,EvaluationDate)</f>
        <v>obj_00405#0000</v>
      </c>
      <c r="O42" s="543">
        <f>_xll.qlIndexFixing("euribor6m",_xll.qlInterestRateIndexFixingDate("Euribor6M",L42),TRUE,AllTriggers)</f>
        <v>6.8799881095172139E-3</v>
      </c>
      <c r="P42" s="543">
        <f>_xll.qlOvernightIndexedSwapFairRate(N42,AllTriggers)</f>
        <v>3.0060682437416716E-3</v>
      </c>
      <c r="Q42" s="545">
        <f t="shared" si="2"/>
        <v>3.8739198657755424E-3</v>
      </c>
    </row>
    <row r="43" spans="5:17" x14ac:dyDescent="0.2">
      <c r="E43" s="537"/>
      <c r="F43" s="537"/>
      <c r="G43" s="536"/>
      <c r="I43" s="536"/>
      <c r="J43" s="536"/>
      <c r="L43" s="551">
        <f>_xll.qlCalendarAdvance(Calendar,L42,"1M","f",,Trigger)</f>
        <v>43164</v>
      </c>
      <c r="M43" s="542">
        <f>_xll.qlCalendarAdvance(Calendar,L43,"3M","f",,Trigger)</f>
        <v>43256</v>
      </c>
      <c r="N43" s="544" t="str">
        <f>_xll.qlMakeDatedOIS(,L43,M43,OvernightIndex,0,,,,EvaluationDate)</f>
        <v>obj_00406#0000</v>
      </c>
      <c r="O43" s="543">
        <f>_xll.qlIndexFixing("euribor6m",_xll.qlInterestRateIndexFixingDate("Euribor6M",L43),TRUE,AllTriggers)</f>
        <v>7.0917868624942801E-3</v>
      </c>
      <c r="P43" s="543">
        <f>_xll.qlOvernightIndexedSwapFairRate(N43,AllTriggers)</f>
        <v>3.0060807912180507E-3</v>
      </c>
      <c r="Q43" s="545">
        <f t="shared" si="2"/>
        <v>4.0857060712762294E-3</v>
      </c>
    </row>
    <row r="44" spans="5:17" x14ac:dyDescent="0.2">
      <c r="E44" s="537"/>
      <c r="F44" s="537"/>
      <c r="G44" s="536"/>
      <c r="I44" s="536"/>
      <c r="J44" s="536"/>
      <c r="L44" s="551">
        <f>_xll.qlCalendarAdvance(Calendar,L43,"1M","f",,Trigger)</f>
        <v>43195</v>
      </c>
      <c r="M44" s="542">
        <f>_xll.qlCalendarAdvance(Calendar,L44,"3M","f",,Trigger)</f>
        <v>43286</v>
      </c>
      <c r="N44" s="544" t="str">
        <f>_xll.qlMakeDatedOIS(,L44,M44,OvernightIndex,0,,,,EvaluationDate)</f>
        <v>obj_00407#0000</v>
      </c>
      <c r="O44" s="543">
        <f>_xll.qlIndexFixing("euribor6m",_xll.qlInterestRateIndexFixingDate("Euribor6M",L44),TRUE,AllTriggers)</f>
        <v>7.3184307092390042E-3</v>
      </c>
      <c r="P44" s="543">
        <f>_xll.qlOvernightIndexedSwapFairRate(N44,AllTriggers)</f>
        <v>3.006068243741672E-3</v>
      </c>
      <c r="Q44" s="545">
        <f t="shared" si="2"/>
        <v>4.3123624654973318E-3</v>
      </c>
    </row>
    <row r="45" spans="5:17" x14ac:dyDescent="0.2">
      <c r="E45" s="537"/>
      <c r="F45" s="537"/>
      <c r="G45" s="536"/>
      <c r="I45" s="536"/>
      <c r="J45" s="536"/>
      <c r="L45" s="551">
        <f>_xll.qlCalendarAdvance(Calendar,L44,"1M","f",,Trigger)</f>
        <v>43227</v>
      </c>
      <c r="M45" s="542">
        <f>_xll.qlCalendarAdvance(Calendar,L45,"3M","f",,Trigger)</f>
        <v>43319</v>
      </c>
      <c r="N45" s="544" t="str">
        <f>_xll.qlMakeDatedOIS(,L45,M45,OvernightIndex,0,,,,EvaluationDate)</f>
        <v>obj_00408#0000</v>
      </c>
      <c r="O45" s="543">
        <f>_xll.qlIndexFixing("euribor6m",_xll.qlInterestRateIndexFixingDate("Euribor6M",L45),TRUE,AllTriggers)</f>
        <v>7.5646594696003305E-3</v>
      </c>
      <c r="P45" s="543">
        <f>_xll.qlOvernightIndexedSwapFairRate(N45,AllTriggers)</f>
        <v>3.0060807912180507E-3</v>
      </c>
      <c r="Q45" s="545">
        <f t="shared" si="2"/>
        <v>4.5585786783822798E-3</v>
      </c>
    </row>
    <row r="46" spans="5:17" x14ac:dyDescent="0.2">
      <c r="E46" s="537"/>
      <c r="F46" s="537"/>
      <c r="G46" s="536"/>
      <c r="I46" s="536"/>
      <c r="J46" s="536"/>
      <c r="L46" s="551">
        <f>_xll.qlCalendarAdvance(Calendar,L45,"1M","f",,Trigger)</f>
        <v>43258</v>
      </c>
      <c r="M46" s="542">
        <f>_xll.qlCalendarAdvance(Calendar,L46,"3M","f",,Trigger)</f>
        <v>43350</v>
      </c>
      <c r="N46" s="544" t="str">
        <f>_xll.qlMakeDatedOIS(,L46,M46,OvernightIndex,0,,,,EvaluationDate)</f>
        <v>obj_00409#0000</v>
      </c>
      <c r="O46" s="543">
        <f>_xll.qlIndexFixing("euribor6m",_xll.qlInterestRateIndexFixingDate("Euribor6M",L46),TRUE,AllTriggers)</f>
        <v>7.7991012969828516E-3</v>
      </c>
      <c r="P46" s="543">
        <f>_xll.qlOvernightIndexedSwapFairRate(N46,AllTriggers)</f>
        <v>3.0620606712408378E-3</v>
      </c>
      <c r="Q46" s="545">
        <f t="shared" si="2"/>
        <v>4.7370406257420134E-3</v>
      </c>
    </row>
    <row r="47" spans="5:17" x14ac:dyDescent="0.2">
      <c r="E47" s="537"/>
      <c r="F47" s="537"/>
      <c r="G47" s="536"/>
      <c r="I47" s="536"/>
      <c r="J47" s="536"/>
      <c r="L47" s="551">
        <f>_xll.qlCalendarAdvance(Calendar,L46,"1M","f",,Trigger)</f>
        <v>43290</v>
      </c>
      <c r="M47" s="542">
        <f>_xll.qlCalendarAdvance(Calendar,L47,"3M","f",,Trigger)</f>
        <v>43382</v>
      </c>
      <c r="N47" s="544" t="str">
        <f>_xll.qlMakeDatedOIS(,L47,M47,OvernightIndex,0,,,,EvaluationDate)</f>
        <v>obj_0040a#0000</v>
      </c>
      <c r="O47" s="543">
        <f>_xll.qlIndexFixing("euribor6m",_xll.qlInterestRateIndexFixingDate("Euribor6M",L47),TRUE,AllTriggers)</f>
        <v>8.0525015180320184E-3</v>
      </c>
      <c r="P47" s="543">
        <f>_xll.qlOvernightIndexedSwapFairRate(N47,AllTriggers)</f>
        <v>3.9578475908804171E-3</v>
      </c>
      <c r="Q47" s="545">
        <f t="shared" si="2"/>
        <v>4.0946539271516013E-3</v>
      </c>
    </row>
    <row r="48" spans="5:17" x14ac:dyDescent="0.2">
      <c r="E48" s="537"/>
      <c r="F48" s="537"/>
      <c r="G48" s="536"/>
      <c r="I48" s="536"/>
      <c r="J48" s="536"/>
      <c r="L48" s="551">
        <f>_xll.qlCalendarAdvance(Calendar,L47,"1M","f",,Trigger)</f>
        <v>43321</v>
      </c>
      <c r="M48" s="542">
        <f>_xll.qlCalendarAdvance(Calendar,L48,"3M","f",,Trigger)</f>
        <v>43413</v>
      </c>
      <c r="N48" s="544" t="str">
        <f>_xll.qlMakeDatedOIS(,L48,M48,OvernightIndex,0,,,,EvaluationDate)</f>
        <v>obj_0040b#0000</v>
      </c>
      <c r="O48" s="543">
        <f>_xll.qlIndexFixing("euribor6m",_xll.qlInterestRateIndexFixingDate("Euribor6M",L48),TRUE,AllTriggers)</f>
        <v>8.3048909431883092E-3</v>
      </c>
      <c r="P48" s="543">
        <f>_xll.qlOvernightIndexedSwapFairRate(N48,AllTriggers)</f>
        <v>4.8258365700652919E-3</v>
      </c>
      <c r="Q48" s="545">
        <f t="shared" si="2"/>
        <v>3.4790543731230174E-3</v>
      </c>
    </row>
    <row r="49" spans="5:17" x14ac:dyDescent="0.2">
      <c r="E49" s="537"/>
      <c r="F49" s="537"/>
      <c r="G49" s="536"/>
      <c r="I49" s="536"/>
      <c r="J49" s="536"/>
      <c r="L49" s="551">
        <f>_xll.qlCalendarAdvance(Calendar,L48,"1M","f",,Trigger)</f>
        <v>43353</v>
      </c>
      <c r="M49" s="542">
        <f>_xll.qlCalendarAdvance(Calendar,L49,"3M","f",,Trigger)</f>
        <v>43444</v>
      </c>
      <c r="N49" s="544" t="str">
        <f>_xll.qlMakeDatedOIS(,L49,M49,OvernightIndex,0,,,,EvaluationDate)</f>
        <v>obj_0040c#0000</v>
      </c>
      <c r="O49" s="543">
        <f>_xll.qlIndexFixing("euribor6m",_xll.qlInterestRateIndexFixingDate("Euribor6M",L49),TRUE,AllTriggers)</f>
        <v>8.5427646049182591E-3</v>
      </c>
      <c r="P49" s="543">
        <f>_xll.qlOvernightIndexedSwapFairRate(N49,AllTriggers)</f>
        <v>5.5819404307373352E-3</v>
      </c>
      <c r="Q49" s="545">
        <f t="shared" si="2"/>
        <v>2.9608241741809239E-3</v>
      </c>
    </row>
    <row r="50" spans="5:17" x14ac:dyDescent="0.2">
      <c r="E50" s="537"/>
      <c r="F50" s="537"/>
      <c r="G50" s="536"/>
      <c r="I50" s="536"/>
      <c r="J50" s="536"/>
      <c r="L50" s="551">
        <f>_xll.qlCalendarAdvance(Calendar,L49,"1M","f",,Trigger)</f>
        <v>43383</v>
      </c>
      <c r="M50" s="542">
        <f>_xll.qlCalendarAdvance(Calendar,L50,"3M","f",,Trigger)</f>
        <v>43475</v>
      </c>
      <c r="N50" s="544" t="str">
        <f>_xll.qlMakeDatedOIS(,L50,M50,OvernightIndex,0,,,,EvaluationDate)</f>
        <v>obj_0040d#0000</v>
      </c>
      <c r="O50" s="543">
        <f>_xll.qlIndexFixing("euribor6m",_xll.qlInterestRateIndexFixingDate("Euribor6M",L50),TRUE,AllTriggers)</f>
        <v>8.7826888946267636E-3</v>
      </c>
      <c r="P50" s="543">
        <f>_xll.qlOvernightIndexedSwapFairRate(N50,AllTriggers)</f>
        <v>5.581983685703242E-3</v>
      </c>
      <c r="Q50" s="545">
        <f t="shared" si="2"/>
        <v>3.2007052089235216E-3</v>
      </c>
    </row>
    <row r="51" spans="5:17" x14ac:dyDescent="0.2">
      <c r="E51" s="537"/>
      <c r="F51" s="537"/>
      <c r="G51" s="536"/>
      <c r="I51" s="536"/>
      <c r="J51" s="536"/>
      <c r="L51" s="551">
        <f>_xll.qlCalendarAdvance(Calendar,L50,"1M","f",,Trigger)</f>
        <v>43416</v>
      </c>
      <c r="M51" s="542">
        <f>_xll.qlCalendarAdvance(Calendar,L51,"3M","f",,Trigger)</f>
        <v>43508</v>
      </c>
      <c r="N51" s="544" t="str">
        <f>_xll.qlMakeDatedOIS(,L51,M51,OvernightIndex,0,,,,EvaluationDate)</f>
        <v>obj_0040e#0000</v>
      </c>
      <c r="O51" s="543">
        <f>_xll.qlIndexFixing("euribor6m",_xll.qlInterestRateIndexFixingDate("Euribor6M",L51),TRUE,AllTriggers)</f>
        <v>9.0483512263955374E-3</v>
      </c>
      <c r="P51" s="543">
        <f>_xll.qlOvernightIndexedSwapFairRate(N51,AllTriggers)</f>
        <v>5.5819836857041102E-3</v>
      </c>
      <c r="Q51" s="545">
        <f t="shared" si="2"/>
        <v>3.4663675406914271E-3</v>
      </c>
    </row>
    <row r="52" spans="5:17" x14ac:dyDescent="0.2">
      <c r="E52" s="537"/>
      <c r="F52" s="537"/>
      <c r="G52" s="536"/>
      <c r="I52" s="536"/>
      <c r="J52" s="536"/>
      <c r="L52" s="551">
        <f>_xll.qlCalendarAdvance(Calendar,L51,"1M","f",,Trigger)</f>
        <v>43446</v>
      </c>
      <c r="M52" s="542">
        <f>_xll.qlCalendarAdvance(Calendar,L52,"3M","f",,Trigger)</f>
        <v>43536</v>
      </c>
      <c r="N52" s="544" t="str">
        <f>_xll.qlMakeDatedOIS(,L52,M52,OvernightIndex,0,,,,EvaluationDate)</f>
        <v>obj_0040f#0000</v>
      </c>
      <c r="O52" s="543">
        <f>_xll.qlIndexFixing("euribor6m",_xll.qlInterestRateIndexFixingDate("Euribor6M",L52),TRUE,AllTriggers)</f>
        <v>9.2914499484113879E-3</v>
      </c>
      <c r="P52" s="543">
        <f>_xll.qlOvernightIndexedSwapFairRate(N52,AllTriggers)</f>
        <v>5.5818971762180425E-3</v>
      </c>
      <c r="Q52" s="545">
        <f t="shared" si="2"/>
        <v>3.7095527721933454E-3</v>
      </c>
    </row>
    <row r="53" spans="5:17" x14ac:dyDescent="0.2">
      <c r="E53" s="537"/>
      <c r="F53" s="537"/>
      <c r="G53" s="536"/>
      <c r="I53" s="536"/>
      <c r="J53" s="536"/>
      <c r="L53" s="551">
        <f>_xll.qlCalendarAdvance(Calendar,L52,"1M","f",,Trigger)</f>
        <v>43479</v>
      </c>
      <c r="M53" s="542">
        <f>_xll.qlCalendarAdvance(Calendar,L53,"3M","f",,Trigger)</f>
        <v>43570</v>
      </c>
      <c r="N53" s="544" t="str">
        <f>_xll.qlMakeDatedOIS(,L53,M53,OvernightIndex,0,,,,EvaluationDate)</f>
        <v>obj_00410#0000</v>
      </c>
      <c r="O53" s="543">
        <f>_xll.qlIndexFixing("euribor6m",_xll.qlInterestRateIndexFixingDate("Euribor6M",L53),TRUE,AllTriggers)</f>
        <v>9.5606054798450732E-3</v>
      </c>
      <c r="P53" s="543">
        <f>_xll.qlOvernightIndexedSwapFairRate(N53,AllTriggers)</f>
        <v>5.5819404307373352E-3</v>
      </c>
      <c r="Q53" s="545">
        <f t="shared" si="2"/>
        <v>3.978665049107738E-3</v>
      </c>
    </row>
    <row r="54" spans="5:17" x14ac:dyDescent="0.2">
      <c r="E54" s="537"/>
      <c r="F54" s="537"/>
      <c r="G54" s="536"/>
      <c r="I54" s="536"/>
      <c r="J54" s="536"/>
      <c r="L54" s="551">
        <f>_xll.qlCalendarAdvance(Calendar,L53,"1M","f",,Trigger)</f>
        <v>43510</v>
      </c>
      <c r="M54" s="542">
        <f>_xll.qlCalendarAdvance(Calendar,L54,"3M","f",,Trigger)</f>
        <v>43599</v>
      </c>
      <c r="N54" s="544" t="str">
        <f>_xll.qlMakeDatedOIS(,L54,M54,OvernightIndex,0,,,,EvaluationDate)</f>
        <v>obj_00411#0000</v>
      </c>
      <c r="O54" s="543">
        <f>_xll.qlIndexFixing("euribor6m",_xll.qlInterestRateIndexFixingDate("Euribor6M",L54),TRUE,AllTriggers)</f>
        <v>9.8108400769118444E-3</v>
      </c>
      <c r="P54" s="543">
        <f>_xll.qlOvernightIndexedSwapFairRate(N54,AllTriggers)</f>
        <v>5.5818539221460482E-3</v>
      </c>
      <c r="Q54" s="545">
        <f t="shared" si="2"/>
        <v>4.2289861547657962E-3</v>
      </c>
    </row>
    <row r="55" spans="5:17" x14ac:dyDescent="0.2">
      <c r="E55" s="537"/>
      <c r="F55" s="537"/>
      <c r="G55" s="536"/>
      <c r="I55" s="536"/>
      <c r="J55" s="536"/>
      <c r="L55" s="551">
        <f>_xll.qlCalendarAdvance(Calendar,L54,"1M","f",,Trigger)</f>
        <v>43538</v>
      </c>
      <c r="M55" s="542">
        <f>_xll.qlCalendarAdvance(Calendar,L55,"3M","f",,Trigger)</f>
        <v>43630</v>
      </c>
      <c r="N55" s="544" t="str">
        <f>_xll.qlMakeDatedOIS(,L55,M55,OvernightIndex,0,,,,EvaluationDate)</f>
        <v>obj_00412#0000</v>
      </c>
      <c r="O55" s="543">
        <f>_xll.qlIndexFixing("euribor6m",_xll.qlInterestRateIndexFixingDate("Euribor6M",L55),TRUE,AllTriggers)</f>
        <v>1.0063619171982299E-2</v>
      </c>
      <c r="P55" s="543">
        <f>_xll.qlOvernightIndexedSwapFairRate(N55,AllTriggers)</f>
        <v>5.581983685703242E-3</v>
      </c>
      <c r="Q55" s="545">
        <f t="shared" si="2"/>
        <v>4.4816354862790573E-3</v>
      </c>
    </row>
    <row r="56" spans="5:17" x14ac:dyDescent="0.2">
      <c r="E56" s="537"/>
      <c r="F56" s="537"/>
      <c r="G56" s="536"/>
      <c r="I56" s="536"/>
      <c r="J56" s="536"/>
      <c r="L56" s="551">
        <f>_xll.qlCalendarAdvance(Calendar,L55,"1M","f",,Trigger)</f>
        <v>43570</v>
      </c>
      <c r="M56" s="542">
        <f>_xll.qlCalendarAdvance(Calendar,L56,"3M","f",,Trigger)</f>
        <v>43661</v>
      </c>
      <c r="N56" s="544" t="str">
        <f>_xll.qlMakeDatedOIS(,L56,M56,OvernightIndex,0,,,,EvaluationDate)</f>
        <v>obj_00413#0000</v>
      </c>
      <c r="O56" s="543">
        <f>_xll.qlIndexFixing("euribor6m",_xll.qlInterestRateIndexFixingDate("Euribor6M",L56),TRUE,AllTriggers)</f>
        <v>1.0316674137505468E-2</v>
      </c>
      <c r="P56" s="543">
        <f>_xll.qlOvernightIndexedSwapFairRate(N56,AllTriggers)</f>
        <v>5.5819404307373361E-3</v>
      </c>
      <c r="Q56" s="545">
        <f t="shared" si="2"/>
        <v>4.7347337067681324E-3</v>
      </c>
    </row>
    <row r="57" spans="5:17" x14ac:dyDescent="0.2">
      <c r="E57" s="537"/>
      <c r="F57" s="537"/>
      <c r="G57" s="536"/>
      <c r="I57" s="536"/>
      <c r="J57" s="536"/>
      <c r="L57" s="551">
        <f>_xll.qlCalendarAdvance(Calendar,L56,"1M","f",,Trigger)</f>
        <v>43600</v>
      </c>
      <c r="M57" s="542">
        <f>_xll.qlCalendarAdvance(Calendar,L57,"3M","f",,Trigger)</f>
        <v>43692</v>
      </c>
      <c r="N57" s="544" t="str">
        <f>_xll.qlMakeDatedOIS(,L57,M57,OvernightIndex,0,,,,EvaluationDate)</f>
        <v>obj_00414#0000</v>
      </c>
      <c r="O57" s="543">
        <f>_xll.qlIndexFixing("euribor6m",_xll.qlInterestRateIndexFixingDate("Euribor6M",L57),TRUE,AllTriggers)</f>
        <v>1.0572054512770865E-2</v>
      </c>
      <c r="P57" s="543">
        <f>_xll.qlOvernightIndexedSwapFairRate(N57,AllTriggers)</f>
        <v>5.5819836857032411E-3</v>
      </c>
      <c r="Q57" s="545">
        <f t="shared" si="2"/>
        <v>4.9900708270676237E-3</v>
      </c>
    </row>
    <row r="58" spans="5:17" x14ac:dyDescent="0.2">
      <c r="E58" s="537"/>
      <c r="F58" s="537"/>
      <c r="G58" s="536"/>
      <c r="I58" s="536"/>
      <c r="J58" s="536"/>
      <c r="L58" s="551">
        <f>_xll.qlCalendarAdvance(Calendar,L57,"1M","f",,Trigger)</f>
        <v>43633</v>
      </c>
      <c r="M58" s="542">
        <f>_xll.qlCalendarAdvance(Calendar,L58,"3M","f",,Trigger)</f>
        <v>43725</v>
      </c>
      <c r="N58" s="544" t="str">
        <f>_xll.qlMakeDatedOIS(,L58,M58,OvernightIndex,0,,,,EvaluationDate)</f>
        <v>obj_00415#0000</v>
      </c>
      <c r="O58" s="543">
        <f>_xll.qlIndexFixing("euribor6m",_xll.qlInterestRateIndexFixingDate("Euribor6M",L58),TRUE,AllTriggers)</f>
        <v>1.084568539389765E-2</v>
      </c>
      <c r="P58" s="543">
        <f>_xll.qlOvernightIndexedSwapFairRate(N58,AllTriggers)</f>
        <v>6.0248085764168669E-3</v>
      </c>
      <c r="Q58" s="545">
        <f t="shared" si="2"/>
        <v>4.8208768174807827E-3</v>
      </c>
    </row>
    <row r="59" spans="5:17" x14ac:dyDescent="0.2">
      <c r="E59" s="537"/>
      <c r="F59" s="537"/>
      <c r="G59" s="536"/>
      <c r="I59" s="536"/>
      <c r="J59" s="536"/>
      <c r="L59" s="551">
        <f>_xll.qlCalendarAdvance(Calendar,L58,"1M","f",,Trigger)</f>
        <v>43663</v>
      </c>
      <c r="M59" s="542">
        <f>_xll.qlCalendarAdvance(Calendar,L59,"3M","f",,Trigger)</f>
        <v>43755</v>
      </c>
      <c r="N59" s="544" t="str">
        <f>_xll.qlMakeDatedOIS(,L59,M59,OvernightIndex,0,,,,EvaluationDate)</f>
        <v>obj_00416#0000</v>
      </c>
      <c r="O59" s="543">
        <f>_xll.qlIndexFixing("euribor6m",_xll.qlInterestRateIndexFixingDate("Euribor6M",L59),TRUE,AllTriggers)</f>
        <v>1.1104679264369624E-2</v>
      </c>
      <c r="P59" s="543">
        <f>_xll.qlOvernightIndexedSwapFairRate(N59,AllTriggers)</f>
        <v>7.1320897471182712E-3</v>
      </c>
      <c r="Q59" s="545">
        <f t="shared" si="2"/>
        <v>3.9725895172513532E-3</v>
      </c>
    </row>
    <row r="60" spans="5:17" x14ac:dyDescent="0.2">
      <c r="E60" s="537"/>
      <c r="F60" s="537"/>
      <c r="G60" s="536"/>
      <c r="I60" s="536"/>
      <c r="J60" s="536"/>
      <c r="L60" s="551">
        <f>_xll.qlCalendarAdvance(Calendar,L59,"1M","f",,Trigger)</f>
        <v>43696</v>
      </c>
      <c r="M60" s="542">
        <f>_xll.qlCalendarAdvance(Calendar,L60,"3M","f",,Trigger)</f>
        <v>43788</v>
      </c>
      <c r="N60" s="544" t="str">
        <f>_xll.qlMakeDatedOIS(,L60,M60,OvernightIndex,0,,,,EvaluationDate)</f>
        <v>obj_00417#0000</v>
      </c>
      <c r="O60" s="543">
        <f>_xll.qlIndexFixing("euribor6m",_xll.qlInterestRateIndexFixingDate("Euribor6M",L60),TRUE,AllTriggers)</f>
        <v>1.1386762633856736E-2</v>
      </c>
      <c r="P60" s="543">
        <f>_xll.qlOvernightIndexedSwapFairRate(N60,AllTriggers)</f>
        <v>8.3504603774135489E-3</v>
      </c>
      <c r="Q60" s="545">
        <f t="shared" si="2"/>
        <v>3.0363022564431873E-3</v>
      </c>
    </row>
    <row r="61" spans="5:17" x14ac:dyDescent="0.2">
      <c r="E61" s="537"/>
      <c r="F61" s="537"/>
      <c r="G61" s="536"/>
      <c r="I61" s="536"/>
      <c r="J61" s="536"/>
      <c r="L61" s="551">
        <f>_xll.qlCalendarAdvance(Calendar,L60,"1M","f",,Trigger)</f>
        <v>43727</v>
      </c>
      <c r="M61" s="542">
        <f>_xll.qlCalendarAdvance(Calendar,L61,"3M","f",,Trigger)</f>
        <v>43818</v>
      </c>
      <c r="N61" s="544" t="str">
        <f>_xll.qlMakeDatedOIS(,L61,M61,OvernightIndex,0,,,,EvaluationDate)</f>
        <v>obj_00418#0000</v>
      </c>
      <c r="O61" s="543">
        <f>_xll.qlIndexFixing("euribor6m",_xll.qlInterestRateIndexFixingDate("Euribor6M",L61),TRUE,AllTriggers)</f>
        <v>1.164469199600905E-2</v>
      </c>
      <c r="P61" s="543">
        <f>_xll.qlOvernightIndexedSwapFairRate(N61,AllTriggers)</f>
        <v>8.9781417552263609E-3</v>
      </c>
      <c r="Q61" s="545">
        <f t="shared" si="2"/>
        <v>2.6665502407826891E-3</v>
      </c>
    </row>
    <row r="62" spans="5:17" x14ac:dyDescent="0.2">
      <c r="E62" s="537"/>
      <c r="F62" s="537"/>
      <c r="G62" s="536"/>
      <c r="I62" s="536"/>
      <c r="J62" s="536"/>
      <c r="L62" s="551">
        <f>_xll.qlCalendarAdvance(Calendar,L61,"1M","f",,Trigger)</f>
        <v>43759</v>
      </c>
      <c r="M62" s="542">
        <f>_xll.qlCalendarAdvance(Calendar,L62,"3M","f",,Trigger)</f>
        <v>43851</v>
      </c>
      <c r="N62" s="544" t="str">
        <f>_xll.qlMakeDatedOIS(,L62,M62,OvernightIndex,0,,,,EvaluationDate)</f>
        <v>obj_00419#0000</v>
      </c>
      <c r="O62" s="543">
        <f>_xll.qlIndexFixing("euribor6m",_xll.qlInterestRateIndexFixingDate("Euribor6M",L62),TRUE,AllTriggers)</f>
        <v>1.1926911185107211E-2</v>
      </c>
      <c r="P62" s="543">
        <f>_xll.qlOvernightIndexedSwapFairRate(N62,AllTriggers)</f>
        <v>8.9782536257663487E-3</v>
      </c>
      <c r="Q62" s="545">
        <f t="shared" si="2"/>
        <v>2.9486575593408622E-3</v>
      </c>
    </row>
    <row r="63" spans="5:17" x14ac:dyDescent="0.2">
      <c r="E63" s="537"/>
      <c r="F63" s="537"/>
      <c r="G63" s="536"/>
      <c r="I63" s="536"/>
      <c r="J63" s="536"/>
      <c r="L63" s="551">
        <f>_xll.qlCalendarAdvance(Calendar,L62,"1M","f",,Trigger)</f>
        <v>43790</v>
      </c>
      <c r="M63" s="542">
        <f>_xll.qlCalendarAdvance(Calendar,L63,"3M","f",,Trigger)</f>
        <v>43882</v>
      </c>
      <c r="N63" s="544" t="str">
        <f>_xll.qlMakeDatedOIS(,L63,M63,OvernightIndex,0,,,,EvaluationDate)</f>
        <v>obj_0041a#0000</v>
      </c>
      <c r="O63" s="543">
        <f>_xll.qlIndexFixing("euribor6m",_xll.qlInterestRateIndexFixingDate("Euribor6M",L63),TRUE,AllTriggers)</f>
        <v>1.219331975531378E-2</v>
      </c>
      <c r="P63" s="543">
        <f>_xll.qlOvernightIndexedSwapFairRate(N63,AllTriggers)</f>
        <v>8.978253625766347E-3</v>
      </c>
      <c r="Q63" s="545">
        <f t="shared" si="2"/>
        <v>3.2150661295474326E-3</v>
      </c>
    </row>
    <row r="64" spans="5:17" x14ac:dyDescent="0.2">
      <c r="E64" s="537"/>
      <c r="F64" s="537"/>
      <c r="G64" s="536"/>
      <c r="I64" s="536"/>
      <c r="J64" s="536"/>
      <c r="L64" s="551">
        <f>_xll.qlCalendarAdvance(Calendar,L63,"1M","f",,Trigger)</f>
        <v>43822</v>
      </c>
      <c r="M64" s="542">
        <f>_xll.qlCalendarAdvance(Calendar,L64,"3M","f",,Trigger)</f>
        <v>43913</v>
      </c>
      <c r="N64" s="544" t="str">
        <f>_xll.qlMakeDatedOIS(,L64,M64,OvernightIndex,0,,,,EvaluationDate)</f>
        <v>obj_0041b#0000</v>
      </c>
      <c r="O64" s="543">
        <f>_xll.qlIndexFixing("euribor6m",_xll.qlInterestRateIndexFixingDate("Euribor6M",L64),TRUE,AllTriggers)</f>
        <v>1.2479818992268169E-2</v>
      </c>
      <c r="P64" s="543">
        <f>_xll.qlOvernightIndexedSwapFairRate(N64,AllTriggers)</f>
        <v>8.9781417552263591E-3</v>
      </c>
      <c r="Q64" s="545">
        <f t="shared" si="2"/>
        <v>3.5016772370418097E-3</v>
      </c>
    </row>
    <row r="65" spans="5:17" x14ac:dyDescent="0.2">
      <c r="E65" s="537"/>
      <c r="F65" s="537"/>
      <c r="G65" s="536"/>
      <c r="I65" s="536"/>
      <c r="J65" s="536"/>
      <c r="L65" s="551">
        <f>_xll.qlCalendarAdvance(Calendar,L64,"1M","f",,Trigger)</f>
        <v>43853</v>
      </c>
      <c r="M65" s="542">
        <f>_xll.qlCalendarAdvance(Calendar,L65,"3M","f",,Trigger)</f>
        <v>43944</v>
      </c>
      <c r="N65" s="544" t="str">
        <f>_xll.qlMakeDatedOIS(,L65,M65,OvernightIndex,0,,,,EvaluationDate)</f>
        <v>obj_0041c#0000</v>
      </c>
      <c r="O65" s="543">
        <f>_xll.qlIndexFixing("euribor6m",_xll.qlInterestRateIndexFixingDate("Euribor6M",L65),TRUE,AllTriggers)</f>
        <v>1.2750209632967108E-2</v>
      </c>
      <c r="P65" s="543">
        <f>_xll.qlOvernightIndexedSwapFairRate(N65,AllTriggers)</f>
        <v>8.9781417552263591E-3</v>
      </c>
      <c r="Q65" s="545">
        <f t="shared" si="2"/>
        <v>3.7720678777407486E-3</v>
      </c>
    </row>
    <row r="66" spans="5:17" x14ac:dyDescent="0.2">
      <c r="E66" s="537"/>
      <c r="F66" s="537"/>
      <c r="G66" s="536"/>
      <c r="I66" s="536"/>
      <c r="J66" s="536"/>
      <c r="L66" s="551">
        <f>_xll.qlCalendarAdvance(Calendar,L65,"1M","f",,Trigger)</f>
        <v>43885</v>
      </c>
      <c r="M66" s="542">
        <f>_xll.qlCalendarAdvance(Calendar,L66,"3M","f",,Trigger)</f>
        <v>43976</v>
      </c>
      <c r="N66" s="544" t="str">
        <f>_xll.qlMakeDatedOIS(,L66,M66,OvernightIndex,0,,,,EvaluationDate)</f>
        <v>obj_0041d#0000</v>
      </c>
      <c r="O66" s="543">
        <f>_xll.qlIndexFixing("euribor6m",_xll.qlInterestRateIndexFixingDate("Euribor6M",L66),TRUE,AllTriggers)</f>
        <v>1.3036240648770259E-2</v>
      </c>
      <c r="P66" s="543">
        <f>_xll.qlOvernightIndexedSwapFairRate(N66,AllTriggers)</f>
        <v>8.9781417552263626E-3</v>
      </c>
      <c r="Q66" s="545">
        <f t="shared" si="2"/>
        <v>4.0580988935438964E-3</v>
      </c>
    </row>
    <row r="67" spans="5:17" x14ac:dyDescent="0.2">
      <c r="E67" s="537"/>
      <c r="F67" s="537"/>
      <c r="G67" s="536"/>
      <c r="I67" s="536"/>
      <c r="J67" s="536"/>
      <c r="L67" s="551">
        <f>_xll.qlCalendarAdvance(Calendar,L66,"1M","f",,Trigger)</f>
        <v>43914</v>
      </c>
      <c r="M67" s="542">
        <f>_xll.qlCalendarAdvance(Calendar,L67,"3M","f",,Trigger)</f>
        <v>44006</v>
      </c>
      <c r="N67" s="544" t="str">
        <f>_xll.qlMakeDatedOIS(,L67,M67,OvernightIndex,0,,,,EvaluationDate)</f>
        <v>obj_0041e#0000</v>
      </c>
      <c r="O67" s="543">
        <f>_xll.qlIndexFixing("euribor6m",_xll.qlInterestRateIndexFixingDate("Euribor6M",L67),TRUE,AllTriggers)</f>
        <v>1.3306863762081119E-2</v>
      </c>
      <c r="P67" s="543">
        <f>_xll.qlOvernightIndexedSwapFairRate(N67,AllTriggers)</f>
        <v>8.9782536257663487E-3</v>
      </c>
      <c r="Q67" s="545">
        <f t="shared" ref="Q67:Q130" si="5">O67-P67</f>
        <v>4.3286101363147703E-3</v>
      </c>
    </row>
    <row r="68" spans="5:17" x14ac:dyDescent="0.2">
      <c r="E68" s="537"/>
      <c r="F68" s="537"/>
      <c r="G68" s="536"/>
      <c r="I68" s="536"/>
      <c r="J68" s="536"/>
      <c r="L68" s="551">
        <f>_xll.qlCalendarAdvance(Calendar,L67,"1M","f",,Trigger)</f>
        <v>43945</v>
      </c>
      <c r="M68" s="542">
        <f>_xll.qlCalendarAdvance(Calendar,L68,"3M","f",,Trigger)</f>
        <v>44036</v>
      </c>
      <c r="N68" s="544" t="str">
        <f>_xll.qlMakeDatedOIS(,L68,M68,OvernightIndex,0,,,,EvaluationDate)</f>
        <v>obj_0041f#0000</v>
      </c>
      <c r="O68" s="543">
        <f>_xll.qlIndexFixing("euribor6m",_xll.qlInterestRateIndexFixingDate("Euribor6M",L68),TRUE,AllTriggers)</f>
        <v>1.3592277749303031E-2</v>
      </c>
      <c r="P68" s="543">
        <f>_xll.qlOvernightIndexedSwapFairRate(N68,AllTriggers)</f>
        <v>8.9781417552263609E-3</v>
      </c>
      <c r="Q68" s="545">
        <f t="shared" si="5"/>
        <v>4.61413599407667E-3</v>
      </c>
    </row>
    <row r="69" spans="5:17" x14ac:dyDescent="0.2">
      <c r="E69" s="537"/>
      <c r="F69" s="537"/>
      <c r="G69" s="536"/>
      <c r="I69" s="536"/>
      <c r="J69" s="536"/>
      <c r="L69" s="551">
        <f>_xll.qlCalendarAdvance(Calendar,L68,"1M","f",,Trigger)</f>
        <v>43976</v>
      </c>
      <c r="M69" s="542">
        <f>_xll.qlCalendarAdvance(Calendar,L69,"3M","f",,Trigger)</f>
        <v>44068</v>
      </c>
      <c r="N69" s="544" t="str">
        <f>_xll.qlMakeDatedOIS(,L69,M69,OvernightIndex,0,,,,EvaluationDate)</f>
        <v>obj_00420#0000</v>
      </c>
      <c r="O69" s="543">
        <f>_xll.qlIndexFixing("euribor6m",_xll.qlInterestRateIndexFixingDate("Euribor6M",L69),TRUE,AllTriggers)</f>
        <v>1.3868817340811575E-2</v>
      </c>
      <c r="P69" s="543">
        <f>_xll.qlOvernightIndexedSwapFairRate(N69,AllTriggers)</f>
        <v>8.9782536257672178E-3</v>
      </c>
      <c r="Q69" s="545">
        <f t="shared" si="5"/>
        <v>4.8905637150443576E-3</v>
      </c>
    </row>
    <row r="70" spans="5:17" x14ac:dyDescent="0.2">
      <c r="E70" s="537"/>
      <c r="F70" s="537"/>
      <c r="G70" s="536"/>
      <c r="I70" s="536"/>
      <c r="J70" s="536"/>
      <c r="L70" s="551">
        <f>_xll.qlCalendarAdvance(Calendar,L69,"1M","f",,Trigger)</f>
        <v>44007</v>
      </c>
      <c r="M70" s="542">
        <f>_xll.qlCalendarAdvance(Calendar,L70,"3M","f",,Trigger)</f>
        <v>44099</v>
      </c>
      <c r="N70" s="544" t="str">
        <f>_xll.qlMakeDatedOIS(,L70,M70,OvernightIndex,0,,,,EvaluationDate)</f>
        <v>obj_00421#0000</v>
      </c>
      <c r="O70" s="543">
        <f>_xll.qlIndexFixing("euribor6m",_xll.qlInterestRateIndexFixingDate("Euribor6M",L70),TRUE,AllTriggers)</f>
        <v>1.4159672060436087E-2</v>
      </c>
      <c r="P70" s="543">
        <f>_xll.qlOvernightIndexedSwapFairRate(N70,AllTriggers)</f>
        <v>9.6362300643975975E-3</v>
      </c>
      <c r="Q70" s="545">
        <f t="shared" si="5"/>
        <v>4.5234419960384891E-3</v>
      </c>
    </row>
    <row r="71" spans="5:17" x14ac:dyDescent="0.2">
      <c r="E71" s="537"/>
      <c r="F71" s="537"/>
      <c r="G71" s="536"/>
      <c r="I71" s="536"/>
      <c r="J71" s="536"/>
      <c r="L71" s="551">
        <f>_xll.qlCalendarAdvance(Calendar,L70,"1M","f",,Trigger)</f>
        <v>44039</v>
      </c>
      <c r="M71" s="542">
        <f>_xll.qlCalendarAdvance(Calendar,L71,"3M","f",,Trigger)</f>
        <v>44131</v>
      </c>
      <c r="N71" s="544" t="str">
        <f>_xll.qlMakeDatedOIS(,L71,M71,OvernightIndex,0,,,,EvaluationDate)</f>
        <v>obj_00422#0000</v>
      </c>
      <c r="O71" s="543">
        <f>_xll.qlIndexFixing("euribor6m",_xll.qlInterestRateIndexFixingDate("Euribor6M",L71),TRUE,AllTriggers)</f>
        <v>1.4439497493812624E-2</v>
      </c>
      <c r="P71" s="543">
        <f>_xll.qlOvernightIndexedSwapFairRate(N71,AllTriggers)</f>
        <v>1.0806238523099356E-2</v>
      </c>
      <c r="Q71" s="545">
        <f t="shared" si="5"/>
        <v>3.633258970713267E-3</v>
      </c>
    </row>
    <row r="72" spans="5:17" x14ac:dyDescent="0.2">
      <c r="E72" s="537"/>
      <c r="F72" s="537"/>
      <c r="G72" s="536"/>
      <c r="I72" s="536"/>
      <c r="J72" s="536"/>
      <c r="L72" s="551">
        <f>_xll.qlCalendarAdvance(Calendar,L71,"1M","f",,Trigger)</f>
        <v>44070</v>
      </c>
      <c r="M72" s="542">
        <f>_xll.qlCalendarAdvance(Calendar,L72,"3M","f",,Trigger)</f>
        <v>44162</v>
      </c>
      <c r="N72" s="544" t="str">
        <f>_xll.qlMakeDatedOIS(,L72,M72,OvernightIndex,0,,,,EvaluationDate)</f>
        <v>obj_00423#0000</v>
      </c>
      <c r="O72" s="543">
        <f>_xll.qlIndexFixing("euribor6m",_xll.qlInterestRateIndexFixingDate("Euribor6M",L72),TRUE,AllTriggers)</f>
        <v>1.4713377480323472E-2</v>
      </c>
      <c r="P72" s="543">
        <f>_xll.qlOvernightIndexedSwapFairRate(N72,AllTriggers)</f>
        <v>1.1940017004270017E-2</v>
      </c>
      <c r="Q72" s="545">
        <f t="shared" si="5"/>
        <v>2.7733604760534544E-3</v>
      </c>
    </row>
    <row r="73" spans="5:17" x14ac:dyDescent="0.2">
      <c r="E73" s="537"/>
      <c r="F73" s="537"/>
      <c r="G73" s="536"/>
      <c r="I73" s="536"/>
      <c r="J73" s="536"/>
      <c r="L73" s="551">
        <f>_xll.qlCalendarAdvance(Calendar,L72,"1M","f",,Trigger)</f>
        <v>44102</v>
      </c>
      <c r="M73" s="542">
        <f>_xll.qlCalendarAdvance(Calendar,L73,"3M","f",,Trigger)</f>
        <v>44193</v>
      </c>
      <c r="N73" s="544" t="str">
        <f>_xll.qlMakeDatedOIS(,L73,M73,OvernightIndex,0,,,,EvaluationDate)</f>
        <v>obj_00424#0000</v>
      </c>
      <c r="O73" s="543">
        <f>_xll.qlIndexFixing("euribor6m",_xll.qlInterestRateIndexFixingDate("Euribor6M",L73),TRUE,AllTriggers)</f>
        <v>1.4993674720905979E-2</v>
      </c>
      <c r="P73" s="543">
        <f>_xll.qlOvernightIndexedSwapFairRate(N73,AllTriggers)</f>
        <v>1.2342192887649867E-2</v>
      </c>
      <c r="Q73" s="545">
        <f t="shared" si="5"/>
        <v>2.6514818332561123E-3</v>
      </c>
    </row>
    <row r="74" spans="5:17" x14ac:dyDescent="0.2">
      <c r="E74" s="537"/>
      <c r="F74" s="537"/>
      <c r="G74" s="536"/>
      <c r="I74" s="536"/>
      <c r="J74" s="536"/>
      <c r="L74" s="551">
        <f>_xll.qlCalendarAdvance(Calendar,L73,"1M","f",,Trigger)</f>
        <v>44132</v>
      </c>
      <c r="M74" s="542">
        <f>_xll.qlCalendarAdvance(Calendar,L74,"3M","f",,Trigger)</f>
        <v>44224</v>
      </c>
      <c r="N74" s="544" t="str">
        <f>_xll.qlMakeDatedOIS(,L74,M74,OvernightIndex,0,,,,EvaluationDate)</f>
        <v>obj_00425#0000</v>
      </c>
      <c r="O74" s="543">
        <f>_xll.qlIndexFixing("euribor6m",_xll.qlInterestRateIndexFixingDate("Euribor6M",L74),TRUE,AllTriggers)</f>
        <v>1.5258146438001087E-2</v>
      </c>
      <c r="P74" s="543">
        <f>_xll.qlOvernightIndexedSwapFairRate(N74,AllTriggers)</f>
        <v>1.2342404239447395E-2</v>
      </c>
      <c r="Q74" s="545">
        <f t="shared" si="5"/>
        <v>2.9157421985536915E-3</v>
      </c>
    </row>
    <row r="75" spans="5:17" x14ac:dyDescent="0.2">
      <c r="E75" s="537"/>
      <c r="F75" s="537"/>
      <c r="G75" s="536"/>
      <c r="I75" s="536"/>
      <c r="J75" s="536"/>
      <c r="L75" s="551">
        <f>_xll.qlCalendarAdvance(Calendar,L74,"1M","f",,Trigger)</f>
        <v>44165</v>
      </c>
      <c r="M75" s="542">
        <f>_xll.qlCalendarAdvance(Calendar,L75,"3M","f",,Trigger)</f>
        <v>44256</v>
      </c>
      <c r="N75" s="544" t="str">
        <f>_xll.qlMakeDatedOIS(,L75,M75,OvernightIndex,0,,,,EvaluationDate)</f>
        <v>obj_00426#0000</v>
      </c>
      <c r="O75" s="543">
        <f>_xll.qlIndexFixing("euribor6m",_xll.qlInterestRateIndexFixingDate("Euribor6M",L75),TRUE,AllTriggers)</f>
        <v>1.5545992153662312E-2</v>
      </c>
      <c r="P75" s="543">
        <f>_xll.qlOvernightIndexedSwapFairRate(N75,AllTriggers)</f>
        <v>1.2342192887648989E-2</v>
      </c>
      <c r="Q75" s="545">
        <f t="shared" si="5"/>
        <v>3.2037992660133227E-3</v>
      </c>
    </row>
    <row r="76" spans="5:17" x14ac:dyDescent="0.2">
      <c r="E76" s="537"/>
      <c r="F76" s="537"/>
      <c r="G76" s="536"/>
      <c r="I76" s="536"/>
      <c r="J76" s="536"/>
      <c r="L76" s="551">
        <f>_xll.qlCalendarAdvance(Calendar,L75,"1M","f",,Trigger)</f>
        <v>44195</v>
      </c>
      <c r="M76" s="542">
        <f>_xll.qlCalendarAdvance(Calendar,L76,"3M","f",,Trigger)</f>
        <v>44285</v>
      </c>
      <c r="N76" s="544" t="str">
        <f>_xll.qlMakeDatedOIS(,L76,M76,OvernightIndex,0,,,,EvaluationDate)</f>
        <v>obj_00427#0000</v>
      </c>
      <c r="O76" s="543">
        <f>_xll.qlIndexFixing("euribor6m",_xll.qlInterestRateIndexFixingDate("Euribor6M",L76),TRUE,AllTriggers)</f>
        <v>1.5804875136302857E-2</v>
      </c>
      <c r="P76" s="543">
        <f>_xll.qlOvernightIndexedSwapFairRate(N76,AllTriggers)</f>
        <v>1.234198154067645E-2</v>
      </c>
      <c r="Q76" s="545">
        <f t="shared" si="5"/>
        <v>3.4628935956264074E-3</v>
      </c>
    </row>
    <row r="77" spans="5:17" x14ac:dyDescent="0.2">
      <c r="E77" s="537"/>
      <c r="F77" s="537"/>
      <c r="G77" s="536"/>
      <c r="I77" s="536"/>
      <c r="J77" s="536"/>
      <c r="L77" s="551">
        <f>_xll.qlCalendarAdvance(Calendar,L76,"1M","f",,Trigger)</f>
        <v>44228</v>
      </c>
      <c r="M77" s="542">
        <f>_xll.qlCalendarAdvance(Calendar,L77,"3M","f",,Trigger)</f>
        <v>44319</v>
      </c>
      <c r="N77" s="544" t="str">
        <f>_xll.qlMakeDatedOIS(,L77,M77,OvernightIndex,0,,,,EvaluationDate)</f>
        <v>obj_00428#0000</v>
      </c>
      <c r="O77" s="543">
        <f>_xll.qlIndexFixing("euribor6m",_xll.qlInterestRateIndexFixingDate("Euribor6M",L77),TRUE,AllTriggers)</f>
        <v>1.6086570693932444E-2</v>
      </c>
      <c r="P77" s="543">
        <f>_xll.qlOvernightIndexedSwapFairRate(N77,AllTriggers)</f>
        <v>1.2342192887649867E-2</v>
      </c>
      <c r="Q77" s="545">
        <f t="shared" si="5"/>
        <v>3.7443778062825773E-3</v>
      </c>
    </row>
    <row r="78" spans="5:17" x14ac:dyDescent="0.2">
      <c r="E78" s="537"/>
      <c r="F78" s="537"/>
      <c r="G78" s="536"/>
      <c r="I78" s="536"/>
      <c r="J78" s="536"/>
      <c r="L78" s="551">
        <f>_xll.qlCalendarAdvance(Calendar,L77,"1M","f",,Trigger)</f>
        <v>44256</v>
      </c>
      <c r="M78" s="542">
        <f>_xll.qlCalendarAdvance(Calendar,L78,"3M","f",,Trigger)</f>
        <v>44348</v>
      </c>
      <c r="N78" s="544" t="str">
        <f>_xll.qlMakeDatedOIS(,L78,M78,OvernightIndex,0,,,,EvaluationDate)</f>
        <v>obj_00429#0000</v>
      </c>
      <c r="O78" s="543">
        <f>_xll.qlIndexFixing("euribor6m",_xll.qlInterestRateIndexFixingDate("Euribor6M",L78),TRUE,AllTriggers)</f>
        <v>1.6332107741351652E-2</v>
      </c>
      <c r="P78" s="543">
        <f>_xll.qlOvernightIndexedSwapFairRate(N78,AllTriggers)</f>
        <v>1.2342404239447395E-2</v>
      </c>
      <c r="Q78" s="545">
        <f t="shared" si="5"/>
        <v>3.9897035019042567E-3</v>
      </c>
    </row>
    <row r="79" spans="5:17" x14ac:dyDescent="0.2">
      <c r="E79" s="537"/>
      <c r="F79" s="537"/>
      <c r="G79" s="536"/>
      <c r="I79" s="536"/>
      <c r="J79" s="536"/>
      <c r="L79" s="551">
        <f>_xll.qlCalendarAdvance(Calendar,L78,"1M","f",,Trigger)</f>
        <v>44287</v>
      </c>
      <c r="M79" s="542">
        <f>_xll.qlCalendarAdvance(Calendar,L79,"3M","f",,Trigger)</f>
        <v>44378</v>
      </c>
      <c r="N79" s="544" t="str">
        <f>_xll.qlMakeDatedOIS(,L79,M79,OvernightIndex,0,,,,EvaluationDate)</f>
        <v>obj_0042a#0000</v>
      </c>
      <c r="O79" s="543">
        <f>_xll.qlIndexFixing("euribor6m",_xll.qlInterestRateIndexFixingDate("Euribor6M",L79),TRUE,AllTriggers)</f>
        <v>1.6586638467709778E-2</v>
      </c>
      <c r="P79" s="543">
        <f>_xll.qlOvernightIndexedSwapFairRate(N79,AllTriggers)</f>
        <v>1.2342192887649867E-2</v>
      </c>
      <c r="Q79" s="545">
        <f t="shared" si="5"/>
        <v>4.244445580059911E-3</v>
      </c>
    </row>
    <row r="80" spans="5:17" x14ac:dyDescent="0.2">
      <c r="E80" s="537"/>
      <c r="F80" s="537"/>
      <c r="G80" s="536"/>
      <c r="I80" s="536"/>
      <c r="J80" s="536"/>
      <c r="L80" s="551">
        <f>_xll.qlCalendarAdvance(Calendar,L79,"1M","f",,Trigger)</f>
        <v>44319</v>
      </c>
      <c r="M80" s="542">
        <f>_xll.qlCalendarAdvance(Calendar,L80,"3M","f",,Trigger)</f>
        <v>44411</v>
      </c>
      <c r="N80" s="544" t="str">
        <f>_xll.qlMakeDatedOIS(,L80,M80,OvernightIndex,0,,,,EvaluationDate)</f>
        <v>obj_0042b#0000</v>
      </c>
      <c r="O80" s="543">
        <f>_xll.qlIndexFixing("euribor6m",_xll.qlInterestRateIndexFixingDate("Euribor6M",L80),TRUE,AllTriggers)</f>
        <v>1.6855243774755328E-2</v>
      </c>
      <c r="P80" s="543">
        <f>_xll.qlOvernightIndexedSwapFairRate(N80,AllTriggers)</f>
        <v>1.2342404239447394E-2</v>
      </c>
      <c r="Q80" s="545">
        <f t="shared" si="5"/>
        <v>4.5128395353079345E-3</v>
      </c>
    </row>
    <row r="81" spans="5:17" x14ac:dyDescent="0.2">
      <c r="E81" s="537"/>
      <c r="F81" s="537"/>
      <c r="G81" s="536"/>
      <c r="I81" s="536"/>
      <c r="J81" s="536"/>
      <c r="L81" s="551">
        <f>_xll.qlCalendarAdvance(Calendar,L80,"1M","f",,Trigger)</f>
        <v>44350</v>
      </c>
      <c r="M81" s="542">
        <f>_xll.qlCalendarAdvance(Calendar,L81,"3M","f",,Trigger)</f>
        <v>44442</v>
      </c>
      <c r="N81" s="544" t="str">
        <f>_xll.qlMakeDatedOIS(,L81,M81,OvernightIndex,0,,,,EvaluationDate)</f>
        <v>obj_0042c#0000</v>
      </c>
      <c r="O81" s="543">
        <f>_xll.qlIndexFixing("euribor6m",_xll.qlInterestRateIndexFixingDate("Euribor6M",L81),TRUE,AllTriggers)</f>
        <v>1.7103253013406608E-2</v>
      </c>
      <c r="P81" s="543">
        <f>_xll.qlOvernightIndexedSwapFairRate(N81,AllTriggers)</f>
        <v>1.2342404239447394E-2</v>
      </c>
      <c r="Q81" s="545">
        <f t="shared" si="5"/>
        <v>4.7608487739592142E-3</v>
      </c>
    </row>
    <row r="82" spans="5:17" x14ac:dyDescent="0.2">
      <c r="E82" s="537"/>
      <c r="F82" s="537"/>
      <c r="G82" s="536"/>
      <c r="I82" s="536"/>
      <c r="J82" s="536"/>
      <c r="L82" s="551">
        <f>_xll.qlCalendarAdvance(Calendar,L81,"1M","f",,Trigger)</f>
        <v>44382</v>
      </c>
      <c r="M82" s="542">
        <f>_xll.qlCalendarAdvance(Calendar,L82,"3M","f",,Trigger)</f>
        <v>44474</v>
      </c>
      <c r="N82" s="544" t="str">
        <f>_xll.qlMakeDatedOIS(,L82,M82,OvernightIndex,0,,,,EvaluationDate)</f>
        <v>obj_0042d#0000</v>
      </c>
      <c r="O82" s="543">
        <f>_xll.qlIndexFixing("euribor6m",_xll.qlInterestRateIndexFixingDate("Euribor6M",L82),TRUE,AllTriggers)</f>
        <v>1.73642753685345E-2</v>
      </c>
      <c r="P82" s="543">
        <f>_xll.qlOvernightIndexedSwapFairRate(N82,AllTriggers)</f>
        <v>1.3354501298454547E-2</v>
      </c>
      <c r="Q82" s="545">
        <f t="shared" si="5"/>
        <v>4.0097740700799529E-3</v>
      </c>
    </row>
    <row r="83" spans="5:17" x14ac:dyDescent="0.2">
      <c r="E83" s="537"/>
      <c r="F83" s="537"/>
      <c r="G83" s="536"/>
      <c r="I83" s="536"/>
      <c r="J83" s="536"/>
      <c r="L83" s="551">
        <f>_xll.qlCalendarAdvance(Calendar,L82,"1M","f",,Trigger)</f>
        <v>44413</v>
      </c>
      <c r="M83" s="542">
        <f>_xll.qlCalendarAdvance(Calendar,L83,"3M","f",,Trigger)</f>
        <v>44505</v>
      </c>
      <c r="N83" s="544" t="str">
        <f>_xll.qlMakeDatedOIS(,L83,M83,OvernightIndex,0,,,,EvaluationDate)</f>
        <v>obj_0042e#0000</v>
      </c>
      <c r="O83" s="543">
        <f>_xll.qlIndexFixing("euribor6m",_xll.qlInterestRateIndexFixingDate("Euribor6M",L83),TRUE,AllTriggers)</f>
        <v>1.7617325249919134E-2</v>
      </c>
      <c r="P83" s="543">
        <f>_xll.qlOvernightIndexedSwapFairRate(N83,AllTriggers)</f>
        <v>1.4436686724845483E-2</v>
      </c>
      <c r="Q83" s="545">
        <f t="shared" si="5"/>
        <v>3.1806385250736507E-3</v>
      </c>
    </row>
    <row r="84" spans="5:17" x14ac:dyDescent="0.2">
      <c r="E84" s="537"/>
      <c r="F84" s="537"/>
      <c r="G84" s="536"/>
      <c r="I84" s="536"/>
      <c r="J84" s="536"/>
      <c r="L84" s="551">
        <f>_xll.qlCalendarAdvance(Calendar,L83,"1M","f",,Trigger)</f>
        <v>44445</v>
      </c>
      <c r="M84" s="542">
        <f>_xll.qlCalendarAdvance(Calendar,L84,"3M","f",,Trigger)</f>
        <v>44536</v>
      </c>
      <c r="N84" s="544" t="str">
        <f>_xll.qlMakeDatedOIS(,L84,M84,OvernightIndex,0,,,,EvaluationDate)</f>
        <v>obj_0042f#0000</v>
      </c>
      <c r="O84" s="543">
        <f>_xll.qlIndexFixing("euribor6m",_xll.qlInterestRateIndexFixingDate("Euribor6M",L84),TRUE,AllTriggers)</f>
        <v>1.7848241209717248E-2</v>
      </c>
      <c r="P84" s="543">
        <f>_xll.qlOvernightIndexedSwapFairRate(N84,AllTriggers)</f>
        <v>1.5553758652167285E-2</v>
      </c>
      <c r="Q84" s="545">
        <f t="shared" si="5"/>
        <v>2.2944825575499633E-3</v>
      </c>
    </row>
    <row r="85" spans="5:17" x14ac:dyDescent="0.2">
      <c r="E85" s="537"/>
      <c r="F85" s="537"/>
      <c r="G85" s="536"/>
      <c r="I85" s="536"/>
      <c r="J85" s="536"/>
      <c r="L85" s="551">
        <f>_xll.qlCalendarAdvance(Calendar,L84,"1M","f",,Trigger)</f>
        <v>44475</v>
      </c>
      <c r="M85" s="542">
        <f>_xll.qlCalendarAdvance(Calendar,L85,"3M","f",,Trigger)</f>
        <v>44567</v>
      </c>
      <c r="N85" s="544" t="str">
        <f>_xll.qlMakeDatedOIS(,L85,M85,OvernightIndex,0,,,,EvaluationDate)</f>
        <v>obj_00430#0000</v>
      </c>
      <c r="O85" s="543">
        <f>_xll.qlIndexFixing("euribor6m",_xll.qlInterestRateIndexFixingDate("Euribor6M",L85),TRUE,AllTriggers)</f>
        <v>1.8076274792950917E-2</v>
      </c>
      <c r="P85" s="543">
        <f>_xll.qlOvernightIndexedSwapFairRate(N85,AllTriggers)</f>
        <v>1.5554094216691107E-2</v>
      </c>
      <c r="Q85" s="545">
        <f t="shared" si="5"/>
        <v>2.5221805762598096E-3</v>
      </c>
    </row>
    <row r="86" spans="5:17" x14ac:dyDescent="0.2">
      <c r="E86" s="537"/>
      <c r="F86" s="537"/>
      <c r="G86" s="536"/>
      <c r="I86" s="536"/>
      <c r="J86" s="536"/>
      <c r="L86" s="551">
        <f>_xll.qlCalendarAdvance(Calendar,L85,"1M","f",,Trigger)</f>
        <v>44508</v>
      </c>
      <c r="M86" s="542">
        <f>_xll.qlCalendarAdvance(Calendar,L86,"3M","f",,Trigger)</f>
        <v>44600</v>
      </c>
      <c r="N86" s="544" t="str">
        <f>_xll.qlMakeDatedOIS(,L86,M86,OvernightIndex,0,,,,EvaluationDate)</f>
        <v>obj_00431#0000</v>
      </c>
      <c r="O86" s="543">
        <f>_xll.qlIndexFixing("euribor6m",_xll.qlInterestRateIndexFixingDate("Euribor6M",L86),TRUE,AllTriggers)</f>
        <v>1.8322076950590703E-2</v>
      </c>
      <c r="P86" s="543">
        <f>_xll.qlOvernightIndexedSwapFairRate(N86,AllTriggers)</f>
        <v>1.5554094216691109E-2</v>
      </c>
      <c r="Q86" s="545">
        <f t="shared" si="5"/>
        <v>2.7679827338995943E-3</v>
      </c>
    </row>
    <row r="87" spans="5:17" x14ac:dyDescent="0.2">
      <c r="E87" s="537"/>
      <c r="F87" s="537"/>
      <c r="G87" s="536"/>
      <c r="I87" s="536"/>
      <c r="J87" s="536"/>
      <c r="L87" s="551">
        <f>_xll.qlCalendarAdvance(Calendar,L86,"1M","f",,Trigger)</f>
        <v>44538</v>
      </c>
      <c r="M87" s="542">
        <f>_xll.qlCalendarAdvance(Calendar,L87,"3M","f",,Trigger)</f>
        <v>44628</v>
      </c>
      <c r="N87" s="544" t="str">
        <f>_xll.qlMakeDatedOIS(,L87,M87,OvernightIndex,0,,,,EvaluationDate)</f>
        <v>obj_00432#0000</v>
      </c>
      <c r="O87" s="543">
        <f>_xll.qlIndexFixing("euribor6m",_xll.qlInterestRateIndexFixingDate("Euribor6M",L87),TRUE,AllTriggers)</f>
        <v>1.8540954786589722E-2</v>
      </c>
      <c r="P87" s="543">
        <f>_xll.qlOvernightIndexedSwapFairRate(N87,AllTriggers)</f>
        <v>1.5553423097293795E-2</v>
      </c>
      <c r="Q87" s="545">
        <f t="shared" si="5"/>
        <v>2.9875316892959275E-3</v>
      </c>
    </row>
    <row r="88" spans="5:17" x14ac:dyDescent="0.2">
      <c r="E88" s="537"/>
      <c r="F88" s="537"/>
      <c r="G88" s="536"/>
      <c r="I88" s="536"/>
      <c r="J88" s="536"/>
      <c r="L88" s="551">
        <f>_xll.qlCalendarAdvance(Calendar,L87,"1M","f",,Trigger)</f>
        <v>44571</v>
      </c>
      <c r="M88" s="542">
        <f>_xll.qlCalendarAdvance(Calendar,L88,"3M","f",,Trigger)</f>
        <v>44662</v>
      </c>
      <c r="N88" s="544" t="str">
        <f>_xll.qlMakeDatedOIS(,L88,M88,OvernightIndex,0,,,,EvaluationDate)</f>
        <v>obj_00433#0000</v>
      </c>
      <c r="O88" s="543">
        <f>_xll.qlIndexFixing("euribor6m",_xll.qlInterestRateIndexFixingDate("Euribor6M",L88),TRUE,AllTriggers)</f>
        <v>1.8776682094401261E-2</v>
      </c>
      <c r="P88" s="543">
        <f>_xll.qlOvernightIndexedSwapFairRate(N88,AllTriggers)</f>
        <v>1.5553758652168166E-2</v>
      </c>
      <c r="Q88" s="545">
        <f t="shared" si="5"/>
        <v>3.2229234422330947E-3</v>
      </c>
    </row>
    <row r="89" spans="5:17" x14ac:dyDescent="0.2">
      <c r="E89" s="537"/>
      <c r="F89" s="537"/>
      <c r="G89" s="536"/>
      <c r="I89" s="536"/>
      <c r="J89" s="536"/>
      <c r="L89" s="551">
        <f>_xll.qlCalendarAdvance(Calendar,L88,"1M","f",,Trigger)</f>
        <v>44602</v>
      </c>
      <c r="M89" s="542">
        <f>_xll.qlCalendarAdvance(Calendar,L89,"3M","f",,Trigger)</f>
        <v>44691</v>
      </c>
      <c r="N89" s="544" t="str">
        <f>_xll.qlMakeDatedOIS(,L89,M89,OvernightIndex,0,,,,EvaluationDate)</f>
        <v>obj_00434#0000</v>
      </c>
      <c r="O89" s="543">
        <f>_xll.qlIndexFixing("euribor6m",_xll.qlInterestRateIndexFixingDate("Euribor6M",L89),TRUE,AllTriggers)</f>
        <v>1.8989430584568222E-2</v>
      </c>
      <c r="P89" s="543">
        <f>_xll.qlOvernightIndexedSwapFairRate(N89,AllTriggers)</f>
        <v>1.5553087552069E-2</v>
      </c>
      <c r="Q89" s="545">
        <f t="shared" si="5"/>
        <v>3.4363430324992218E-3</v>
      </c>
    </row>
    <row r="90" spans="5:17" x14ac:dyDescent="0.2">
      <c r="E90" s="537"/>
      <c r="F90" s="537"/>
      <c r="G90" s="536"/>
      <c r="I90" s="536"/>
      <c r="J90" s="536"/>
      <c r="L90" s="551">
        <f>_xll.qlCalendarAdvance(Calendar,L89,"1M","f",,Trigger)</f>
        <v>44630</v>
      </c>
      <c r="M90" s="542">
        <f>_xll.qlCalendarAdvance(Calendar,L90,"3M","f",,Trigger)</f>
        <v>44722</v>
      </c>
      <c r="N90" s="544" t="str">
        <f>_xll.qlMakeDatedOIS(,L90,M90,OvernightIndex,0,,,,EvaluationDate)</f>
        <v>obj_00435#0000</v>
      </c>
      <c r="O90" s="543">
        <f>_xll.qlIndexFixing("euribor6m",_xll.qlInterestRateIndexFixingDate("Euribor6M",L90),TRUE,AllTriggers)</f>
        <v>1.9200259728282182E-2</v>
      </c>
      <c r="P90" s="543">
        <f>_xll.qlOvernightIndexedSwapFairRate(N90,AllTriggers)</f>
        <v>1.5554094216691107E-2</v>
      </c>
      <c r="Q90" s="545">
        <f t="shared" si="5"/>
        <v>3.6461655115910749E-3</v>
      </c>
    </row>
    <row r="91" spans="5:17" x14ac:dyDescent="0.2">
      <c r="E91" s="537"/>
      <c r="F91" s="537"/>
      <c r="G91" s="536"/>
      <c r="I91" s="536"/>
      <c r="J91" s="536"/>
      <c r="L91" s="551">
        <f>_xll.qlCalendarAdvance(Calendar,L90,"1M","f",,Trigger)</f>
        <v>44662</v>
      </c>
      <c r="M91" s="542">
        <f>_xll.qlCalendarAdvance(Calendar,L91,"3M","f",,Trigger)</f>
        <v>44753</v>
      </c>
      <c r="N91" s="544" t="str">
        <f>_xll.qlMakeDatedOIS(,L91,M91,OvernightIndex,0,,,,EvaluationDate)</f>
        <v>obj_00436#0000</v>
      </c>
      <c r="O91" s="543">
        <f>_xll.qlIndexFixing("euribor6m",_xll.qlInterestRateIndexFixingDate("Euribor6M",L91),TRUE,AllTriggers)</f>
        <v>1.9403001280119278E-2</v>
      </c>
      <c r="P91" s="543">
        <f>_xll.qlOvernightIndexedSwapFairRate(N91,AllTriggers)</f>
        <v>1.5553758652167283E-2</v>
      </c>
      <c r="Q91" s="545">
        <f t="shared" si="5"/>
        <v>3.8492426279519952E-3</v>
      </c>
    </row>
    <row r="92" spans="5:17" x14ac:dyDescent="0.2">
      <c r="E92" s="537"/>
      <c r="F92" s="537"/>
      <c r="G92" s="536"/>
      <c r="I92" s="536"/>
      <c r="J92" s="536"/>
      <c r="L92" s="551">
        <f>_xll.qlCalendarAdvance(Calendar,L91,"1M","f",,Trigger)</f>
        <v>44692</v>
      </c>
      <c r="M92" s="542">
        <f>_xll.qlCalendarAdvance(Calendar,L92,"3M","f",,Trigger)</f>
        <v>44784</v>
      </c>
      <c r="N92" s="544" t="str">
        <f>_xll.qlMakeDatedOIS(,L92,M92,OvernightIndex,0,,,,EvaluationDate)</f>
        <v>obj_00437#0000</v>
      </c>
      <c r="O92" s="543">
        <f>_xll.qlIndexFixing("euribor6m",_xll.qlInterestRateIndexFixingDate("Euribor6M",L92),TRUE,AllTriggers)</f>
        <v>1.9602491649081219E-2</v>
      </c>
      <c r="P92" s="543">
        <f>_xll.qlOvernightIndexedSwapFairRate(N92,AllTriggers)</f>
        <v>1.5554094216691105E-2</v>
      </c>
      <c r="Q92" s="545">
        <f t="shared" si="5"/>
        <v>4.0483974323901138E-3</v>
      </c>
    </row>
    <row r="93" spans="5:17" x14ac:dyDescent="0.2">
      <c r="E93" s="537"/>
      <c r="F93" s="537"/>
      <c r="G93" s="536"/>
      <c r="I93" s="536"/>
      <c r="J93" s="536"/>
      <c r="L93" s="551">
        <f>_xll.qlCalendarAdvance(Calendar,L92,"1M","f",,Trigger)</f>
        <v>44725</v>
      </c>
      <c r="M93" s="542">
        <f>_xll.qlCalendarAdvance(Calendar,L93,"3M","f",,Trigger)</f>
        <v>44817</v>
      </c>
      <c r="N93" s="544" t="str">
        <f>_xll.qlMakeDatedOIS(,L93,M93,OvernightIndex,0,,,,EvaluationDate)</f>
        <v>obj_00438#0000</v>
      </c>
      <c r="O93" s="543">
        <f>_xll.qlIndexFixing("euribor6m",_xll.qlInterestRateIndexFixingDate("Euribor6M",L93),TRUE,AllTriggers)</f>
        <v>1.9808173368050547E-2</v>
      </c>
      <c r="P93" s="543">
        <f>_xll.qlOvernightIndexedSwapFairRate(N93,AllTriggers)</f>
        <v>1.5762127702061521E-2</v>
      </c>
      <c r="Q93" s="545">
        <f t="shared" si="5"/>
        <v>4.0460456659890259E-3</v>
      </c>
    </row>
    <row r="94" spans="5:17" x14ac:dyDescent="0.2">
      <c r="E94" s="537"/>
      <c r="F94" s="537"/>
      <c r="G94" s="536"/>
      <c r="I94" s="536"/>
      <c r="J94" s="536"/>
      <c r="L94" s="551">
        <f>_xll.qlCalendarAdvance(Calendar,L93,"1M","f",,Trigger)</f>
        <v>44755</v>
      </c>
      <c r="M94" s="542">
        <f>_xll.qlCalendarAdvance(Calendar,L94,"3M","f",,Trigger)</f>
        <v>44847</v>
      </c>
      <c r="N94" s="544" t="str">
        <f>_xll.qlMakeDatedOIS(,L94,M94,OvernightIndex,0,,,,EvaluationDate)</f>
        <v>obj_00439#0000</v>
      </c>
      <c r="O94" s="543">
        <f>_xll.qlIndexFixing("euribor6m",_xll.qlInterestRateIndexFixingDate("Euribor6M",L94),TRUE,AllTriggers)</f>
        <v>1.9996021531081171E-2</v>
      </c>
      <c r="P94" s="543">
        <f>_xll.qlOvernightIndexedSwapFairRate(N94,AllTriggers)</f>
        <v>1.6542351389346285E-2</v>
      </c>
      <c r="Q94" s="545">
        <f t="shared" si="5"/>
        <v>3.4536701417348867E-3</v>
      </c>
    </row>
    <row r="95" spans="5:17" x14ac:dyDescent="0.2">
      <c r="E95" s="537"/>
      <c r="F95" s="537"/>
      <c r="G95" s="536"/>
      <c r="I95" s="536"/>
      <c r="J95" s="536"/>
      <c r="L95" s="551">
        <f>_xll.qlCalendarAdvance(Calendar,L94,"1M","f",,Trigger)</f>
        <v>44788</v>
      </c>
      <c r="M95" s="542">
        <f>_xll.qlCalendarAdvance(Calendar,L95,"3M","f",,Trigger)</f>
        <v>44880</v>
      </c>
      <c r="N95" s="544" t="str">
        <f>_xll.qlMakeDatedOIS(,L95,M95,OvernightIndex,0,,,,EvaluationDate)</f>
        <v>obj_0043a#0000</v>
      </c>
      <c r="O95" s="543">
        <f>_xll.qlIndexFixing("euribor6m",_xll.qlInterestRateIndexFixingDate("Euribor6M",L95),TRUE,AllTriggers)</f>
        <v>2.019171039595229E-2</v>
      </c>
      <c r="P95" s="543">
        <f>_xll.qlOvernightIndexedSwapFairRate(N95,AllTriggers)</f>
        <v>1.7400776408083216E-2</v>
      </c>
      <c r="Q95" s="545">
        <f t="shared" si="5"/>
        <v>2.7909339878690737E-3</v>
      </c>
    </row>
    <row r="96" spans="5:17" x14ac:dyDescent="0.2">
      <c r="E96" s="537"/>
      <c r="F96" s="537"/>
      <c r="G96" s="536"/>
      <c r="I96" s="536"/>
      <c r="J96" s="536"/>
      <c r="L96" s="551">
        <f>_xll.qlCalendarAdvance(Calendar,L95,"1M","f",,Trigger)</f>
        <v>44819</v>
      </c>
      <c r="M96" s="542">
        <f>_xll.qlCalendarAdvance(Calendar,L96,"3M","f",,Trigger)</f>
        <v>44910</v>
      </c>
      <c r="N96" s="544" t="str">
        <f>_xll.qlMakeDatedOIS(,L96,M96,OvernightIndex,0,,,,EvaluationDate)</f>
        <v>obj_0043b#0000</v>
      </c>
      <c r="O96" s="543">
        <f>_xll.qlIndexFixing("euribor6m",_xll.qlInterestRateIndexFixingDate("Euribor6M",L96),TRUE,AllTriggers)</f>
        <v>2.0358628803684005E-2</v>
      </c>
      <c r="P96" s="543">
        <f>_xll.qlOvernightIndexedSwapFairRate(N96,AllTriggers)</f>
        <v>1.7946697837354364E-2</v>
      </c>
      <c r="Q96" s="545">
        <f t="shared" si="5"/>
        <v>2.4119309663296409E-3</v>
      </c>
    </row>
    <row r="97" spans="5:17" x14ac:dyDescent="0.2">
      <c r="E97" s="537"/>
      <c r="F97" s="537"/>
      <c r="G97" s="536"/>
      <c r="I97" s="536"/>
      <c r="J97" s="536"/>
      <c r="L97" s="551">
        <f>_xll.qlCalendarAdvance(Calendar,L96,"1M","f",,Trigger)</f>
        <v>44851</v>
      </c>
      <c r="M97" s="542">
        <f>_xll.qlCalendarAdvance(Calendar,L97,"3M","f",,Trigger)</f>
        <v>44943</v>
      </c>
      <c r="N97" s="544" t="str">
        <f>_xll.qlMakeDatedOIS(,L97,M97,OvernightIndex,0,,,,EvaluationDate)</f>
        <v>obj_0043c#0000</v>
      </c>
      <c r="O97" s="543">
        <f>_xll.qlIndexFixing("euribor6m",_xll.qlInterestRateIndexFixingDate("Euribor6M",L97),TRUE,AllTriggers)</f>
        <v>2.0536921426931077E-2</v>
      </c>
      <c r="P97" s="543">
        <f>_xll.qlOvernightIndexedSwapFairRate(N97,AllTriggers)</f>
        <v>1.7947144508676037E-2</v>
      </c>
      <c r="Q97" s="545">
        <f t="shared" si="5"/>
        <v>2.5897769182550399E-3</v>
      </c>
    </row>
    <row r="98" spans="5:17" x14ac:dyDescent="0.2">
      <c r="E98" s="537"/>
      <c r="F98" s="537"/>
      <c r="G98" s="536"/>
      <c r="I98" s="536"/>
      <c r="J98" s="536"/>
      <c r="L98" s="551">
        <f>_xll.qlCalendarAdvance(Calendar,L97,"1M","f",,Trigger)</f>
        <v>44882</v>
      </c>
      <c r="M98" s="542">
        <f>_xll.qlCalendarAdvance(Calendar,L98,"3M","f",,Trigger)</f>
        <v>44974</v>
      </c>
      <c r="N98" s="544" t="str">
        <f>_xll.qlMakeDatedOIS(,L98,M98,OvernightIndex,0,,,,EvaluationDate)</f>
        <v>obj_0043d#0000</v>
      </c>
      <c r="O98" s="543">
        <f>_xll.qlIndexFixing("euribor6m",_xll.qlInterestRateIndexFixingDate("Euribor6M",L98),TRUE,AllTriggers)</f>
        <v>2.0696100734224572E-2</v>
      </c>
      <c r="P98" s="543">
        <f>_xll.qlOvernightIndexedSwapFairRate(N98,AllTriggers)</f>
        <v>1.7947144508676034E-2</v>
      </c>
      <c r="Q98" s="545">
        <f t="shared" si="5"/>
        <v>2.7489562255485385E-3</v>
      </c>
    </row>
    <row r="99" spans="5:17" x14ac:dyDescent="0.2">
      <c r="E99" s="537"/>
      <c r="F99" s="537"/>
      <c r="G99" s="536"/>
      <c r="I99" s="536"/>
      <c r="J99" s="536"/>
      <c r="L99" s="551">
        <f>_xll.qlCalendarAdvance(Calendar,L98,"1M","f",,Trigger)</f>
        <v>44914</v>
      </c>
      <c r="M99" s="542">
        <f>_xll.qlCalendarAdvance(Calendar,L99,"3M","f",,Trigger)</f>
        <v>45005</v>
      </c>
      <c r="N99" s="544" t="str">
        <f>_xll.qlMakeDatedOIS(,L99,M99,OvernightIndex,0,,,,EvaluationDate)</f>
        <v>obj_0043e#0000</v>
      </c>
      <c r="O99" s="543">
        <f>_xll.qlIndexFixing("euribor6m",_xll.qlInterestRateIndexFixingDate("Euribor6M",L99),TRUE,AllTriggers)</f>
        <v>2.0858999602797714E-2</v>
      </c>
      <c r="P99" s="543">
        <f>_xll.qlOvernightIndexedSwapFairRate(N99,AllTriggers)</f>
        <v>1.7946697837354367E-2</v>
      </c>
      <c r="Q99" s="545">
        <f t="shared" si="5"/>
        <v>2.9123017654433467E-3</v>
      </c>
    </row>
    <row r="100" spans="5:17" x14ac:dyDescent="0.2">
      <c r="E100" s="537"/>
      <c r="F100" s="537"/>
      <c r="G100" s="536"/>
      <c r="I100" s="536"/>
      <c r="J100" s="536"/>
      <c r="L100" s="551">
        <f>_xll.qlCalendarAdvance(Calendar,L99,"1M","f",,Trigger)</f>
        <v>44945</v>
      </c>
      <c r="M100" s="542">
        <f>_xll.qlCalendarAdvance(Calendar,L100,"3M","f",,Trigger)</f>
        <v>45035</v>
      </c>
      <c r="N100" s="544" t="str">
        <f>_xll.qlMakeDatedOIS(,L100,M100,OvernightIndex,0,,,,EvaluationDate)</f>
        <v>obj_0043f#0000</v>
      </c>
      <c r="O100" s="543">
        <f>_xll.qlIndexFixing("euribor6m",_xll.qlInterestRateIndexFixingDate("Euribor6M",L100),TRUE,AllTriggers)</f>
        <v>2.1003693305858939E-2</v>
      </c>
      <c r="P100" s="543">
        <f>_xll.qlOvernightIndexedSwapFairRate(N100,AllTriggers)</f>
        <v>1.7946251180848808E-2</v>
      </c>
      <c r="Q100" s="545">
        <f t="shared" si="5"/>
        <v>3.0574421250101312E-3</v>
      </c>
    </row>
    <row r="101" spans="5:17" x14ac:dyDescent="0.2">
      <c r="E101" s="537"/>
      <c r="F101" s="537"/>
      <c r="G101" s="536"/>
      <c r="I101" s="536"/>
      <c r="J101" s="536"/>
      <c r="L101" s="551">
        <f>_xll.qlCalendarAdvance(Calendar,L100,"1M","f",,Trigger)</f>
        <v>44977</v>
      </c>
      <c r="M101" s="542">
        <f>_xll.qlCalendarAdvance(Calendar,L101,"3M","f",,Trigger)</f>
        <v>45068</v>
      </c>
      <c r="N101" s="544" t="str">
        <f>_xll.qlMakeDatedOIS(,L101,M101,OvernightIndex,0,,,,EvaluationDate)</f>
        <v>obj_00440#0000</v>
      </c>
      <c r="O101" s="543">
        <f>_xll.qlIndexFixing("euribor6m",_xll.qlInterestRateIndexFixingDate("Euribor6M",L101),TRUE,AllTriggers)</f>
        <v>2.1151189706007545E-2</v>
      </c>
      <c r="P101" s="543">
        <f>_xll.qlOvernightIndexedSwapFairRate(N101,AllTriggers)</f>
        <v>1.7946697837354364E-2</v>
      </c>
      <c r="Q101" s="545">
        <f t="shared" si="5"/>
        <v>3.2044918686531809E-3</v>
      </c>
    </row>
    <row r="102" spans="5:17" x14ac:dyDescent="0.2">
      <c r="E102" s="537"/>
      <c r="F102" s="537"/>
      <c r="G102" s="536"/>
      <c r="I102" s="536"/>
      <c r="J102" s="536"/>
      <c r="L102" s="551">
        <f>_xll.qlCalendarAdvance(Calendar,L101,"1M","f",,Trigger)</f>
        <v>45005</v>
      </c>
      <c r="M102" s="542">
        <f>_xll.qlCalendarAdvance(Calendar,L102,"3M","f",,Trigger)</f>
        <v>45097</v>
      </c>
      <c r="N102" s="544" t="str">
        <f>_xll.qlMakeDatedOIS(,L102,M102,OvernightIndex,0,,,,EvaluationDate)</f>
        <v>obj_00441#0000</v>
      </c>
      <c r="O102" s="543">
        <f>_xll.qlIndexFixing("euribor6m",_xll.qlInterestRateIndexFixingDate("Euribor6M",L102),TRUE,AllTriggers)</f>
        <v>2.1276681947786626E-2</v>
      </c>
      <c r="P102" s="543">
        <f>_xll.qlOvernightIndexedSwapFairRate(N102,AllTriggers)</f>
        <v>1.7947144508676037E-2</v>
      </c>
      <c r="Q102" s="545">
        <f t="shared" si="5"/>
        <v>3.3295374391105886E-3</v>
      </c>
    </row>
    <row r="103" spans="5:17" x14ac:dyDescent="0.2">
      <c r="E103" s="537"/>
      <c r="F103" s="537"/>
      <c r="G103" s="536"/>
      <c r="I103" s="536"/>
      <c r="J103" s="536"/>
      <c r="L103" s="551">
        <f>_xll.qlCalendarAdvance(Calendar,L102,"1M","f",,Trigger)</f>
        <v>45036</v>
      </c>
      <c r="M103" s="542">
        <f>_xll.qlCalendarAdvance(Calendar,L103,"3M","f",,Trigger)</f>
        <v>45127</v>
      </c>
      <c r="N103" s="544" t="str">
        <f>_xll.qlMakeDatedOIS(,L103,M103,OvernightIndex,0,,,,EvaluationDate)</f>
        <v>obj_00442#0000</v>
      </c>
      <c r="O103" s="543">
        <f>_xll.qlIndexFixing("euribor6m",_xll.qlInterestRateIndexFixingDate("Euribor6M",L103),TRUE,AllTriggers)</f>
        <v>2.1400710419370087E-2</v>
      </c>
      <c r="P103" s="543">
        <f>_xll.qlOvernightIndexedSwapFairRate(N103,AllTriggers)</f>
        <v>1.7946697837354364E-2</v>
      </c>
      <c r="Q103" s="545">
        <f t="shared" si="5"/>
        <v>3.4540125820157232E-3</v>
      </c>
    </row>
    <row r="104" spans="5:17" x14ac:dyDescent="0.2">
      <c r="E104" s="537"/>
      <c r="F104" s="537"/>
      <c r="G104" s="536"/>
      <c r="I104" s="536"/>
      <c r="J104" s="536"/>
      <c r="L104" s="551">
        <f>_xll.qlCalendarAdvance(Calendar,L103,"1M","f",,Trigger)</f>
        <v>45068</v>
      </c>
      <c r="M104" s="542">
        <f>_xll.qlCalendarAdvance(Calendar,L104,"3M","f",,Trigger)</f>
        <v>45160</v>
      </c>
      <c r="N104" s="544" t="str">
        <f>_xll.qlMakeDatedOIS(,L104,M104,OvernightIndex,0,,,,EvaluationDate)</f>
        <v>obj_00443#0000</v>
      </c>
      <c r="O104" s="543">
        <f>_xll.qlIndexFixing("euribor6m",_xll.qlInterestRateIndexFixingDate("Euribor6M",L104),TRUE,AllTriggers)</f>
        <v>2.152780236806482E-2</v>
      </c>
      <c r="P104" s="543">
        <f>_xll.qlOvernightIndexedSwapFairRate(N104,AllTriggers)</f>
        <v>1.7947144508676034E-2</v>
      </c>
      <c r="Q104" s="545">
        <f t="shared" si="5"/>
        <v>3.5806578593887868E-3</v>
      </c>
    </row>
    <row r="105" spans="5:17" x14ac:dyDescent="0.2">
      <c r="E105" s="537"/>
      <c r="F105" s="537"/>
      <c r="G105" s="536"/>
      <c r="I105" s="536"/>
      <c r="J105" s="536"/>
      <c r="L105" s="551">
        <f>_xll.qlCalendarAdvance(Calendar,L104,"1M","f",,Trigger)</f>
        <v>45099</v>
      </c>
      <c r="M105" s="542">
        <f>_xll.qlCalendarAdvance(Calendar,L105,"3M","f",,Trigger)</f>
        <v>45191</v>
      </c>
      <c r="N105" s="544" t="str">
        <f>_xll.qlMakeDatedOIS(,L105,M105,OvernightIndex,0,,,,EvaluationDate)</f>
        <v>obj_00444#0000</v>
      </c>
      <c r="O105" s="543">
        <f>_xll.qlIndexFixing("euribor6m",_xll.qlInterestRateIndexFixingDate("Euribor6M",L105),TRUE,AllTriggers)</f>
        <v>2.164117178742327E-2</v>
      </c>
      <c r="P105" s="543">
        <f>_xll.qlOvernightIndexedSwapFairRate(N105,AllTriggers)</f>
        <v>1.8211965806056635E-2</v>
      </c>
      <c r="Q105" s="545">
        <f t="shared" si="5"/>
        <v>3.4292059813666349E-3</v>
      </c>
    </row>
    <row r="106" spans="5:17" x14ac:dyDescent="0.2">
      <c r="E106" s="537"/>
      <c r="F106" s="537"/>
      <c r="G106" s="536"/>
      <c r="I106" s="536"/>
      <c r="J106" s="536"/>
      <c r="L106" s="551">
        <f>_xll.qlCalendarAdvance(Calendar,L105,"1M","f",,Trigger)</f>
        <v>45131</v>
      </c>
      <c r="M106" s="542">
        <f>_xll.qlCalendarAdvance(Calendar,L106,"3M","f",,Trigger)</f>
        <v>45223</v>
      </c>
      <c r="N106" s="544" t="str">
        <f>_xll.qlMakeDatedOIS(,L106,M106,OvernightIndex,0,,,,EvaluationDate)</f>
        <v>obj_00445#0000</v>
      </c>
      <c r="O106" s="543">
        <f>_xll.qlIndexFixing("euribor6m",_xll.qlInterestRateIndexFixingDate("Euribor6M",L106),TRUE,AllTriggers)</f>
        <v>2.1759135786719296E-2</v>
      </c>
      <c r="P106" s="543">
        <f>_xll.qlOvernightIndexedSwapFairRate(N106,AllTriggers)</f>
        <v>1.8710501352425898E-2</v>
      </c>
      <c r="Q106" s="545">
        <f t="shared" si="5"/>
        <v>3.0486344342933978E-3</v>
      </c>
    </row>
    <row r="107" spans="5:17" x14ac:dyDescent="0.2">
      <c r="E107" s="537"/>
      <c r="F107" s="537"/>
      <c r="G107" s="536"/>
      <c r="I107" s="536"/>
      <c r="J107" s="536"/>
      <c r="L107" s="551">
        <f>_xll.qlCalendarAdvance(Calendar,L106,"1M","f",,Trigger)</f>
        <v>45162</v>
      </c>
      <c r="M107" s="542">
        <f>_xll.qlCalendarAdvance(Calendar,L107,"3M","f",,Trigger)</f>
        <v>45254</v>
      </c>
      <c r="N107" s="544" t="str">
        <f>_xll.qlMakeDatedOIS(,L107,M107,OvernightIndex,0,,,,EvaluationDate)</f>
        <v>obj_00446#0000</v>
      </c>
      <c r="O107" s="543">
        <f>_xll.qlIndexFixing("euribor6m",_xll.qlInterestRateIndexFixingDate("Euribor6M",L107),TRUE,AllTriggers)</f>
        <v>2.1872953881874619E-2</v>
      </c>
      <c r="P107" s="543">
        <f>_xll.qlOvernightIndexedSwapFairRate(N107,AllTriggers)</f>
        <v>1.919351795122554E-2</v>
      </c>
      <c r="Q107" s="545">
        <f t="shared" si="5"/>
        <v>2.6794359306490795E-3</v>
      </c>
    </row>
    <row r="108" spans="5:17" x14ac:dyDescent="0.2">
      <c r="E108" s="537"/>
      <c r="F108" s="537"/>
      <c r="G108" s="536"/>
      <c r="I108" s="536"/>
      <c r="J108" s="536"/>
      <c r="L108" s="551">
        <f>_xll.qlCalendarAdvance(Calendar,L107,"1M","f",,Trigger)</f>
        <v>45194</v>
      </c>
      <c r="M108" s="542">
        <f>_xll.qlCalendarAdvance(Calendar,L108,"3M","f",,Trigger)</f>
        <v>45287</v>
      </c>
      <c r="N108" s="544" t="str">
        <f>_xll.qlMakeDatedOIS(,L108,M108,OvernightIndex,0,,,,EvaluationDate)</f>
        <v>obj_00447#0000</v>
      </c>
      <c r="O108" s="543">
        <f>_xll.qlIndexFixing("euribor6m",_xll.qlInterestRateIndexFixingDate("Euribor6M",L108),TRUE,AllTriggers)</f>
        <v>2.1974094376265987E-2</v>
      </c>
      <c r="P108" s="543">
        <f>_xll.qlOvernightIndexedSwapFairRate(N108,AllTriggers)</f>
        <v>1.9381028871333604E-2</v>
      </c>
      <c r="Q108" s="545">
        <f t="shared" si="5"/>
        <v>2.5930655049323827E-3</v>
      </c>
    </row>
    <row r="109" spans="5:17" x14ac:dyDescent="0.2">
      <c r="E109" s="537"/>
      <c r="F109" s="537"/>
      <c r="G109" s="536"/>
      <c r="I109" s="536"/>
      <c r="J109" s="536"/>
      <c r="L109" s="551">
        <f>_xll.qlCalendarAdvance(Calendar,L108,"1M","f",,Trigger)</f>
        <v>45224</v>
      </c>
      <c r="M109" s="542">
        <f>_xll.qlCalendarAdvance(Calendar,L109,"3M","f",,Trigger)</f>
        <v>45316</v>
      </c>
      <c r="N109" s="544" t="str">
        <f>_xll.qlMakeDatedOIS(,L109,M109,OvernightIndex,0,,,,EvaluationDate)</f>
        <v>obj_00448#0000</v>
      </c>
      <c r="O109" s="543">
        <f>_xll.qlIndexFixing("euribor6m",_xll.qlInterestRateIndexFixingDate("Euribor6M",L109),TRUE,AllTriggers)</f>
        <v>2.2078758968145474E-2</v>
      </c>
      <c r="P109" s="543">
        <f>_xll.qlOvernightIndexedSwapFairRate(N109,AllTriggers)</f>
        <v>1.9380508048775853E-2</v>
      </c>
      <c r="Q109" s="545">
        <f t="shared" si="5"/>
        <v>2.6982509193696214E-3</v>
      </c>
    </row>
    <row r="110" spans="5:17" x14ac:dyDescent="0.2">
      <c r="E110" s="537"/>
      <c r="F110" s="537"/>
      <c r="G110" s="536"/>
      <c r="I110" s="536"/>
      <c r="J110" s="536"/>
      <c r="L110" s="551">
        <f>_xll.qlCalendarAdvance(Calendar,L109,"1M","f",,Trigger)</f>
        <v>45257</v>
      </c>
      <c r="M110" s="542">
        <f>_xll.qlCalendarAdvance(Calendar,L110,"3M","f",,Trigger)</f>
        <v>45349</v>
      </c>
      <c r="N110" s="544" t="str">
        <f>_xll.qlMakeDatedOIS(,L110,M110,OvernightIndex,0,,,,EvaluationDate)</f>
        <v>obj_00449#0000</v>
      </c>
      <c r="O110" s="543">
        <f>_xll.qlIndexFixing("euribor6m",_xll.qlInterestRateIndexFixingDate("Euribor6M",L110),TRUE,AllTriggers)</f>
        <v>2.2187387381116253E-2</v>
      </c>
      <c r="P110" s="543">
        <f>_xll.qlOvernightIndexedSwapFairRate(N110,AllTriggers)</f>
        <v>1.9380508048774982E-2</v>
      </c>
      <c r="Q110" s="545">
        <f t="shared" si="5"/>
        <v>2.8068793323412708E-3</v>
      </c>
    </row>
    <row r="111" spans="5:17" x14ac:dyDescent="0.2">
      <c r="E111" s="537"/>
      <c r="F111" s="537"/>
      <c r="G111" s="536"/>
      <c r="I111" s="536"/>
      <c r="J111" s="536"/>
      <c r="L111" s="551">
        <f>_xll.qlCalendarAdvance(Calendar,L110,"1M","f",,Trigger)</f>
        <v>45287</v>
      </c>
      <c r="M111" s="542">
        <f>_xll.qlCalendarAdvance(Calendar,L111,"3M","f",,Trigger)</f>
        <v>45378</v>
      </c>
      <c r="N111" s="544" t="str">
        <f>_xll.qlMakeDatedOIS(,L111,M111,OvernightIndex,0,,,,EvaluationDate)</f>
        <v>obj_0044a#0000</v>
      </c>
      <c r="O111" s="543">
        <f>_xll.qlIndexFixing("euribor6m",_xll.qlInterestRateIndexFixingDate("Euribor6M",L111),TRUE,AllTriggers)</f>
        <v>2.2289147811413966E-2</v>
      </c>
      <c r="P111" s="543">
        <f>_xll.qlOvernightIndexedSwapFairRate(N111,AllTriggers)</f>
        <v>1.9379987244871038E-2</v>
      </c>
      <c r="Q111" s="545">
        <f t="shared" si="5"/>
        <v>2.9091605665429281E-3</v>
      </c>
    </row>
    <row r="112" spans="5:17" x14ac:dyDescent="0.2">
      <c r="E112" s="537"/>
      <c r="F112" s="537"/>
      <c r="G112" s="536"/>
      <c r="I112" s="536"/>
      <c r="J112" s="536"/>
      <c r="L112" s="551">
        <f>_xll.qlCalendarAdvance(Calendar,L111,"1M","f",,Trigger)</f>
        <v>45320</v>
      </c>
      <c r="M112" s="542">
        <f>_xll.qlCalendarAdvance(Calendar,L112,"3M","f",,Trigger)</f>
        <v>45411</v>
      </c>
      <c r="N112" s="544" t="str">
        <f>_xll.qlMakeDatedOIS(,L112,M112,OvernightIndex,0,,,,EvaluationDate)</f>
        <v>obj_0044b#0000</v>
      </c>
      <c r="O112" s="543">
        <f>_xll.qlIndexFixing("euribor6m",_xll.qlInterestRateIndexFixingDate("Euribor6M",L112),TRUE,AllTriggers)</f>
        <v>2.2394654510880133E-2</v>
      </c>
      <c r="P112" s="543">
        <f>_xll.qlOvernightIndexedSwapFairRate(N112,AllTriggers)</f>
        <v>1.9379987244870153E-2</v>
      </c>
      <c r="Q112" s="545">
        <f t="shared" si="5"/>
        <v>3.0146672660099801E-3</v>
      </c>
    </row>
    <row r="113" spans="5:17" x14ac:dyDescent="0.2">
      <c r="E113" s="537"/>
      <c r="F113" s="537"/>
      <c r="G113" s="536"/>
      <c r="I113" s="536"/>
      <c r="J113" s="536"/>
      <c r="L113" s="551">
        <f>_xll.qlCalendarAdvance(Calendar,L112,"1M","f",,Trigger)</f>
        <v>45351</v>
      </c>
      <c r="M113" s="542">
        <f>_xll.qlCalendarAdvance(Calendar,L113,"3M","f",,Trigger)</f>
        <v>45441</v>
      </c>
      <c r="N113" s="544" t="str">
        <f>_xll.qlMakeDatedOIS(,L113,M113,OvernightIndex,0,,,,EvaluationDate)</f>
        <v>obj_0044c#0000</v>
      </c>
      <c r="O113" s="543">
        <f>_xll.qlIndexFixing("euribor6m",_xll.qlInterestRateIndexFixingDate("Euribor6M",L113),TRUE,AllTriggers)</f>
        <v>2.2496704845788414E-2</v>
      </c>
      <c r="P113" s="543">
        <f>_xll.qlOvernightIndexedSwapFairRate(N113,AllTriggers)</f>
        <v>1.9379466459619188E-2</v>
      </c>
      <c r="Q113" s="545">
        <f t="shared" si="5"/>
        <v>3.1172383861692264E-3</v>
      </c>
    </row>
    <row r="114" spans="5:17" x14ac:dyDescent="0.2">
      <c r="E114" s="537"/>
      <c r="F114" s="537"/>
      <c r="G114" s="536"/>
      <c r="I114" s="536"/>
      <c r="J114" s="536"/>
      <c r="L114" s="551">
        <f>_xll.qlCalendarAdvance(Calendar,L113,"1M","f",,Trigger)</f>
        <v>45384</v>
      </c>
      <c r="M114" s="542">
        <f>_xll.qlCalendarAdvance(Calendar,L114,"3M","f",,Trigger)</f>
        <v>45475</v>
      </c>
      <c r="N114" s="544" t="str">
        <f>_xll.qlMakeDatedOIS(,L114,M114,OvernightIndex,0,,,,EvaluationDate)</f>
        <v>obj_0044d#0000</v>
      </c>
      <c r="O114" s="543">
        <f>_xll.qlIndexFixing("euribor6m",_xll.qlInterestRateIndexFixingDate("Euribor6M",L114),TRUE,AllTriggers)</f>
        <v>2.2601271433552519E-2</v>
      </c>
      <c r="P114" s="543">
        <f>_xll.qlOvernightIndexedSwapFairRate(N114,AllTriggers)</f>
        <v>1.9379987244871034E-2</v>
      </c>
      <c r="Q114" s="545">
        <f t="shared" si="5"/>
        <v>3.221284188681485E-3</v>
      </c>
    </row>
    <row r="115" spans="5:17" x14ac:dyDescent="0.2">
      <c r="E115" s="537"/>
      <c r="F115" s="537"/>
      <c r="G115" s="536"/>
      <c r="I115" s="536"/>
      <c r="J115" s="536"/>
      <c r="L115" s="551">
        <f>_xll.qlCalendarAdvance(Calendar,L114,"1M","f",,Trigger)</f>
        <v>45414</v>
      </c>
      <c r="M115" s="542">
        <f>_xll.qlCalendarAdvance(Calendar,L115,"3M","f",,Trigger)</f>
        <v>45506</v>
      </c>
      <c r="N115" s="544" t="str">
        <f>_xll.qlMakeDatedOIS(,L115,M115,OvernightIndex,0,,,,EvaluationDate)</f>
        <v>obj_0044e#0000</v>
      </c>
      <c r="O115" s="543">
        <f>_xll.qlIndexFixing("euribor6m",_xll.qlInterestRateIndexFixingDate("Euribor6M",L115),TRUE,AllTriggers)</f>
        <v>2.270139827575627E-2</v>
      </c>
      <c r="P115" s="543">
        <f>_xll.qlOvernightIndexedSwapFairRate(N115,AllTriggers)</f>
        <v>1.9380508048774985E-2</v>
      </c>
      <c r="Q115" s="545">
        <f t="shared" si="5"/>
        <v>3.3208902269812844E-3</v>
      </c>
    </row>
    <row r="116" spans="5:17" x14ac:dyDescent="0.2">
      <c r="E116" s="537"/>
      <c r="F116" s="537"/>
      <c r="G116" s="536"/>
      <c r="I116" s="536"/>
      <c r="J116" s="536"/>
      <c r="L116" s="551">
        <f>_xll.qlCalendarAdvance(Calendar,L115,"1M","f",,Trigger)</f>
        <v>45446</v>
      </c>
      <c r="M116" s="542">
        <f>_xll.qlCalendarAdvance(Calendar,L116,"3M","f",,Trigger)</f>
        <v>45538</v>
      </c>
      <c r="N116" s="544" t="str">
        <f>_xll.qlMakeDatedOIS(,L116,M116,OvernightIndex,0,,,,EvaluationDate)</f>
        <v>obj_0044f#0000</v>
      </c>
      <c r="O116" s="543">
        <f>_xll.qlIndexFixing("euribor6m",_xll.qlInterestRateIndexFixingDate("Euribor6M",L116),TRUE,AllTriggers)</f>
        <v>2.2792466228463308E-2</v>
      </c>
      <c r="P116" s="543">
        <f>_xll.qlOvernightIndexedSwapFairRate(N116,AllTriggers)</f>
        <v>1.9380508048774989E-2</v>
      </c>
      <c r="Q116" s="545">
        <f t="shared" si="5"/>
        <v>3.4119581796883194E-3</v>
      </c>
    </row>
    <row r="117" spans="5:17" x14ac:dyDescent="0.2">
      <c r="E117" s="537"/>
      <c r="F117" s="537"/>
      <c r="G117" s="536"/>
      <c r="I117" s="536"/>
      <c r="J117" s="536"/>
      <c r="L117" s="551">
        <f>_xll.qlCalendarAdvance(Calendar,L116,"1M","f",,Trigger)</f>
        <v>45476</v>
      </c>
      <c r="M117" s="542">
        <f>_xll.qlCalendarAdvance(Calendar,L117,"3M","f",,Trigger)</f>
        <v>45568</v>
      </c>
      <c r="N117" s="544" t="str">
        <f>_xll.qlMakeDatedOIS(,L117,M117,OvernightIndex,0,,,,EvaluationDate)</f>
        <v>obj_00450#0000</v>
      </c>
      <c r="O117" s="543">
        <f>_xll.qlIndexFixing("euribor6m",_xll.qlInterestRateIndexFixingDate("Euribor6M",L117),TRUE,AllTriggers)</f>
        <v>2.2884255630520253E-2</v>
      </c>
      <c r="P117" s="543">
        <f>_xll.qlOvernightIndexedSwapFairRate(N117,AllTriggers)</f>
        <v>1.9823246014434498E-2</v>
      </c>
      <c r="Q117" s="545">
        <f t="shared" si="5"/>
        <v>3.0610096160857553E-3</v>
      </c>
    </row>
    <row r="118" spans="5:17" x14ac:dyDescent="0.2">
      <c r="E118" s="537"/>
      <c r="F118" s="537"/>
      <c r="G118" s="536"/>
      <c r="I118" s="536"/>
      <c r="J118" s="536"/>
      <c r="L118" s="551">
        <f>_xll.qlCalendarAdvance(Calendar,L117,"1M","f",,Trigger)</f>
        <v>45509</v>
      </c>
      <c r="M118" s="542">
        <f>_xll.qlCalendarAdvance(Calendar,L118,"3M","f",,Trigger)</f>
        <v>45601</v>
      </c>
      <c r="N118" s="544" t="str">
        <f>_xll.qlMakeDatedOIS(,L118,M118,OvernightIndex,0,,,,EvaluationDate)</f>
        <v>obj_00451#0000</v>
      </c>
      <c r="O118" s="543">
        <f>_xll.qlIndexFixing("euribor6m",_xll.qlInterestRateIndexFixingDate("Euribor6M",L118),TRUE,AllTriggers)</f>
        <v>2.2980314337855197E-2</v>
      </c>
      <c r="P118" s="543">
        <f>_xll.qlOvernightIndexedSwapFairRate(N118,AllTriggers)</f>
        <v>2.0345108324301097E-2</v>
      </c>
      <c r="Q118" s="545">
        <f t="shared" si="5"/>
        <v>2.6352060135540999E-3</v>
      </c>
    </row>
    <row r="119" spans="5:17" x14ac:dyDescent="0.2">
      <c r="E119" s="537"/>
      <c r="F119" s="537"/>
      <c r="G119" s="536"/>
      <c r="I119" s="536"/>
      <c r="J119" s="536"/>
      <c r="L119" s="551">
        <f>_xll.qlCalendarAdvance(Calendar,L118,"1M","f",,Trigger)</f>
        <v>45540</v>
      </c>
      <c r="M119" s="542">
        <f>_xll.qlCalendarAdvance(Calendar,L119,"3M","f",,Trigger)</f>
        <v>45631</v>
      </c>
      <c r="N119" s="544" t="str">
        <f>_xll.qlMakeDatedOIS(,L119,M119,OvernightIndex,0,,,,EvaluationDate)</f>
        <v>obj_00452#0000</v>
      </c>
      <c r="O119" s="543">
        <f>_xll.qlIndexFixing("euribor6m",_xll.qlInterestRateIndexFixingDate("Euribor6M",L119),TRUE,AllTriggers)</f>
        <v>2.3061689263665159E-2</v>
      </c>
      <c r="P119" s="543">
        <f>_xll.qlOvernightIndexedSwapFairRate(N119,AllTriggers)</f>
        <v>2.0834803837042351E-2</v>
      </c>
      <c r="Q119" s="545">
        <f t="shared" si="5"/>
        <v>2.2268854266228079E-3</v>
      </c>
    </row>
    <row r="120" spans="5:17" x14ac:dyDescent="0.2">
      <c r="E120" s="537"/>
      <c r="F120" s="537"/>
      <c r="G120" s="536"/>
      <c r="I120" s="536"/>
      <c r="J120" s="536"/>
      <c r="L120" s="551">
        <f>_xll.qlCalendarAdvance(Calendar,L119,"1M","f",,Trigger)</f>
        <v>45572</v>
      </c>
      <c r="M120" s="542">
        <f>_xll.qlCalendarAdvance(Calendar,L120,"3M","f",,Trigger)</f>
        <v>45664</v>
      </c>
      <c r="N120" s="544" t="str">
        <f>_xll.qlMakeDatedOIS(,L120,M120,OvernightIndex,0,,,,EvaluationDate)</f>
        <v>obj_00453#0000</v>
      </c>
      <c r="O120" s="543">
        <f>_xll.qlIndexFixing("euribor6m",_xll.qlInterestRateIndexFixingDate("Euribor6M",L120),TRUE,AllTriggers)</f>
        <v>2.3151469688967363E-2</v>
      </c>
      <c r="P120" s="543">
        <f>_xll.qlOvernightIndexedSwapFairRate(N120,AllTriggers)</f>
        <v>2.0835405694456983E-2</v>
      </c>
      <c r="Q120" s="545">
        <f t="shared" si="5"/>
        <v>2.3160639945103804E-3</v>
      </c>
    </row>
    <row r="121" spans="5:17" x14ac:dyDescent="0.2">
      <c r="E121" s="537"/>
      <c r="F121" s="537"/>
      <c r="G121" s="536"/>
      <c r="I121" s="536"/>
      <c r="J121" s="536"/>
      <c r="L121" s="551">
        <f>_xll.qlCalendarAdvance(Calendar,L120,"1M","f",,Trigger)</f>
        <v>45603</v>
      </c>
      <c r="M121" s="542">
        <f>_xll.qlCalendarAdvance(Calendar,L121,"3M","f",,Trigger)</f>
        <v>45695</v>
      </c>
      <c r="N121" s="544" t="str">
        <f>_xll.qlMakeDatedOIS(,L121,M121,OvernightIndex,0,,,,EvaluationDate)</f>
        <v>obj_00454#0000</v>
      </c>
      <c r="O121" s="543">
        <f>_xll.qlIndexFixing("euribor6m",_xll.qlInterestRateIndexFixingDate("Euribor6M",L121),TRUE,AllTriggers)</f>
        <v>2.3231626185642562E-2</v>
      </c>
      <c r="P121" s="543">
        <f>_xll.qlOvernightIndexedSwapFairRate(N121,AllTriggers)</f>
        <v>2.0835405694456979E-2</v>
      </c>
      <c r="Q121" s="545">
        <f t="shared" si="5"/>
        <v>2.3962204911855828E-3</v>
      </c>
    </row>
    <row r="122" spans="5:17" x14ac:dyDescent="0.2">
      <c r="E122" s="537"/>
      <c r="F122" s="537"/>
      <c r="G122" s="536"/>
      <c r="I122" s="536"/>
      <c r="J122" s="536"/>
      <c r="L122" s="551">
        <f>_xll.qlCalendarAdvance(Calendar,L121,"1M","f",,Trigger)</f>
        <v>45635</v>
      </c>
      <c r="M122" s="542">
        <f>_xll.qlCalendarAdvance(Calendar,L122,"3M","f",,Trigger)</f>
        <v>45726</v>
      </c>
      <c r="N122" s="544" t="str">
        <f>_xll.qlMakeDatedOIS(,L122,M122,OvernightIndex,0,,,,EvaluationDate)</f>
        <v>obj_00455#0000</v>
      </c>
      <c r="O122" s="543">
        <f>_xll.qlIndexFixing("euribor6m",_xll.qlInterestRateIndexFixingDate("Euribor6M",L122),TRUE,AllTriggers)</f>
        <v>2.3315565819609765E-2</v>
      </c>
      <c r="P122" s="543">
        <f>_xll.qlOvernightIndexedSwapFairRate(N122,AllTriggers)</f>
        <v>2.0834803837042358E-2</v>
      </c>
      <c r="Q122" s="545">
        <f t="shared" si="5"/>
        <v>2.4807619825674074E-3</v>
      </c>
    </row>
    <row r="123" spans="5:17" x14ac:dyDescent="0.2">
      <c r="E123" s="537"/>
      <c r="F123" s="537"/>
      <c r="G123" s="536"/>
      <c r="I123" s="536"/>
      <c r="J123" s="536"/>
      <c r="L123" s="551">
        <f>_xll.qlCalendarAdvance(Calendar,L122,"1M","f",,Trigger)</f>
        <v>45666</v>
      </c>
      <c r="M123" s="542">
        <f>_xll.qlCalendarAdvance(Calendar,L123,"3M","f",,Trigger)</f>
        <v>45756</v>
      </c>
      <c r="N123" s="544" t="str">
        <f>_xll.qlMakeDatedOIS(,L123,M123,OvernightIndex,0,,,,EvaluationDate)</f>
        <v>obj_00456#0000</v>
      </c>
      <c r="O123" s="543">
        <f>_xll.qlIndexFixing("euribor6m",_xll.qlInterestRateIndexFixingDate("Euribor6M",L123),TRUE,AllTriggers)</f>
        <v>2.3390219883634225E-2</v>
      </c>
      <c r="P123" s="543">
        <f>_xll.qlOvernightIndexedSwapFairRate(N123,AllTriggers)</f>
        <v>2.0834202002798282E-2</v>
      </c>
      <c r="Q123" s="545">
        <f t="shared" si="5"/>
        <v>2.5560178808359431E-3</v>
      </c>
    </row>
    <row r="124" spans="5:17" x14ac:dyDescent="0.2">
      <c r="E124" s="537"/>
      <c r="F124" s="537"/>
      <c r="G124" s="536"/>
      <c r="I124" s="536"/>
      <c r="J124" s="536"/>
      <c r="L124" s="551">
        <f>_xll.qlCalendarAdvance(Calendar,L123,"1M","f",,Trigger)</f>
        <v>45698</v>
      </c>
      <c r="M124" s="542">
        <f>_xll.qlCalendarAdvance(Calendar,L124,"3M","f",,Trigger)</f>
        <v>45789</v>
      </c>
      <c r="N124" s="544" t="str">
        <f>_xll.qlMakeDatedOIS(,L124,M124,OvernightIndex,0,,,,EvaluationDate)</f>
        <v>obj_00457#0000</v>
      </c>
      <c r="O124" s="543">
        <f>_xll.qlIndexFixing("euribor6m",_xll.qlInterestRateIndexFixingDate("Euribor6M",L124),TRUE,AllTriggers)</f>
        <v>2.3468316656322354E-2</v>
      </c>
      <c r="P124" s="543">
        <f>_xll.qlOvernightIndexedSwapFairRate(N124,AllTriggers)</f>
        <v>2.0834803837042355E-2</v>
      </c>
      <c r="Q124" s="545">
        <f t="shared" si="5"/>
        <v>2.6335128192799991E-3</v>
      </c>
    </row>
    <row r="125" spans="5:17" x14ac:dyDescent="0.2">
      <c r="E125" s="537"/>
      <c r="F125" s="537"/>
      <c r="G125" s="536"/>
      <c r="I125" s="536"/>
      <c r="J125" s="536"/>
      <c r="L125" s="551">
        <f>_xll.qlCalendarAdvance(Calendar,L124,"1M","f",,Trigger)</f>
        <v>45726</v>
      </c>
      <c r="M125" s="542">
        <f>_xll.qlCalendarAdvance(Calendar,L125,"3M","f",,Trigger)</f>
        <v>45818</v>
      </c>
      <c r="N125" s="544" t="str">
        <f>_xll.qlMakeDatedOIS(,L125,M125,OvernightIndex,0,,,,EvaluationDate)</f>
        <v>obj_00458#0000</v>
      </c>
      <c r="O125" s="543">
        <f>_xll.qlIndexFixing("euribor6m",_xll.qlInterestRateIndexFixingDate("Euribor6M",L125),TRUE,AllTriggers)</f>
        <v>2.3536261878019167E-2</v>
      </c>
      <c r="P125" s="543">
        <f>_xll.qlOvernightIndexedSwapFairRate(N125,AllTriggers)</f>
        <v>2.0835405694456983E-2</v>
      </c>
      <c r="Q125" s="545">
        <f t="shared" si="5"/>
        <v>2.7008561835621843E-3</v>
      </c>
    </row>
    <row r="126" spans="5:17" x14ac:dyDescent="0.2">
      <c r="E126" s="537"/>
      <c r="F126" s="537"/>
      <c r="G126" s="536"/>
      <c r="I126" s="536"/>
      <c r="J126" s="536"/>
      <c r="L126" s="551">
        <f>_xll.qlCalendarAdvance(Calendar,L125,"1M","f",,Trigger)</f>
        <v>45757</v>
      </c>
      <c r="M126" s="542">
        <f>_xll.qlCalendarAdvance(Calendar,L126,"3M","f",,Trigger)</f>
        <v>45848</v>
      </c>
      <c r="N126" s="544" t="str">
        <f>_xll.qlMakeDatedOIS(,L126,M126,OvernightIndex,0,,,,EvaluationDate)</f>
        <v>obj_00459#0000</v>
      </c>
      <c r="O126" s="543">
        <f>_xll.qlIndexFixing("euribor6m",_xll.qlInterestRateIndexFixingDate("Euribor6M",L126),TRUE,AllTriggers)</f>
        <v>2.3602888754281882E-2</v>
      </c>
      <c r="P126" s="543">
        <f>_xll.qlOvernightIndexedSwapFairRate(N126,AllTriggers)</f>
        <v>2.0834803837042355E-2</v>
      </c>
      <c r="Q126" s="545">
        <f t="shared" si="5"/>
        <v>2.7680849172395279E-3</v>
      </c>
    </row>
    <row r="127" spans="5:17" x14ac:dyDescent="0.2">
      <c r="E127" s="537"/>
      <c r="F127" s="537"/>
      <c r="G127" s="536"/>
      <c r="I127" s="536"/>
      <c r="J127" s="536"/>
      <c r="L127" s="551">
        <f>_xll.qlCalendarAdvance(Calendar,L126,"1M","f",,Trigger)</f>
        <v>45789</v>
      </c>
      <c r="M127" s="542">
        <f>_xll.qlCalendarAdvance(Calendar,L127,"3M","f",,Trigger)</f>
        <v>45881</v>
      </c>
      <c r="N127" s="544" t="str">
        <f>_xll.qlMakeDatedOIS(,L127,M127,OvernightIndex,0,,,,EvaluationDate)</f>
        <v>obj_0045a#0000</v>
      </c>
      <c r="O127" s="543">
        <f>_xll.qlIndexFixing("euribor6m",_xll.qlInterestRateIndexFixingDate("Euribor6M",L127),TRUE,AllTriggers)</f>
        <v>2.3672458113038659E-2</v>
      </c>
      <c r="P127" s="543">
        <f>_xll.qlOvernightIndexedSwapFairRate(N127,AllTriggers)</f>
        <v>2.0835405694456983E-2</v>
      </c>
      <c r="Q127" s="545">
        <f t="shared" si="5"/>
        <v>2.8370524185816759E-3</v>
      </c>
    </row>
    <row r="128" spans="5:17" x14ac:dyDescent="0.2">
      <c r="E128" s="537"/>
      <c r="F128" s="537"/>
      <c r="G128" s="536"/>
      <c r="I128" s="536"/>
      <c r="J128" s="536"/>
      <c r="L128" s="551">
        <f>_xll.qlCalendarAdvance(Calendar,L127,"1M","f",,Trigger)</f>
        <v>45820</v>
      </c>
      <c r="M128" s="542">
        <f>_xll.qlCalendarAdvance(Calendar,L128,"3M","f",,Trigger)</f>
        <v>45912</v>
      </c>
      <c r="N128" s="544" t="str">
        <f>_xll.qlMakeDatedOIS(,L128,M128,OvernightIndex,0,,,,EvaluationDate)</f>
        <v>obj_0045b#0000</v>
      </c>
      <c r="O128" s="543">
        <f>_xll.qlIndexFixing("euribor6m",_xll.qlInterestRateIndexFixingDate("Euribor6M",L128),TRUE,AllTriggers)</f>
        <v>2.3733580566964039E-2</v>
      </c>
      <c r="P128" s="543">
        <f>_xll.qlOvernightIndexedSwapFairRate(N128,AllTriggers)</f>
        <v>2.0905692980985397E-2</v>
      </c>
      <c r="Q128" s="545">
        <f t="shared" si="5"/>
        <v>2.8278875859786418E-3</v>
      </c>
    </row>
    <row r="129" spans="5:17" x14ac:dyDescent="0.2">
      <c r="E129" s="537"/>
      <c r="F129" s="537"/>
      <c r="G129" s="536"/>
      <c r="I129" s="536"/>
      <c r="J129" s="536"/>
      <c r="L129" s="551">
        <f>_xll.qlCalendarAdvance(Calendar,L128,"1M","f",,Trigger)</f>
        <v>45852</v>
      </c>
      <c r="M129" s="542">
        <f>_xll.qlCalendarAdvance(Calendar,L129,"3M","f",,Trigger)</f>
        <v>45944</v>
      </c>
      <c r="N129" s="544" t="str">
        <f>_xll.qlMakeDatedOIS(,L129,M129,OvernightIndex,0,,,,EvaluationDate)</f>
        <v>obj_0045c#0000</v>
      </c>
      <c r="O129" s="543">
        <f>_xll.qlIndexFixing("euribor6m",_xll.qlInterestRateIndexFixingDate("Euribor6M",L129),TRUE,AllTriggers)</f>
        <v>2.3797301614877656E-2</v>
      </c>
      <c r="P129" s="543">
        <f>_xll.qlOvernightIndexedSwapFairRate(N129,AllTriggers)</f>
        <v>2.122702228384259E-2</v>
      </c>
      <c r="Q129" s="545">
        <f t="shared" si="5"/>
        <v>2.5702793310350656E-3</v>
      </c>
    </row>
    <row r="130" spans="5:17" x14ac:dyDescent="0.2">
      <c r="E130" s="537"/>
      <c r="F130" s="537"/>
      <c r="G130" s="536"/>
      <c r="I130" s="536"/>
      <c r="J130" s="536"/>
      <c r="L130" s="551">
        <f>_xll.qlCalendarAdvance(Calendar,L129,"1M","f",,Trigger)</f>
        <v>45883</v>
      </c>
      <c r="M130" s="542">
        <f>_xll.qlCalendarAdvance(Calendar,L130,"3M","f",,Trigger)</f>
        <v>45975</v>
      </c>
      <c r="N130" s="544" t="str">
        <f>_xll.qlMakeDatedOIS(,L130,M130,OvernightIndex,0,,,,EvaluationDate)</f>
        <v>obj_0045d#0000</v>
      </c>
      <c r="O130" s="543">
        <f>_xll.qlIndexFixing("euribor6m",_xll.qlInterestRateIndexFixingDate("Euribor6M",L130),TRUE,AllTriggers)</f>
        <v>2.3857852065972934E-2</v>
      </c>
      <c r="P130" s="543">
        <f>_xll.qlOvernightIndexedSwapFairRate(N130,AllTriggers)</f>
        <v>2.1538335075004918E-2</v>
      </c>
      <c r="Q130" s="545">
        <f t="shared" si="5"/>
        <v>2.3195169909680166E-3</v>
      </c>
    </row>
    <row r="131" spans="5:17" x14ac:dyDescent="0.2">
      <c r="E131" s="537"/>
      <c r="F131" s="537"/>
      <c r="G131" s="536"/>
      <c r="I131" s="536"/>
      <c r="J131" s="536"/>
      <c r="L131" s="551">
        <f>_xll.qlCalendarAdvance(Calendar,L130,"1M","f",,Trigger)</f>
        <v>45915</v>
      </c>
      <c r="M131" s="542">
        <f>_xll.qlCalendarAdvance(Calendar,L131,"3M","f",,Trigger)</f>
        <v>46006</v>
      </c>
      <c r="N131" s="544" t="str">
        <f>_xll.qlMakeDatedOIS(,L131,M131,OvernightIndex,0,,,,EvaluationDate)</f>
        <v>obj_0045e#0000</v>
      </c>
      <c r="O131" s="543">
        <f>_xll.qlIndexFixing("euribor6m",_xll.qlInterestRateIndexFixingDate("Euribor6M",L131),TRUE,AllTriggers)</f>
        <v>2.3907583430967796E-2</v>
      </c>
      <c r="P131" s="543">
        <f>_xll.qlOvernightIndexedSwapFairRate(N131,AllTriggers)</f>
        <v>2.1758625313981258E-2</v>
      </c>
      <c r="Q131" s="545">
        <f t="shared" ref="Q131:Q194" si="6">O131-P131</f>
        <v>2.1489581169865379E-3</v>
      </c>
    </row>
    <row r="132" spans="5:17" x14ac:dyDescent="0.2">
      <c r="E132" s="537"/>
      <c r="F132" s="537"/>
      <c r="G132" s="536"/>
      <c r="I132" s="536"/>
      <c r="J132" s="536"/>
      <c r="L132" s="551">
        <f>_xll.qlCalendarAdvance(Calendar,L131,"1M","f",,Trigger)</f>
        <v>45945</v>
      </c>
      <c r="M132" s="542">
        <f>_xll.qlCalendarAdvance(Calendar,L132,"3M","f",,Trigger)</f>
        <v>46037</v>
      </c>
      <c r="N132" s="544" t="str">
        <f>_xll.qlMakeDatedOIS(,L132,M132,OvernightIndex,0,,,,EvaluationDate)</f>
        <v>obj_0045f#0000</v>
      </c>
      <c r="O132" s="543">
        <f>_xll.qlIndexFixing("euribor6m",_xll.qlInterestRateIndexFixingDate("Euribor6M",L132),TRUE,AllTriggers)</f>
        <v>2.3957713333708774E-2</v>
      </c>
      <c r="P132" s="543">
        <f>_xll.qlOvernightIndexedSwapFairRate(N132,AllTriggers)</f>
        <v>2.1759281677410997E-2</v>
      </c>
      <c r="Q132" s="545">
        <f t="shared" si="6"/>
        <v>2.1984316562977772E-3</v>
      </c>
    </row>
    <row r="133" spans="5:17" x14ac:dyDescent="0.2">
      <c r="E133" s="537"/>
      <c r="F133" s="537"/>
      <c r="G133" s="536"/>
      <c r="I133" s="536"/>
      <c r="J133" s="536"/>
      <c r="L133" s="551">
        <f>_xll.qlCalendarAdvance(Calendar,L132,"1M","f",,Trigger)</f>
        <v>45978</v>
      </c>
      <c r="M133" s="542">
        <f>_xll.qlCalendarAdvance(Calendar,L133,"3M","f",,Trigger)</f>
        <v>46070</v>
      </c>
      <c r="N133" s="544" t="str">
        <f>_xll.qlMakeDatedOIS(,L133,M133,OvernightIndex,0,,,,EvaluationDate)</f>
        <v>obj_00460#0000</v>
      </c>
      <c r="O133" s="543">
        <f>_xll.qlIndexFixing("euribor6m",_xll.qlInterestRateIndexFixingDate("Euribor6M",L133),TRUE,AllTriggers)</f>
        <v>2.4009881967202325E-2</v>
      </c>
      <c r="P133" s="543">
        <f>_xll.qlOvernightIndexedSwapFairRate(N133,AllTriggers)</f>
        <v>2.1759281677411001E-2</v>
      </c>
      <c r="Q133" s="545">
        <f t="shared" si="6"/>
        <v>2.2506002897913248E-3</v>
      </c>
    </row>
    <row r="134" spans="5:17" x14ac:dyDescent="0.2">
      <c r="E134" s="537"/>
      <c r="F134" s="537"/>
      <c r="G134" s="536"/>
      <c r="I134" s="536"/>
      <c r="J134" s="536"/>
      <c r="L134" s="551">
        <f>_xll.qlCalendarAdvance(Calendar,L133,"1M","f",,Trigger)</f>
        <v>46008</v>
      </c>
      <c r="M134" s="542">
        <f>_xll.qlCalendarAdvance(Calendar,L134,"3M","f",,Trigger)</f>
        <v>46098</v>
      </c>
      <c r="N134" s="544" t="str">
        <f>_xll.qlMakeDatedOIS(,L134,M134,OvernightIndex,0,,,,EvaluationDate)</f>
        <v>obj_00461#0000</v>
      </c>
      <c r="O134" s="543">
        <f>_xll.qlIndexFixing("euribor6m",_xll.qlInterestRateIndexFixingDate("Euribor6M",L134),TRUE,AllTriggers)</f>
        <v>2.4054603926730502E-2</v>
      </c>
      <c r="P134" s="543">
        <f>_xll.qlOvernightIndexedSwapFairRate(N134,AllTriggers)</f>
        <v>2.1757968976937825E-2</v>
      </c>
      <c r="Q134" s="545">
        <f t="shared" si="6"/>
        <v>2.2966349497926773E-3</v>
      </c>
    </row>
    <row r="135" spans="5:17" x14ac:dyDescent="0.2">
      <c r="E135" s="537"/>
      <c r="F135" s="537"/>
      <c r="G135" s="536"/>
      <c r="I135" s="536"/>
      <c r="J135" s="536"/>
      <c r="L135" s="551">
        <f>_xll.qlCalendarAdvance(Calendar,L134,"1M","f",,Trigger)</f>
        <v>46041</v>
      </c>
      <c r="M135" s="542">
        <f>_xll.qlCalendarAdvance(Calendar,L135,"3M","f",,Trigger)</f>
        <v>46132</v>
      </c>
      <c r="N135" s="544" t="str">
        <f>_xll.qlMakeDatedOIS(,L135,M135,OvernightIndex,0,,,,EvaluationDate)</f>
        <v>obj_00462#0000</v>
      </c>
      <c r="O135" s="543">
        <f>_xll.qlIndexFixing("euribor6m",_xll.qlInterestRateIndexFixingDate("Euribor6M",L135),TRUE,AllTriggers)</f>
        <v>2.4100823391515619E-2</v>
      </c>
      <c r="P135" s="543">
        <f>_xll.qlOvernightIndexedSwapFairRate(N135,AllTriggers)</f>
        <v>2.1758625313981254E-2</v>
      </c>
      <c r="Q135" s="545">
        <f t="shared" si="6"/>
        <v>2.3421980775343645E-3</v>
      </c>
    </row>
    <row r="136" spans="5:17" x14ac:dyDescent="0.2">
      <c r="E136" s="537"/>
      <c r="F136" s="537"/>
      <c r="G136" s="536"/>
      <c r="I136" s="536"/>
      <c r="J136" s="536"/>
      <c r="L136" s="551">
        <f>_xll.qlCalendarAdvance(Calendar,L135,"1M","f",,Trigger)</f>
        <v>46072</v>
      </c>
      <c r="M136" s="542">
        <f>_xll.qlCalendarAdvance(Calendar,L136,"3M","f",,Trigger)</f>
        <v>46161</v>
      </c>
      <c r="N136" s="544" t="str">
        <f>_xll.qlMakeDatedOIS(,L136,M136,OvernightIndex,0,,,,EvaluationDate)</f>
        <v>obj_00463#0000</v>
      </c>
      <c r="O136" s="543">
        <f>_xll.qlIndexFixing("euribor6m",_xll.qlInterestRateIndexFixingDate("Euribor6M",L136),TRUE,AllTriggers)</f>
        <v>2.4140007220858163E-2</v>
      </c>
      <c r="P136" s="543">
        <f>_xll.qlOvernightIndexedSwapFairRate(N136,AllTriggers)</f>
        <v>2.1757312666279161E-2</v>
      </c>
      <c r="Q136" s="545">
        <f t="shared" si="6"/>
        <v>2.3826945545790019E-3</v>
      </c>
    </row>
    <row r="137" spans="5:17" x14ac:dyDescent="0.2">
      <c r="E137" s="537"/>
      <c r="F137" s="537"/>
      <c r="G137" s="536"/>
      <c r="I137" s="536"/>
      <c r="J137" s="536"/>
      <c r="L137" s="551">
        <f>_xll.qlCalendarAdvance(Calendar,L136,"1M","f",,Trigger)</f>
        <v>46100</v>
      </c>
      <c r="M137" s="542">
        <f>_xll.qlCalendarAdvance(Calendar,L137,"3M","f",,Trigger)</f>
        <v>46192</v>
      </c>
      <c r="N137" s="544" t="str">
        <f>_xll.qlMakeDatedOIS(,L137,M137,OvernightIndex,0,,,,EvaluationDate)</f>
        <v>obj_00464#0000</v>
      </c>
      <c r="O137" s="543">
        <f>_xll.qlIndexFixing("euribor6m",_xll.qlInterestRateIndexFixingDate("Euribor6M",L137),TRUE,AllTriggers)</f>
        <v>2.4181117129707615E-2</v>
      </c>
      <c r="P137" s="543">
        <f>_xll.qlOvernightIndexedSwapFairRate(N137,AllTriggers)</f>
        <v>2.1759281677411001E-2</v>
      </c>
      <c r="Q137" s="545">
        <f t="shared" si="6"/>
        <v>2.421835452296614E-3</v>
      </c>
    </row>
    <row r="138" spans="5:17" x14ac:dyDescent="0.2">
      <c r="E138" s="537"/>
      <c r="F138" s="537"/>
      <c r="G138" s="536"/>
      <c r="I138" s="536"/>
      <c r="J138" s="536"/>
      <c r="L138" s="551">
        <f>_xll.qlCalendarAdvance(Calendar,L137,"1M","f",,Trigger)</f>
        <v>46132</v>
      </c>
      <c r="M138" s="542">
        <f>_xll.qlCalendarAdvance(Calendar,L138,"3M","f",,Trigger)</f>
        <v>46223</v>
      </c>
      <c r="N138" s="544" t="str">
        <f>_xll.qlMakeDatedOIS(,L138,M138,OvernightIndex,0,,,,EvaluationDate)</f>
        <v>obj_00465#0000</v>
      </c>
      <c r="O138" s="543">
        <f>_xll.qlIndexFixing("euribor6m",_xll.qlInterestRateIndexFixingDate("Euribor6M",L138),TRUE,AllTriggers)</f>
        <v>2.4213551421071171E-2</v>
      </c>
      <c r="P138" s="543">
        <f>_xll.qlOvernightIndexedSwapFairRate(N138,AllTriggers)</f>
        <v>2.1758625313981254E-2</v>
      </c>
      <c r="Q138" s="545">
        <f t="shared" si="6"/>
        <v>2.4549261070899164E-3</v>
      </c>
    </row>
    <row r="139" spans="5:17" x14ac:dyDescent="0.2">
      <c r="E139" s="537"/>
      <c r="F139" s="537"/>
      <c r="G139" s="536"/>
      <c r="I139" s="536"/>
      <c r="J139" s="536"/>
      <c r="L139" s="551">
        <f>_xll.qlCalendarAdvance(Calendar,L138,"1M","f",,Trigger)</f>
        <v>46162</v>
      </c>
      <c r="M139" s="542">
        <f>_xll.qlCalendarAdvance(Calendar,L139,"3M","f",,Trigger)</f>
        <v>46254</v>
      </c>
      <c r="N139" s="544" t="str">
        <f>_xll.qlMakeDatedOIS(,L139,M139,OvernightIndex,0,,,,EvaluationDate)</f>
        <v>obj_00466#0000</v>
      </c>
      <c r="O139" s="543">
        <f>_xll.qlIndexFixing("euribor6m",_xll.qlInterestRateIndexFixingDate("Euribor6M",L139),TRUE,AllTriggers)</f>
        <v>2.4246721368770312E-2</v>
      </c>
      <c r="P139" s="543">
        <f>_xll.qlOvernightIndexedSwapFairRate(N139,AllTriggers)</f>
        <v>2.1759281677410997E-2</v>
      </c>
      <c r="Q139" s="545">
        <f t="shared" si="6"/>
        <v>2.4874396913593146E-3</v>
      </c>
    </row>
    <row r="140" spans="5:17" x14ac:dyDescent="0.2">
      <c r="E140" s="537"/>
      <c r="F140" s="537"/>
      <c r="G140" s="536"/>
      <c r="I140" s="536"/>
      <c r="J140" s="536"/>
      <c r="L140" s="551">
        <f>_xll.qlCalendarAdvance(Calendar,L139,"1M","f",,Trigger)</f>
        <v>46195</v>
      </c>
      <c r="M140" s="542">
        <f>_xll.qlCalendarAdvance(Calendar,L140,"3M","f",,Trigger)</f>
        <v>46287</v>
      </c>
      <c r="N140" s="544" t="str">
        <f>_xll.qlMakeDatedOIS(,L140,M140,OvernightIndex,0,,,,EvaluationDate)</f>
        <v>obj_00467#0000</v>
      </c>
      <c r="O140" s="543">
        <f>_xll.qlIndexFixing("euribor6m",_xll.qlInterestRateIndexFixingDate("Euribor6M",L140),TRUE,AllTriggers)</f>
        <v>2.427814859735113E-2</v>
      </c>
      <c r="P140" s="543">
        <f>_xll.qlOvernightIndexedSwapFairRate(N140,AllTriggers)</f>
        <v>2.1935800624084498E-2</v>
      </c>
      <c r="Q140" s="545">
        <f t="shared" si="6"/>
        <v>2.342347973266632E-3</v>
      </c>
    </row>
    <row r="141" spans="5:17" x14ac:dyDescent="0.2">
      <c r="E141" s="537"/>
      <c r="F141" s="537"/>
      <c r="G141" s="536"/>
      <c r="I141" s="536"/>
      <c r="J141" s="536"/>
      <c r="L141" s="551">
        <f>_xll.qlCalendarAdvance(Calendar,L140,"1M","f",,Trigger)</f>
        <v>46225</v>
      </c>
      <c r="M141" s="542">
        <f>_xll.qlCalendarAdvance(Calendar,L141,"3M","f",,Trigger)</f>
        <v>46317</v>
      </c>
      <c r="N141" s="544" t="str">
        <f>_xll.qlMakeDatedOIS(,L141,M141,OvernightIndex,0,,,,EvaluationDate)</f>
        <v>obj_00468#0000</v>
      </c>
      <c r="O141" s="543">
        <f>_xll.qlIndexFixing("euribor6m",_xll.qlInterestRateIndexFixingDate("Euribor6M",L141),TRUE,AllTriggers)</f>
        <v>2.4307238329339582E-2</v>
      </c>
      <c r="P141" s="543">
        <f>_xll.qlOvernightIndexedSwapFairRate(N141,AllTriggers)</f>
        <v>2.2288862274205439E-2</v>
      </c>
      <c r="Q141" s="545">
        <f t="shared" si="6"/>
        <v>2.0183760551341426E-3</v>
      </c>
    </row>
    <row r="142" spans="5:17" x14ac:dyDescent="0.2">
      <c r="E142" s="537"/>
      <c r="F142" s="537"/>
      <c r="G142" s="536"/>
      <c r="I142" s="536"/>
      <c r="J142" s="536"/>
      <c r="L142" s="551">
        <f>_xll.qlCalendarAdvance(Calendar,L141,"1M","f",,Trigger)</f>
        <v>46258</v>
      </c>
      <c r="M142" s="542">
        <f>_xll.qlCalendarAdvance(Calendar,L142,"3M","f",,Trigger)</f>
        <v>46350</v>
      </c>
      <c r="N142" s="544" t="str">
        <f>_xll.qlMakeDatedOIS(,L142,M142,OvernightIndex,0,,,,EvaluationDate)</f>
        <v>obj_00469#0000</v>
      </c>
      <c r="O142" s="543">
        <f>_xll.qlIndexFixing("euribor6m",_xll.qlInterestRateIndexFixingDate("Euribor6M",L142),TRUE,AllTriggers)</f>
        <v>2.4336033273603796E-2</v>
      </c>
      <c r="P142" s="543">
        <f>_xll.qlOvernightIndexedSwapFairRate(N142,AllTriggers)</f>
        <v>2.2677266677611232E-2</v>
      </c>
      <c r="Q142" s="545">
        <f t="shared" si="6"/>
        <v>1.6587665959925633E-3</v>
      </c>
    </row>
    <row r="143" spans="5:17" x14ac:dyDescent="0.2">
      <c r="E143" s="537"/>
      <c r="F143" s="537"/>
      <c r="G143" s="536"/>
      <c r="I143" s="536"/>
      <c r="J143" s="536"/>
      <c r="L143" s="551">
        <f>_xll.qlCalendarAdvance(Calendar,L142,"1M","f",,Trigger)</f>
        <v>46289</v>
      </c>
      <c r="M143" s="542">
        <f>_xll.qlCalendarAdvance(Calendar,L143,"3M","f",,Trigger)</f>
        <v>46380</v>
      </c>
      <c r="N143" s="544" t="str">
        <f>_xll.qlMakeDatedOIS(,L143,M143,OvernightIndex,0,,,,EvaluationDate)</f>
        <v>obj_0046a#0000</v>
      </c>
      <c r="O143" s="543">
        <f>_xll.qlIndexFixing("euribor6m",_xll.qlInterestRateIndexFixingDate("Euribor6M",L143),TRUE,AllTriggers)</f>
        <v>2.4357991668945374E-2</v>
      </c>
      <c r="P143" s="543">
        <f>_xll.qlOvernightIndexedSwapFairRate(N143,AllTriggers)</f>
        <v>2.2841332639536079E-2</v>
      </c>
      <c r="Q143" s="545">
        <f t="shared" si="6"/>
        <v>1.5166590294092945E-3</v>
      </c>
    </row>
    <row r="144" spans="5:17" x14ac:dyDescent="0.2">
      <c r="E144" s="537"/>
      <c r="F144" s="537"/>
      <c r="G144" s="536"/>
      <c r="I144" s="536"/>
      <c r="J144" s="536"/>
      <c r="L144" s="551">
        <f>_xll.qlCalendarAdvance(Calendar,L143,"1M","f",,Trigger)</f>
        <v>46321</v>
      </c>
      <c r="M144" s="542">
        <f>_xll.qlCalendarAdvance(Calendar,L144,"3M","f",,Trigger)</f>
        <v>46413</v>
      </c>
      <c r="N144" s="544" t="str">
        <f>_xll.qlMakeDatedOIS(,L144,M144,OvernightIndex,0,,,,EvaluationDate)</f>
        <v>obj_0046b#0000</v>
      </c>
      <c r="O144" s="543">
        <f>_xll.qlIndexFixing("euribor6m",_xll.qlInterestRateIndexFixingDate("Euribor6M",L144),TRUE,AllTriggers)</f>
        <v>2.4384237269226151E-2</v>
      </c>
      <c r="P144" s="543">
        <f>_xll.qlOvernightIndexedSwapFairRate(N144,AllTriggers)</f>
        <v>2.2842055884314975E-2</v>
      </c>
      <c r="Q144" s="545">
        <f t="shared" si="6"/>
        <v>1.542181384911176E-3</v>
      </c>
    </row>
    <row r="145" spans="5:17" x14ac:dyDescent="0.2">
      <c r="E145" s="537"/>
      <c r="F145" s="537"/>
      <c r="G145" s="536"/>
      <c r="I145" s="536"/>
      <c r="J145" s="536"/>
      <c r="L145" s="551">
        <f>_xll.qlCalendarAdvance(Calendar,L144,"1M","f",,Trigger)</f>
        <v>46352</v>
      </c>
      <c r="M145" s="542">
        <f>_xll.qlCalendarAdvance(Calendar,L145,"3M","f",,Trigger)</f>
        <v>46444</v>
      </c>
      <c r="N145" s="544" t="str">
        <f>_xll.qlMakeDatedOIS(,L145,M145,OvernightIndex,0,,,,EvaluationDate)</f>
        <v>obj_0046c#0000</v>
      </c>
      <c r="O145" s="543">
        <f>_xll.qlIndexFixing("euribor6m",_xll.qlInterestRateIndexFixingDate("Euribor6M",L145),TRUE,AllTriggers)</f>
        <v>2.4405996053300259E-2</v>
      </c>
      <c r="P145" s="543">
        <f>_xll.qlOvernightIndexedSwapFairRate(N145,AllTriggers)</f>
        <v>2.2842055884314975E-2</v>
      </c>
      <c r="Q145" s="545">
        <f t="shared" si="6"/>
        <v>1.5639401689852839E-3</v>
      </c>
    </row>
    <row r="146" spans="5:17" x14ac:dyDescent="0.2">
      <c r="E146" s="537"/>
      <c r="F146" s="537"/>
      <c r="G146" s="536"/>
      <c r="I146" s="536"/>
      <c r="J146" s="536"/>
      <c r="L146" s="551">
        <f>_xll.qlCalendarAdvance(Calendar,L145,"1M","f",,Trigger)</f>
        <v>46384</v>
      </c>
      <c r="M146" s="542">
        <f>_xll.qlCalendarAdvance(Calendar,L146,"3M","f",,Trigger)</f>
        <v>46476</v>
      </c>
      <c r="N146" s="544" t="str">
        <f>_xll.qlMakeDatedOIS(,L146,M146,OvernightIndex,0,,,,EvaluationDate)</f>
        <v>obj_0046d#0000</v>
      </c>
      <c r="O146" s="543">
        <f>_xll.qlIndexFixing("euribor6m",_xll.qlInterestRateIndexFixingDate("Euribor6M",L146),TRUE,AllTriggers)</f>
        <v>2.4429436491754001E-2</v>
      </c>
      <c r="P146" s="543">
        <f>_xll.qlOvernightIndexedSwapFairRate(N146,AllTriggers)</f>
        <v>2.2842055884314972E-2</v>
      </c>
      <c r="Q146" s="545">
        <f t="shared" si="6"/>
        <v>1.587380607439029E-3</v>
      </c>
    </row>
    <row r="147" spans="5:17" x14ac:dyDescent="0.2">
      <c r="E147" s="537"/>
      <c r="F147" s="537"/>
      <c r="G147" s="536"/>
      <c r="I147" s="536"/>
      <c r="J147" s="536"/>
      <c r="L147" s="551">
        <f>_xll.qlCalendarAdvance(Calendar,L146,"1M","f",,Trigger)</f>
        <v>46415</v>
      </c>
      <c r="M147" s="542">
        <f>_xll.qlCalendarAdvance(Calendar,L147,"3M","f",,Trigger)</f>
        <v>46505</v>
      </c>
      <c r="N147" s="544" t="str">
        <f>_xll.qlMakeDatedOIS(,L147,M147,OvernightIndex,0,,,,EvaluationDate)</f>
        <v>obj_0046e#0000</v>
      </c>
      <c r="O147" s="543">
        <f>_xll.qlIndexFixing("euribor6m",_xll.qlInterestRateIndexFixingDate("Euribor6M",L147),TRUE,AllTriggers)</f>
        <v>2.4448556747783672E-2</v>
      </c>
      <c r="P147" s="543">
        <f>_xll.qlOvernightIndexedSwapFairRate(N147,AllTriggers)</f>
        <v>2.2840609425276878E-2</v>
      </c>
      <c r="Q147" s="545">
        <f t="shared" si="6"/>
        <v>1.607947322506794E-3</v>
      </c>
    </row>
    <row r="148" spans="5:17" x14ac:dyDescent="0.2">
      <c r="E148" s="537"/>
      <c r="F148" s="537"/>
      <c r="G148" s="536"/>
      <c r="I148" s="536"/>
      <c r="J148" s="536"/>
      <c r="L148" s="551">
        <f>_xll.qlCalendarAdvance(Calendar,L147,"1M","f",,Trigger)</f>
        <v>46447</v>
      </c>
      <c r="M148" s="542">
        <f>_xll.qlCalendarAdvance(Calendar,L148,"3M","f",,Trigger)</f>
        <v>46539</v>
      </c>
      <c r="N148" s="544" t="str">
        <f>_xll.qlMakeDatedOIS(,L148,M148,OvernightIndex,0,,,,EvaluationDate)</f>
        <v>obj_0046f#0000</v>
      </c>
      <c r="O148" s="543">
        <f>_xll.qlIndexFixing("euribor6m",_xll.qlInterestRateIndexFixingDate("Euribor6M",L148),TRUE,AllTriggers)</f>
        <v>2.4471393272692786E-2</v>
      </c>
      <c r="P148" s="543">
        <f>_xll.qlOvernightIndexedSwapFairRate(N148,AllTriggers)</f>
        <v>2.2842055884314972E-2</v>
      </c>
      <c r="Q148" s="545">
        <f t="shared" si="6"/>
        <v>1.6293373883778141E-3</v>
      </c>
    </row>
    <row r="149" spans="5:17" x14ac:dyDescent="0.2">
      <c r="E149" s="537"/>
      <c r="F149" s="537"/>
      <c r="G149" s="536"/>
      <c r="I149" s="536"/>
      <c r="J149" s="536"/>
      <c r="L149" s="551">
        <f>_xll.qlCalendarAdvance(Calendar,L148,"1M","f",,Trigger)</f>
        <v>46478</v>
      </c>
      <c r="M149" s="542">
        <f>_xll.qlCalendarAdvance(Calendar,L149,"3M","f",,Trigger)</f>
        <v>46569</v>
      </c>
      <c r="N149" s="544" t="str">
        <f>_xll.qlMakeDatedOIS(,L149,M149,OvernightIndex,0,,,,EvaluationDate)</f>
        <v>obj_00470#0000</v>
      </c>
      <c r="O149" s="543">
        <f>_xll.qlIndexFixing("euribor6m",_xll.qlInterestRateIndexFixingDate("Euribor6M",L149),TRUE,AllTriggers)</f>
        <v>2.448783581524324E-2</v>
      </c>
      <c r="P149" s="543">
        <f>_xll.qlOvernightIndexedSwapFairRate(N149,AllTriggers)</f>
        <v>2.2841332639536076E-2</v>
      </c>
      <c r="Q149" s="545">
        <f t="shared" si="6"/>
        <v>1.6465031757071646E-3</v>
      </c>
    </row>
    <row r="150" spans="5:17" x14ac:dyDescent="0.2">
      <c r="E150" s="537"/>
      <c r="F150" s="537"/>
      <c r="G150" s="536"/>
      <c r="I150" s="536"/>
      <c r="J150" s="536"/>
      <c r="L150" s="551">
        <f>_xll.qlCalendarAdvance(Calendar,L149,"1M","f",,Trigger)</f>
        <v>46510</v>
      </c>
      <c r="M150" s="542">
        <f>_xll.qlCalendarAdvance(Calendar,L150,"3M","f",,Trigger)</f>
        <v>46602</v>
      </c>
      <c r="N150" s="544" t="str">
        <f>_xll.qlMakeDatedOIS(,L150,M150,OvernightIndex,0,,,,EvaluationDate)</f>
        <v>obj_00471#0000</v>
      </c>
      <c r="O150" s="543">
        <f>_xll.qlIndexFixing("euribor6m",_xll.qlInterestRateIndexFixingDate("Euribor6M",L150),TRUE,AllTriggers)</f>
        <v>2.4505621902463758E-2</v>
      </c>
      <c r="P150" s="543">
        <f>_xll.qlOvernightIndexedSwapFairRate(N150,AllTriggers)</f>
        <v>2.2842055884315843E-2</v>
      </c>
      <c r="Q150" s="545">
        <f t="shared" si="6"/>
        <v>1.6635660181479155E-3</v>
      </c>
    </row>
    <row r="151" spans="5:17" x14ac:dyDescent="0.2">
      <c r="E151" s="537"/>
      <c r="F151" s="537"/>
      <c r="G151" s="536"/>
      <c r="I151" s="536"/>
      <c r="J151" s="536"/>
      <c r="L151" s="551">
        <f>_xll.qlCalendarAdvance(Calendar,L150,"1M","f",,Trigger)</f>
        <v>46541</v>
      </c>
      <c r="M151" s="542">
        <f>_xll.qlCalendarAdvance(Calendar,L151,"3M","f",,Trigger)</f>
        <v>46633</v>
      </c>
      <c r="N151" s="544" t="str">
        <f>_xll.qlMakeDatedOIS(,L151,M151,OvernightIndex,0,,,,EvaluationDate)</f>
        <v>obj_00472#0000</v>
      </c>
      <c r="O151" s="543">
        <f>_xll.qlIndexFixing("euribor6m",_xll.qlInterestRateIndexFixingDate("Euribor6M",L151),TRUE,AllTriggers)</f>
        <v>2.4519425991014674E-2</v>
      </c>
      <c r="P151" s="543">
        <f>_xll.qlOvernightIndexedSwapFairRate(N151,AllTriggers)</f>
        <v>2.2842055884315843E-2</v>
      </c>
      <c r="Q151" s="545">
        <f t="shared" si="6"/>
        <v>1.6773701066988313E-3</v>
      </c>
    </row>
    <row r="152" spans="5:17" x14ac:dyDescent="0.2">
      <c r="E152" s="537"/>
      <c r="F152" s="537"/>
      <c r="G152" s="536"/>
      <c r="I152" s="536"/>
      <c r="J152" s="536"/>
      <c r="L152" s="551">
        <f>_xll.qlCalendarAdvance(Calendar,L151,"1M","f",,Trigger)</f>
        <v>46573</v>
      </c>
      <c r="M152" s="542">
        <f>_xll.qlCalendarAdvance(Calendar,L152,"3M","f",,Trigger)</f>
        <v>46665</v>
      </c>
      <c r="N152" s="544" t="str">
        <f>_xll.qlMakeDatedOIS(,L152,M152,OvernightIndex,0,,,,EvaluationDate)</f>
        <v>obj_00473#0000</v>
      </c>
      <c r="O152" s="543">
        <f>_xll.qlIndexFixing("euribor6m",_xll.qlInterestRateIndexFixingDate("Euribor6M",L152),TRUE,AllTriggers)</f>
        <v>2.4534404957210345E-2</v>
      </c>
      <c r="P152" s="543">
        <f>_xll.qlOvernightIndexedSwapFairRate(N152,AllTriggers)</f>
        <v>2.2842055884314972E-2</v>
      </c>
      <c r="Q152" s="545">
        <f t="shared" si="6"/>
        <v>1.692349072895373E-3</v>
      </c>
    </row>
    <row r="153" spans="5:17" x14ac:dyDescent="0.2">
      <c r="E153" s="537"/>
      <c r="F153" s="537"/>
      <c r="G153" s="536"/>
      <c r="I153" s="536"/>
      <c r="J153" s="536"/>
      <c r="L153" s="551">
        <f>_xll.qlCalendarAdvance(Calendar,L152,"1M","f",,Trigger)</f>
        <v>46604</v>
      </c>
      <c r="M153" s="542">
        <f>_xll.qlCalendarAdvance(Calendar,L153,"3M","f",,Trigger)</f>
        <v>46696</v>
      </c>
      <c r="N153" s="544" t="str">
        <f>_xll.qlMakeDatedOIS(,L153,M153,OvernightIndex,0,,,,EvaluationDate)</f>
        <v>obj_00474#0000</v>
      </c>
      <c r="O153" s="543">
        <f>_xll.qlIndexFixing("euribor6m",_xll.qlInterestRateIndexFixingDate("Euribor6M",L153),TRUE,AllTriggers)</f>
        <v>2.4548563923463915E-2</v>
      </c>
      <c r="P153" s="543">
        <f>_xll.qlOvernightIndexedSwapFairRate(N153,AllTriggers)</f>
        <v>2.2842055884314975E-2</v>
      </c>
      <c r="Q153" s="545">
        <f t="shared" si="6"/>
        <v>1.70650803914894E-3</v>
      </c>
    </row>
    <row r="154" spans="5:17" x14ac:dyDescent="0.2">
      <c r="E154" s="537"/>
      <c r="F154" s="537"/>
      <c r="G154" s="536"/>
      <c r="I154" s="536"/>
      <c r="J154" s="536"/>
      <c r="L154" s="551">
        <f>_xll.qlCalendarAdvance(Calendar,L153,"1M","f",,Trigger)</f>
        <v>46636</v>
      </c>
      <c r="M154" s="542">
        <f>_xll.qlCalendarAdvance(Calendar,L154,"3M","f",,Trigger)</f>
        <v>46727</v>
      </c>
      <c r="N154" s="544" t="str">
        <f>_xll.qlMakeDatedOIS(,L154,M154,OvernightIndex,0,,,,EvaluationDate)</f>
        <v>obj_00475#0000</v>
      </c>
      <c r="O154" s="543">
        <f>_xll.qlIndexFixing("euribor6m",_xll.qlInterestRateIndexFixingDate("Euribor6M",L154),TRUE,AllTriggers)</f>
        <v>2.4555788004555063E-2</v>
      </c>
      <c r="P154" s="543">
        <f>_xll.qlOvernightIndexedSwapFairRate(N154,AllTriggers)</f>
        <v>2.2841332639536079E-2</v>
      </c>
      <c r="Q154" s="545">
        <f t="shared" si="6"/>
        <v>1.7144553650189839E-3</v>
      </c>
    </row>
    <row r="155" spans="5:17" x14ac:dyDescent="0.2">
      <c r="E155" s="537"/>
      <c r="F155" s="537"/>
      <c r="G155" s="536"/>
      <c r="I155" s="536"/>
      <c r="J155" s="536"/>
      <c r="L155" s="551">
        <f>_xll.qlCalendarAdvance(Calendar,L154,"1M","f",,Trigger)</f>
        <v>46666</v>
      </c>
      <c r="M155" s="542">
        <f>_xll.qlCalendarAdvance(Calendar,L155,"3M","f",,Trigger)</f>
        <v>46758</v>
      </c>
      <c r="N155" s="544" t="str">
        <f>_xll.qlMakeDatedOIS(,L155,M155,OvernightIndex,0,,,,EvaluationDate)</f>
        <v>obj_00476#0000</v>
      </c>
      <c r="O155" s="543">
        <f>_xll.qlIndexFixing("euribor6m",_xll.qlInterestRateIndexFixingDate("Euribor6M",L155),TRUE,AllTriggers)</f>
        <v>2.4565984113320779E-2</v>
      </c>
      <c r="P155" s="543">
        <f>_xll.qlOvernightIndexedSwapFairRate(N155,AllTriggers)</f>
        <v>2.2842055884315843E-2</v>
      </c>
      <c r="Q155" s="545">
        <f t="shared" si="6"/>
        <v>1.7239282290049361E-3</v>
      </c>
    </row>
    <row r="156" spans="5:17" x14ac:dyDescent="0.2">
      <c r="E156" s="537"/>
      <c r="F156" s="537"/>
      <c r="G156" s="536"/>
      <c r="I156" s="536"/>
      <c r="J156" s="536"/>
      <c r="L156" s="551">
        <f>_xll.qlCalendarAdvance(Calendar,L155,"1M","f",,Trigger)</f>
        <v>46699</v>
      </c>
      <c r="M156" s="542">
        <f>_xll.qlCalendarAdvance(Calendar,L156,"3M","f",,Trigger)</f>
        <v>46791</v>
      </c>
      <c r="N156" s="544" t="str">
        <f>_xll.qlMakeDatedOIS(,L156,M156,OvernightIndex,0,,,,EvaluationDate)</f>
        <v>obj_00477#0000</v>
      </c>
      <c r="O156" s="543">
        <f>_xll.qlIndexFixing("euribor6m",_xll.qlInterestRateIndexFixingDate("Euribor6M",L156),TRUE,AllTriggers)</f>
        <v>2.4573763250047138E-2</v>
      </c>
      <c r="P156" s="543">
        <f>_xll.qlOvernightIndexedSwapFairRate(N156,AllTriggers)</f>
        <v>2.2842055884314972E-2</v>
      </c>
      <c r="Q156" s="545">
        <f t="shared" si="6"/>
        <v>1.7317073657321658E-3</v>
      </c>
    </row>
    <row r="157" spans="5:17" x14ac:dyDescent="0.2">
      <c r="E157" s="537"/>
      <c r="F157" s="537"/>
      <c r="G157" s="536"/>
      <c r="I157" s="536"/>
      <c r="J157" s="536"/>
      <c r="L157" s="551">
        <f>_xll.qlCalendarAdvance(Calendar,L156,"1M","f",,Trigger)</f>
        <v>46729</v>
      </c>
      <c r="M157" s="542">
        <f>_xll.qlCalendarAdvance(Calendar,L157,"3M","f",,Trigger)</f>
        <v>46820</v>
      </c>
      <c r="N157" s="544" t="str">
        <f>_xll.qlMakeDatedOIS(,L157,M157,OvernightIndex,0,,,,EvaluationDate)</f>
        <v>obj_00478#0000</v>
      </c>
      <c r="O157" s="543">
        <f>_xll.qlIndexFixing("euribor6m",_xll.qlInterestRateIndexFixingDate("Euribor6M",L157),TRUE,AllTriggers)</f>
        <v>2.458132414344737E-2</v>
      </c>
      <c r="P157" s="543">
        <f>_xll.qlOvernightIndexedSwapFairRate(N157,AllTriggers)</f>
        <v>2.2841332639536083E-2</v>
      </c>
      <c r="Q157" s="545">
        <f t="shared" si="6"/>
        <v>1.7399915039112875E-3</v>
      </c>
    </row>
    <row r="158" spans="5:17" x14ac:dyDescent="0.2">
      <c r="E158" s="537"/>
      <c r="F158" s="537"/>
      <c r="G158" s="536"/>
      <c r="I158" s="536"/>
      <c r="J158" s="536"/>
      <c r="L158" s="551">
        <f>_xll.qlCalendarAdvance(Calendar,L157,"1M","f",,Trigger)</f>
        <v>46762</v>
      </c>
      <c r="M158" s="542">
        <f>_xll.qlCalendarAdvance(Calendar,L158,"3M","f",,Trigger)</f>
        <v>46853</v>
      </c>
      <c r="N158" s="544" t="str">
        <f>_xll.qlMakeDatedOIS(,L158,M158,OvernightIndex,0,,,,EvaluationDate)</f>
        <v>obj_00479#0000</v>
      </c>
      <c r="O158" s="543">
        <f>_xll.qlIndexFixing("euribor6m",_xll.qlInterestRateIndexFixingDate("Euribor6M",L158),TRUE,AllTriggers)</f>
        <v>2.4586293082558022E-2</v>
      </c>
      <c r="P158" s="543">
        <f>_xll.qlOvernightIndexedSwapFairRate(N158,AllTriggers)</f>
        <v>2.2841332639536076E-2</v>
      </c>
      <c r="Q158" s="545">
        <f t="shared" si="6"/>
        <v>1.7449604430219458E-3</v>
      </c>
    </row>
    <row r="159" spans="5:17" x14ac:dyDescent="0.2">
      <c r="E159" s="537"/>
      <c r="F159" s="537"/>
      <c r="G159" s="536"/>
      <c r="I159" s="536"/>
      <c r="J159" s="536"/>
      <c r="L159" s="551">
        <f>_xll.qlCalendarAdvance(Calendar,L158,"1M","f",,Trigger)</f>
        <v>46793</v>
      </c>
      <c r="M159" s="542">
        <f>_xll.qlCalendarAdvance(Calendar,L159,"3M","f",,Trigger)</f>
        <v>46883</v>
      </c>
      <c r="N159" s="544" t="str">
        <f>_xll.qlMakeDatedOIS(,L159,M159,OvernightIndex,0,,,,EvaluationDate)</f>
        <v>obj_0047a#0000</v>
      </c>
      <c r="O159" s="543">
        <f>_xll.qlIndexFixing("euribor6m",_xll.qlInterestRateIndexFixingDate("Euribor6M",L159),TRUE,AllTriggers)</f>
        <v>2.4590459539006883E-2</v>
      </c>
      <c r="P159" s="543">
        <f>_xll.qlOvernightIndexedSwapFairRate(N159,AllTriggers)</f>
        <v>2.2840609425275105E-2</v>
      </c>
      <c r="Q159" s="545">
        <f t="shared" si="6"/>
        <v>1.7498501137317782E-3</v>
      </c>
    </row>
    <row r="160" spans="5:17" x14ac:dyDescent="0.2">
      <c r="E160" s="537"/>
      <c r="F160" s="537"/>
      <c r="G160" s="536"/>
      <c r="I160" s="536"/>
      <c r="J160" s="536"/>
      <c r="L160" s="551">
        <f>_xll.qlCalendarAdvance(Calendar,L159,"1M","f",,Trigger)</f>
        <v>46822</v>
      </c>
      <c r="M160" s="542">
        <f>_xll.qlCalendarAdvance(Calendar,L160,"3M","f",,Trigger)</f>
        <v>46916</v>
      </c>
      <c r="N160" s="544" t="str">
        <f>_xll.qlMakeDatedOIS(,L160,M160,OvernightIndex,0,,,,EvaluationDate)</f>
        <v>obj_0047b#0000</v>
      </c>
      <c r="O160" s="543">
        <f>_xll.qlIndexFixing("euribor6m",_xll.qlInterestRateIndexFixingDate("Euribor6M",L160),TRUE,AllTriggers)</f>
        <v>2.4595718967081993E-2</v>
      </c>
      <c r="P160" s="543">
        <f>_xll.qlOvernightIndexedSwapFairRate(N160,AllTriggers)</f>
        <v>2.2843502465433894E-2</v>
      </c>
      <c r="Q160" s="545">
        <f t="shared" si="6"/>
        <v>1.7522165016480989E-3</v>
      </c>
    </row>
    <row r="161" spans="5:17" x14ac:dyDescent="0.2">
      <c r="E161" s="537"/>
      <c r="F161" s="537"/>
      <c r="G161" s="536"/>
      <c r="I161" s="536"/>
      <c r="J161" s="536"/>
      <c r="L161" s="551">
        <f>_xll.qlCalendarAdvance(Calendar,L160,"1M","f",,Trigger)</f>
        <v>46853</v>
      </c>
      <c r="M161" s="542">
        <f>_xll.qlCalendarAdvance(Calendar,L161,"3M","f",,Trigger)</f>
        <v>46944</v>
      </c>
      <c r="N161" s="544" t="str">
        <f>_xll.qlMakeDatedOIS(,L161,M161,OvernightIndex,0,,,,EvaluationDate)</f>
        <v>obj_0047c#0000</v>
      </c>
      <c r="O161" s="543">
        <f>_xll.qlIndexFixing("euribor6m",_xll.qlInterestRateIndexFixingDate("Euribor6M",L161),TRUE,AllTriggers)</f>
        <v>2.4595609095774844E-2</v>
      </c>
      <c r="P161" s="543">
        <f>_xll.qlOvernightIndexedSwapFairRate(N161,AllTriggers)</f>
        <v>2.2841332639536076E-2</v>
      </c>
      <c r="Q161" s="545">
        <f t="shared" si="6"/>
        <v>1.754276456238768E-3</v>
      </c>
    </row>
    <row r="162" spans="5:17" x14ac:dyDescent="0.2">
      <c r="E162" s="537"/>
      <c r="F162" s="537"/>
      <c r="G162" s="536"/>
      <c r="I162" s="536"/>
      <c r="J162" s="536"/>
      <c r="L162" s="551">
        <f>_xll.qlCalendarAdvance(Calendar,L161,"1M","f",,Trigger)</f>
        <v>46883</v>
      </c>
      <c r="M162" s="542">
        <f>_xll.qlCalendarAdvance(Calendar,L162,"3M","f",,Trigger)</f>
        <v>46975</v>
      </c>
      <c r="N162" s="544" t="str">
        <f>_xll.qlMakeDatedOIS(,L162,M162,OvernightIndex,0,,,,EvaluationDate)</f>
        <v>obj_0047d#0000</v>
      </c>
      <c r="O162" s="543">
        <f>_xll.qlIndexFixing("euribor6m",_xll.qlInterestRateIndexFixingDate("Euribor6M",L162),TRUE,AllTriggers)</f>
        <v>2.4596705625083645E-2</v>
      </c>
      <c r="P162" s="543">
        <f>_xll.qlOvernightIndexedSwapFairRate(N162,AllTriggers)</f>
        <v>2.2842055884315843E-2</v>
      </c>
      <c r="Q162" s="545">
        <f t="shared" si="6"/>
        <v>1.7546497407678018E-3</v>
      </c>
    </row>
    <row r="163" spans="5:17" x14ac:dyDescent="0.2">
      <c r="E163" s="537"/>
      <c r="F163" s="537"/>
      <c r="G163" s="536"/>
      <c r="I163" s="536"/>
      <c r="J163" s="536"/>
      <c r="L163" s="551">
        <f>_xll.qlCalendarAdvance(Calendar,L162,"1M","f",,Trigger)</f>
        <v>46916</v>
      </c>
      <c r="M163" s="542">
        <f>_xll.qlCalendarAdvance(Calendar,L163,"3M","f",,Trigger)</f>
        <v>47008</v>
      </c>
      <c r="N163" s="544" t="str">
        <f>_xll.qlMakeDatedOIS(,L163,M163,OvernightIndex,0,,,,EvaluationDate)</f>
        <v>obj_0047e#0000</v>
      </c>
      <c r="O163" s="543">
        <f>_xll.qlIndexFixing("euribor6m",_xll.qlInterestRateIndexFixingDate("Euribor6M",L163),TRUE,AllTriggers)</f>
        <v>2.4594784303565233E-2</v>
      </c>
      <c r="P163" s="543">
        <f>_xll.qlOvernightIndexedSwapFairRate(N163,AllTriggers)</f>
        <v>2.2842055884314975E-2</v>
      </c>
      <c r="Q163" s="545">
        <f t="shared" si="6"/>
        <v>1.752728419250258E-3</v>
      </c>
    </row>
    <row r="164" spans="5:17" x14ac:dyDescent="0.2">
      <c r="E164" s="537"/>
      <c r="F164" s="537"/>
      <c r="G164" s="536"/>
      <c r="I164" s="536"/>
      <c r="J164" s="536"/>
      <c r="L164" s="551">
        <f>_xll.qlCalendarAdvance(Calendar,L163,"1M","f",,Trigger)</f>
        <v>46946</v>
      </c>
      <c r="M164" s="542">
        <f>_xll.qlCalendarAdvance(Calendar,L164,"3M","f",,Trigger)</f>
        <v>47038</v>
      </c>
      <c r="N164" s="544" t="str">
        <f>_xll.qlMakeDatedOIS(,L164,M164,OvernightIndex,0,,,,EvaluationDate)</f>
        <v>obj_0047f#0000</v>
      </c>
      <c r="O164" s="543">
        <f>_xll.qlIndexFixing("euribor6m",_xll.qlInterestRateIndexFixingDate("Euribor6M",L164),TRUE,AllTriggers)</f>
        <v>2.4593244064187461E-2</v>
      </c>
      <c r="P164" s="543">
        <f>_xll.qlOvernightIndexedSwapFairRate(N164,AllTriggers)</f>
        <v>2.2842055884315843E-2</v>
      </c>
      <c r="Q164" s="545">
        <f t="shared" si="6"/>
        <v>1.7511881798716183E-3</v>
      </c>
    </row>
    <row r="165" spans="5:17" x14ac:dyDescent="0.2">
      <c r="E165" s="537"/>
      <c r="F165" s="537"/>
      <c r="G165" s="536"/>
      <c r="I165" s="536"/>
      <c r="J165" s="536"/>
      <c r="L165" s="551">
        <f>_xll.qlCalendarAdvance(Calendar,L164,"1M","f",,Trigger)</f>
        <v>46979</v>
      </c>
      <c r="M165" s="542">
        <f>_xll.qlCalendarAdvance(Calendar,L165,"3M","f",,Trigger)</f>
        <v>47071</v>
      </c>
      <c r="N165" s="544" t="str">
        <f>_xll.qlMakeDatedOIS(,L165,M165,OvernightIndex,0,,,,EvaluationDate)</f>
        <v>obj_00480#0000</v>
      </c>
      <c r="O165" s="543">
        <f>_xll.qlIndexFixing("euribor6m",_xll.qlInterestRateIndexFixingDate("Euribor6M",L165),TRUE,AllTriggers)</f>
        <v>2.4589257282906268E-2</v>
      </c>
      <c r="P165" s="543">
        <f>_xll.qlOvernightIndexedSwapFairRate(N165,AllTriggers)</f>
        <v>2.2842055884314975E-2</v>
      </c>
      <c r="Q165" s="545">
        <f t="shared" si="6"/>
        <v>1.7472013985912922E-3</v>
      </c>
    </row>
    <row r="166" spans="5:17" x14ac:dyDescent="0.2">
      <c r="E166" s="537"/>
      <c r="F166" s="537"/>
      <c r="G166" s="536"/>
      <c r="I166" s="536"/>
      <c r="J166" s="536"/>
      <c r="L166" s="551">
        <f>_xll.qlCalendarAdvance(Calendar,L165,"1M","f",,Trigger)</f>
        <v>47010</v>
      </c>
      <c r="M166" s="542">
        <f>_xll.qlCalendarAdvance(Calendar,L166,"3M","f",,Trigger)</f>
        <v>47101</v>
      </c>
      <c r="N166" s="544" t="str">
        <f>_xll.qlMakeDatedOIS(,L166,M166,OvernightIndex,0,,,,EvaluationDate)</f>
        <v>obj_00481#0000</v>
      </c>
      <c r="O166" s="543">
        <f>_xll.qlIndexFixing("euribor6m",_xll.qlInterestRateIndexFixingDate("Euribor6M",L166),TRUE,AllTriggers)</f>
        <v>2.4581983281399405E-2</v>
      </c>
      <c r="P166" s="543">
        <f>_xll.qlOvernightIndexedSwapFairRate(N166,AllTriggers)</f>
        <v>2.2841332639536954E-2</v>
      </c>
      <c r="Q166" s="545">
        <f t="shared" si="6"/>
        <v>1.7406506418624519E-3</v>
      </c>
    </row>
    <row r="167" spans="5:17" x14ac:dyDescent="0.2">
      <c r="E167" s="537"/>
      <c r="F167" s="537"/>
      <c r="G167" s="536"/>
      <c r="I167" s="536"/>
      <c r="J167" s="536"/>
      <c r="L167" s="551">
        <f>_xll.qlCalendarAdvance(Calendar,L166,"1M","f",,Trigger)</f>
        <v>47042</v>
      </c>
      <c r="M167" s="542">
        <f>_xll.qlCalendarAdvance(Calendar,L167,"3M","f",,Trigger)</f>
        <v>47134</v>
      </c>
      <c r="N167" s="544" t="str">
        <f>_xll.qlMakeDatedOIS(,L167,M167,OvernightIndex,0,,,,EvaluationDate)</f>
        <v>obj_00482#0000</v>
      </c>
      <c r="O167" s="543">
        <f>_xll.qlIndexFixing("euribor6m",_xll.qlInterestRateIndexFixingDate("Euribor6M",L167),TRUE,AllTriggers)</f>
        <v>2.457609679037075E-2</v>
      </c>
      <c r="P167" s="543">
        <f>_xll.qlOvernightIndexedSwapFairRate(N167,AllTriggers)</f>
        <v>2.2842055884314975E-2</v>
      </c>
      <c r="Q167" s="545">
        <f t="shared" si="6"/>
        <v>1.7340409060557747E-3</v>
      </c>
    </row>
    <row r="168" spans="5:17" x14ac:dyDescent="0.2">
      <c r="E168" s="537"/>
      <c r="F168" s="537"/>
      <c r="G168" s="536"/>
      <c r="I168" s="536"/>
      <c r="J168" s="536"/>
      <c r="L168" s="551">
        <f>_xll.qlCalendarAdvance(Calendar,L167,"1M","f",,Trigger)</f>
        <v>47073</v>
      </c>
      <c r="M168" s="542">
        <f>_xll.qlCalendarAdvance(Calendar,L168,"3M","f",,Trigger)</f>
        <v>47165</v>
      </c>
      <c r="N168" s="544" t="str">
        <f>_xll.qlMakeDatedOIS(,L168,M168,OvernightIndex,0,,,,EvaluationDate)</f>
        <v>obj_00483#0000</v>
      </c>
      <c r="O168" s="543">
        <f>_xll.qlIndexFixing("euribor6m",_xll.qlInterestRateIndexFixingDate("Euribor6M",L168),TRUE,AllTriggers)</f>
        <v>2.4567675334256307E-2</v>
      </c>
      <c r="P168" s="543">
        <f>_xll.qlOvernightIndexedSwapFairRate(N168,AllTriggers)</f>
        <v>2.2842055884315846E-2</v>
      </c>
      <c r="Q168" s="545">
        <f t="shared" si="6"/>
        <v>1.725619449940461E-3</v>
      </c>
    </row>
    <row r="169" spans="5:17" x14ac:dyDescent="0.2">
      <c r="E169" s="537"/>
      <c r="F169" s="537"/>
      <c r="G169" s="536"/>
      <c r="I169" s="536"/>
      <c r="J169" s="536"/>
      <c r="L169" s="551">
        <f>_xll.qlCalendarAdvance(Calendar,L168,"1M","f",,Trigger)</f>
        <v>47105</v>
      </c>
      <c r="M169" s="542">
        <f>_xll.qlCalendarAdvance(Calendar,L169,"3M","f",,Trigger)</f>
        <v>47196</v>
      </c>
      <c r="N169" s="544" t="str">
        <f>_xll.qlMakeDatedOIS(,L169,M169,OvernightIndex,0,,,,EvaluationDate)</f>
        <v>obj_00484#0000</v>
      </c>
      <c r="O169" s="543">
        <f>_xll.qlIndexFixing("euribor6m",_xll.qlInterestRateIndexFixingDate("Euribor6M",L169),TRUE,AllTriggers)</f>
        <v>2.4558978735815806E-2</v>
      </c>
      <c r="P169" s="543">
        <f>_xll.qlOvernightIndexedSwapFairRate(N169,AllTriggers)</f>
        <v>2.2841332639536076E-2</v>
      </c>
      <c r="Q169" s="545">
        <f t="shared" si="6"/>
        <v>1.7176460962797305E-3</v>
      </c>
    </row>
    <row r="170" spans="5:17" x14ac:dyDescent="0.2">
      <c r="E170" s="537"/>
      <c r="F170" s="537"/>
      <c r="G170" s="536"/>
      <c r="I170" s="536"/>
      <c r="J170" s="536"/>
      <c r="L170" s="551">
        <f>_xll.qlCalendarAdvance(Calendar,L169,"1M","f",,Trigger)</f>
        <v>47136</v>
      </c>
      <c r="M170" s="542">
        <f>_xll.qlCalendarAdvance(Calendar,L170,"3M","f",,Trigger)</f>
        <v>47226</v>
      </c>
      <c r="N170" s="544" t="str">
        <f>_xll.qlMakeDatedOIS(,L170,M170,OvernightIndex,0,,,,EvaluationDate)</f>
        <v>obj_00485#0000</v>
      </c>
      <c r="O170" s="543">
        <f>_xll.qlIndexFixing("euribor6m",_xll.qlInterestRateIndexFixingDate("Euribor6M",L170),TRUE,AllTriggers)</f>
        <v>2.4547922385603643E-2</v>
      </c>
      <c r="P170" s="543">
        <f>_xll.qlOvernightIndexedSwapFairRate(N170,AllTriggers)</f>
        <v>2.2840609425275993E-2</v>
      </c>
      <c r="Q170" s="545">
        <f t="shared" si="6"/>
        <v>1.7073129603276498E-3</v>
      </c>
    </row>
    <row r="171" spans="5:17" x14ac:dyDescent="0.2">
      <c r="E171" s="537"/>
      <c r="F171" s="537"/>
      <c r="G171" s="536"/>
      <c r="I171" s="536"/>
      <c r="J171" s="536"/>
      <c r="L171" s="551">
        <f>_xll.qlCalendarAdvance(Calendar,L170,"1M","f",,Trigger)</f>
        <v>47168</v>
      </c>
      <c r="M171" s="542">
        <f>_xll.qlCalendarAdvance(Calendar,L171,"3M","f",,Trigger)</f>
        <v>47259</v>
      </c>
      <c r="N171" s="544" t="str">
        <f>_xll.qlMakeDatedOIS(,L171,M171,OvernightIndex,0,,,,EvaluationDate)</f>
        <v>obj_00486#0000</v>
      </c>
      <c r="O171" s="543">
        <f>_xll.qlIndexFixing("euribor6m",_xll.qlInterestRateIndexFixingDate("Euribor6M",L171),TRUE,AllTriggers)</f>
        <v>2.4536415388886495E-2</v>
      </c>
      <c r="P171" s="543">
        <f>_xll.qlOvernightIndexedSwapFairRate(N171,AllTriggers)</f>
        <v>2.2841332639536079E-2</v>
      </c>
      <c r="Q171" s="545">
        <f t="shared" si="6"/>
        <v>1.6950827493504156E-3</v>
      </c>
    </row>
    <row r="172" spans="5:17" x14ac:dyDescent="0.2">
      <c r="E172" s="537"/>
      <c r="F172" s="537"/>
      <c r="G172" s="536"/>
      <c r="I172" s="536"/>
      <c r="J172" s="536"/>
      <c r="L172" s="551">
        <f>_xll.qlCalendarAdvance(Calendar,L171,"1M","f",,Trigger)</f>
        <v>47196</v>
      </c>
      <c r="M172" s="542">
        <f>_xll.qlCalendarAdvance(Calendar,L172,"3M","f",,Trigger)</f>
        <v>47288</v>
      </c>
      <c r="N172" s="544" t="str">
        <f>_xll.qlMakeDatedOIS(,L172,M172,OvernightIndex,0,,,,EvaluationDate)</f>
        <v>obj_00487#0000</v>
      </c>
      <c r="O172" s="543">
        <f>_xll.qlIndexFixing("euribor6m",_xll.qlInterestRateIndexFixingDate("Euribor6M",L172),TRUE,AllTriggers)</f>
        <v>2.452582399206929E-2</v>
      </c>
      <c r="P172" s="543">
        <f>_xll.qlOvernightIndexedSwapFairRate(N172,AllTriggers)</f>
        <v>2.2842055884314975E-2</v>
      </c>
      <c r="Q172" s="545">
        <f t="shared" si="6"/>
        <v>1.6837681077543146E-3</v>
      </c>
    </row>
    <row r="173" spans="5:17" x14ac:dyDescent="0.2">
      <c r="E173" s="537"/>
      <c r="F173" s="537"/>
      <c r="G173" s="536"/>
      <c r="I173" s="536"/>
      <c r="J173" s="536"/>
      <c r="L173" s="551">
        <f>_xll.qlCalendarAdvance(Calendar,L172,"1M","f",,Trigger)</f>
        <v>47227</v>
      </c>
      <c r="M173" s="542">
        <f>_xll.qlCalendarAdvance(Calendar,L173,"3M","f",,Trigger)</f>
        <v>47318</v>
      </c>
      <c r="N173" s="544" t="str">
        <f>_xll.qlMakeDatedOIS(,L173,M173,OvernightIndex,0,,,,EvaluationDate)</f>
        <v>obj_00488#0000</v>
      </c>
      <c r="O173" s="543">
        <f>_xll.qlIndexFixing("euribor6m",_xll.qlInterestRateIndexFixingDate("Euribor6M",L173),TRUE,AllTriggers)</f>
        <v>2.4511010378503988E-2</v>
      </c>
      <c r="P173" s="543">
        <f>_xll.qlOvernightIndexedSwapFairRate(N173,AllTriggers)</f>
        <v>2.2841332639536076E-2</v>
      </c>
      <c r="Q173" s="545">
        <f t="shared" si="6"/>
        <v>1.6696777389679125E-3</v>
      </c>
    </row>
    <row r="174" spans="5:17" x14ac:dyDescent="0.2">
      <c r="E174" s="537"/>
      <c r="F174" s="537"/>
      <c r="G174" s="536"/>
      <c r="I174" s="536"/>
      <c r="J174" s="536"/>
      <c r="L174" s="551">
        <f>_xll.qlCalendarAdvance(Calendar,L173,"1M","f",,Trigger)</f>
        <v>47259</v>
      </c>
      <c r="M174" s="542">
        <f>_xll.qlCalendarAdvance(Calendar,L174,"3M","f",,Trigger)</f>
        <v>47351</v>
      </c>
      <c r="N174" s="544" t="str">
        <f>_xll.qlMakeDatedOIS(,L174,M174,OvernightIndex,0,,,,EvaluationDate)</f>
        <v>obj_00489#0000</v>
      </c>
      <c r="O174" s="543">
        <f>_xll.qlIndexFixing("euribor6m",_xll.qlInterestRateIndexFixingDate("Euribor6M",L174),TRUE,AllTriggers)</f>
        <v>2.449580559694358E-2</v>
      </c>
      <c r="P174" s="543">
        <f>_xll.qlOvernightIndexedSwapFairRate(N174,AllTriggers)</f>
        <v>2.2842055884315843E-2</v>
      </c>
      <c r="Q174" s="545">
        <f t="shared" si="6"/>
        <v>1.6537497126277376E-3</v>
      </c>
    </row>
    <row r="175" spans="5:17" x14ac:dyDescent="0.2">
      <c r="E175" s="537"/>
      <c r="F175" s="537"/>
      <c r="G175" s="536"/>
      <c r="I175" s="536"/>
      <c r="J175" s="536"/>
      <c r="L175" s="551">
        <f>_xll.qlCalendarAdvance(Calendar,L174,"1M","f",,Trigger)</f>
        <v>47290</v>
      </c>
      <c r="M175" s="542">
        <f>_xll.qlCalendarAdvance(Calendar,L175,"3M","f",,Trigger)</f>
        <v>47382</v>
      </c>
      <c r="N175" s="544" t="str">
        <f>_xll.qlMakeDatedOIS(,L175,M175,OvernightIndex,0,,,,EvaluationDate)</f>
        <v>obj_0048a#0000</v>
      </c>
      <c r="O175" s="543">
        <f>_xll.qlIndexFixing("euribor6m",_xll.qlInterestRateIndexFixingDate("Euribor6M",L175),TRUE,AllTriggers)</f>
        <v>2.4479121488295764E-2</v>
      </c>
      <c r="P175" s="543">
        <f>_xll.qlOvernightIndexedSwapFairRate(N175,AllTriggers)</f>
        <v>2.2835234360881029E-2</v>
      </c>
      <c r="Q175" s="545">
        <f t="shared" si="6"/>
        <v>1.6438871274147351E-3</v>
      </c>
    </row>
    <row r="176" spans="5:17" x14ac:dyDescent="0.2">
      <c r="E176" s="537"/>
      <c r="F176" s="537"/>
      <c r="G176" s="536"/>
      <c r="I176" s="536"/>
      <c r="J176" s="536"/>
      <c r="L176" s="551">
        <f>_xll.qlCalendarAdvance(Calendar,L175,"1M","f",,Trigger)</f>
        <v>47322</v>
      </c>
      <c r="M176" s="542">
        <f>_xll.qlCalendarAdvance(Calendar,L176,"3M","f",,Trigger)</f>
        <v>47414</v>
      </c>
      <c r="N176" s="544" t="str">
        <f>_xll.qlMakeDatedOIS(,L176,M176,OvernightIndex,0,,,,EvaluationDate)</f>
        <v>obj_0048b#0000</v>
      </c>
      <c r="O176" s="543">
        <f>_xll.qlIndexFixing("euribor6m",_xll.qlInterestRateIndexFixingDate("Euribor6M",L176),TRUE,AllTriggers)</f>
        <v>2.4462364465372737E-2</v>
      </c>
      <c r="P176" s="543">
        <f>_xll.qlOvernightIndexedSwapFairRate(N176,AllTriggers)</f>
        <v>2.2821591349480419E-2</v>
      </c>
      <c r="Q176" s="545">
        <f t="shared" si="6"/>
        <v>1.6407731158923182E-3</v>
      </c>
    </row>
    <row r="177" spans="5:17" x14ac:dyDescent="0.2">
      <c r="E177" s="537"/>
      <c r="F177" s="537"/>
      <c r="G177" s="536"/>
      <c r="I177" s="536"/>
      <c r="J177" s="536"/>
      <c r="L177" s="551">
        <f>_xll.qlCalendarAdvance(Calendar,L176,"1M","f",,Trigger)</f>
        <v>47353</v>
      </c>
      <c r="M177" s="542">
        <f>_xll.qlCalendarAdvance(Calendar,L177,"3M","f",,Trigger)</f>
        <v>47445</v>
      </c>
      <c r="N177" s="544" t="str">
        <f>_xll.qlMakeDatedOIS(,L177,M177,OvernightIndex,0,,,,EvaluationDate)</f>
        <v>obj_0048c#0000</v>
      </c>
      <c r="O177" s="543">
        <f>_xll.qlIndexFixing("euribor6m",_xll.qlInterestRateIndexFixingDate("Euribor6M",L177),TRUE,AllTriggers)</f>
        <v>2.4446245381965975E-2</v>
      </c>
      <c r="P177" s="543">
        <f>_xll.qlOvernightIndexedSwapFairRate(N177,AllTriggers)</f>
        <v>2.2808374727283757E-2</v>
      </c>
      <c r="Q177" s="545">
        <f t="shared" si="6"/>
        <v>1.6378706546822178E-3</v>
      </c>
    </row>
    <row r="178" spans="5:17" x14ac:dyDescent="0.2">
      <c r="E178" s="537"/>
      <c r="F178" s="537"/>
      <c r="G178" s="536"/>
      <c r="I178" s="536"/>
      <c r="J178" s="536"/>
      <c r="L178" s="551">
        <f>_xll.qlCalendarAdvance(Calendar,L177,"1M","f",,Trigger)</f>
        <v>47385</v>
      </c>
      <c r="M178" s="542">
        <f>_xll.qlCalendarAdvance(Calendar,L178,"3M","f",,Trigger)</f>
        <v>47476</v>
      </c>
      <c r="N178" s="544" t="str">
        <f>_xll.qlMakeDatedOIS(,L178,M178,OvernightIndex,0,,,,EvaluationDate)</f>
        <v>obj_0048d#0000</v>
      </c>
      <c r="O178" s="543">
        <f>_xll.qlIndexFixing("euribor6m",_xll.qlInterestRateIndexFixingDate("Euribor6M",L178),TRUE,AllTriggers)</f>
        <v>2.442606752598259E-2</v>
      </c>
      <c r="P178" s="543">
        <f>_xll.qlOvernightIndexedSwapFairRate(N178,AllTriggers)</f>
        <v>2.2802111520548774E-2</v>
      </c>
      <c r="Q178" s="545">
        <f t="shared" si="6"/>
        <v>1.6239560054338159E-3</v>
      </c>
    </row>
    <row r="179" spans="5:17" x14ac:dyDescent="0.2">
      <c r="E179" s="537"/>
      <c r="F179" s="537"/>
      <c r="G179" s="536"/>
      <c r="I179" s="536"/>
      <c r="J179" s="536"/>
      <c r="L179" s="551">
        <f>_xll.qlCalendarAdvance(Calendar,L178,"1M","f",,Trigger)</f>
        <v>47415</v>
      </c>
      <c r="M179" s="542">
        <f>_xll.qlCalendarAdvance(Calendar,L179,"3M","f",,Trigger)</f>
        <v>47507</v>
      </c>
      <c r="N179" s="544" t="str">
        <f>_xll.qlMakeDatedOIS(,L179,M179,OvernightIndex,0,,,,EvaluationDate)</f>
        <v>obj_0048e#0000</v>
      </c>
      <c r="O179" s="543">
        <f>_xll.qlIndexFixing("euribor6m",_xll.qlInterestRateIndexFixingDate("Euribor6M",L179),TRUE,AllTriggers)</f>
        <v>2.4409045044609542E-2</v>
      </c>
      <c r="P179" s="543">
        <f>_xll.qlOvernightIndexedSwapFairRate(N179,AllTriggers)</f>
        <v>2.2802832286023027E-2</v>
      </c>
      <c r="Q179" s="545">
        <f t="shared" si="6"/>
        <v>1.6062127585865157E-3</v>
      </c>
    </row>
    <row r="180" spans="5:17" x14ac:dyDescent="0.2">
      <c r="E180" s="537"/>
      <c r="F180" s="537"/>
      <c r="G180" s="536"/>
      <c r="I180" s="536"/>
      <c r="J180" s="536"/>
      <c r="L180" s="551">
        <f>_xll.qlCalendarAdvance(Calendar,L179,"1M","f",,Trigger)</f>
        <v>47448</v>
      </c>
      <c r="M180" s="542">
        <f>_xll.qlCalendarAdvance(Calendar,L180,"3M","f",,Trigger)</f>
        <v>47540</v>
      </c>
      <c r="N180" s="544" t="str">
        <f>_xll.qlMakeDatedOIS(,L180,M180,OvernightIndex,0,,,,EvaluationDate)</f>
        <v>obj_0048f#0000</v>
      </c>
      <c r="O180" s="543">
        <f>_xll.qlIndexFixing("euribor6m",_xll.qlInterestRateIndexFixingDate("Euribor6M",L180),TRUE,AllTriggers)</f>
        <v>2.4390160139333487E-2</v>
      </c>
      <c r="P180" s="543">
        <f>_xll.qlOvernightIndexedSwapFairRate(N180,AllTriggers)</f>
        <v>2.2802832286023027E-2</v>
      </c>
      <c r="Q180" s="545">
        <f t="shared" si="6"/>
        <v>1.58732785331046E-3</v>
      </c>
    </row>
    <row r="181" spans="5:17" x14ac:dyDescent="0.2">
      <c r="E181" s="537"/>
      <c r="F181" s="537"/>
      <c r="G181" s="536"/>
      <c r="I181" s="536"/>
      <c r="J181" s="536"/>
      <c r="L181" s="551">
        <f>_xll.qlCalendarAdvance(Calendar,L180,"1M","f",,Trigger)</f>
        <v>47479</v>
      </c>
      <c r="M181" s="542">
        <f>_xll.qlCalendarAdvance(Calendar,L181,"3M","f",,Trigger)</f>
        <v>47569</v>
      </c>
      <c r="N181" s="544" t="str">
        <f>_xll.qlMakeDatedOIS(,L181,M181,OvernightIndex,0,,,,EvaluationDate)</f>
        <v>obj_00490#0000</v>
      </c>
      <c r="O181" s="543">
        <f>_xll.qlIndexFixing("euribor6m",_xll.qlInterestRateIndexFixingDate("Euribor6M",L181),TRUE,AllTriggers)</f>
        <v>2.4372266921354545E-2</v>
      </c>
      <c r="P181" s="543">
        <f>_xll.qlOvernightIndexedSwapFairRate(N181,AllTriggers)</f>
        <v>2.2801390785437192E-2</v>
      </c>
      <c r="Q181" s="545">
        <f t="shared" si="6"/>
        <v>1.5708761359173526E-3</v>
      </c>
    </row>
    <row r="182" spans="5:17" x14ac:dyDescent="0.2">
      <c r="E182" s="537"/>
      <c r="F182" s="537"/>
      <c r="G182" s="536"/>
      <c r="I182" s="536"/>
      <c r="J182" s="536"/>
      <c r="L182" s="551">
        <f>_xll.qlCalendarAdvance(Calendar,L181,"1M","f",,Trigger)</f>
        <v>47511</v>
      </c>
      <c r="M182" s="542">
        <f>_xll.qlCalendarAdvance(Calendar,L182,"3M","f",,Trigger)</f>
        <v>47602</v>
      </c>
      <c r="N182" s="544" t="str">
        <f>_xll.qlMakeDatedOIS(,L182,M182,OvernightIndex,0,,,,EvaluationDate)</f>
        <v>obj_00491#0000</v>
      </c>
      <c r="O182" s="543">
        <f>_xll.qlIndexFixing("euribor6m",_xll.qlInterestRateIndexFixingDate("Euribor6M",L182),TRUE,AllTriggers)</f>
        <v>2.4353641189317404E-2</v>
      </c>
      <c r="P182" s="543">
        <f>_xll.qlOvernightIndexedSwapFairRate(N182,AllTriggers)</f>
        <v>2.2802111520548778E-2</v>
      </c>
      <c r="Q182" s="545">
        <f t="shared" si="6"/>
        <v>1.5515296687686267E-3</v>
      </c>
    </row>
    <row r="183" spans="5:17" x14ac:dyDescent="0.2">
      <c r="E183" s="537"/>
      <c r="F183" s="537"/>
      <c r="G183" s="536"/>
      <c r="I183" s="536"/>
      <c r="J183" s="536"/>
      <c r="L183" s="551">
        <f>_xll.qlCalendarAdvance(Calendar,L182,"1M","f",,Trigger)</f>
        <v>47542</v>
      </c>
      <c r="M183" s="542">
        <f>_xll.qlCalendarAdvance(Calendar,L183,"3M","f",,Trigger)</f>
        <v>47631</v>
      </c>
      <c r="N183" s="544" t="str">
        <f>_xll.qlMakeDatedOIS(,L183,M183,OvernightIndex,0,,,,EvaluationDate)</f>
        <v>obj_00492#0000</v>
      </c>
      <c r="O183" s="543">
        <f>_xll.qlIndexFixing("euribor6m",_xll.qlInterestRateIndexFixingDate("Euribor6M",L183),TRUE,AllTriggers)</f>
        <v>2.433596920796488E-2</v>
      </c>
      <c r="P183" s="543">
        <f>_xll.qlOvernightIndexedSwapFairRate(N183,AllTriggers)</f>
        <v>2.2800670080684246E-2</v>
      </c>
      <c r="Q183" s="545">
        <f t="shared" si="6"/>
        <v>1.5352991272806343E-3</v>
      </c>
    </row>
    <row r="184" spans="5:17" x14ac:dyDescent="0.2">
      <c r="E184" s="537"/>
      <c r="F184" s="537"/>
      <c r="G184" s="536"/>
      <c r="I184" s="536"/>
      <c r="J184" s="536"/>
      <c r="L184" s="551">
        <f>_xll.qlCalendarAdvance(Calendar,L183,"1M","f",,Trigger)</f>
        <v>47570</v>
      </c>
      <c r="M184" s="542">
        <f>_xll.qlCalendarAdvance(Calendar,L184,"3M","f",,Trigger)</f>
        <v>47662</v>
      </c>
      <c r="N184" s="544" t="str">
        <f>_xll.qlMakeDatedOIS(,L184,M184,OvernightIndex,0,,,,EvaluationDate)</f>
        <v>obj_00493#0000</v>
      </c>
      <c r="O184" s="543">
        <f>_xll.qlIndexFixing("euribor6m",_xll.qlInterestRateIndexFixingDate("Euribor6M",L184),TRUE,AllTriggers)</f>
        <v>2.4320961583039827E-2</v>
      </c>
      <c r="P184" s="543">
        <f>_xll.qlOvernightIndexedSwapFairRate(N184,AllTriggers)</f>
        <v>2.2802832286023027E-2</v>
      </c>
      <c r="Q184" s="545">
        <f t="shared" si="6"/>
        <v>1.5181292970168001E-3</v>
      </c>
    </row>
    <row r="185" spans="5:17" x14ac:dyDescent="0.2">
      <c r="E185" s="537"/>
      <c r="F185" s="537"/>
      <c r="G185" s="536"/>
      <c r="I185" s="536"/>
      <c r="J185" s="536"/>
      <c r="L185" s="551">
        <f>_xll.qlCalendarAdvance(Calendar,L184,"1M","f",,Trigger)</f>
        <v>47602</v>
      </c>
      <c r="M185" s="542">
        <f>_xll.qlCalendarAdvance(Calendar,L185,"3M","f",,Trigger)</f>
        <v>47693</v>
      </c>
      <c r="N185" s="544" t="str">
        <f>_xll.qlMakeDatedOIS(,L185,M185,OvernightIndex,0,,,,EvaluationDate)</f>
        <v>obj_00494#0000</v>
      </c>
      <c r="O185" s="543">
        <f>_xll.qlIndexFixing("euribor6m",_xll.qlInterestRateIndexFixingDate("Euribor6M",L185),TRUE,AllTriggers)</f>
        <v>2.4300327126820911E-2</v>
      </c>
      <c r="P185" s="543">
        <f>_xll.qlOvernightIndexedSwapFairRate(N185,AllTriggers)</f>
        <v>2.2802111520549652E-2</v>
      </c>
      <c r="Q185" s="545">
        <f t="shared" si="6"/>
        <v>1.4982156062712595E-3</v>
      </c>
    </row>
    <row r="186" spans="5:17" x14ac:dyDescent="0.2">
      <c r="E186" s="537"/>
      <c r="F186" s="537"/>
      <c r="G186" s="536"/>
      <c r="I186" s="536"/>
      <c r="J186" s="536"/>
      <c r="L186" s="551">
        <f>_xll.qlCalendarAdvance(Calendar,L185,"1M","f",,Trigger)</f>
        <v>47632</v>
      </c>
      <c r="M186" s="542">
        <f>_xll.qlCalendarAdvance(Calendar,L186,"3M","f",,Trigger)</f>
        <v>47724</v>
      </c>
      <c r="N186" s="544" t="str">
        <f>_xll.qlMakeDatedOIS(,L186,M186,OvernightIndex,0,,,,EvaluationDate)</f>
        <v>obj_00495#0000</v>
      </c>
      <c r="O186" s="543">
        <f>_xll.qlIndexFixing("euribor6m",_xll.qlInterestRateIndexFixingDate("Euribor6M",L186),TRUE,AllTriggers)</f>
        <v>2.4282809647246748E-2</v>
      </c>
      <c r="P186" s="543">
        <f>_xll.qlOvernightIndexedSwapFairRate(N186,AllTriggers)</f>
        <v>2.2802832286023034E-2</v>
      </c>
      <c r="Q186" s="545">
        <f t="shared" si="6"/>
        <v>1.4799773612237145E-3</v>
      </c>
    </row>
    <row r="187" spans="5:17" x14ac:dyDescent="0.2">
      <c r="E187" s="537"/>
      <c r="F187" s="537"/>
      <c r="G187" s="536"/>
      <c r="I187" s="536"/>
      <c r="J187" s="536"/>
      <c r="L187" s="551">
        <f>_xll.qlCalendarAdvance(Calendar,L186,"1M","f",,Trigger)</f>
        <v>47665</v>
      </c>
      <c r="M187" s="542">
        <f>_xll.qlCalendarAdvance(Calendar,L187,"3M","f",,Trigger)</f>
        <v>47757</v>
      </c>
      <c r="N187" s="544" t="str">
        <f>_xll.qlMakeDatedOIS(,L187,M187,OvernightIndex,0,,,,EvaluationDate)</f>
        <v>obj_00496#0000</v>
      </c>
      <c r="O187" s="543">
        <f>_xll.qlIndexFixing("euribor6m",_xll.qlInterestRateIndexFixingDate("Euribor6M",L187),TRUE,AllTriggers)</f>
        <v>2.4263321288726131E-2</v>
      </c>
      <c r="P187" s="543">
        <f>_xll.qlOvernightIndexedSwapFairRate(N187,AllTriggers)</f>
        <v>2.2802832286023898E-2</v>
      </c>
      <c r="Q187" s="545">
        <f t="shared" si="6"/>
        <v>1.4604890027022331E-3</v>
      </c>
    </row>
    <row r="188" spans="5:17" x14ac:dyDescent="0.2">
      <c r="E188" s="537"/>
      <c r="F188" s="537"/>
      <c r="G188" s="536"/>
      <c r="I188" s="536"/>
      <c r="J188" s="536"/>
      <c r="L188" s="551">
        <f>_xll.qlCalendarAdvance(Calendar,L187,"1M","f",,Trigger)</f>
        <v>47696</v>
      </c>
      <c r="M188" s="542">
        <f>_xll.qlCalendarAdvance(Calendar,L188,"3M","f",,Trigger)</f>
        <v>47788</v>
      </c>
      <c r="N188" s="544" t="str">
        <f>_xll.qlMakeDatedOIS(,L188,M188,OvernightIndex,0,,,,EvaluationDate)</f>
        <v>obj_00497#0000</v>
      </c>
      <c r="O188" s="543">
        <f>_xll.qlIndexFixing("euribor6m",_xll.qlInterestRateIndexFixingDate("Euribor6M",L188),TRUE,AllTriggers)</f>
        <v>2.4244884597733132E-2</v>
      </c>
      <c r="P188" s="543">
        <f>_xll.qlOvernightIndexedSwapFairRate(N188,AllTriggers)</f>
        <v>2.280283228602303E-2</v>
      </c>
      <c r="Q188" s="545">
        <f t="shared" si="6"/>
        <v>1.4420523117101014E-3</v>
      </c>
    </row>
    <row r="189" spans="5:17" x14ac:dyDescent="0.2">
      <c r="E189" s="537"/>
      <c r="F189" s="537"/>
      <c r="G189" s="536"/>
      <c r="I189" s="536"/>
      <c r="J189" s="536"/>
      <c r="L189" s="551">
        <f>_xll.qlCalendarAdvance(Calendar,L188,"1M","f",,Trigger)</f>
        <v>47728</v>
      </c>
      <c r="M189" s="542">
        <f>_xll.qlCalendarAdvance(Calendar,L189,"3M","f",,Trigger)</f>
        <v>47819</v>
      </c>
      <c r="N189" s="544" t="str">
        <f>_xll.qlMakeDatedOIS(,L189,M189,OvernightIndex,0,,,,EvaluationDate)</f>
        <v>obj_00498#0000</v>
      </c>
      <c r="O189" s="543">
        <f>_xll.qlIndexFixing("euribor6m",_xll.qlInterestRateIndexFixingDate("Euribor6M",L189),TRUE,AllTriggers)</f>
        <v>2.4223173062384126E-2</v>
      </c>
      <c r="P189" s="543">
        <f>_xll.qlOvernightIndexedSwapFairRate(N189,AllTriggers)</f>
        <v>2.2802111520548778E-2</v>
      </c>
      <c r="Q189" s="545">
        <f t="shared" si="6"/>
        <v>1.4210615418353487E-3</v>
      </c>
    </row>
    <row r="190" spans="5:17" x14ac:dyDescent="0.2">
      <c r="E190" s="537"/>
      <c r="F190" s="537"/>
      <c r="G190" s="536"/>
      <c r="I190" s="536"/>
      <c r="J190" s="536"/>
      <c r="L190" s="551">
        <f>_xll.qlCalendarAdvance(Calendar,L189,"1M","f",,Trigger)</f>
        <v>47758</v>
      </c>
      <c r="M190" s="542">
        <f>_xll.qlCalendarAdvance(Calendar,L190,"3M","f",,Trigger)</f>
        <v>47850</v>
      </c>
      <c r="N190" s="544" t="str">
        <f>_xll.qlMakeDatedOIS(,L190,M190,OvernightIndex,0,,,,EvaluationDate)</f>
        <v>obj_00499#0000</v>
      </c>
      <c r="O190" s="543">
        <f>_xll.qlIndexFixing("euribor6m",_xll.qlInterestRateIndexFixingDate("Euribor6M",L190),TRUE,AllTriggers)</f>
        <v>2.4204565219583887E-2</v>
      </c>
      <c r="P190" s="543">
        <f>_xll.qlOvernightIndexedSwapFairRate(N190,AllTriggers)</f>
        <v>2.280283228602303E-2</v>
      </c>
      <c r="Q190" s="545">
        <f t="shared" si="6"/>
        <v>1.4017329335608564E-3</v>
      </c>
    </row>
    <row r="191" spans="5:17" x14ac:dyDescent="0.2">
      <c r="E191" s="537"/>
      <c r="F191" s="537"/>
      <c r="G191" s="536"/>
      <c r="I191" s="536"/>
      <c r="J191" s="536"/>
      <c r="L191" s="551">
        <f>_xll.qlCalendarAdvance(Calendar,L190,"1M","f",,Trigger)</f>
        <v>47791</v>
      </c>
      <c r="M191" s="542">
        <f>_xll.qlCalendarAdvance(Calendar,L191,"3M","f",,Trigger)</f>
        <v>47883</v>
      </c>
      <c r="N191" s="544" t="str">
        <f>_xll.qlMakeDatedOIS(,L191,M191,OvernightIndex,0,,,,EvaluationDate)</f>
        <v>obj_0049a#0000</v>
      </c>
      <c r="O191" s="543">
        <f>_xll.qlIndexFixing("euribor6m",_xll.qlInterestRateIndexFixingDate("Euribor6M",L191),TRUE,AllTriggers)</f>
        <v>2.4183936465852304E-2</v>
      </c>
      <c r="P191" s="543">
        <f>_xll.qlOvernightIndexedSwapFairRate(N191,AllTriggers)</f>
        <v>2.2802832286023027E-2</v>
      </c>
      <c r="Q191" s="545">
        <f t="shared" si="6"/>
        <v>1.3811041798292775E-3</v>
      </c>
    </row>
    <row r="192" spans="5:17" x14ac:dyDescent="0.2">
      <c r="E192" s="537"/>
      <c r="F192" s="537"/>
      <c r="G192" s="536"/>
      <c r="I192" s="536"/>
      <c r="J192" s="536"/>
      <c r="L192" s="551">
        <f>_xll.qlCalendarAdvance(Calendar,L191,"1M","f",,Trigger)</f>
        <v>47821</v>
      </c>
      <c r="M192" s="542">
        <f>_xll.qlCalendarAdvance(Calendar,L192,"3M","f",,Trigger)</f>
        <v>47911</v>
      </c>
      <c r="N192" s="544" t="str">
        <f>_xll.qlMakeDatedOIS(,L192,M192,OvernightIndex,0,,,,EvaluationDate)</f>
        <v>obj_0049b#0000</v>
      </c>
      <c r="O192" s="543">
        <f>_xll.qlIndexFixing("euribor6m",_xll.qlInterestRateIndexFixingDate("Euribor6M",L192),TRUE,AllTriggers)</f>
        <v>2.4165037487917165E-2</v>
      </c>
      <c r="P192" s="543">
        <f>_xll.qlOvernightIndexedSwapFairRate(N192,AllTriggers)</f>
        <v>2.2801390785437196E-2</v>
      </c>
      <c r="Q192" s="545">
        <f t="shared" si="6"/>
        <v>1.3636467024799696E-3</v>
      </c>
    </row>
    <row r="193" spans="5:17" x14ac:dyDescent="0.2">
      <c r="E193" s="537"/>
      <c r="F193" s="537"/>
      <c r="G193" s="536"/>
      <c r="I193" s="536"/>
      <c r="J193" s="536"/>
      <c r="L193" s="551">
        <f>_xll.qlCalendarAdvance(Calendar,L192,"1M","f",,Trigger)</f>
        <v>47854</v>
      </c>
      <c r="M193" s="542">
        <f>_xll.qlCalendarAdvance(Calendar,L193,"3M","f",,Trigger)</f>
        <v>47945</v>
      </c>
      <c r="N193" s="544" t="str">
        <f>_xll.qlMakeDatedOIS(,L193,M193,OvernightIndex,0,,,,EvaluationDate)</f>
        <v>obj_0049c#0000</v>
      </c>
      <c r="O193" s="543">
        <f>_xll.qlIndexFixing("euribor6m",_xll.qlInterestRateIndexFixingDate("Euribor6M",L193),TRUE,AllTriggers)</f>
        <v>2.4144088495032141E-2</v>
      </c>
      <c r="P193" s="543">
        <f>_xll.qlOvernightIndexedSwapFairRate(N193,AllTriggers)</f>
        <v>2.2802111520548778E-2</v>
      </c>
      <c r="Q193" s="545">
        <f t="shared" si="6"/>
        <v>1.3419769744833637E-3</v>
      </c>
    </row>
    <row r="194" spans="5:17" x14ac:dyDescent="0.2">
      <c r="E194" s="537"/>
      <c r="F194" s="537"/>
      <c r="G194" s="536"/>
      <c r="I194" s="536"/>
      <c r="J194" s="536"/>
      <c r="L194" s="551">
        <f>_xll.qlCalendarAdvance(Calendar,L193,"1M","f",,Trigger)</f>
        <v>47885</v>
      </c>
      <c r="M194" s="542">
        <f>_xll.qlCalendarAdvance(Calendar,L194,"3M","f",,Trigger)</f>
        <v>47974</v>
      </c>
      <c r="N194" s="544" t="str">
        <f>_xll.qlMakeDatedOIS(,L194,M194,OvernightIndex,0,,,,EvaluationDate)</f>
        <v>obj_0049d#0000</v>
      </c>
      <c r="O194" s="543">
        <f>_xll.qlIndexFixing("euribor6m",_xll.qlInterestRateIndexFixingDate("Euribor6M",L194),TRUE,AllTriggers)</f>
        <v>2.4123774679971021E-2</v>
      </c>
      <c r="P194" s="543">
        <f>_xll.qlOvernightIndexedSwapFairRate(N194,AllTriggers)</f>
        <v>2.2800670080685145E-2</v>
      </c>
      <c r="Q194" s="545">
        <f t="shared" si="6"/>
        <v>1.3231045992858764E-3</v>
      </c>
    </row>
    <row r="195" spans="5:17" x14ac:dyDescent="0.2">
      <c r="E195" s="537"/>
      <c r="F195" s="537"/>
      <c r="G195" s="536"/>
      <c r="I195" s="536"/>
      <c r="J195" s="536"/>
      <c r="L195" s="551">
        <f>_xll.qlCalendarAdvance(Calendar,L194,"1M","f",,Trigger)</f>
        <v>47913</v>
      </c>
      <c r="M195" s="542">
        <f>_xll.qlCalendarAdvance(Calendar,L195,"3M","f",,Trigger)</f>
        <v>48005</v>
      </c>
      <c r="N195" s="544" t="str">
        <f>_xll.qlMakeDatedOIS(,L195,M195,OvernightIndex,0,,,,EvaluationDate)</f>
        <v>obj_0049e#0000</v>
      </c>
      <c r="O195" s="543">
        <f>_xll.qlIndexFixing("euribor6m",_xll.qlInterestRateIndexFixingDate("Euribor6M",L195),TRUE,AllTriggers)</f>
        <v>2.4108128835296654E-2</v>
      </c>
      <c r="P195" s="543">
        <f>_xll.qlOvernightIndexedSwapFairRate(N195,AllTriggers)</f>
        <v>2.2802832286023027E-2</v>
      </c>
      <c r="Q195" s="545">
        <f t="shared" ref="Q195:Q258" si="7">O195-P195</f>
        <v>1.3052965492736275E-3</v>
      </c>
    </row>
    <row r="196" spans="5:17" x14ac:dyDescent="0.2">
      <c r="E196" s="537"/>
      <c r="F196" s="537"/>
      <c r="G196" s="536"/>
      <c r="I196" s="536"/>
      <c r="J196" s="536"/>
      <c r="L196" s="551">
        <f>_xll.qlCalendarAdvance(Calendar,L195,"1M","f",,Trigger)</f>
        <v>47945</v>
      </c>
      <c r="M196" s="542">
        <f>_xll.qlCalendarAdvance(Calendar,L196,"3M","f",,Trigger)</f>
        <v>48036</v>
      </c>
      <c r="N196" s="544" t="str">
        <f>_xll.qlMakeDatedOIS(,L196,M196,OvernightIndex,0,,,,EvaluationDate)</f>
        <v>obj_0049f#0000</v>
      </c>
      <c r="O196" s="543">
        <f>_xll.qlIndexFixing("euribor6m",_xll.qlInterestRateIndexFixingDate("Euribor6M",L196),TRUE,AllTriggers)</f>
        <v>2.4085925449254999E-2</v>
      </c>
      <c r="P196" s="543">
        <f>_xll.qlOvernightIndexedSwapFairRate(N196,AllTriggers)</f>
        <v>2.2802111520548774E-2</v>
      </c>
      <c r="Q196" s="545">
        <f t="shared" si="7"/>
        <v>1.2838139287062247E-3</v>
      </c>
    </row>
    <row r="197" spans="5:17" x14ac:dyDescent="0.2">
      <c r="E197" s="537"/>
      <c r="F197" s="537"/>
      <c r="G197" s="536"/>
      <c r="I197" s="536"/>
      <c r="J197" s="536"/>
      <c r="L197" s="551">
        <f>_xll.qlCalendarAdvance(Calendar,L196,"1M","f",,Trigger)</f>
        <v>47975</v>
      </c>
      <c r="M197" s="542">
        <f>_xll.qlCalendarAdvance(Calendar,L197,"3M","f",,Trigger)</f>
        <v>48067</v>
      </c>
      <c r="N197" s="544" t="str">
        <f>_xll.qlMakeDatedOIS(,L197,M197,OvernightIndex,0,,,,EvaluationDate)</f>
        <v>obj_004a0#0000</v>
      </c>
      <c r="O197" s="543">
        <f>_xll.qlIndexFixing("euribor6m",_xll.qlInterestRateIndexFixingDate("Euribor6M",L197),TRUE,AllTriggers)</f>
        <v>2.4066781993482993E-2</v>
      </c>
      <c r="P197" s="543">
        <f>_xll.qlOvernightIndexedSwapFairRate(N197,AllTriggers)</f>
        <v>2.280283228602303E-2</v>
      </c>
      <c r="Q197" s="545">
        <f t="shared" si="7"/>
        <v>1.2639497074599625E-3</v>
      </c>
    </row>
    <row r="198" spans="5:17" x14ac:dyDescent="0.2">
      <c r="E198" s="537"/>
      <c r="F198" s="537"/>
      <c r="G198" s="536"/>
      <c r="I198" s="536"/>
      <c r="J198" s="536"/>
      <c r="L198" s="551">
        <f>_xll.qlCalendarAdvance(Calendar,L197,"1M","f",,Trigger)</f>
        <v>48008</v>
      </c>
      <c r="M198" s="542">
        <f>_xll.qlCalendarAdvance(Calendar,L198,"3M","f",,Trigger)</f>
        <v>48100</v>
      </c>
      <c r="N198" s="544" t="str">
        <f>_xll.qlMakeDatedOIS(,L198,M198,OvernightIndex,0,,,,EvaluationDate)</f>
        <v>obj_004a1#0000</v>
      </c>
      <c r="O198" s="543">
        <f>_xll.qlIndexFixing("euribor6m",_xll.qlInterestRateIndexFixingDate("Euribor6M",L198),TRUE,AllTriggers)</f>
        <v>2.4044575564335615E-2</v>
      </c>
      <c r="P198" s="543">
        <f>_xll.qlOvernightIndexedSwapFairRate(N198,AllTriggers)</f>
        <v>2.280283228602303E-2</v>
      </c>
      <c r="Q198" s="545">
        <f t="shared" si="7"/>
        <v>1.2417432783125848E-3</v>
      </c>
    </row>
    <row r="199" spans="5:17" x14ac:dyDescent="0.2">
      <c r="E199" s="537"/>
      <c r="F199" s="537"/>
      <c r="G199" s="536"/>
      <c r="I199" s="536"/>
      <c r="J199" s="536"/>
      <c r="L199" s="551">
        <f>_xll.qlCalendarAdvance(Calendar,L198,"1M","f",,Trigger)</f>
        <v>48038</v>
      </c>
      <c r="M199" s="542">
        <f>_xll.qlCalendarAdvance(Calendar,L199,"3M","f",,Trigger)</f>
        <v>48130</v>
      </c>
      <c r="N199" s="544" t="str">
        <f>_xll.qlMakeDatedOIS(,L199,M199,OvernightIndex,0,,,,EvaluationDate)</f>
        <v>obj_004a2#0000</v>
      </c>
      <c r="O199" s="543">
        <f>_xll.qlIndexFixing("euribor6m",_xll.qlInterestRateIndexFixingDate("Euribor6M",L199),TRUE,AllTriggers)</f>
        <v>2.4025133401055984E-2</v>
      </c>
      <c r="P199" s="543">
        <f>_xll.qlOvernightIndexedSwapFairRate(N199,AllTriggers)</f>
        <v>2.2802832286023898E-2</v>
      </c>
      <c r="Q199" s="545">
        <f t="shared" si="7"/>
        <v>1.2223011150320866E-3</v>
      </c>
    </row>
    <row r="200" spans="5:17" x14ac:dyDescent="0.2">
      <c r="E200" s="537"/>
      <c r="F200" s="537"/>
      <c r="G200" s="536"/>
      <c r="I200" s="536"/>
      <c r="J200" s="536"/>
      <c r="L200" s="551">
        <f>_xll.qlCalendarAdvance(Calendar,L199,"1M","f",,Trigger)</f>
        <v>48071</v>
      </c>
      <c r="M200" s="542">
        <f>_xll.qlCalendarAdvance(Calendar,L200,"3M","f",,Trigger)</f>
        <v>48163</v>
      </c>
      <c r="N200" s="544" t="str">
        <f>_xll.qlMakeDatedOIS(,L200,M200,OvernightIndex,0,,,,EvaluationDate)</f>
        <v>obj_004a3#0000</v>
      </c>
      <c r="O200" s="543">
        <f>_xll.qlIndexFixing("euribor6m",_xll.qlInterestRateIndexFixingDate("Euribor6M",L200),TRUE,AllTriggers)</f>
        <v>2.4003073504220662E-2</v>
      </c>
      <c r="P200" s="543">
        <f>_xll.qlOvernightIndexedSwapFairRate(N200,AllTriggers)</f>
        <v>2.280283228602303E-2</v>
      </c>
      <c r="Q200" s="545">
        <f t="shared" si="7"/>
        <v>1.2002412181976313E-3</v>
      </c>
    </row>
    <row r="201" spans="5:17" x14ac:dyDescent="0.2">
      <c r="E201" s="537"/>
      <c r="F201" s="537"/>
      <c r="G201" s="536"/>
      <c r="I201" s="536"/>
      <c r="J201" s="536"/>
      <c r="L201" s="551">
        <f>_xll.qlCalendarAdvance(Calendar,L200,"1M","f",,Trigger)</f>
        <v>48102</v>
      </c>
      <c r="M201" s="542">
        <f>_xll.qlCalendarAdvance(Calendar,L201,"3M","f",,Trigger)</f>
        <v>48193</v>
      </c>
      <c r="N201" s="544" t="str">
        <f>_xll.qlMakeDatedOIS(,L201,M201,OvernightIndex,0,,,,EvaluationDate)</f>
        <v>obj_004a4#0000</v>
      </c>
      <c r="O201" s="543">
        <f>_xll.qlIndexFixing("euribor6m",_xll.qlInterestRateIndexFixingDate("Euribor6M",L201),TRUE,AllTriggers)</f>
        <v>2.3981287055161914E-2</v>
      </c>
      <c r="P201" s="543">
        <f>_xll.qlOvernightIndexedSwapFairRate(N201,AllTriggers)</f>
        <v>2.2802111520548774E-2</v>
      </c>
      <c r="Q201" s="545">
        <f t="shared" si="7"/>
        <v>1.1791755346131395E-3</v>
      </c>
    </row>
    <row r="202" spans="5:17" x14ac:dyDescent="0.2">
      <c r="E202" s="537"/>
      <c r="F202" s="537"/>
      <c r="G202" s="536"/>
      <c r="I202" s="536"/>
      <c r="J202" s="536"/>
      <c r="L202" s="551">
        <f>_xll.qlCalendarAdvance(Calendar,L201,"1M","f",,Trigger)</f>
        <v>48134</v>
      </c>
      <c r="M202" s="542">
        <f>_xll.qlCalendarAdvance(Calendar,L202,"3M","f",,Trigger)</f>
        <v>48226</v>
      </c>
      <c r="N202" s="544" t="str">
        <f>_xll.qlMakeDatedOIS(,L202,M202,OvernightIndex,0,,,,EvaluationDate)</f>
        <v>obj_004a5#0000</v>
      </c>
      <c r="O202" s="543">
        <f>_xll.qlIndexFixing("euribor6m",_xll.qlInterestRateIndexFixingDate("Euribor6M",L202),TRUE,AllTriggers)</f>
        <v>2.3960041988357338E-2</v>
      </c>
      <c r="P202" s="543">
        <f>_xll.qlOvernightIndexedSwapFairRate(N202,AllTriggers)</f>
        <v>2.2802832286023034E-2</v>
      </c>
      <c r="Q202" s="545">
        <f t="shared" si="7"/>
        <v>1.1572097023343046E-3</v>
      </c>
    </row>
    <row r="203" spans="5:17" x14ac:dyDescent="0.2">
      <c r="E203" s="537"/>
      <c r="F203" s="537"/>
      <c r="G203" s="536"/>
      <c r="I203" s="536"/>
      <c r="J203" s="536"/>
      <c r="L203" s="551">
        <f>_xll.qlCalendarAdvance(Calendar,L202,"1M","f",,Trigger)</f>
        <v>48165</v>
      </c>
      <c r="M203" s="542">
        <f>_xll.qlCalendarAdvance(Calendar,L203,"3M","f",,Trigger)</f>
        <v>48257</v>
      </c>
      <c r="N203" s="544" t="str">
        <f>_xll.qlMakeDatedOIS(,L203,M203,OvernightIndex,0,,,,EvaluationDate)</f>
        <v>obj_004a6#0000</v>
      </c>
      <c r="O203" s="543">
        <f>_xll.qlIndexFixing("euribor6m",_xll.qlInterestRateIndexFixingDate("Euribor6M",L203),TRUE,AllTriggers)</f>
        <v>2.3938421576399777E-2</v>
      </c>
      <c r="P203" s="543">
        <f>_xll.qlOvernightIndexedSwapFairRate(N203,AllTriggers)</f>
        <v>2.280283228602303E-2</v>
      </c>
      <c r="Q203" s="545">
        <f t="shared" si="7"/>
        <v>1.1355892903767463E-3</v>
      </c>
    </row>
    <row r="204" spans="5:17" x14ac:dyDescent="0.2">
      <c r="E204" s="537"/>
      <c r="F204" s="537"/>
      <c r="G204" s="536"/>
      <c r="I204" s="536"/>
      <c r="J204" s="536"/>
      <c r="L204" s="551">
        <f>_xll.qlCalendarAdvance(Calendar,L203,"1M","f",,Trigger)</f>
        <v>48197</v>
      </c>
      <c r="M204" s="542">
        <f>_xll.qlCalendarAdvance(Calendar,L204,"3M","f",,Trigger)</f>
        <v>48288</v>
      </c>
      <c r="N204" s="544" t="str">
        <f>_xll.qlMakeDatedOIS(,L204,M204,OvernightIndex,0,,,,EvaluationDate)</f>
        <v>obj_004a7#0000</v>
      </c>
      <c r="O204" s="543">
        <f>_xll.qlIndexFixing("euribor6m",_xll.qlInterestRateIndexFixingDate("Euribor6M",L204),TRUE,AllTriggers)</f>
        <v>2.3916858375221686E-2</v>
      </c>
      <c r="P204" s="543">
        <f>_xll.qlOvernightIndexedSwapFairRate(N204,AllTriggers)</f>
        <v>2.2802111520549655E-2</v>
      </c>
      <c r="Q204" s="545">
        <f t="shared" si="7"/>
        <v>1.1147468546720309E-3</v>
      </c>
    </row>
    <row r="205" spans="5:17" x14ac:dyDescent="0.2">
      <c r="E205" s="537"/>
      <c r="F205" s="537"/>
      <c r="G205" s="536"/>
      <c r="I205" s="536"/>
      <c r="J205" s="536"/>
      <c r="L205" s="551">
        <f>_xll.qlCalendarAdvance(Calendar,L204,"1M","f",,Trigger)</f>
        <v>48228</v>
      </c>
      <c r="M205" s="542">
        <f>_xll.qlCalendarAdvance(Calendar,L205,"3M","f",,Trigger)</f>
        <v>48319</v>
      </c>
      <c r="N205" s="544" t="str">
        <f>_xll.qlMakeDatedOIS(,L205,M205,OvernightIndex,0,,,,EvaluationDate)</f>
        <v>obj_004a8#0000</v>
      </c>
      <c r="O205" s="543">
        <f>_xll.qlIndexFixing("euribor6m",_xll.qlInterestRateIndexFixingDate("Euribor6M",L205),TRUE,AllTriggers)</f>
        <v>2.3894944948435623E-2</v>
      </c>
      <c r="P205" s="543">
        <f>_xll.qlOvernightIndexedSwapFairRate(N205,AllTriggers)</f>
        <v>2.2802111520549655E-2</v>
      </c>
      <c r="Q205" s="545">
        <f t="shared" si="7"/>
        <v>1.0928334278859676E-3</v>
      </c>
    </row>
    <row r="206" spans="5:17" x14ac:dyDescent="0.2">
      <c r="E206" s="537"/>
      <c r="F206" s="537"/>
      <c r="G206" s="536"/>
      <c r="I206" s="536"/>
      <c r="J206" s="536"/>
      <c r="L206" s="551">
        <f>_xll.qlCalendarAdvance(Calendar,L205,"1M","f",,Trigger)</f>
        <v>48260</v>
      </c>
      <c r="M206" s="542">
        <f>_xll.qlCalendarAdvance(Calendar,L206,"3M","f",,Trigger)</f>
        <v>48351</v>
      </c>
      <c r="N206" s="544" t="str">
        <f>_xll.qlMakeDatedOIS(,L206,M206,OvernightIndex,0,,,,EvaluationDate)</f>
        <v>obj_004a9#0000</v>
      </c>
      <c r="O206" s="543">
        <f>_xll.qlIndexFixing("euribor6m",_xll.qlInterestRateIndexFixingDate("Euribor6M",L206),TRUE,AllTriggers)</f>
        <v>2.3872627543999936E-2</v>
      </c>
      <c r="P206" s="543">
        <f>_xll.qlOvernightIndexedSwapFairRate(N206,AllTriggers)</f>
        <v>2.2802111520549655E-2</v>
      </c>
      <c r="Q206" s="545">
        <f t="shared" si="7"/>
        <v>1.0705160234502804E-3</v>
      </c>
    </row>
    <row r="207" spans="5:17" x14ac:dyDescent="0.2">
      <c r="E207" s="537"/>
      <c r="F207" s="537"/>
      <c r="G207" s="536"/>
      <c r="I207" s="536"/>
      <c r="J207" s="536"/>
      <c r="L207" s="551">
        <f>_xll.qlCalendarAdvance(Calendar,L206,"1M","f",,Trigger)</f>
        <v>48289</v>
      </c>
      <c r="M207" s="542">
        <f>_xll.qlCalendarAdvance(Calendar,L207,"3M","f",,Trigger)</f>
        <v>48381</v>
      </c>
      <c r="N207" s="544" t="str">
        <f>_xll.qlMakeDatedOIS(,L207,M207,OvernightIndex,0,,,,EvaluationDate)</f>
        <v>obj_004aa#0000</v>
      </c>
      <c r="O207" s="543">
        <f>_xll.qlIndexFixing("euribor6m",_xll.qlInterestRateIndexFixingDate("Euribor6M",L207),TRUE,AllTriggers)</f>
        <v>2.38531311102405E-2</v>
      </c>
      <c r="P207" s="543">
        <f>_xll.qlOvernightIndexedSwapFairRate(N207,AllTriggers)</f>
        <v>2.280283228602303E-2</v>
      </c>
      <c r="Q207" s="545">
        <f t="shared" si="7"/>
        <v>1.0502988242174702E-3</v>
      </c>
    </row>
    <row r="208" spans="5:17" x14ac:dyDescent="0.2">
      <c r="E208" s="537"/>
      <c r="F208" s="537"/>
      <c r="G208" s="536"/>
      <c r="I208" s="536"/>
      <c r="J208" s="536"/>
      <c r="L208" s="551">
        <f>_xll.qlCalendarAdvance(Calendar,L207,"1M","f",,Trigger)</f>
        <v>48320</v>
      </c>
      <c r="M208" s="542">
        <f>_xll.qlCalendarAdvance(Calendar,L208,"3M","f",,Trigger)</f>
        <v>48411</v>
      </c>
      <c r="N208" s="544" t="str">
        <f>_xll.qlMakeDatedOIS(,L208,M208,OvernightIndex,0,,,,EvaluationDate)</f>
        <v>obj_004ab#0000</v>
      </c>
      <c r="O208" s="543">
        <f>_xll.qlIndexFixing("euribor6m",_xll.qlInterestRateIndexFixingDate("Euribor6M",L208),TRUE,AllTriggers)</f>
        <v>2.3831643232516353E-2</v>
      </c>
      <c r="P208" s="543">
        <f>_xll.qlOvernightIndexedSwapFairRate(N208,AllTriggers)</f>
        <v>2.2802111520548774E-2</v>
      </c>
      <c r="Q208" s="545">
        <f t="shared" si="7"/>
        <v>1.0295317119675788E-3</v>
      </c>
    </row>
    <row r="209" spans="5:17" x14ac:dyDescent="0.2">
      <c r="E209" s="537"/>
      <c r="F209" s="537"/>
      <c r="G209" s="536"/>
      <c r="I209" s="536"/>
      <c r="J209" s="536"/>
      <c r="L209" s="551">
        <f>_xll.qlCalendarAdvance(Calendar,L208,"1M","f",,Trigger)</f>
        <v>48351</v>
      </c>
      <c r="M209" s="542">
        <f>_xll.qlCalendarAdvance(Calendar,L209,"3M","f",,Trigger)</f>
        <v>48443</v>
      </c>
      <c r="N209" s="544" t="str">
        <f>_xll.qlMakeDatedOIS(,L209,M209,OvernightIndex,0,,,,EvaluationDate)</f>
        <v>obj_004ac#0000</v>
      </c>
      <c r="O209" s="543">
        <f>_xll.qlIndexFixing("euribor6m",_xll.qlInterestRateIndexFixingDate("Euribor6M",L209),TRUE,AllTriggers)</f>
        <v>2.3809150339480865E-2</v>
      </c>
      <c r="P209" s="543">
        <f>_xll.qlOvernightIndexedSwapFairRate(N209,AllTriggers)</f>
        <v>2.280283228602303E-2</v>
      </c>
      <c r="Q209" s="545">
        <f t="shared" si="7"/>
        <v>1.0063180534578345E-3</v>
      </c>
    </row>
    <row r="210" spans="5:17" x14ac:dyDescent="0.2">
      <c r="E210" s="537"/>
      <c r="F210" s="537"/>
      <c r="G210" s="536"/>
      <c r="I210" s="536"/>
      <c r="J210" s="536"/>
      <c r="L210" s="551">
        <f>_xll.qlCalendarAdvance(Calendar,L209,"1M","f",,Trigger)</f>
        <v>48382</v>
      </c>
      <c r="M210" s="542">
        <f>_xll.qlCalendarAdvance(Calendar,L210,"3M","f",,Trigger)</f>
        <v>48474</v>
      </c>
      <c r="N210" s="544" t="str">
        <f>_xll.qlMakeDatedOIS(,L210,M210,OvernightIndex,0,,,,EvaluationDate)</f>
        <v>obj_004ad#0000</v>
      </c>
      <c r="O210" s="543">
        <f>_xll.qlIndexFixing("euribor6m",_xll.qlInterestRateIndexFixingDate("Euribor6M",L210),TRUE,AllTriggers)</f>
        <v>2.3786517102686821E-2</v>
      </c>
      <c r="P210" s="543">
        <f>_xll.qlOvernightIndexedSwapFairRate(N210,AllTriggers)</f>
        <v>2.2802832286023027E-2</v>
      </c>
      <c r="Q210" s="545">
        <f t="shared" si="7"/>
        <v>9.8368481666379418E-4</v>
      </c>
    </row>
    <row r="211" spans="5:17" x14ac:dyDescent="0.2">
      <c r="E211" s="537"/>
      <c r="F211" s="537"/>
      <c r="G211" s="536"/>
      <c r="I211" s="536"/>
      <c r="J211" s="536"/>
      <c r="L211" s="551">
        <f>_xll.qlCalendarAdvance(Calendar,L210,"1M","f",,Trigger)</f>
        <v>48414</v>
      </c>
      <c r="M211" s="542">
        <f>_xll.qlCalendarAdvance(Calendar,L211,"3M","f",,Trigger)</f>
        <v>48506</v>
      </c>
      <c r="N211" s="544" t="str">
        <f>_xll.qlMakeDatedOIS(,L211,M211,OvernightIndex,0,,,,EvaluationDate)</f>
        <v>obj_004ae#0000</v>
      </c>
      <c r="O211" s="543">
        <f>_xll.qlIndexFixing("euribor6m",_xll.qlInterestRateIndexFixingDate("Euribor6M",L211),TRUE,AllTriggers)</f>
        <v>2.3763853953168206E-2</v>
      </c>
      <c r="P211" s="543">
        <f>_xll.qlOvernightIndexedSwapFairRate(N211,AllTriggers)</f>
        <v>2.280283228602303E-2</v>
      </c>
      <c r="Q211" s="545">
        <f t="shared" si="7"/>
        <v>9.6102166714517531E-4</v>
      </c>
    </row>
    <row r="212" spans="5:17" x14ac:dyDescent="0.2">
      <c r="E212" s="537"/>
      <c r="F212" s="537"/>
      <c r="G212" s="536"/>
      <c r="I212" s="536"/>
      <c r="J212" s="536"/>
      <c r="L212" s="551">
        <f>_xll.qlCalendarAdvance(Calendar,L211,"1M","f",,Trigger)</f>
        <v>48445</v>
      </c>
      <c r="M212" s="542">
        <f>_xll.qlCalendarAdvance(Calendar,L212,"3M","f",,Trigger)</f>
        <v>48537</v>
      </c>
      <c r="N212" s="544" t="str">
        <f>_xll.qlMakeDatedOIS(,L212,M212,OvernightIndex,0,,,,EvaluationDate)</f>
        <v>obj_004af#0000</v>
      </c>
      <c r="O212" s="543">
        <f>_xll.qlIndexFixing("euribor6m",_xll.qlInterestRateIndexFixingDate("Euribor6M",L212),TRUE,AllTriggers)</f>
        <v>2.3742166867219111E-2</v>
      </c>
      <c r="P212" s="543">
        <f>_xll.qlOvernightIndexedSwapFairRate(N212,AllTriggers)</f>
        <v>2.2802832286023027E-2</v>
      </c>
      <c r="Q212" s="545">
        <f t="shared" si="7"/>
        <v>9.3933458119608432E-4</v>
      </c>
    </row>
    <row r="213" spans="5:17" x14ac:dyDescent="0.2">
      <c r="E213" s="537"/>
      <c r="F213" s="537"/>
      <c r="G213" s="536"/>
      <c r="I213" s="536"/>
      <c r="J213" s="536"/>
      <c r="L213" s="551">
        <f>_xll.qlCalendarAdvance(Calendar,L212,"1M","f",,Trigger)</f>
        <v>48477</v>
      </c>
      <c r="M213" s="542">
        <f>_xll.qlCalendarAdvance(Calendar,L213,"3M","f",,Trigger)</f>
        <v>48568</v>
      </c>
      <c r="N213" s="544" t="str">
        <f>_xll.qlMakeDatedOIS(,L213,M213,OvernightIndex,0,,,,EvaluationDate)</f>
        <v>obj_004b0#0000</v>
      </c>
      <c r="O213" s="543">
        <f>_xll.qlIndexFixing("euribor6m",_xll.qlInterestRateIndexFixingDate("Euribor6M",L213),TRUE,AllTriggers)</f>
        <v>2.3717128309786117E-2</v>
      </c>
      <c r="P213" s="543">
        <f>_xll.qlOvernightIndexedSwapFairRate(N213,AllTriggers)</f>
        <v>2.2802111520548778E-2</v>
      </c>
      <c r="Q213" s="545">
        <f t="shared" si="7"/>
        <v>9.1501678923733981E-4</v>
      </c>
    </row>
    <row r="214" spans="5:17" x14ac:dyDescent="0.2">
      <c r="E214" s="537"/>
      <c r="F214" s="537"/>
      <c r="G214" s="536"/>
      <c r="I214" s="536"/>
      <c r="J214" s="536"/>
      <c r="L214" s="551">
        <f>_xll.qlCalendarAdvance(Calendar,L213,"1M","f",,Trigger)</f>
        <v>48507</v>
      </c>
      <c r="M214" s="542">
        <f>_xll.qlCalendarAdvance(Calendar,L214,"3M","f",,Trigger)</f>
        <v>48599</v>
      </c>
      <c r="N214" s="544" t="str">
        <f>_xll.qlMakeDatedOIS(,L214,M214,OvernightIndex,0,,,,EvaluationDate)</f>
        <v>obj_004b1#0000</v>
      </c>
      <c r="O214" s="543">
        <f>_xll.qlIndexFixing("euribor6m",_xll.qlInterestRateIndexFixingDate("Euribor6M",L214),TRUE,AllTriggers)</f>
        <v>2.3695060372161153E-2</v>
      </c>
      <c r="P214" s="543">
        <f>_xll.qlOvernightIndexedSwapFairRate(N214,AllTriggers)</f>
        <v>2.2802832286023027E-2</v>
      </c>
      <c r="Q214" s="545">
        <f t="shared" si="7"/>
        <v>8.9222808613812626E-4</v>
      </c>
    </row>
    <row r="215" spans="5:17" x14ac:dyDescent="0.2">
      <c r="E215" s="537"/>
      <c r="F215" s="537"/>
      <c r="G215" s="536"/>
      <c r="I215" s="536"/>
      <c r="J215" s="536"/>
      <c r="L215" s="551">
        <f>_xll.qlCalendarAdvance(Calendar,L214,"1M","f",,Trigger)</f>
        <v>48540</v>
      </c>
      <c r="M215" s="542">
        <f>_xll.qlCalendarAdvance(Calendar,L215,"3M","f",,Trigger)</f>
        <v>48632</v>
      </c>
      <c r="N215" s="544" t="str">
        <f>_xll.qlMakeDatedOIS(,L215,M215,OvernightIndex,0,,,,EvaluationDate)</f>
        <v>obj_004b2#0000</v>
      </c>
      <c r="O215" s="543">
        <f>_xll.qlIndexFixing("euribor6m",_xll.qlInterestRateIndexFixingDate("Euribor6M",L215),TRUE,AllTriggers)</f>
        <v>2.3670625636484581E-2</v>
      </c>
      <c r="P215" s="543">
        <f>_xll.qlOvernightIndexedSwapFairRate(N215,AllTriggers)</f>
        <v>2.280283228602303E-2</v>
      </c>
      <c r="Q215" s="545">
        <f t="shared" si="7"/>
        <v>8.6779335046155079E-4</v>
      </c>
    </row>
    <row r="216" spans="5:17" x14ac:dyDescent="0.2">
      <c r="E216" s="537"/>
      <c r="F216" s="537"/>
      <c r="G216" s="536"/>
      <c r="I216" s="536"/>
      <c r="J216" s="536"/>
      <c r="L216" s="551">
        <f>_xll.qlCalendarAdvance(Calendar,L215,"1M","f",,Trigger)</f>
        <v>48570</v>
      </c>
      <c r="M216" s="542">
        <f>_xll.qlCalendarAdvance(Calendar,L216,"3M","f",,Trigger)</f>
        <v>48660</v>
      </c>
      <c r="N216" s="544" t="str">
        <f>_xll.qlMakeDatedOIS(,L216,M216,OvernightIndex,0,,,,EvaluationDate)</f>
        <v>obj_004b3#0000</v>
      </c>
      <c r="O216" s="543">
        <f>_xll.qlIndexFixing("euribor6m",_xll.qlInterestRateIndexFixingDate("Euribor6M",L216),TRUE,AllTriggers)</f>
        <v>2.3648266786979979E-2</v>
      </c>
      <c r="P216" s="543">
        <f>_xll.qlOvernightIndexedSwapFairRate(N216,AllTriggers)</f>
        <v>2.2801390785437189E-2</v>
      </c>
      <c r="Q216" s="545">
        <f t="shared" si="7"/>
        <v>8.4687600154279008E-4</v>
      </c>
    </row>
    <row r="217" spans="5:17" x14ac:dyDescent="0.2">
      <c r="E217" s="537"/>
      <c r="F217" s="537"/>
      <c r="G217" s="536"/>
      <c r="I217" s="536"/>
      <c r="J217" s="536"/>
      <c r="L217" s="551">
        <f>_xll.qlCalendarAdvance(Calendar,L216,"1M","f",,Trigger)</f>
        <v>48603</v>
      </c>
      <c r="M217" s="542">
        <f>_xll.qlCalendarAdvance(Calendar,L217,"3M","f",,Trigger)</f>
        <v>48694</v>
      </c>
      <c r="N217" s="544" t="str">
        <f>_xll.qlMakeDatedOIS(,L217,M217,OvernightIndex,0,,,,EvaluationDate)</f>
        <v>obj_004b4#0000</v>
      </c>
      <c r="O217" s="543">
        <f>_xll.qlIndexFixing("euribor6m",_xll.qlInterestRateIndexFixingDate("Euribor6M",L217),TRUE,AllTriggers)</f>
        <v>2.3623512059473009E-2</v>
      </c>
      <c r="P217" s="543">
        <f>_xll.qlOvernightIndexedSwapFairRate(N217,AllTriggers)</f>
        <v>2.2802111520549655E-2</v>
      </c>
      <c r="Q217" s="545">
        <f t="shared" si="7"/>
        <v>8.2140053892335377E-4</v>
      </c>
    </row>
    <row r="218" spans="5:17" x14ac:dyDescent="0.2">
      <c r="E218" s="537"/>
      <c r="F218" s="537"/>
      <c r="G218" s="536"/>
      <c r="I218" s="536"/>
      <c r="J218" s="536"/>
      <c r="L218" s="551">
        <f>_xll.qlCalendarAdvance(Calendar,L217,"1M","f",,Trigger)</f>
        <v>48634</v>
      </c>
      <c r="M218" s="542">
        <f>_xll.qlCalendarAdvance(Calendar,L218,"3M","f",,Trigger)</f>
        <v>48723</v>
      </c>
      <c r="N218" s="544" t="str">
        <f>_xll.qlMakeDatedOIS(,L218,M218,OvernightIndex,0,,,,EvaluationDate)</f>
        <v>obj_004b5#0000</v>
      </c>
      <c r="O218" s="543">
        <f>_xll.qlIndexFixing("euribor6m",_xll.qlInterestRateIndexFixingDate("Euribor6M",L218),TRUE,AllTriggers)</f>
        <v>2.3599715469259409E-2</v>
      </c>
      <c r="P218" s="543">
        <f>_xll.qlOvernightIndexedSwapFairRate(N218,AllTriggers)</f>
        <v>2.2800670080684243E-2</v>
      </c>
      <c r="Q218" s="545">
        <f t="shared" si="7"/>
        <v>7.990453885751668E-4</v>
      </c>
    </row>
    <row r="219" spans="5:17" x14ac:dyDescent="0.2">
      <c r="E219" s="537"/>
      <c r="F219" s="537"/>
      <c r="G219" s="536"/>
      <c r="I219" s="536"/>
      <c r="J219" s="536"/>
      <c r="L219" s="551">
        <f>_xll.qlCalendarAdvance(Calendar,L218,"1M","f",,Trigger)</f>
        <v>48662</v>
      </c>
      <c r="M219" s="542">
        <f>_xll.qlCalendarAdvance(Calendar,L219,"3M","f",,Trigger)</f>
        <v>48754</v>
      </c>
      <c r="N219" s="544" t="str">
        <f>_xll.qlMakeDatedOIS(,L219,M219,OvernightIndex,0,,,,EvaluationDate)</f>
        <v>obj_004b6#0000</v>
      </c>
      <c r="O219" s="543">
        <f>_xll.qlIndexFixing("euribor6m",_xll.qlInterestRateIndexFixingDate("Euribor6M",L219),TRUE,AllTriggers)</f>
        <v>2.3580378957441445E-2</v>
      </c>
      <c r="P219" s="543">
        <f>_xll.qlOvernightIndexedSwapFairRate(N219,AllTriggers)</f>
        <v>2.280283228602303E-2</v>
      </c>
      <c r="Q219" s="545">
        <f t="shared" si="7"/>
        <v>7.7754667141841441E-4</v>
      </c>
    </row>
    <row r="220" spans="5:17" x14ac:dyDescent="0.2">
      <c r="E220" s="537"/>
      <c r="F220" s="537"/>
      <c r="G220" s="536"/>
      <c r="I220" s="536"/>
      <c r="J220" s="536"/>
      <c r="L220" s="551">
        <f>_xll.qlCalendarAdvance(Calendar,L219,"1M","f",,Trigger)</f>
        <v>48694</v>
      </c>
      <c r="M220" s="542">
        <f>_xll.qlCalendarAdvance(Calendar,L220,"3M","f",,Trigger)</f>
        <v>48785</v>
      </c>
      <c r="N220" s="544" t="str">
        <f>_xll.qlMakeDatedOIS(,L220,M220,OvernightIndex,0,,,,EvaluationDate)</f>
        <v>obj_004b7#0000</v>
      </c>
      <c r="O220" s="543">
        <f>_xll.qlIndexFixing("euribor6m",_xll.qlInterestRateIndexFixingDate("Euribor6M",L220),TRUE,AllTriggers)</f>
        <v>2.3554762504418351E-2</v>
      </c>
      <c r="P220" s="543">
        <f>_xll.qlOvernightIndexedSwapFairRate(N220,AllTriggers)</f>
        <v>2.2802111520549655E-2</v>
      </c>
      <c r="Q220" s="545">
        <f t="shared" si="7"/>
        <v>7.5265098386869539E-4</v>
      </c>
    </row>
    <row r="221" spans="5:17" x14ac:dyDescent="0.2">
      <c r="E221" s="537"/>
      <c r="F221" s="537"/>
      <c r="G221" s="536"/>
      <c r="I221" s="536"/>
      <c r="J221" s="536"/>
      <c r="L221" s="551">
        <f>_xll.qlCalendarAdvance(Calendar,L220,"1M","f",,Trigger)</f>
        <v>48724</v>
      </c>
      <c r="M221" s="542">
        <f>_xll.qlCalendarAdvance(Calendar,L221,"3M","f",,Trigger)</f>
        <v>48816</v>
      </c>
      <c r="N221" s="544" t="str">
        <f>_xll.qlMakeDatedOIS(,L221,M221,OvernightIndex,0,,,,EvaluationDate)</f>
        <v>obj_004b8#0000</v>
      </c>
      <c r="O221" s="543">
        <f>_xll.qlIndexFixing("euribor6m",_xll.qlInterestRateIndexFixingDate("Euribor6M",L221),TRUE,AllTriggers)</f>
        <v>2.3532066749594523E-2</v>
      </c>
      <c r="P221" s="543">
        <f>_xll.qlOvernightIndexedSwapFairRate(N221,AllTriggers)</f>
        <v>2.2802832286022159E-2</v>
      </c>
      <c r="Q221" s="545">
        <f t="shared" si="7"/>
        <v>7.2923446357236327E-4</v>
      </c>
    </row>
    <row r="222" spans="5:17" x14ac:dyDescent="0.2">
      <c r="E222" s="537"/>
      <c r="F222" s="537"/>
      <c r="G222" s="536"/>
      <c r="I222" s="536"/>
      <c r="J222" s="536"/>
      <c r="L222" s="551">
        <f>_xll.qlCalendarAdvance(Calendar,L221,"1M","f",,Trigger)</f>
        <v>48757</v>
      </c>
      <c r="M222" s="542">
        <f>_xll.qlCalendarAdvance(Calendar,L222,"3M","f",,Trigger)</f>
        <v>48849</v>
      </c>
      <c r="N222" s="544" t="str">
        <f>_xll.qlMakeDatedOIS(,L222,M222,OvernightIndex,0,,,,EvaluationDate)</f>
        <v>obj_004b9#0000</v>
      </c>
      <c r="O222" s="543">
        <f>_xll.qlIndexFixing("euribor6m",_xll.qlInterestRateIndexFixingDate("Euribor6M",L222),TRUE,AllTriggers)</f>
        <v>2.350614778419689E-2</v>
      </c>
      <c r="P222" s="543">
        <f>_xll.qlOvernightIndexedSwapFairRate(N222,AllTriggers)</f>
        <v>2.280283228602303E-2</v>
      </c>
      <c r="Q222" s="545">
        <f t="shared" si="7"/>
        <v>7.033154981738593E-4</v>
      </c>
    </row>
    <row r="223" spans="5:17" x14ac:dyDescent="0.2">
      <c r="E223" s="537"/>
      <c r="F223" s="537"/>
      <c r="G223" s="536"/>
      <c r="I223" s="536"/>
      <c r="J223" s="536"/>
      <c r="L223" s="551">
        <f>_xll.qlCalendarAdvance(Calendar,L222,"1M","f",,Trigger)</f>
        <v>48787</v>
      </c>
      <c r="M223" s="542">
        <f>_xll.qlCalendarAdvance(Calendar,L223,"3M","f",,Trigger)</f>
        <v>48879</v>
      </c>
      <c r="N223" s="544" t="str">
        <f>_xll.qlMakeDatedOIS(,L223,M223,OvernightIndex,0,,,,EvaluationDate)</f>
        <v>obj_004ba#0000</v>
      </c>
      <c r="O223" s="543">
        <f>_xll.qlIndexFixing("euribor6m",_xll.qlInterestRateIndexFixingDate("Euribor6M",L223),TRUE,AllTriggers)</f>
        <v>2.3483153151281935E-2</v>
      </c>
      <c r="P223" s="543">
        <f>_xll.qlOvernightIndexedSwapFairRate(N223,AllTriggers)</f>
        <v>2.280283228602303E-2</v>
      </c>
      <c r="Q223" s="545">
        <f t="shared" si="7"/>
        <v>6.8032086525890434E-4</v>
      </c>
    </row>
    <row r="224" spans="5:17" x14ac:dyDescent="0.2">
      <c r="E224" s="537"/>
      <c r="F224" s="537"/>
      <c r="G224" s="536"/>
      <c r="I224" s="536"/>
      <c r="J224" s="536"/>
      <c r="L224" s="551">
        <f>_xll.qlCalendarAdvance(Calendar,L223,"1M","f",,Trigger)</f>
        <v>48820</v>
      </c>
      <c r="M224" s="542">
        <f>_xll.qlCalendarAdvance(Calendar,L224,"3M","f",,Trigger)</f>
        <v>48912</v>
      </c>
      <c r="N224" s="544" t="str">
        <f>_xll.qlMakeDatedOIS(,L224,M224,OvernightIndex,0,,,,EvaluationDate)</f>
        <v>obj_004bb#0000</v>
      </c>
      <c r="O224" s="543">
        <f>_xll.qlIndexFixing("euribor6m",_xll.qlInterestRateIndexFixingDate("Euribor6M",L224),TRUE,AllTriggers)</f>
        <v>2.3456922278658896E-2</v>
      </c>
      <c r="P224" s="543">
        <f>_xll.qlOvernightIndexedSwapFairRate(N224,AllTriggers)</f>
        <v>2.2802832286023027E-2</v>
      </c>
      <c r="Q224" s="545">
        <f t="shared" si="7"/>
        <v>6.5408999263586939E-4</v>
      </c>
    </row>
    <row r="225" spans="5:17" x14ac:dyDescent="0.2">
      <c r="E225" s="537"/>
      <c r="F225" s="537"/>
      <c r="G225" s="536"/>
      <c r="I225" s="536"/>
      <c r="J225" s="536"/>
      <c r="L225" s="551">
        <f>_xll.qlCalendarAdvance(Calendar,L224,"1M","f",,Trigger)</f>
        <v>48851</v>
      </c>
      <c r="M225" s="542">
        <f>_xll.qlCalendarAdvance(Calendar,L225,"3M","f",,Trigger)</f>
        <v>48942</v>
      </c>
      <c r="N225" s="544" t="str">
        <f>_xll.qlMakeDatedOIS(,L225,M225,OvernightIndex,0,,,,EvaluationDate)</f>
        <v>obj_004bc#0000</v>
      </c>
      <c r="O225" s="543">
        <f>_xll.qlIndexFixing("euribor6m",_xll.qlInterestRateIndexFixingDate("Euribor6M",L225),TRUE,AllTriggers)</f>
        <v>2.3431752334680724E-2</v>
      </c>
      <c r="P225" s="543">
        <f>_xll.qlOvernightIndexedSwapFairRate(N225,AllTriggers)</f>
        <v>2.2802111520549652E-2</v>
      </c>
      <c r="Q225" s="545">
        <f t="shared" si="7"/>
        <v>6.2964081413107234E-4</v>
      </c>
    </row>
    <row r="226" spans="5:17" x14ac:dyDescent="0.2">
      <c r="E226" s="537"/>
      <c r="F226" s="537"/>
      <c r="G226" s="536"/>
      <c r="I226" s="536"/>
      <c r="J226" s="536"/>
      <c r="L226" s="551">
        <f>_xll.qlCalendarAdvance(Calendar,L225,"1M","f",,Trigger)</f>
        <v>48883</v>
      </c>
      <c r="M226" s="542">
        <f>_xll.qlCalendarAdvance(Calendar,L226,"3M","f",,Trigger)</f>
        <v>48975</v>
      </c>
      <c r="N226" s="544" t="str">
        <f>_xll.qlMakeDatedOIS(,L226,M226,OvernightIndex,0,,,,EvaluationDate)</f>
        <v>obj_004bd#0000</v>
      </c>
      <c r="O226" s="543">
        <f>_xll.qlIndexFixing("euribor6m",_xll.qlInterestRateIndexFixingDate("Euribor6M",L226),TRUE,AllTriggers)</f>
        <v>2.3405654830948652E-2</v>
      </c>
      <c r="P226" s="543">
        <f>_xll.qlOvernightIndexedSwapFairRate(N226,AllTriggers)</f>
        <v>2.2802832286023027E-2</v>
      </c>
      <c r="Q226" s="545">
        <f t="shared" si="7"/>
        <v>6.0282254492562484E-4</v>
      </c>
    </row>
    <row r="227" spans="5:17" x14ac:dyDescent="0.2">
      <c r="E227" s="537"/>
      <c r="F227" s="537"/>
      <c r="G227" s="536"/>
      <c r="I227" s="536"/>
      <c r="J227" s="536"/>
      <c r="L227" s="551">
        <f>_xll.qlCalendarAdvance(Calendar,L226,"1M","f",,Trigger)</f>
        <v>48913</v>
      </c>
      <c r="M227" s="542">
        <f>_xll.qlCalendarAdvance(Calendar,L227,"3M","f",,Trigger)</f>
        <v>49003</v>
      </c>
      <c r="N227" s="544" t="str">
        <f>_xll.qlMakeDatedOIS(,L227,M227,OvernightIndex,0,,,,EvaluationDate)</f>
        <v>obj_004be#0000</v>
      </c>
      <c r="O227" s="543">
        <f>_xll.qlIndexFixing("euribor6m",_xll.qlInterestRateIndexFixingDate("Euribor6M",L227),TRUE,AllTriggers)</f>
        <v>2.3382786001553559E-2</v>
      </c>
      <c r="P227" s="543">
        <f>_xll.qlOvernightIndexedSwapFairRate(N227,AllTriggers)</f>
        <v>2.2801390785437196E-2</v>
      </c>
      <c r="Q227" s="545">
        <f t="shared" si="7"/>
        <v>5.8139521611636283E-4</v>
      </c>
    </row>
    <row r="228" spans="5:17" x14ac:dyDescent="0.2">
      <c r="E228" s="537"/>
      <c r="F228" s="537"/>
      <c r="G228" s="536"/>
      <c r="I228" s="536"/>
      <c r="J228" s="536"/>
      <c r="L228" s="551">
        <f>_xll.qlCalendarAdvance(Calendar,L227,"1M","f",,Trigger)</f>
        <v>48943</v>
      </c>
      <c r="M228" s="542">
        <f>_xll.qlCalendarAdvance(Calendar,L228,"3M","f",,Trigger)</f>
        <v>49033</v>
      </c>
      <c r="N228" s="544" t="str">
        <f>_xll.qlMakeDatedOIS(,L228,M228,OvernightIndex,0,,,,EvaluationDate)</f>
        <v>obj_004bf#0000</v>
      </c>
      <c r="O228" s="543">
        <f>_xll.qlIndexFixing("euribor6m",_xll.qlInterestRateIndexFixingDate("Euribor6M",L228),TRUE,AllTriggers)</f>
        <v>2.3358705197868392E-2</v>
      </c>
      <c r="P228" s="543">
        <f>_xll.qlOvernightIndexedSwapFairRate(N228,AllTriggers)</f>
        <v>2.2801390785437192E-2</v>
      </c>
      <c r="Q228" s="545">
        <f t="shared" si="7"/>
        <v>5.5731441243120003E-4</v>
      </c>
    </row>
    <row r="229" spans="5:17" x14ac:dyDescent="0.2">
      <c r="E229" s="537"/>
      <c r="F229" s="537"/>
      <c r="G229" s="536"/>
      <c r="I229" s="536"/>
      <c r="J229" s="536"/>
      <c r="L229" s="551">
        <f>_xll.qlCalendarAdvance(Calendar,L228,"1M","f",,Trigger)</f>
        <v>48974</v>
      </c>
      <c r="M229" s="542">
        <f>_xll.qlCalendarAdvance(Calendar,L229,"3M","f",,Trigger)</f>
        <v>49066</v>
      </c>
      <c r="N229" s="544" t="str">
        <f>_xll.qlMakeDatedOIS(,L229,M229,OvernightIndex,0,,,,EvaluationDate)</f>
        <v>obj_004c0#0000</v>
      </c>
      <c r="O229" s="543">
        <f>_xll.qlIndexFixing("euribor6m",_xll.qlInterestRateIndexFixingDate("Euribor6M",L229),TRUE,AllTriggers)</f>
        <v>2.3333676238664735E-2</v>
      </c>
      <c r="P229" s="543">
        <f>_xll.qlOvernightIndexedSwapFairRate(N229,AllTriggers)</f>
        <v>2.2802832286023898E-2</v>
      </c>
      <c r="Q229" s="545">
        <f t="shared" si="7"/>
        <v>5.3084395264083734E-4</v>
      </c>
    </row>
    <row r="230" spans="5:17" x14ac:dyDescent="0.2">
      <c r="E230" s="537"/>
      <c r="F230" s="537"/>
      <c r="G230" s="536"/>
      <c r="I230" s="536"/>
      <c r="J230" s="536"/>
      <c r="L230" s="551">
        <f>_xll.qlCalendarAdvance(Calendar,L229,"1M","f",,Trigger)</f>
        <v>49003</v>
      </c>
      <c r="M230" s="542">
        <f>_xll.qlCalendarAdvance(Calendar,L230,"3M","f",,Trigger)</f>
        <v>49093</v>
      </c>
      <c r="N230" s="544" t="str">
        <f>_xll.qlMakeDatedOIS(,L230,M230,OvernightIndex,0,,,,EvaluationDate)</f>
        <v>obj_004c1#0000</v>
      </c>
      <c r="O230" s="543">
        <f>_xll.qlIndexFixing("euribor6m",_xll.qlInterestRateIndexFixingDate("Euribor6M",L230),TRUE,AllTriggers)</f>
        <v>2.3310812602555207E-2</v>
      </c>
      <c r="P230" s="543">
        <f>_xll.qlOvernightIndexedSwapFairRate(N230,AllTriggers)</f>
        <v>2.2801390785436301E-2</v>
      </c>
      <c r="Q230" s="545">
        <f t="shared" si="7"/>
        <v>5.0942181711890674E-4</v>
      </c>
    </row>
    <row r="231" spans="5:17" x14ac:dyDescent="0.2">
      <c r="E231" s="537"/>
      <c r="F231" s="537"/>
      <c r="G231" s="536"/>
      <c r="I231" s="536"/>
      <c r="J231" s="536"/>
      <c r="L231" s="551">
        <f>_xll.qlCalendarAdvance(Calendar,L230,"1M","f",,Trigger)</f>
        <v>49031</v>
      </c>
      <c r="M231" s="542">
        <f>_xll.qlCalendarAdvance(Calendar,L231,"3M","f",,Trigger)</f>
        <v>49123</v>
      </c>
      <c r="N231" s="544" t="str">
        <f>_xll.qlMakeDatedOIS(,L231,M231,OvernightIndex,0,,,,EvaluationDate)</f>
        <v>obj_004c2#0000</v>
      </c>
      <c r="O231" s="543">
        <f>_xll.qlIndexFixing("euribor6m",_xll.qlInterestRateIndexFixingDate("Euribor6M",L231),TRUE,AllTriggers)</f>
        <v>2.3287948176129981E-2</v>
      </c>
      <c r="P231" s="543">
        <f>_xll.qlOvernightIndexedSwapFairRate(N231,AllTriggers)</f>
        <v>2.280283228602303E-2</v>
      </c>
      <c r="Q231" s="545">
        <f t="shared" si="7"/>
        <v>4.8511589010695119E-4</v>
      </c>
    </row>
    <row r="232" spans="5:17" x14ac:dyDescent="0.2">
      <c r="E232" s="537"/>
      <c r="F232" s="537"/>
      <c r="G232" s="536"/>
      <c r="I232" s="536"/>
      <c r="J232" s="536"/>
      <c r="L232" s="551">
        <f>_xll.qlCalendarAdvance(Calendar,L231,"1M","f",,Trigger)</f>
        <v>49062</v>
      </c>
      <c r="M232" s="542">
        <f>_xll.qlCalendarAdvance(Calendar,L232,"3M","f",,Trigger)</f>
        <v>49153</v>
      </c>
      <c r="N232" s="544" t="str">
        <f>_xll.qlMakeDatedOIS(,L232,M232,OvernightIndex,0,,,,EvaluationDate)</f>
        <v>obj_004c3#0000</v>
      </c>
      <c r="O232" s="543">
        <f>_xll.qlIndexFixing("euribor6m",_xll.qlInterestRateIndexFixingDate("Euribor6M",L232),TRUE,AllTriggers)</f>
        <v>2.3263181736428374E-2</v>
      </c>
      <c r="P232" s="543">
        <f>_xll.qlOvernightIndexedSwapFairRate(N232,AllTriggers)</f>
        <v>2.2802111520548774E-2</v>
      </c>
      <c r="Q232" s="545">
        <f t="shared" si="7"/>
        <v>4.6107021587959984E-4</v>
      </c>
    </row>
    <row r="233" spans="5:17" x14ac:dyDescent="0.2">
      <c r="E233" s="537"/>
      <c r="F233" s="537"/>
      <c r="G233" s="536"/>
      <c r="I233" s="536"/>
      <c r="J233" s="536"/>
      <c r="L233" s="551">
        <f>_xll.qlCalendarAdvance(Calendar,L232,"1M","f",,Trigger)</f>
        <v>49093</v>
      </c>
      <c r="M233" s="542">
        <f>_xll.qlCalendarAdvance(Calendar,L233,"3M","f",,Trigger)</f>
        <v>49185</v>
      </c>
      <c r="N233" s="544" t="str">
        <f>_xll.qlMakeDatedOIS(,L233,M233,OvernightIndex,0,,,,EvaluationDate)</f>
        <v>obj_004c4#0000</v>
      </c>
      <c r="O233" s="543">
        <f>_xll.qlIndexFixing("euribor6m",_xll.qlInterestRateIndexFixingDate("Euribor6M",L233),TRUE,AllTriggers)</f>
        <v>2.3236966768998439E-2</v>
      </c>
      <c r="P233" s="543">
        <f>_xll.qlOvernightIndexedSwapFairRate(N233,AllTriggers)</f>
        <v>2.2802832286023027E-2</v>
      </c>
      <c r="Q233" s="545">
        <f t="shared" si="7"/>
        <v>4.3413448297541235E-4</v>
      </c>
    </row>
    <row r="234" spans="5:17" x14ac:dyDescent="0.2">
      <c r="E234" s="537"/>
      <c r="F234" s="537"/>
      <c r="G234" s="536"/>
      <c r="I234" s="536"/>
      <c r="J234" s="536"/>
      <c r="L234" s="551">
        <f>_xll.qlCalendarAdvance(Calendar,L233,"1M","f",,Trigger)</f>
        <v>49124</v>
      </c>
      <c r="M234" s="542">
        <f>_xll.qlCalendarAdvance(Calendar,L234,"3M","f",,Trigger)</f>
        <v>49216</v>
      </c>
      <c r="N234" s="544" t="str">
        <f>_xll.qlMakeDatedOIS(,L234,M234,OvernightIndex,0,,,,EvaluationDate)</f>
        <v>obj_004c5#0000</v>
      </c>
      <c r="O234" s="543">
        <f>_xll.qlIndexFixing("euribor6m",_xll.qlInterestRateIndexFixingDate("Euribor6M",L234),TRUE,AllTriggers)</f>
        <v>2.3211009210109209E-2</v>
      </c>
      <c r="P234" s="543">
        <f>_xll.qlOvernightIndexedSwapFairRate(N234,AllTriggers)</f>
        <v>2.2498860320072745E-2</v>
      </c>
      <c r="Q234" s="545">
        <f t="shared" si="7"/>
        <v>7.1214889003646392E-4</v>
      </c>
    </row>
    <row r="235" spans="5:17" x14ac:dyDescent="0.2">
      <c r="E235" s="537"/>
      <c r="F235" s="537"/>
      <c r="G235" s="536"/>
      <c r="I235" s="536"/>
      <c r="J235" s="536"/>
      <c r="L235" s="551">
        <f>_xll.qlCalendarAdvance(Calendar,L234,"1M","f",,Trigger)</f>
        <v>49156</v>
      </c>
      <c r="M235" s="542">
        <f>_xll.qlCalendarAdvance(Calendar,L235,"3M","f",,Trigger)</f>
        <v>49248</v>
      </c>
      <c r="N235" s="544" t="str">
        <f>_xll.qlMakeDatedOIS(,L235,M235,OvernightIndex,0,,,,EvaluationDate)</f>
        <v>obj_004c6#0000</v>
      </c>
      <c r="O235" s="543">
        <f>_xll.qlIndexFixing("euribor6m",_xll.qlInterestRateIndexFixingDate("Euribor6M",L235),TRUE,AllTriggers)</f>
        <v>2.3184824470749314E-2</v>
      </c>
      <c r="P235" s="543">
        <f>_xll.qlOvernightIndexedSwapFairRate(N235,AllTriggers)</f>
        <v>2.2093600883787111E-2</v>
      </c>
      <c r="Q235" s="545">
        <f t="shared" si="7"/>
        <v>1.0912235869622033E-3</v>
      </c>
    </row>
    <row r="236" spans="5:17" x14ac:dyDescent="0.2">
      <c r="E236" s="537"/>
      <c r="F236" s="537"/>
      <c r="G236" s="536"/>
      <c r="I236" s="536"/>
      <c r="J236" s="536"/>
      <c r="L236" s="551">
        <f>_xll.qlCalendarAdvance(Calendar,L235,"1M","f",,Trigger)</f>
        <v>49187</v>
      </c>
      <c r="M236" s="542">
        <f>_xll.qlCalendarAdvance(Calendar,L236,"3M","f",,Trigger)</f>
        <v>49278</v>
      </c>
      <c r="N236" s="544" t="str">
        <f>_xll.qlMakeDatedOIS(,L236,M236,OvernightIndex,0,,,,EvaluationDate)</f>
        <v>obj_004c7#0000</v>
      </c>
      <c r="O236" s="543">
        <f>_xll.qlIndexFixing("euribor6m",_xll.qlInterestRateIndexFixingDate("Euribor6M",L236),TRUE,AllTriggers)</f>
        <v>2.3158121451022699E-2</v>
      </c>
      <c r="P236" s="543">
        <f>_xll.qlOvernightIndexedSwapFairRate(N236,AllTriggers)</f>
        <v>2.1701088439201044E-2</v>
      </c>
      <c r="Q236" s="545">
        <f t="shared" si="7"/>
        <v>1.4570330118216547E-3</v>
      </c>
    </row>
    <row r="237" spans="5:17" x14ac:dyDescent="0.2">
      <c r="E237" s="537"/>
      <c r="F237" s="537"/>
      <c r="G237" s="536"/>
      <c r="I237" s="536"/>
      <c r="J237" s="536"/>
      <c r="L237" s="551">
        <f>_xll.qlCalendarAdvance(Calendar,L236,"1M","f",,Trigger)</f>
        <v>49219</v>
      </c>
      <c r="M237" s="542">
        <f>_xll.qlCalendarAdvance(Calendar,L237,"3M","f",,Trigger)</f>
        <v>49311</v>
      </c>
      <c r="N237" s="544" t="str">
        <f>_xll.qlMakeDatedOIS(,L237,M237,OvernightIndex,0,,,,EvaluationDate)</f>
        <v>obj_004c8#0000</v>
      </c>
      <c r="O237" s="543">
        <f>_xll.qlIndexFixing("euribor6m",_xll.qlInterestRateIndexFixingDate("Euribor6M",L237),TRUE,AllTriggers)</f>
        <v>2.3131885900928215E-2</v>
      </c>
      <c r="P237" s="543">
        <f>_xll.qlOvernightIndexedSwapFairRate(N237,AllTriggers)</f>
        <v>2.163773389966998E-2</v>
      </c>
      <c r="Q237" s="545">
        <f t="shared" si="7"/>
        <v>1.4941520012582352E-3</v>
      </c>
    </row>
    <row r="238" spans="5:17" x14ac:dyDescent="0.2">
      <c r="E238" s="537"/>
      <c r="F238" s="537"/>
      <c r="G238" s="536"/>
      <c r="I238" s="536"/>
      <c r="J238" s="536"/>
      <c r="L238" s="551">
        <f>_xll.qlCalendarAdvance(Calendar,L237,"1M","f",,Trigger)</f>
        <v>49250</v>
      </c>
      <c r="M238" s="542">
        <f>_xll.qlCalendarAdvance(Calendar,L238,"3M","f",,Trigger)</f>
        <v>49342</v>
      </c>
      <c r="N238" s="544" t="str">
        <f>_xll.qlMakeDatedOIS(,L238,M238,OvernightIndex,0,,,,EvaluationDate)</f>
        <v>obj_004c9#0000</v>
      </c>
      <c r="O238" s="543">
        <f>_xll.qlIndexFixing("euribor6m",_xll.qlInterestRateIndexFixingDate("Euribor6M",L238),TRUE,AllTriggers)</f>
        <v>2.310582280629378E-2</v>
      </c>
      <c r="P238" s="543">
        <f>_xll.qlOvernightIndexedSwapFairRate(N238,AllTriggers)</f>
        <v>2.1637733899669109E-2</v>
      </c>
      <c r="Q238" s="545">
        <f t="shared" si="7"/>
        <v>1.4680889066246705E-3</v>
      </c>
    </row>
    <row r="239" spans="5:17" x14ac:dyDescent="0.2">
      <c r="E239" s="537"/>
      <c r="F239" s="537"/>
      <c r="G239" s="536"/>
      <c r="I239" s="536"/>
      <c r="J239" s="536"/>
      <c r="L239" s="551">
        <f>_xll.qlCalendarAdvance(Calendar,L238,"1M","f",,Trigger)</f>
        <v>49282</v>
      </c>
      <c r="M239" s="542">
        <f>_xll.qlCalendarAdvance(Calendar,L239,"3M","f",,Trigger)</f>
        <v>49373</v>
      </c>
      <c r="N239" s="544" t="str">
        <f>_xll.qlMakeDatedOIS(,L239,M239,OvernightIndex,0,,,,EvaluationDate)</f>
        <v>obj_004ca#0000</v>
      </c>
      <c r="O239" s="543">
        <f>_xll.qlIndexFixing("euribor6m",_xll.qlInterestRateIndexFixingDate("Euribor6M",L239),TRUE,AllTriggers)</f>
        <v>2.3079568433057755E-2</v>
      </c>
      <c r="P239" s="543">
        <f>_xll.qlOvernightIndexedSwapFairRate(N239,AllTriggers)</f>
        <v>2.163708484190863E-2</v>
      </c>
      <c r="Q239" s="545">
        <f t="shared" si="7"/>
        <v>1.4424835911491241E-3</v>
      </c>
    </row>
    <row r="240" spans="5:17" x14ac:dyDescent="0.2">
      <c r="E240" s="537"/>
      <c r="F240" s="537"/>
      <c r="G240" s="536"/>
      <c r="I240" s="536"/>
      <c r="J240" s="536"/>
      <c r="L240" s="551">
        <f>_xll.qlCalendarAdvance(Calendar,L239,"1M","f",,Trigger)</f>
        <v>49313</v>
      </c>
      <c r="M240" s="542">
        <f>_xll.qlCalendarAdvance(Calendar,L240,"3M","f",,Trigger)</f>
        <v>49403</v>
      </c>
      <c r="N240" s="544" t="str">
        <f>_xll.qlMakeDatedOIS(,L240,M240,OvernightIndex,0,,,,EvaluationDate)</f>
        <v>obj_004cb#0000</v>
      </c>
      <c r="O240" s="543">
        <f>_xll.qlIndexFixing("euribor6m",_xll.qlInterestRateIndexFixingDate("Euribor6M",L240),TRUE,AllTriggers)</f>
        <v>2.305349416117506E-2</v>
      </c>
      <c r="P240" s="543">
        <f>_xll.qlOvernightIndexedSwapFairRate(N240,AllTriggers)</f>
        <v>2.1636435810095556E-2</v>
      </c>
      <c r="Q240" s="545">
        <f t="shared" si="7"/>
        <v>1.4170583510795046E-3</v>
      </c>
    </row>
    <row r="241" spans="5:17" x14ac:dyDescent="0.2">
      <c r="E241" s="537"/>
      <c r="F241" s="537"/>
      <c r="G241" s="536"/>
      <c r="I241" s="536"/>
      <c r="J241" s="536"/>
      <c r="L241" s="551">
        <f>_xll.qlCalendarAdvance(Calendar,L240,"1M","f",,Trigger)</f>
        <v>49345</v>
      </c>
      <c r="M241" s="542">
        <f>_xll.qlCalendarAdvance(Calendar,L241,"3M","f",,Trigger)</f>
        <v>49436</v>
      </c>
      <c r="N241" s="544" t="str">
        <f>_xll.qlMakeDatedOIS(,L241,M241,OvernightIndex,0,,,,EvaluationDate)</f>
        <v>obj_004cc#0000</v>
      </c>
      <c r="O241" s="543">
        <f>_xll.qlIndexFixing("euribor6m",_xll.qlInterestRateIndexFixingDate("Euribor6M",L241),TRUE,AllTriggers)</f>
        <v>2.302722098848398E-2</v>
      </c>
      <c r="P241" s="543">
        <f>_xll.qlOvernightIndexedSwapFairRate(N241,AllTriggers)</f>
        <v>2.1637084841908634E-2</v>
      </c>
      <c r="Q241" s="545">
        <f t="shared" si="7"/>
        <v>1.3901361465753458E-3</v>
      </c>
    </row>
    <row r="242" spans="5:17" x14ac:dyDescent="0.2">
      <c r="E242" s="537"/>
      <c r="F242" s="537"/>
      <c r="G242" s="536"/>
      <c r="I242" s="536"/>
      <c r="J242" s="536"/>
      <c r="L242" s="551">
        <f>_xll.qlCalendarAdvance(Calendar,L241,"1M","f",,Trigger)</f>
        <v>49373</v>
      </c>
      <c r="M242" s="542">
        <f>_xll.qlCalendarAdvance(Calendar,L242,"3M","f",,Trigger)</f>
        <v>49465</v>
      </c>
      <c r="N242" s="544" t="str">
        <f>_xll.qlMakeDatedOIS(,L242,M242,OvernightIndex,0,,,,EvaluationDate)</f>
        <v>obj_004cd#0000</v>
      </c>
      <c r="O242" s="543">
        <f>_xll.qlIndexFixing("euribor6m",_xll.qlInterestRateIndexFixingDate("Euribor6M",L242),TRUE,AllTriggers)</f>
        <v>2.3004578469835796E-2</v>
      </c>
      <c r="P242" s="543">
        <f>_xll.qlOvernightIndexedSwapFairRate(N242,AllTriggers)</f>
        <v>2.1637733899669109E-2</v>
      </c>
      <c r="Q242" s="545">
        <f t="shared" si="7"/>
        <v>1.3668445701666872E-3</v>
      </c>
    </row>
    <row r="243" spans="5:17" x14ac:dyDescent="0.2">
      <c r="E243" s="537"/>
      <c r="F243" s="537"/>
      <c r="G243" s="536"/>
      <c r="I243" s="536"/>
      <c r="J243" s="536"/>
      <c r="L243" s="551">
        <f>_xll.qlCalendarAdvance(Calendar,L242,"1M","f",,Trigger)</f>
        <v>49404</v>
      </c>
      <c r="M243" s="542">
        <f>_xll.qlCalendarAdvance(Calendar,L243,"3M","f",,Trigger)</f>
        <v>49495</v>
      </c>
      <c r="N243" s="544" t="str">
        <f>_xll.qlMakeDatedOIS(,L243,M243,OvernightIndex,0,,,,EvaluationDate)</f>
        <v>obj_004ce#0000</v>
      </c>
      <c r="O243" s="543">
        <f>_xll.qlIndexFixing("euribor6m",_xll.qlInterestRateIndexFixingDate("Euribor6M",L243),TRUE,AllTriggers)</f>
        <v>2.2978484586467004E-2</v>
      </c>
      <c r="P243" s="543">
        <f>_xll.qlOvernightIndexedSwapFairRate(N243,AllTriggers)</f>
        <v>2.1637084841908634E-2</v>
      </c>
      <c r="Q243" s="545">
        <f t="shared" si="7"/>
        <v>1.3413997445583699E-3</v>
      </c>
    </row>
    <row r="244" spans="5:17" x14ac:dyDescent="0.2">
      <c r="E244" s="537"/>
      <c r="F244" s="537"/>
      <c r="G244" s="536"/>
      <c r="I244" s="536"/>
      <c r="J244" s="536"/>
      <c r="L244" s="551">
        <f>_xll.qlCalendarAdvance(Calendar,L243,"1M","f",,Trigger)</f>
        <v>49436</v>
      </c>
      <c r="M244" s="542">
        <f>_xll.qlCalendarAdvance(Calendar,L244,"3M","f",,Trigger)</f>
        <v>49528</v>
      </c>
      <c r="N244" s="544" t="str">
        <f>_xll.qlMakeDatedOIS(,L244,M244,OvernightIndex,0,,,,EvaluationDate)</f>
        <v>obj_004cf#0000</v>
      </c>
      <c r="O244" s="543">
        <f>_xll.qlIndexFixing("euribor6m",_xll.qlInterestRateIndexFixingDate("Euribor6M",L244),TRUE,AllTriggers)</f>
        <v>2.2952180604526549E-2</v>
      </c>
      <c r="P244" s="543">
        <f>_xll.qlOvernightIndexedSwapFairRate(N244,AllTriggers)</f>
        <v>2.1637733899669109E-2</v>
      </c>
      <c r="Q244" s="545">
        <f t="shared" si="7"/>
        <v>1.3144467048574401E-3</v>
      </c>
    </row>
    <row r="245" spans="5:17" x14ac:dyDescent="0.2">
      <c r="E245" s="537"/>
      <c r="F245" s="537"/>
      <c r="G245" s="536"/>
      <c r="I245" s="536"/>
      <c r="J245" s="536"/>
      <c r="L245" s="551">
        <f>_xll.qlCalendarAdvance(Calendar,L244,"1M","f",,Trigger)</f>
        <v>49467</v>
      </c>
      <c r="M245" s="542">
        <f>_xll.qlCalendarAdvance(Calendar,L245,"3M","f",,Trigger)</f>
        <v>49559</v>
      </c>
      <c r="N245" s="544" t="str">
        <f>_xll.qlMakeDatedOIS(,L245,M245,OvernightIndex,0,,,,EvaluationDate)</f>
        <v>obj_004d0#0000</v>
      </c>
      <c r="O245" s="543">
        <f>_xll.qlIndexFixing("euribor6m",_xll.qlInterestRateIndexFixingDate("Euribor6M",L245),TRUE,AllTriggers)</f>
        <v>2.2926075538840702E-2</v>
      </c>
      <c r="P245" s="543">
        <f>_xll.qlOvernightIndexedSwapFairRate(N245,AllTriggers)</f>
        <v>2.1637733899669977E-2</v>
      </c>
      <c r="Q245" s="545">
        <f t="shared" si="7"/>
        <v>1.2883416391707252E-3</v>
      </c>
    </row>
    <row r="246" spans="5:17" x14ac:dyDescent="0.2">
      <c r="E246" s="537"/>
      <c r="F246" s="537"/>
      <c r="G246" s="536"/>
      <c r="I246" s="536"/>
      <c r="J246" s="536"/>
      <c r="L246" s="551">
        <f>_xll.qlCalendarAdvance(Calendar,L245,"1M","f",,Trigger)</f>
        <v>49499</v>
      </c>
      <c r="M246" s="542">
        <f>_xll.qlCalendarAdvance(Calendar,L246,"3M","f",,Trigger)</f>
        <v>49591</v>
      </c>
      <c r="N246" s="544" t="str">
        <f>_xll.qlMakeDatedOIS(,L246,M246,OvernightIndex,0,,,,EvaluationDate)</f>
        <v>obj_004d1#0000</v>
      </c>
      <c r="O246" s="543">
        <f>_xll.qlIndexFixing("euribor6m",_xll.qlInterestRateIndexFixingDate("Euribor6M",L246),TRUE,AllTriggers)</f>
        <v>2.2899752779765862E-2</v>
      </c>
      <c r="P246" s="543">
        <f>_xll.qlOvernightIndexedSwapFairRate(N246,AllTriggers)</f>
        <v>2.163773389966998E-2</v>
      </c>
      <c r="Q246" s="545">
        <f t="shared" si="7"/>
        <v>1.2620188800958818E-3</v>
      </c>
    </row>
    <row r="247" spans="5:17" x14ac:dyDescent="0.2">
      <c r="E247" s="537"/>
      <c r="F247" s="537"/>
      <c r="G247" s="536"/>
      <c r="I247" s="536"/>
      <c r="J247" s="536"/>
      <c r="L247" s="551">
        <f>_xll.qlCalendarAdvance(Calendar,L246,"1M","f",,Trigger)</f>
        <v>49530</v>
      </c>
      <c r="M247" s="542">
        <f>_xll.qlCalendarAdvance(Calendar,L247,"3M","f",,Trigger)</f>
        <v>49622</v>
      </c>
      <c r="N247" s="544" t="str">
        <f>_xll.qlMakeDatedOIS(,L247,M247,OvernightIndex,0,,,,EvaluationDate)</f>
        <v>obj_004d2#0000</v>
      </c>
      <c r="O247" s="543">
        <f>_xll.qlIndexFixing("euribor6m",_xll.qlInterestRateIndexFixingDate("Euribor6M",L247),TRUE,AllTriggers)</f>
        <v>2.2874558763508333E-2</v>
      </c>
      <c r="P247" s="543">
        <f>_xll.qlOvernightIndexedSwapFairRate(N247,AllTriggers)</f>
        <v>2.1637733899669109E-2</v>
      </c>
      <c r="Q247" s="545">
        <f t="shared" si="7"/>
        <v>1.2368248638392233E-3</v>
      </c>
    </row>
    <row r="248" spans="5:17" x14ac:dyDescent="0.2">
      <c r="E248" s="537"/>
      <c r="F248" s="537"/>
      <c r="G248" s="536"/>
      <c r="I248" s="536"/>
      <c r="J248" s="536"/>
      <c r="L248" s="551">
        <f>_xll.qlCalendarAdvance(Calendar,L247,"1M","f",,Trigger)</f>
        <v>49562</v>
      </c>
      <c r="M248" s="542">
        <f>_xll.qlCalendarAdvance(Calendar,L248,"3M","f",,Trigger)</f>
        <v>49653</v>
      </c>
      <c r="N248" s="544" t="str">
        <f>_xll.qlMakeDatedOIS(,L248,M248,OvernightIndex,0,,,,EvaluationDate)</f>
        <v>obj_004d3#0000</v>
      </c>
      <c r="O248" s="543">
        <f>_xll.qlIndexFixing("euribor6m",_xll.qlInterestRateIndexFixingDate("Euribor6M",L248),TRUE,AllTriggers)</f>
        <v>2.284668370621331E-2</v>
      </c>
      <c r="P248" s="543">
        <f>_xll.qlOvernightIndexedSwapFairRate(N248,AllTriggers)</f>
        <v>2.1637084841908634E-2</v>
      </c>
      <c r="Q248" s="545">
        <f t="shared" si="7"/>
        <v>1.2095988643046757E-3</v>
      </c>
    </row>
    <row r="249" spans="5:17" x14ac:dyDescent="0.2">
      <c r="E249" s="537"/>
      <c r="F249" s="537"/>
      <c r="G249" s="536"/>
      <c r="I249" s="536"/>
      <c r="J249" s="536"/>
      <c r="L249" s="551">
        <f>_xll.qlCalendarAdvance(Calendar,L248,"1M","f",,Trigger)</f>
        <v>49592</v>
      </c>
      <c r="M249" s="542">
        <f>_xll.qlCalendarAdvance(Calendar,L249,"3M","f",,Trigger)</f>
        <v>49684</v>
      </c>
      <c r="N249" s="544" t="str">
        <f>_xll.qlMakeDatedOIS(,L249,M249,OvernightIndex,0,,,,EvaluationDate)</f>
        <v>obj_004d4#0000</v>
      </c>
      <c r="O249" s="543">
        <f>_xll.qlIndexFixing("euribor6m",_xll.qlInterestRateIndexFixingDate("Euribor6M",L249),TRUE,AllTriggers)</f>
        <v>2.2822000629132241E-2</v>
      </c>
      <c r="P249" s="543">
        <f>_xll.qlOvernightIndexedSwapFairRate(N249,AllTriggers)</f>
        <v>2.163773389966998E-2</v>
      </c>
      <c r="Q249" s="545">
        <f t="shared" si="7"/>
        <v>1.1842667294622612E-3</v>
      </c>
    </row>
    <row r="250" spans="5:17" x14ac:dyDescent="0.2">
      <c r="E250" s="537"/>
      <c r="F250" s="537"/>
      <c r="G250" s="536"/>
      <c r="I250" s="536"/>
      <c r="J250" s="536"/>
      <c r="L250" s="551">
        <f>_xll.qlCalendarAdvance(Calendar,L249,"1M","f",,Trigger)</f>
        <v>49625</v>
      </c>
      <c r="M250" s="542">
        <f>_xll.qlCalendarAdvance(Calendar,L250,"3M","f",,Trigger)</f>
        <v>49717</v>
      </c>
      <c r="N250" s="544" t="str">
        <f>_xll.qlMakeDatedOIS(,L250,M250,OvernightIndex,0,,,,EvaluationDate)</f>
        <v>obj_004d5#0000</v>
      </c>
      <c r="O250" s="543">
        <f>_xll.qlIndexFixing("euribor6m",_xll.qlInterestRateIndexFixingDate("Euribor6M",L250),TRUE,AllTriggers)</f>
        <v>2.2794203061191499E-2</v>
      </c>
      <c r="P250" s="543">
        <f>_xll.qlOvernightIndexedSwapFairRate(N250,AllTriggers)</f>
        <v>2.1637733899669106E-2</v>
      </c>
      <c r="Q250" s="545">
        <f t="shared" si="7"/>
        <v>1.1564691615223929E-3</v>
      </c>
    </row>
    <row r="251" spans="5:17" x14ac:dyDescent="0.2">
      <c r="E251" s="537"/>
      <c r="F251" s="537"/>
      <c r="G251" s="536"/>
      <c r="I251" s="536"/>
      <c r="J251" s="536"/>
      <c r="L251" s="551">
        <f>_xll.qlCalendarAdvance(Calendar,L250,"1M","f",,Trigger)</f>
        <v>49655</v>
      </c>
      <c r="M251" s="542">
        <f>_xll.qlCalendarAdvance(Calendar,L251,"3M","f",,Trigger)</f>
        <v>49746</v>
      </c>
      <c r="N251" s="544" t="str">
        <f>_xll.qlMakeDatedOIS(,L251,M251,OvernightIndex,0,,,,EvaluationDate)</f>
        <v>obj_004d6#0000</v>
      </c>
      <c r="O251" s="543">
        <f>_xll.qlIndexFixing("euribor6m",_xll.qlInterestRateIndexFixingDate("Euribor6M",L251),TRUE,AllTriggers)</f>
        <v>2.2769502172611224E-2</v>
      </c>
      <c r="P251" s="543">
        <f>_xll.qlOvernightIndexedSwapFairRate(N251,AllTriggers)</f>
        <v>2.163708484190863E-2</v>
      </c>
      <c r="Q251" s="545">
        <f t="shared" si="7"/>
        <v>1.1324173307025939E-3</v>
      </c>
    </row>
    <row r="252" spans="5:17" x14ac:dyDescent="0.2">
      <c r="E252" s="537"/>
      <c r="F252" s="537"/>
      <c r="G252" s="536"/>
      <c r="I252" s="536"/>
      <c r="J252" s="536"/>
      <c r="L252" s="551">
        <f>_xll.qlCalendarAdvance(Calendar,L251,"1M","f",,Trigger)</f>
        <v>49688</v>
      </c>
      <c r="M252" s="542">
        <f>_xll.qlCalendarAdvance(Calendar,L252,"3M","f",,Trigger)</f>
        <v>49780</v>
      </c>
      <c r="N252" s="544" t="str">
        <f>_xll.qlMakeDatedOIS(,L252,M252,OvernightIndex,0,,,,EvaluationDate)</f>
        <v>obj_004d7#0000</v>
      </c>
      <c r="O252" s="543">
        <f>_xll.qlIndexFixing("euribor6m",_xll.qlInterestRateIndexFixingDate("Euribor6M",L252),TRUE,AllTriggers)</f>
        <v>2.2741692452680855E-2</v>
      </c>
      <c r="P252" s="543">
        <f>_xll.qlOvernightIndexedSwapFairRate(N252,AllTriggers)</f>
        <v>2.1637733899669109E-2</v>
      </c>
      <c r="Q252" s="545">
        <f t="shared" si="7"/>
        <v>1.1039585530117461E-3</v>
      </c>
    </row>
    <row r="253" spans="5:17" x14ac:dyDescent="0.2">
      <c r="E253" s="537"/>
      <c r="F253" s="537"/>
      <c r="G253" s="536"/>
      <c r="I253" s="536"/>
      <c r="J253" s="536"/>
      <c r="L253" s="551">
        <f>_xll.qlCalendarAdvance(Calendar,L252,"1M","f",,Trigger)</f>
        <v>49719</v>
      </c>
      <c r="M253" s="542">
        <f>_xll.qlCalendarAdvance(Calendar,L253,"3M","f",,Trigger)</f>
        <v>49809</v>
      </c>
      <c r="N253" s="544" t="str">
        <f>_xll.qlMakeDatedOIS(,L253,M253,OvernightIndex,0,,,,EvaluationDate)</f>
        <v>obj_004d8#0000</v>
      </c>
      <c r="O253" s="543">
        <f>_xll.qlIndexFixing("euribor6m",_xll.qlInterestRateIndexFixingDate("Euribor6M",L253),TRUE,AllTriggers)</f>
        <v>2.2715842900581141E-2</v>
      </c>
      <c r="P253" s="543">
        <f>_xll.qlOvernightIndexedSwapFairRate(N253,AllTriggers)</f>
        <v>2.1636435810094667E-2</v>
      </c>
      <c r="Q253" s="545">
        <f t="shared" si="7"/>
        <v>1.0794070904864735E-3</v>
      </c>
    </row>
    <row r="254" spans="5:17" x14ac:dyDescent="0.2">
      <c r="E254" s="537"/>
      <c r="F254" s="537"/>
      <c r="G254" s="536"/>
      <c r="I254" s="536"/>
      <c r="J254" s="536"/>
      <c r="L254" s="551">
        <f>_xll.qlCalendarAdvance(Calendar,L253,"1M","f",,Trigger)</f>
        <v>49748</v>
      </c>
      <c r="M254" s="542">
        <f>_xll.qlCalendarAdvance(Calendar,L254,"3M","f",,Trigger)</f>
        <v>49842</v>
      </c>
      <c r="N254" s="544" t="str">
        <f>_xll.qlMakeDatedOIS(,L254,M254,OvernightIndex,0,,,,EvaluationDate)</f>
        <v>obj_004d9#0000</v>
      </c>
      <c r="O254" s="543">
        <f>_xll.qlIndexFixing("euribor6m",_xll.qlInterestRateIndexFixingDate("Euribor6M",L254),TRUE,AllTriggers)</f>
        <v>2.2692540039554159E-2</v>
      </c>
      <c r="P254" s="543">
        <f>_xll.qlOvernightIndexedSwapFairRate(N254,AllTriggers)</f>
        <v>2.1639032093037174E-2</v>
      </c>
      <c r="Q254" s="545">
        <f t="shared" si="7"/>
        <v>1.053507946516985E-3</v>
      </c>
    </row>
    <row r="255" spans="5:17" x14ac:dyDescent="0.2">
      <c r="E255" s="537"/>
      <c r="F255" s="537"/>
      <c r="G255" s="536"/>
      <c r="I255" s="536"/>
      <c r="J255" s="536"/>
      <c r="L255" s="551">
        <f>_xll.qlCalendarAdvance(Calendar,L254,"1M","f",,Trigger)</f>
        <v>49780</v>
      </c>
      <c r="M255" s="542">
        <f>_xll.qlCalendarAdvance(Calendar,L255,"3M","f",,Trigger)</f>
        <v>49871</v>
      </c>
      <c r="N255" s="544" t="str">
        <f>_xll.qlMakeDatedOIS(,L255,M255,OvernightIndex,0,,,,EvaluationDate)</f>
        <v>obj_004da#0000</v>
      </c>
      <c r="O255" s="543">
        <f>_xll.qlIndexFixing("euribor6m",_xll.qlInterestRateIndexFixingDate("Euribor6M",L255),TRUE,AllTriggers)</f>
        <v>2.2665249885886085E-2</v>
      </c>
      <c r="P255" s="543">
        <f>_xll.qlOvernightIndexedSwapFairRate(N255,AllTriggers)</f>
        <v>2.163708484190863E-2</v>
      </c>
      <c r="Q255" s="545">
        <f t="shared" si="7"/>
        <v>1.0281650439774546E-3</v>
      </c>
    </row>
    <row r="256" spans="5:17" x14ac:dyDescent="0.2">
      <c r="E256" s="537"/>
      <c r="F256" s="537"/>
      <c r="G256" s="536"/>
      <c r="I256" s="536"/>
      <c r="J256" s="536"/>
      <c r="L256" s="551">
        <f>_xll.qlCalendarAdvance(Calendar,L255,"1M","f",,Trigger)</f>
        <v>49810</v>
      </c>
      <c r="M256" s="542">
        <f>_xll.qlCalendarAdvance(Calendar,L256,"3M","f",,Trigger)</f>
        <v>49902</v>
      </c>
      <c r="N256" s="544" t="str">
        <f>_xll.qlMakeDatedOIS(,L256,M256,OvernightIndex,0,,,,EvaluationDate)</f>
        <v>obj_004db#0000</v>
      </c>
      <c r="O256" s="543">
        <f>_xll.qlIndexFixing("euribor6m",_xll.qlInterestRateIndexFixingDate("Euribor6M",L256),TRUE,AllTriggers)</f>
        <v>2.26410868420454E-2</v>
      </c>
      <c r="P256" s="543">
        <f>_xll.qlOvernightIndexedSwapFairRate(N256,AllTriggers)</f>
        <v>2.1637733899669106E-2</v>
      </c>
      <c r="Q256" s="545">
        <f t="shared" si="7"/>
        <v>1.0033529423762941E-3</v>
      </c>
    </row>
    <row r="257" spans="5:17" x14ac:dyDescent="0.2">
      <c r="E257" s="537"/>
      <c r="F257" s="537"/>
      <c r="G257" s="536"/>
      <c r="I257" s="536"/>
      <c r="J257" s="536"/>
      <c r="L257" s="551">
        <f>_xll.qlCalendarAdvance(Calendar,L256,"1M","f",,Trigger)</f>
        <v>49842</v>
      </c>
      <c r="M257" s="542">
        <f>_xll.qlCalendarAdvance(Calendar,L257,"3M","f",,Trigger)</f>
        <v>49934</v>
      </c>
      <c r="N257" s="544" t="str">
        <f>_xll.qlMakeDatedOIS(,L257,M257,OvernightIndex,0,,,,EvaluationDate)</f>
        <v>obj_004dc#0000</v>
      </c>
      <c r="O257" s="543">
        <f>_xll.qlIndexFixing("euribor6m",_xll.qlInterestRateIndexFixingDate("Euribor6M",L257),TRUE,AllTriggers)</f>
        <v>2.2613497003838048E-2</v>
      </c>
      <c r="P257" s="543">
        <f>_xll.qlOvernightIndexedSwapFairRate(N257,AllTriggers)</f>
        <v>2.1637733899669106E-2</v>
      </c>
      <c r="Q257" s="545">
        <f t="shared" si="7"/>
        <v>9.7576310416894185E-4</v>
      </c>
    </row>
    <row r="258" spans="5:17" x14ac:dyDescent="0.2">
      <c r="E258" s="537"/>
      <c r="F258" s="537"/>
      <c r="G258" s="536"/>
      <c r="I258" s="536"/>
      <c r="J258" s="536"/>
      <c r="L258" s="551">
        <f>_xll.qlCalendarAdvance(Calendar,L257,"1M","f",,Trigger)</f>
        <v>49872</v>
      </c>
      <c r="M258" s="542">
        <f>_xll.qlCalendarAdvance(Calendar,L258,"3M","f",,Trigger)</f>
        <v>49964</v>
      </c>
      <c r="N258" s="544" t="str">
        <f>_xll.qlMakeDatedOIS(,L258,M258,OvernightIndex,0,,,,EvaluationDate)</f>
        <v>obj_004dd#0000</v>
      </c>
      <c r="O258" s="543">
        <f>_xll.qlIndexFixing("euribor6m",_xll.qlInterestRateIndexFixingDate("Euribor6M",L258),TRUE,AllTriggers)</f>
        <v>2.2588733114922831E-2</v>
      </c>
      <c r="P258" s="543">
        <f>_xll.qlOvernightIndexedSwapFairRate(N258,AllTriggers)</f>
        <v>2.1637733899669109E-2</v>
      </c>
      <c r="Q258" s="545">
        <f t="shared" si="7"/>
        <v>9.5099921525372208E-4</v>
      </c>
    </row>
    <row r="259" spans="5:17" x14ac:dyDescent="0.2">
      <c r="E259" s="537"/>
      <c r="F259" s="537"/>
      <c r="G259" s="536"/>
      <c r="I259" s="536"/>
      <c r="J259" s="536"/>
      <c r="L259" s="551">
        <f>_xll.qlCalendarAdvance(Calendar,L258,"1M","f",,Trigger)</f>
        <v>49905</v>
      </c>
      <c r="M259" s="542">
        <f>_xll.qlCalendarAdvance(Calendar,L259,"3M","f",,Trigger)</f>
        <v>49997</v>
      </c>
      <c r="N259" s="544" t="str">
        <f>_xll.qlMakeDatedOIS(,L259,M259,OvernightIndex,0,,,,EvaluationDate)</f>
        <v>obj_004de#0000</v>
      </c>
      <c r="O259" s="543">
        <f>_xll.qlIndexFixing("euribor6m",_xll.qlInterestRateIndexFixingDate("Euribor6M",L259),TRUE,AllTriggers)</f>
        <v>2.2561166084586543E-2</v>
      </c>
      <c r="P259" s="543">
        <f>_xll.qlOvernightIndexedSwapFairRate(N259,AllTriggers)</f>
        <v>2.1637733899669113E-2</v>
      </c>
      <c r="Q259" s="545">
        <f t="shared" ref="Q259:Q322" si="8">O259-P259</f>
        <v>9.234321849174304E-4</v>
      </c>
    </row>
    <row r="260" spans="5:17" x14ac:dyDescent="0.2">
      <c r="E260" s="537"/>
      <c r="F260" s="537"/>
      <c r="G260" s="536"/>
      <c r="I260" s="536"/>
      <c r="J260" s="536"/>
      <c r="L260" s="551">
        <f>_xll.qlCalendarAdvance(Calendar,L259,"1M","f",,Trigger)</f>
        <v>49936</v>
      </c>
      <c r="M260" s="542">
        <f>_xll.qlCalendarAdvance(Calendar,L260,"3M","f",,Trigger)</f>
        <v>50027</v>
      </c>
      <c r="N260" s="544" t="str">
        <f>_xll.qlMakeDatedOIS(,L260,M260,OvernightIndex,0,,,,EvaluationDate)</f>
        <v>obj_004df#0000</v>
      </c>
      <c r="O260" s="543">
        <f>_xll.qlIndexFixing("euribor6m",_xll.qlInterestRateIndexFixingDate("Euribor6M",L260),TRUE,AllTriggers)</f>
        <v>2.2534408218942033E-2</v>
      </c>
      <c r="P260" s="543">
        <f>_xll.qlOvernightIndexedSwapFairRate(N260,AllTriggers)</f>
        <v>2.163708484190863E-2</v>
      </c>
      <c r="Q260" s="545">
        <f t="shared" si="8"/>
        <v>8.9732337703340298E-4</v>
      </c>
    </row>
    <row r="261" spans="5:17" x14ac:dyDescent="0.2">
      <c r="E261" s="537"/>
      <c r="F261" s="537"/>
      <c r="G261" s="536"/>
      <c r="I261" s="536"/>
      <c r="J261" s="536"/>
      <c r="L261" s="551">
        <f>_xll.qlCalendarAdvance(Calendar,L260,"1M","f",,Trigger)</f>
        <v>49968</v>
      </c>
      <c r="M261" s="542">
        <f>_xll.qlCalendarAdvance(Calendar,L261,"3M","f",,Trigger)</f>
        <v>50060</v>
      </c>
      <c r="N261" s="544" t="str">
        <f>_xll.qlMakeDatedOIS(,L261,M261,OvernightIndex,0,,,,EvaluationDate)</f>
        <v>obj_004e0#0000</v>
      </c>
      <c r="O261" s="543">
        <f>_xll.qlIndexFixing("euribor6m",_xll.qlInterestRateIndexFixingDate("Euribor6M",L261),TRUE,AllTriggers)</f>
        <v>2.2507949512400267E-2</v>
      </c>
      <c r="P261" s="543">
        <f>_xll.qlOvernightIndexedSwapFairRate(N261,AllTriggers)</f>
        <v>2.1637733899669109E-2</v>
      </c>
      <c r="Q261" s="545">
        <f t="shared" si="8"/>
        <v>8.7021561273115805E-4</v>
      </c>
    </row>
    <row r="262" spans="5:17" x14ac:dyDescent="0.2">
      <c r="E262" s="537"/>
      <c r="F262" s="537"/>
      <c r="G262" s="536"/>
      <c r="I262" s="536"/>
      <c r="J262" s="536"/>
      <c r="L262" s="551">
        <f>_xll.qlCalendarAdvance(Calendar,L261,"1M","f",,Trigger)</f>
        <v>49999</v>
      </c>
      <c r="M262" s="542">
        <f>_xll.qlCalendarAdvance(Calendar,L262,"3M","f",,Trigger)</f>
        <v>50091</v>
      </c>
      <c r="N262" s="544" t="str">
        <f>_xll.qlMakeDatedOIS(,L262,M262,OvernightIndex,0,,,,EvaluationDate)</f>
        <v>obj_004e1#0000</v>
      </c>
      <c r="O262" s="543">
        <f>_xll.qlIndexFixing("euribor6m",_xll.qlInterestRateIndexFixingDate("Euribor6M",L262),TRUE,AllTriggers)</f>
        <v>2.2481753242508638E-2</v>
      </c>
      <c r="P262" s="543">
        <f>_xll.qlOvernightIndexedSwapFairRate(N262,AllTriggers)</f>
        <v>2.1637733899669102E-2</v>
      </c>
      <c r="Q262" s="545">
        <f t="shared" si="8"/>
        <v>8.4401934283953595E-4</v>
      </c>
    </row>
    <row r="263" spans="5:17" x14ac:dyDescent="0.2">
      <c r="E263" s="537"/>
      <c r="F263" s="537"/>
      <c r="G263" s="536"/>
      <c r="I263" s="536"/>
      <c r="J263" s="536"/>
      <c r="L263" s="551">
        <f>_xll.qlCalendarAdvance(Calendar,L262,"1M","f",,Trigger)</f>
        <v>50031</v>
      </c>
      <c r="M263" s="542">
        <f>_xll.qlCalendarAdvance(Calendar,L263,"3M","f",,Trigger)</f>
        <v>50122</v>
      </c>
      <c r="N263" s="544" t="str">
        <f>_xll.qlMakeDatedOIS(,L263,M263,OvernightIndex,0,,,,EvaluationDate)</f>
        <v>obj_004e2#0000</v>
      </c>
      <c r="O263" s="543">
        <f>_xll.qlIndexFixing("euribor6m",_xll.qlInterestRateIndexFixingDate("Euribor6M",L263),TRUE,AllTriggers)</f>
        <v>2.2455275812024337E-2</v>
      </c>
      <c r="P263" s="543">
        <f>_xll.qlOvernightIndexedSwapFairRate(N263,AllTriggers)</f>
        <v>2.163708484190863E-2</v>
      </c>
      <c r="Q263" s="545">
        <f t="shared" si="8"/>
        <v>8.1819097011570641E-4</v>
      </c>
    </row>
    <row r="264" spans="5:17" x14ac:dyDescent="0.2">
      <c r="E264" s="537"/>
      <c r="F264" s="537"/>
      <c r="G264" s="536"/>
      <c r="I264" s="536"/>
      <c r="J264" s="536"/>
      <c r="L264" s="551">
        <f>_xll.qlCalendarAdvance(Calendar,L263,"1M","f",,Trigger)</f>
        <v>50062</v>
      </c>
      <c r="M264" s="542">
        <f>_xll.qlCalendarAdvance(Calendar,L264,"3M","f",,Trigger)</f>
        <v>50152</v>
      </c>
      <c r="N264" s="544" t="str">
        <f>_xll.qlMakeDatedOIS(,L264,M264,OvernightIndex,0,,,,EvaluationDate)</f>
        <v>obj_004e3#0000</v>
      </c>
      <c r="O264" s="543">
        <f>_xll.qlIndexFixing("euribor6m",_xll.qlInterestRateIndexFixingDate("Euribor6M",L264),TRUE,AllTriggers)</f>
        <v>2.2429068311259601E-2</v>
      </c>
      <c r="P264" s="543">
        <f>_xll.qlOvernightIndexedSwapFairRate(N264,AllTriggers)</f>
        <v>2.1636435810095556E-2</v>
      </c>
      <c r="Q264" s="545">
        <f t="shared" si="8"/>
        <v>7.9263250116404574E-4</v>
      </c>
    </row>
    <row r="265" spans="5:17" x14ac:dyDescent="0.2">
      <c r="E265" s="537"/>
      <c r="F265" s="537"/>
      <c r="G265" s="536"/>
      <c r="I265" s="536"/>
      <c r="J265" s="536"/>
      <c r="L265" s="551">
        <f>_xll.qlCalendarAdvance(Calendar,L264,"1M","f",,Trigger)</f>
        <v>50094</v>
      </c>
      <c r="M265" s="542">
        <f>_xll.qlCalendarAdvance(Calendar,L265,"3M","f",,Trigger)</f>
        <v>50185</v>
      </c>
      <c r="N265" s="544" t="str">
        <f>_xll.qlMakeDatedOIS(,L265,M265,OvernightIndex,0,,,,EvaluationDate)</f>
        <v>obj_004e4#0000</v>
      </c>
      <c r="O265" s="543">
        <f>_xll.qlIndexFixing("euribor6m",_xll.qlInterestRateIndexFixingDate("Euribor6M",L265),TRUE,AllTriggers)</f>
        <v>2.2402572163851633E-2</v>
      </c>
      <c r="P265" s="543">
        <f>_xll.qlOvernightIndexedSwapFairRate(N265,AllTriggers)</f>
        <v>2.163708484190863E-2</v>
      </c>
      <c r="Q265" s="545">
        <f t="shared" si="8"/>
        <v>7.6548732194300223E-4</v>
      </c>
    </row>
    <row r="266" spans="5:17" x14ac:dyDescent="0.2">
      <c r="E266" s="537"/>
      <c r="F266" s="537"/>
      <c r="G266" s="536"/>
      <c r="I266" s="536"/>
      <c r="J266" s="536"/>
      <c r="L266" s="551">
        <f>_xll.qlCalendarAdvance(Calendar,L265,"1M","f",,Trigger)</f>
        <v>50122</v>
      </c>
      <c r="M266" s="542">
        <f>_xll.qlCalendarAdvance(Calendar,L266,"3M","f",,Trigger)</f>
        <v>50214</v>
      </c>
      <c r="N266" s="544" t="str">
        <f>_xll.qlMakeDatedOIS(,L266,M266,OvernightIndex,0,,,,EvaluationDate)</f>
        <v>obj_004e5#0000</v>
      </c>
      <c r="O266" s="543">
        <f>_xll.qlIndexFixing("euribor6m",_xll.qlInterestRateIndexFixingDate("Euribor6M",L266),TRUE,AllTriggers)</f>
        <v>2.2379687368141638E-2</v>
      </c>
      <c r="P266" s="543">
        <f>_xll.qlOvernightIndexedSwapFairRate(N266,AllTriggers)</f>
        <v>2.1637733899669106E-2</v>
      </c>
      <c r="Q266" s="545">
        <f t="shared" si="8"/>
        <v>7.4195346847253166E-4</v>
      </c>
    </row>
    <row r="267" spans="5:17" x14ac:dyDescent="0.2">
      <c r="E267" s="537"/>
      <c r="F267" s="537"/>
      <c r="G267" s="536"/>
      <c r="I267" s="536"/>
      <c r="J267" s="536"/>
      <c r="L267" s="551">
        <f>_xll.qlCalendarAdvance(Calendar,L266,"1M","f",,Trigger)</f>
        <v>50153</v>
      </c>
      <c r="M267" s="542">
        <f>_xll.qlCalendarAdvance(Calendar,L267,"3M","f",,Trigger)</f>
        <v>50244</v>
      </c>
      <c r="N267" s="544" t="str">
        <f>_xll.qlMakeDatedOIS(,L267,M267,OvernightIndex,0,,,,EvaluationDate)</f>
        <v>obj_004e6#0000</v>
      </c>
      <c r="O267" s="543">
        <f>_xll.qlIndexFixing("euribor6m",_xll.qlInterestRateIndexFixingDate("Euribor6M",L267),TRUE,AllTriggers)</f>
        <v>2.2353460247957872E-2</v>
      </c>
      <c r="P267" s="543">
        <f>_xll.qlOvernightIndexedSwapFairRate(N267,AllTriggers)</f>
        <v>2.1637084841908634E-2</v>
      </c>
      <c r="Q267" s="545">
        <f t="shared" si="8"/>
        <v>7.1637540604923763E-4</v>
      </c>
    </row>
    <row r="268" spans="5:17" x14ac:dyDescent="0.2">
      <c r="E268" s="537"/>
      <c r="F268" s="537"/>
      <c r="G268" s="536"/>
      <c r="I268" s="536"/>
      <c r="J268" s="536"/>
      <c r="L268" s="551">
        <f>_xll.qlCalendarAdvance(Calendar,L267,"1M","f",,Trigger)</f>
        <v>50185</v>
      </c>
      <c r="M268" s="542">
        <f>_xll.qlCalendarAdvance(Calendar,L268,"3M","f",,Trigger)</f>
        <v>50277</v>
      </c>
      <c r="N268" s="544" t="str">
        <f>_xll.qlMakeDatedOIS(,L268,M268,OvernightIndex,0,,,,EvaluationDate)</f>
        <v>obj_004e7#0000</v>
      </c>
      <c r="O268" s="543">
        <f>_xll.qlIndexFixing("euribor6m",_xll.qlInterestRateIndexFixingDate("Euribor6M",L268),TRUE,AllTriggers)</f>
        <v>2.2326933477367195E-2</v>
      </c>
      <c r="P268" s="543">
        <f>_xll.qlOvernightIndexedSwapFairRate(N268,AllTriggers)</f>
        <v>2.1637733899669109E-2</v>
      </c>
      <c r="Q268" s="545">
        <f t="shared" si="8"/>
        <v>6.8919957769808526E-4</v>
      </c>
    </row>
    <row r="269" spans="5:17" x14ac:dyDescent="0.2">
      <c r="E269" s="537"/>
      <c r="F269" s="537"/>
      <c r="G269" s="536"/>
      <c r="I269" s="536"/>
      <c r="J269" s="536"/>
      <c r="L269" s="551">
        <f>_xll.qlCalendarAdvance(Calendar,L268,"1M","f",,Trigger)</f>
        <v>50216</v>
      </c>
      <c r="M269" s="542">
        <f>_xll.qlCalendarAdvance(Calendar,L269,"3M","f",,Trigger)</f>
        <v>50308</v>
      </c>
      <c r="N269" s="544" t="str">
        <f>_xll.qlMakeDatedOIS(,L269,M269,OvernightIndex,0,,,,EvaluationDate)</f>
        <v>obj_004e8#0000</v>
      </c>
      <c r="O269" s="543">
        <f>_xll.qlIndexFixing("euribor6m",_xll.qlInterestRateIndexFixingDate("Euribor6M",L269),TRUE,AllTriggers)</f>
        <v>2.2301502359176387E-2</v>
      </c>
      <c r="P269" s="543">
        <f>_xll.qlOvernightIndexedSwapFairRate(N269,AllTriggers)</f>
        <v>2.163773389966998E-2</v>
      </c>
      <c r="Q269" s="545">
        <f t="shared" si="8"/>
        <v>6.6376845950640723E-4</v>
      </c>
    </row>
    <row r="270" spans="5:17" x14ac:dyDescent="0.2">
      <c r="E270" s="537"/>
      <c r="F270" s="537"/>
      <c r="G270" s="536"/>
      <c r="I270" s="536"/>
      <c r="J270" s="536"/>
      <c r="L270" s="551">
        <f>_xll.qlCalendarAdvance(Calendar,L269,"1M","f",,Trigger)</f>
        <v>50248</v>
      </c>
      <c r="M270" s="542">
        <f>_xll.qlCalendarAdvance(Calendar,L270,"3M","f",,Trigger)</f>
        <v>50340</v>
      </c>
      <c r="N270" s="544" t="str">
        <f>_xll.qlMakeDatedOIS(,L270,M270,OvernightIndex,0,,,,EvaluationDate)</f>
        <v>obj_004e9#0000</v>
      </c>
      <c r="O270" s="543">
        <f>_xll.qlIndexFixing("euribor6m",_xll.qlInterestRateIndexFixingDate("Euribor6M",L270),TRUE,AllTriggers)</f>
        <v>2.2274149656403119E-2</v>
      </c>
      <c r="P270" s="543">
        <f>_xll.qlOvernightIndexedSwapFairRate(N270,AllTriggers)</f>
        <v>2.1637733899669109E-2</v>
      </c>
      <c r="Q270" s="545">
        <f t="shared" si="8"/>
        <v>6.3641575673401007E-4</v>
      </c>
    </row>
    <row r="271" spans="5:17" x14ac:dyDescent="0.2">
      <c r="E271" s="537"/>
      <c r="F271" s="537"/>
      <c r="G271" s="536"/>
      <c r="I271" s="536"/>
      <c r="J271" s="536"/>
      <c r="L271" s="551">
        <f>_xll.qlCalendarAdvance(Calendar,L270,"1M","f",,Trigger)</f>
        <v>50279</v>
      </c>
      <c r="M271" s="542">
        <f>_xll.qlCalendarAdvance(Calendar,L271,"3M","f",,Trigger)</f>
        <v>50371</v>
      </c>
      <c r="N271" s="544" t="str">
        <f>_xll.qlMakeDatedOIS(,L271,M271,OvernightIndex,0,,,,EvaluationDate)</f>
        <v>obj_004ea#0000</v>
      </c>
      <c r="O271" s="543">
        <f>_xll.qlIndexFixing("euribor6m",_xll.qlInterestRateIndexFixingDate("Euribor6M",L271),TRUE,AllTriggers)</f>
        <v>2.2247900059247545E-2</v>
      </c>
      <c r="P271" s="543">
        <f>_xll.qlOvernightIndexedSwapFairRate(N271,AllTriggers)</f>
        <v>2.163773389966998E-2</v>
      </c>
      <c r="Q271" s="545">
        <f t="shared" si="8"/>
        <v>6.1016615957756523E-4</v>
      </c>
    </row>
    <row r="272" spans="5:17" x14ac:dyDescent="0.2">
      <c r="E272" s="537"/>
      <c r="F272" s="537"/>
      <c r="G272" s="536"/>
      <c r="I272" s="536"/>
      <c r="J272" s="536"/>
      <c r="L272" s="551">
        <f>_xll.qlCalendarAdvance(Calendar,L271,"1M","f",,Trigger)</f>
        <v>50311</v>
      </c>
      <c r="M272" s="542">
        <f>_xll.qlCalendarAdvance(Calendar,L272,"3M","f",,Trigger)</f>
        <v>50402</v>
      </c>
      <c r="N272" s="544" t="str">
        <f>_xll.qlMakeDatedOIS(,L272,M272,OvernightIndex,0,,,,EvaluationDate)</f>
        <v>obj_004eb#0000</v>
      </c>
      <c r="O272" s="543">
        <f>_xll.qlIndexFixing("euribor6m",_xll.qlInterestRateIndexFixingDate("Euribor6M",L272),TRUE,AllTriggers)</f>
        <v>2.2220808179556611E-2</v>
      </c>
      <c r="P272" s="543">
        <f>_xll.qlOvernightIndexedSwapFairRate(N272,AllTriggers)</f>
        <v>2.1637084841908627E-2</v>
      </c>
      <c r="Q272" s="545">
        <f t="shared" si="8"/>
        <v>5.8372333764798376E-4</v>
      </c>
    </row>
    <row r="273" spans="5:17" x14ac:dyDescent="0.2">
      <c r="E273" s="537"/>
      <c r="F273" s="537"/>
      <c r="G273" s="536"/>
      <c r="I273" s="536"/>
      <c r="J273" s="536"/>
      <c r="L273" s="551">
        <f>_xll.qlCalendarAdvance(Calendar,L272,"1M","f",,Trigger)</f>
        <v>50341</v>
      </c>
      <c r="M273" s="542">
        <f>_xll.qlCalendarAdvance(Calendar,L273,"3M","f",,Trigger)</f>
        <v>50433</v>
      </c>
      <c r="N273" s="544" t="str">
        <f>_xll.qlMakeDatedOIS(,L273,M273,OvernightIndex,0,,,,EvaluationDate)</f>
        <v>obj_004ec#0000</v>
      </c>
      <c r="O273" s="543">
        <f>_xll.qlIndexFixing("euribor6m",_xll.qlInterestRateIndexFixingDate("Euribor6M",L273),TRUE,AllTriggers)</f>
        <v>2.2195651570204478E-2</v>
      </c>
      <c r="P273" s="543">
        <f>_xll.qlOvernightIndexedSwapFairRate(N273,AllTriggers)</f>
        <v>2.1637733899669977E-2</v>
      </c>
      <c r="Q273" s="545">
        <f t="shared" si="8"/>
        <v>5.5791767053450098E-4</v>
      </c>
    </row>
    <row r="274" spans="5:17" x14ac:dyDescent="0.2">
      <c r="E274" s="537"/>
      <c r="F274" s="537"/>
      <c r="G274" s="536"/>
      <c r="I274" s="536"/>
      <c r="J274" s="536"/>
      <c r="L274" s="551">
        <f>_xll.qlCalendarAdvance(Calendar,L273,"1M","f",,Trigger)</f>
        <v>50374</v>
      </c>
      <c r="M274" s="542">
        <f>_xll.qlCalendarAdvance(Calendar,L274,"3M","f",,Trigger)</f>
        <v>50465</v>
      </c>
      <c r="N274" s="544" t="str">
        <f>_xll.qlMakeDatedOIS(,L274,M274,OvernightIndex,0,,,,EvaluationDate)</f>
        <v>obj_004ed#0000</v>
      </c>
      <c r="O274" s="543">
        <f>_xll.qlIndexFixing("euribor6m",_xll.qlInterestRateIndexFixingDate("Euribor6M",L274),TRUE,AllTriggers)</f>
        <v>2.2167971459604818E-2</v>
      </c>
      <c r="P274" s="543">
        <f>_xll.qlOvernightIndexedSwapFairRate(N274,AllTriggers)</f>
        <v>2.1637084841908634E-2</v>
      </c>
      <c r="Q274" s="545">
        <f t="shared" si="8"/>
        <v>5.3088661769618364E-4</v>
      </c>
    </row>
    <row r="275" spans="5:17" x14ac:dyDescent="0.2">
      <c r="E275" s="537"/>
      <c r="F275" s="537"/>
      <c r="G275" s="536"/>
      <c r="I275" s="536"/>
      <c r="J275" s="536"/>
      <c r="L275" s="551">
        <f>_xll.qlCalendarAdvance(Calendar,L274,"1M","f",,Trigger)</f>
        <v>50404</v>
      </c>
      <c r="M275" s="542">
        <f>_xll.qlCalendarAdvance(Calendar,L275,"3M","f",,Trigger)</f>
        <v>50494</v>
      </c>
      <c r="N275" s="544" t="str">
        <f>_xll.qlMakeDatedOIS(,L275,M275,OvernightIndex,0,,,,EvaluationDate)</f>
        <v>obj_004ee#0000</v>
      </c>
      <c r="O275" s="543">
        <f>_xll.qlIndexFixing("euribor6m",_xll.qlInterestRateIndexFixingDate("Euribor6M",L275),TRUE,AllTriggers)</f>
        <v>2.2142800595425473E-2</v>
      </c>
      <c r="P275" s="543">
        <f>_xll.qlOvernightIndexedSwapFairRate(N275,AllTriggers)</f>
        <v>2.1636435810095556E-2</v>
      </c>
      <c r="Q275" s="545">
        <f t="shared" si="8"/>
        <v>5.0636478532991788E-4</v>
      </c>
    </row>
    <row r="276" spans="5:17" x14ac:dyDescent="0.2">
      <c r="E276" s="537"/>
      <c r="F276" s="537"/>
      <c r="G276" s="536"/>
      <c r="I276" s="536"/>
      <c r="J276" s="536"/>
      <c r="L276" s="551">
        <f>_xll.qlCalendarAdvance(Calendar,L275,"1M","f",,Trigger)</f>
        <v>50437</v>
      </c>
      <c r="M276" s="542">
        <f>_xll.qlCalendarAdvance(Calendar,L276,"3M","f",,Trigger)</f>
        <v>50528</v>
      </c>
      <c r="N276" s="544" t="str">
        <f>_xll.qlMakeDatedOIS(,L276,M276,OvernightIndex,0,,,,EvaluationDate)</f>
        <v>obj_004ef#0000</v>
      </c>
      <c r="O276" s="543">
        <f>_xll.qlIndexFixing("euribor6m",_xll.qlInterestRateIndexFixingDate("Euribor6M",L276),TRUE,AllTriggers)</f>
        <v>2.2115104805156823E-2</v>
      </c>
      <c r="P276" s="543">
        <f>_xll.qlOvernightIndexedSwapFairRate(N276,AllTriggers)</f>
        <v>2.163708484190863E-2</v>
      </c>
      <c r="Q276" s="545">
        <f t="shared" si="8"/>
        <v>4.7801996324819268E-4</v>
      </c>
    </row>
    <row r="277" spans="5:17" x14ac:dyDescent="0.2">
      <c r="E277" s="537"/>
      <c r="F277" s="537"/>
      <c r="G277" s="536"/>
      <c r="I277" s="536"/>
      <c r="J277" s="536"/>
      <c r="L277" s="551">
        <f>_xll.qlCalendarAdvance(Calendar,L276,"1M","f",,Trigger)</f>
        <v>50465</v>
      </c>
      <c r="M277" s="542">
        <f>_xll.qlCalendarAdvance(Calendar,L277,"3M","f",,Trigger)</f>
        <v>50557</v>
      </c>
      <c r="N277" s="544" t="str">
        <f>_xll.qlMakeDatedOIS(,L277,M277,OvernightIndex,0,,,,EvaluationDate)</f>
        <v>obj_004f0#0000</v>
      </c>
      <c r="O277" s="543">
        <f>_xll.qlIndexFixing("euribor6m",_xll.qlInterestRateIndexFixingDate("Euribor6M",L277),TRUE,AllTriggers)</f>
        <v>2.2092109656576264E-2</v>
      </c>
      <c r="P277" s="543">
        <f>_xll.qlOvernightIndexedSwapFairRate(N277,AllTriggers)</f>
        <v>2.1637733899669109E-2</v>
      </c>
      <c r="Q277" s="545">
        <f t="shared" si="8"/>
        <v>4.5437575690715493E-4</v>
      </c>
    </row>
    <row r="278" spans="5:17" x14ac:dyDescent="0.2">
      <c r="E278" s="537"/>
      <c r="F278" s="537"/>
      <c r="G278" s="536"/>
      <c r="I278" s="536"/>
      <c r="J278" s="536"/>
      <c r="L278" s="551">
        <f>_xll.qlCalendarAdvance(Calendar,L277,"1M","f",,Trigger)</f>
        <v>50496</v>
      </c>
      <c r="M278" s="542">
        <f>_xll.qlCalendarAdvance(Calendar,L278,"3M","f",,Trigger)</f>
        <v>50587</v>
      </c>
      <c r="N278" s="544" t="str">
        <f>_xll.qlMakeDatedOIS(,L278,M278,OvernightIndex,0,,,,EvaluationDate)</f>
        <v>obj_004f1#0000</v>
      </c>
      <c r="O278" s="543">
        <f>_xll.qlIndexFixing("euribor6m",_xll.qlInterestRateIndexFixingDate("Euribor6M",L278),TRUE,AllTriggers)</f>
        <v>2.2065821305658349E-2</v>
      </c>
      <c r="P278" s="543">
        <f>_xll.qlOvernightIndexedSwapFairRate(N278,AllTriggers)</f>
        <v>2.163708484190863E-2</v>
      </c>
      <c r="Q278" s="545">
        <f t="shared" si="8"/>
        <v>4.2873646374971819E-4</v>
      </c>
    </row>
    <row r="279" spans="5:17" x14ac:dyDescent="0.2">
      <c r="E279" s="537"/>
      <c r="F279" s="537"/>
      <c r="G279" s="536"/>
      <c r="I279" s="536"/>
      <c r="J279" s="536"/>
      <c r="L279" s="551">
        <f>_xll.qlCalendarAdvance(Calendar,L278,"1M","f",,Trigger)</f>
        <v>50528</v>
      </c>
      <c r="M279" s="542">
        <f>_xll.qlCalendarAdvance(Calendar,L279,"3M","f",,Trigger)</f>
        <v>50620</v>
      </c>
      <c r="N279" s="544" t="str">
        <f>_xll.qlMakeDatedOIS(,L279,M279,OvernightIndex,0,,,,EvaluationDate)</f>
        <v>obj_004f2#0000</v>
      </c>
      <c r="O279" s="543">
        <f>_xll.qlIndexFixing("euribor6m",_xll.qlInterestRateIndexFixingDate("Euribor6M",L279),TRUE,AllTriggers)</f>
        <v>2.2039192842453967E-2</v>
      </c>
      <c r="P279" s="543">
        <f>_xll.qlOvernightIndexedSwapFairRate(N279,AllTriggers)</f>
        <v>2.1637733899669106E-2</v>
      </c>
      <c r="Q279" s="545">
        <f t="shared" si="8"/>
        <v>4.0145894278486097E-4</v>
      </c>
    </row>
    <row r="280" spans="5:17" x14ac:dyDescent="0.2">
      <c r="E280" s="537"/>
      <c r="F280" s="537"/>
      <c r="G280" s="536"/>
      <c r="I280" s="536"/>
      <c r="J280" s="536"/>
      <c r="L280" s="551">
        <f>_xll.qlCalendarAdvance(Calendar,L279,"1M","f",,Trigger)</f>
        <v>50559</v>
      </c>
      <c r="M280" s="542">
        <f>_xll.qlCalendarAdvance(Calendar,L280,"3M","f",,Trigger)</f>
        <v>50651</v>
      </c>
      <c r="N280" s="544" t="str">
        <f>_xll.qlMakeDatedOIS(,L280,M280,OvernightIndex,0,,,,EvaluationDate)</f>
        <v>obj_004f3#0000</v>
      </c>
      <c r="O280" s="543">
        <f>_xll.qlIndexFixing("euribor6m",_xll.qlInterestRateIndexFixingDate("Euribor6M",L280),TRUE,AllTriggers)</f>
        <v>2.2012893230090983E-2</v>
      </c>
      <c r="P280" s="543">
        <f>_xll.qlOvernightIndexedSwapFairRate(N280,AllTriggers)</f>
        <v>2.1637733899669106E-2</v>
      </c>
      <c r="Q280" s="545">
        <f t="shared" si="8"/>
        <v>3.7515933042187727E-4</v>
      </c>
    </row>
    <row r="281" spans="5:17" x14ac:dyDescent="0.2">
      <c r="E281" s="537"/>
      <c r="F281" s="537"/>
      <c r="G281" s="536"/>
      <c r="I281" s="536"/>
      <c r="J281" s="536"/>
      <c r="L281" s="551">
        <f>_xll.qlCalendarAdvance(Calendar,L280,"1M","f",,Trigger)</f>
        <v>50591</v>
      </c>
      <c r="M281" s="542">
        <f>_xll.qlCalendarAdvance(Calendar,L281,"3M","f",,Trigger)</f>
        <v>50683</v>
      </c>
      <c r="N281" s="544" t="str">
        <f>_xll.qlMakeDatedOIS(,L281,M281,OvernightIndex,0,,,,EvaluationDate)</f>
        <v>obj_004f4#0000</v>
      </c>
      <c r="O281" s="543">
        <f>_xll.qlIndexFixing("euribor6m",_xll.qlInterestRateIndexFixingDate("Euribor6M",L281),TRUE,AllTriggers)</f>
        <v>2.1986246111606916E-2</v>
      </c>
      <c r="P281" s="543">
        <f>_xll.qlOvernightIndexedSwapFairRate(N281,AllTriggers)</f>
        <v>2.1637733899669106E-2</v>
      </c>
      <c r="Q281" s="545">
        <f t="shared" si="8"/>
        <v>3.4851221193780979E-4</v>
      </c>
    </row>
    <row r="282" spans="5:17" x14ac:dyDescent="0.2">
      <c r="E282" s="537"/>
      <c r="F282" s="537"/>
      <c r="G282" s="536"/>
      <c r="I282" s="536"/>
      <c r="J282" s="536"/>
      <c r="L282" s="551">
        <f>_xll.qlCalendarAdvance(Calendar,L281,"1M","f",,Trigger)</f>
        <v>50622</v>
      </c>
      <c r="M282" s="542">
        <f>_xll.qlCalendarAdvance(Calendar,L282,"3M","f",,Trigger)</f>
        <v>50714</v>
      </c>
      <c r="N282" s="544" t="str">
        <f>_xll.qlMakeDatedOIS(,L282,M282,OvernightIndex,0,,,,EvaluationDate)</f>
        <v>obj_004f5#0000</v>
      </c>
      <c r="O282" s="543">
        <f>_xll.qlIndexFixing("euribor6m",_xll.qlInterestRateIndexFixingDate("Euribor6M",L282),TRUE,AllTriggers)</f>
        <v>2.196067538452523E-2</v>
      </c>
      <c r="P282" s="543">
        <f>_xll.qlOvernightIndexedSwapFairRate(N282,AllTriggers)</f>
        <v>2.1637733899669109E-2</v>
      </c>
      <c r="Q282" s="545">
        <f t="shared" si="8"/>
        <v>3.2294148485612073E-4</v>
      </c>
    </row>
    <row r="283" spans="5:17" x14ac:dyDescent="0.2">
      <c r="E283" s="537"/>
      <c r="F283" s="537"/>
      <c r="G283" s="536"/>
      <c r="I283" s="536"/>
      <c r="J283" s="536"/>
      <c r="L283" s="551">
        <f>_xll.qlCalendarAdvance(Calendar,L282,"1M","f",,Trigger)</f>
        <v>50654</v>
      </c>
      <c r="M283" s="542">
        <f>_xll.qlCalendarAdvance(Calendar,L283,"3M","f",,Trigger)</f>
        <v>50745</v>
      </c>
      <c r="N283" s="544" t="str">
        <f>_xll.qlMakeDatedOIS(,L283,M283,OvernightIndex,0,,,,EvaluationDate)</f>
        <v>obj_004f6#0000</v>
      </c>
      <c r="O283" s="543">
        <f>_xll.qlIndexFixing("euribor6m",_xll.qlInterestRateIndexFixingDate("Euribor6M",L283),TRUE,AllTriggers)</f>
        <v>2.1932779456714988E-2</v>
      </c>
      <c r="P283" s="543">
        <f>_xll.qlOvernightIndexedSwapFairRate(N283,AllTriggers)</f>
        <v>2.1637084841908634E-2</v>
      </c>
      <c r="Q283" s="545">
        <f t="shared" si="8"/>
        <v>2.9569461480635426E-4</v>
      </c>
    </row>
    <row r="284" spans="5:17" x14ac:dyDescent="0.2">
      <c r="E284" s="537"/>
      <c r="F284" s="537"/>
      <c r="G284" s="536"/>
      <c r="I284" s="536"/>
      <c r="J284" s="536"/>
      <c r="L284" s="551">
        <f>_xll.qlCalendarAdvance(Calendar,L283,"1M","f",,Trigger)</f>
        <v>50684</v>
      </c>
      <c r="M284" s="542">
        <f>_xll.qlCalendarAdvance(Calendar,L284,"3M","f",,Trigger)</f>
        <v>50776</v>
      </c>
      <c r="N284" s="544" t="str">
        <f>_xll.qlMakeDatedOIS(,L284,M284,OvernightIndex,0,,,,EvaluationDate)</f>
        <v>obj_004f7#0000</v>
      </c>
      <c r="O284" s="543">
        <f>_xll.qlIndexFixing("euribor6m",_xll.qlInterestRateIndexFixingDate("Euribor6M",L284),TRUE,AllTriggers)</f>
        <v>2.190754525185613E-2</v>
      </c>
      <c r="P284" s="543">
        <f>_xll.qlOvernightIndexedSwapFairRate(N284,AllTriggers)</f>
        <v>2.1637733899669106E-2</v>
      </c>
      <c r="Q284" s="545">
        <f t="shared" si="8"/>
        <v>2.6981135218702434E-4</v>
      </c>
    </row>
    <row r="285" spans="5:17" x14ac:dyDescent="0.2">
      <c r="E285" s="537"/>
      <c r="F285" s="537"/>
      <c r="G285" s="536"/>
      <c r="I285" s="536"/>
      <c r="J285" s="536"/>
      <c r="L285" s="551">
        <f>_xll.qlCalendarAdvance(Calendar,L284,"1M","f",,Trigger)</f>
        <v>50717</v>
      </c>
      <c r="M285" s="542">
        <f>_xll.qlCalendarAdvance(Calendar,L285,"3M","f",,Trigger)</f>
        <v>50809</v>
      </c>
      <c r="N285" s="544" t="str">
        <f>_xll.qlMakeDatedOIS(,L285,M285,OvernightIndex,0,,,,EvaluationDate)</f>
        <v>obj_004f8#0000</v>
      </c>
      <c r="O285" s="543">
        <f>_xll.qlIndexFixing("euribor6m",_xll.qlInterestRateIndexFixingDate("Euribor6M",L285),TRUE,AllTriggers)</f>
        <v>2.1879779789691974E-2</v>
      </c>
      <c r="P285" s="543">
        <f>_xll.qlOvernightIndexedSwapFairRate(N285,AllTriggers)</f>
        <v>2.1637733899669109E-2</v>
      </c>
      <c r="Q285" s="545">
        <f t="shared" si="8"/>
        <v>2.420458900228642E-4</v>
      </c>
    </row>
    <row r="286" spans="5:17" x14ac:dyDescent="0.2">
      <c r="E286" s="537"/>
      <c r="F286" s="537"/>
      <c r="G286" s="536"/>
      <c r="I286" s="536"/>
      <c r="J286" s="536"/>
      <c r="L286" s="551">
        <f>_xll.qlCalendarAdvance(Calendar,L285,"1M","f",,Trigger)</f>
        <v>50747</v>
      </c>
      <c r="M286" s="542">
        <f>_xll.qlCalendarAdvance(Calendar,L286,"3M","f",,Trigger)</f>
        <v>50837</v>
      </c>
      <c r="N286" s="544" t="str">
        <f>_xll.qlMakeDatedOIS(,L286,M286,OvernightIndex,0,,,,EvaluationDate)</f>
        <v>obj_004f9#0000</v>
      </c>
      <c r="O286" s="543">
        <f>_xll.qlIndexFixing("euribor6m",_xll.qlInterestRateIndexFixingDate("Euribor6M",L286),TRUE,AllTriggers)</f>
        <v>2.1854531336358188E-2</v>
      </c>
      <c r="P286" s="543">
        <f>_xll.qlOvernightIndexedSwapFairRate(N286,AllTriggers)</f>
        <v>2.1636435810094664E-2</v>
      </c>
      <c r="Q286" s="545">
        <f t="shared" si="8"/>
        <v>2.1809552626352383E-4</v>
      </c>
    </row>
    <row r="287" spans="5:17" x14ac:dyDescent="0.2">
      <c r="E287" s="537"/>
      <c r="F287" s="537"/>
      <c r="G287" s="536"/>
      <c r="I287" s="536"/>
      <c r="J287" s="536"/>
      <c r="L287" s="551">
        <f>_xll.qlCalendarAdvance(Calendar,L286,"1M","f",,Trigger)</f>
        <v>50780</v>
      </c>
      <c r="M287" s="542">
        <f>_xll.qlCalendarAdvance(Calendar,L287,"3M","f",,Trigger)</f>
        <v>50872</v>
      </c>
      <c r="N287" s="544" t="str">
        <f>_xll.qlMakeDatedOIS(,L287,M287,OvernightIndex,0,,,,EvaluationDate)</f>
        <v>obj_004fa#0000</v>
      </c>
      <c r="O287" s="543">
        <f>_xll.qlIndexFixing("euribor6m",_xll.qlInterestRateIndexFixingDate("Euribor6M",L287),TRUE,AllTriggers)</f>
        <v>2.1826750201513735E-2</v>
      </c>
      <c r="P287" s="543">
        <f>_xll.qlOvernightIndexedSwapFairRate(N287,AllTriggers)</f>
        <v>2.1637733899669113E-2</v>
      </c>
      <c r="Q287" s="545">
        <f t="shared" si="8"/>
        <v>1.890163018446224E-4</v>
      </c>
    </row>
    <row r="288" spans="5:17" x14ac:dyDescent="0.2">
      <c r="E288" s="537"/>
      <c r="F288" s="537"/>
      <c r="G288" s="536"/>
      <c r="I288" s="536"/>
      <c r="J288" s="536"/>
      <c r="L288" s="551">
        <f>_xll.qlCalendarAdvance(Calendar,L287,"1M","f",,Trigger)</f>
        <v>50811</v>
      </c>
      <c r="M288" s="542">
        <f>_xll.qlCalendarAdvance(Calendar,L288,"3M","f",,Trigger)</f>
        <v>50900</v>
      </c>
      <c r="N288" s="544" t="str">
        <f>_xll.qlMakeDatedOIS(,L288,M288,OvernightIndex,0,,,,EvaluationDate)</f>
        <v>obj_004fb#0000</v>
      </c>
      <c r="O288" s="543">
        <f>_xll.qlIndexFixing("euribor6m",_xll.qlInterestRateIndexFixingDate("Euribor6M",L288),TRUE,AllTriggers)</f>
        <v>2.1800408822762331E-2</v>
      </c>
      <c r="P288" s="543">
        <f>_xll.qlOvernightIndexedSwapFairRate(N288,AllTriggers)</f>
        <v>2.1635786804227911E-2</v>
      </c>
      <c r="Q288" s="545">
        <f t="shared" si="8"/>
        <v>1.6462201853442021E-4</v>
      </c>
    </row>
    <row r="289" spans="5:17" x14ac:dyDescent="0.2">
      <c r="E289" s="537"/>
      <c r="F289" s="537"/>
      <c r="G289" s="536"/>
      <c r="I289" s="536"/>
      <c r="J289" s="536"/>
      <c r="L289" s="551">
        <f>_xll.qlCalendarAdvance(Calendar,L288,"1M","f",,Trigger)</f>
        <v>50839</v>
      </c>
      <c r="M289" s="542">
        <f>_xll.qlCalendarAdvance(Calendar,L289,"3M","f",,Trigger)</f>
        <v>50931</v>
      </c>
      <c r="N289" s="544" t="str">
        <f>_xll.qlMakeDatedOIS(,L289,M289,OvernightIndex,0,,,,EvaluationDate)</f>
        <v>obj_004fc#0000</v>
      </c>
      <c r="O289" s="543">
        <f>_xll.qlIndexFixing("euribor6m",_xll.qlInterestRateIndexFixingDate("Euribor6M",L289),TRUE,AllTriggers)</f>
        <v>2.1778000138063646E-2</v>
      </c>
      <c r="P289" s="543">
        <f>_xll.qlOvernightIndexedSwapFairRate(N289,AllTriggers)</f>
        <v>2.1637733899669109E-2</v>
      </c>
      <c r="Q289" s="545">
        <f t="shared" si="8"/>
        <v>1.4026623839453675E-4</v>
      </c>
    </row>
    <row r="290" spans="5:17" x14ac:dyDescent="0.2">
      <c r="E290" s="537"/>
      <c r="F290" s="537"/>
      <c r="G290" s="536"/>
      <c r="I290" s="536"/>
      <c r="J290" s="536"/>
      <c r="L290" s="551">
        <f>_xll.qlCalendarAdvance(Calendar,L289,"1M","f",,Trigger)</f>
        <v>50872</v>
      </c>
      <c r="M290" s="542">
        <f>_xll.qlCalendarAdvance(Calendar,L290,"3M","f",,Trigger)</f>
        <v>50963</v>
      </c>
      <c r="N290" s="544" t="str">
        <f>_xll.qlMakeDatedOIS(,L290,M290,OvernightIndex,0,,,,EvaluationDate)</f>
        <v>obj_004fd#0000</v>
      </c>
      <c r="O290" s="543">
        <f>_xll.qlIndexFixing("euribor6m",_xll.qlInterestRateIndexFixingDate("Euribor6M",L290),TRUE,AllTriggers)</f>
        <v>2.1749516706263149E-2</v>
      </c>
      <c r="P290" s="543">
        <f>_xll.qlOvernightIndexedSwapFairRate(N290,AllTriggers)</f>
        <v>2.1637084841908634E-2</v>
      </c>
      <c r="Q290" s="545">
        <f t="shared" si="8"/>
        <v>1.1243186435451469E-4</v>
      </c>
    </row>
    <row r="291" spans="5:17" x14ac:dyDescent="0.2">
      <c r="E291" s="537"/>
      <c r="F291" s="537"/>
      <c r="G291" s="536"/>
      <c r="I291" s="536"/>
      <c r="J291" s="536"/>
      <c r="L291" s="551">
        <f>_xll.qlCalendarAdvance(Calendar,L290,"1M","f",,Trigger)</f>
        <v>50902</v>
      </c>
      <c r="M291" s="542">
        <f>_xll.qlCalendarAdvance(Calendar,L291,"3M","f",,Trigger)</f>
        <v>50994</v>
      </c>
      <c r="N291" s="544" t="str">
        <f>_xll.qlMakeDatedOIS(,L291,M291,OvernightIndex,0,,,,EvaluationDate)</f>
        <v>obj_004fe#0000</v>
      </c>
      <c r="O291" s="543">
        <f>_xll.qlIndexFixing("euribor6m",_xll.qlInterestRateIndexFixingDate("Euribor6M",L291),TRUE,AllTriggers)</f>
        <v>2.1725079709741135E-2</v>
      </c>
      <c r="P291" s="543">
        <f>_xll.qlOvernightIndexedSwapFairRate(N291,AllTriggers)</f>
        <v>2.1637733899669109E-2</v>
      </c>
      <c r="Q291" s="545">
        <f t="shared" si="8"/>
        <v>8.7345810072025909E-5</v>
      </c>
    </row>
    <row r="292" spans="5:17" x14ac:dyDescent="0.2">
      <c r="E292" s="537"/>
      <c r="F292" s="537"/>
      <c r="G292" s="536"/>
      <c r="I292" s="536"/>
      <c r="J292" s="536"/>
      <c r="L292" s="551">
        <f>_xll.qlCalendarAdvance(Calendar,L291,"1M","f",,Trigger)</f>
        <v>50934</v>
      </c>
      <c r="M292" s="542">
        <f>_xll.qlCalendarAdvance(Calendar,L292,"3M","f",,Trigger)</f>
        <v>51026</v>
      </c>
      <c r="N292" s="544" t="str">
        <f>_xll.qlMakeDatedOIS(,L292,M292,OvernightIndex,0,,,,EvaluationDate)</f>
        <v>obj_004ff#0000</v>
      </c>
      <c r="O292" s="543">
        <f>_xll.qlIndexFixing("euribor6m",_xll.qlInterestRateIndexFixingDate("Euribor6M",L292),TRUE,AllTriggers)</f>
        <v>2.1697746402131662E-2</v>
      </c>
      <c r="P292" s="543">
        <f>_xll.qlOvernightIndexedSwapFairRate(N292,AllTriggers)</f>
        <v>2.1546146311812731E-2</v>
      </c>
      <c r="Q292" s="545">
        <f t="shared" si="8"/>
        <v>1.5160009031893115E-4</v>
      </c>
    </row>
    <row r="293" spans="5:17" x14ac:dyDescent="0.2">
      <c r="E293" s="537"/>
      <c r="F293" s="537"/>
      <c r="G293" s="536"/>
      <c r="I293" s="536"/>
      <c r="J293" s="536"/>
      <c r="L293" s="551">
        <f>_xll.qlCalendarAdvance(Calendar,L292,"1M","f",,Trigger)</f>
        <v>50964</v>
      </c>
      <c r="M293" s="542">
        <f>_xll.qlCalendarAdvance(Calendar,L293,"3M","f",,Trigger)</f>
        <v>51056</v>
      </c>
      <c r="N293" s="544" t="str">
        <f>_xll.qlMakeDatedOIS(,L293,M293,OvernightIndex,0,,,,EvaluationDate)</f>
        <v>obj_00500#0000</v>
      </c>
      <c r="O293" s="543">
        <f>_xll.qlIndexFixing("euribor6m",_xll.qlInterestRateIndexFixingDate("Euribor6M",L293),TRUE,AllTriggers)</f>
        <v>2.1673326764061005E-2</v>
      </c>
      <c r="P293" s="543">
        <f>_xll.qlOvernightIndexedSwapFairRate(N293,AllTriggers)</f>
        <v>2.1202711844039625E-2</v>
      </c>
      <c r="Q293" s="545">
        <f t="shared" si="8"/>
        <v>4.7061492002137967E-4</v>
      </c>
    </row>
    <row r="294" spans="5:17" x14ac:dyDescent="0.2">
      <c r="E294" s="537"/>
      <c r="F294" s="537"/>
      <c r="G294" s="536"/>
      <c r="I294" s="536"/>
      <c r="J294" s="536"/>
      <c r="L294" s="551">
        <f>_xll.qlCalendarAdvance(Calendar,L293,"1M","f",,Trigger)</f>
        <v>50997</v>
      </c>
      <c r="M294" s="542">
        <f>_xll.qlCalendarAdvance(Calendar,L294,"3M","f",,Trigger)</f>
        <v>51089</v>
      </c>
      <c r="N294" s="544" t="str">
        <f>_xll.qlMakeDatedOIS(,L294,M294,OvernightIndex,0,,,,EvaluationDate)</f>
        <v>obj_00501#0000</v>
      </c>
      <c r="O294" s="543">
        <f>_xll.qlIndexFixing("euribor6m",_xll.qlInterestRateIndexFixingDate("Euribor6M",L294),TRUE,AllTriggers)</f>
        <v>2.1646626004150109E-2</v>
      </c>
      <c r="P294" s="543">
        <f>_xll.qlOvernightIndexedSwapFairRate(N294,AllTriggers)</f>
        <v>2.0824968552835582E-2</v>
      </c>
      <c r="Q294" s="545">
        <f t="shared" si="8"/>
        <v>8.2165745131452736E-4</v>
      </c>
    </row>
    <row r="295" spans="5:17" x14ac:dyDescent="0.2">
      <c r="E295" s="537"/>
      <c r="F295" s="537"/>
      <c r="G295" s="536"/>
      <c r="I295" s="536"/>
      <c r="J295" s="536"/>
      <c r="L295" s="551">
        <f>_xll.qlCalendarAdvance(Calendar,L294,"1M","f",,Trigger)</f>
        <v>51028</v>
      </c>
      <c r="M295" s="542">
        <f>_xll.qlCalendarAdvance(Calendar,L295,"3M","f",,Trigger)</f>
        <v>51119</v>
      </c>
      <c r="N295" s="544" t="str">
        <f>_xll.qlMakeDatedOIS(,L295,M295,OvernightIndex,0,,,,EvaluationDate)</f>
        <v>obj_00502#0000</v>
      </c>
      <c r="O295" s="543">
        <f>_xll.qlIndexFixing("euribor6m",_xll.qlInterestRateIndexFixingDate("Euribor6M",L295),TRUE,AllTriggers)</f>
        <v>2.1621523264182433E-2</v>
      </c>
      <c r="P295" s="543">
        <f>_xll.qlOvernightIndexedSwapFairRate(N295,AllTriggers)</f>
        <v>2.0584017874473379E-2</v>
      </c>
      <c r="Q295" s="545">
        <f t="shared" si="8"/>
        <v>1.0375053897090543E-3</v>
      </c>
    </row>
    <row r="296" spans="5:17" x14ac:dyDescent="0.2">
      <c r="E296" s="537"/>
      <c r="F296" s="537"/>
      <c r="G296" s="536"/>
      <c r="I296" s="536"/>
      <c r="J296" s="536"/>
      <c r="L296" s="551">
        <f>_xll.qlCalendarAdvance(Calendar,L295,"1M","f",,Trigger)</f>
        <v>51060</v>
      </c>
      <c r="M296" s="542">
        <f>_xll.qlCalendarAdvance(Calendar,L296,"3M","f",,Trigger)</f>
        <v>51152</v>
      </c>
      <c r="N296" s="544" t="str">
        <f>_xll.qlMakeDatedOIS(,L296,M296,OvernightIndex,0,,,,EvaluationDate)</f>
        <v>obj_00503#0000</v>
      </c>
      <c r="O296" s="543">
        <f>_xll.qlIndexFixing("euribor6m",_xll.qlInterestRateIndexFixingDate("Euribor6M",L296),TRUE,AllTriggers)</f>
        <v>2.1596991782634717E-2</v>
      </c>
      <c r="P296" s="543">
        <f>_xll.qlOvernightIndexedSwapFairRate(N296,AllTriggers)</f>
        <v>2.0584605342356833E-2</v>
      </c>
      <c r="Q296" s="545">
        <f t="shared" si="8"/>
        <v>1.0123864402778841E-3</v>
      </c>
    </row>
    <row r="297" spans="5:17" x14ac:dyDescent="0.2">
      <c r="E297" s="537"/>
      <c r="F297" s="537"/>
      <c r="G297" s="536"/>
      <c r="I297" s="536"/>
      <c r="J297" s="536"/>
      <c r="L297" s="551">
        <f>_xll.qlCalendarAdvance(Calendar,L296,"1M","f",,Trigger)</f>
        <v>51091</v>
      </c>
      <c r="M297" s="542">
        <f>_xll.qlCalendarAdvance(Calendar,L297,"3M","f",,Trigger)</f>
        <v>51183</v>
      </c>
      <c r="N297" s="544" t="str">
        <f>_xll.qlMakeDatedOIS(,L297,M297,OvernightIndex,0,,,,EvaluationDate)</f>
        <v>obj_00504#0000</v>
      </c>
      <c r="O297" s="543">
        <f>_xll.qlIndexFixing("euribor6m",_xll.qlInterestRateIndexFixingDate("Euribor6M",L297),TRUE,AllTriggers)</f>
        <v>2.1573259912317073E-2</v>
      </c>
      <c r="P297" s="543">
        <f>_xll.qlOvernightIndexedSwapFairRate(N297,AllTriggers)</f>
        <v>2.0584605342356836E-2</v>
      </c>
      <c r="Q297" s="545">
        <f t="shared" si="8"/>
        <v>9.8865456996023726E-4</v>
      </c>
    </row>
    <row r="298" spans="5:17" x14ac:dyDescent="0.2">
      <c r="E298" s="537"/>
      <c r="F298" s="537"/>
      <c r="G298" s="536"/>
      <c r="I298" s="536"/>
      <c r="J298" s="536"/>
      <c r="L298" s="551">
        <f>_xll.qlCalendarAdvance(Calendar,L297,"1M","f",,Trigger)</f>
        <v>51123</v>
      </c>
      <c r="M298" s="542">
        <f>_xll.qlCalendarAdvance(Calendar,L298,"3M","f",,Trigger)</f>
        <v>51214</v>
      </c>
      <c r="N298" s="544" t="str">
        <f>_xll.qlMakeDatedOIS(,L298,M298,OvernightIndex,0,,,,EvaluationDate)</f>
        <v>obj_00505#0000</v>
      </c>
      <c r="O298" s="543">
        <f>_xll.qlIndexFixing("euribor6m",_xll.qlInterestRateIndexFixingDate("Euribor6M",L298),TRUE,AllTriggers)</f>
        <v>2.1549915384277463E-2</v>
      </c>
      <c r="P298" s="543">
        <f>_xll.qlOvernightIndexedSwapFairRate(N298,AllTriggers)</f>
        <v>2.058401787447426E-2</v>
      </c>
      <c r="Q298" s="545">
        <f t="shared" si="8"/>
        <v>9.6589750980320341E-4</v>
      </c>
    </row>
    <row r="299" spans="5:17" x14ac:dyDescent="0.2">
      <c r="E299" s="537"/>
      <c r="F299" s="537"/>
      <c r="G299" s="536"/>
      <c r="I299" s="536"/>
      <c r="J299" s="536"/>
      <c r="L299" s="551">
        <f>_xll.qlCalendarAdvance(Calendar,L298,"1M","f",,Trigger)</f>
        <v>51154</v>
      </c>
      <c r="M299" s="542">
        <f>_xll.qlCalendarAdvance(Calendar,L299,"3M","f",,Trigger)</f>
        <v>51245</v>
      </c>
      <c r="N299" s="544" t="str">
        <f>_xll.qlMakeDatedOIS(,L299,M299,OvernightIndex,0,,,,EvaluationDate)</f>
        <v>obj_00506#0000</v>
      </c>
      <c r="O299" s="543">
        <f>_xll.qlIndexFixing("euribor6m",_xll.qlInterestRateIndexFixingDate("Euribor6M",L299),TRUE,AllTriggers)</f>
        <v>2.1527302823830224E-2</v>
      </c>
      <c r="P299" s="543">
        <f>_xll.qlOvernightIndexedSwapFairRate(N299,AllTriggers)</f>
        <v>2.0584017874474253E-2</v>
      </c>
      <c r="Q299" s="545">
        <f t="shared" si="8"/>
        <v>9.432849493559714E-4</v>
      </c>
    </row>
    <row r="300" spans="5:17" x14ac:dyDescent="0.2">
      <c r="E300" s="537"/>
      <c r="F300" s="537"/>
      <c r="G300" s="536"/>
      <c r="I300" s="536"/>
      <c r="J300" s="536"/>
      <c r="L300" s="551">
        <f>_xll.qlCalendarAdvance(Calendar,L299,"1M","f",,Trigger)</f>
        <v>51186</v>
      </c>
      <c r="M300" s="542">
        <f>_xll.qlCalendarAdvance(Calendar,L300,"3M","f",,Trigger)</f>
        <v>51277</v>
      </c>
      <c r="N300" s="544" t="str">
        <f>_xll.qlMakeDatedOIS(,L300,M300,OvernightIndex,0,,,,EvaluationDate)</f>
        <v>obj_00507#0000</v>
      </c>
      <c r="O300" s="543">
        <f>_xll.qlIndexFixing("euribor6m",_xll.qlInterestRateIndexFixingDate("Euribor6M",L300),TRUE,AllTriggers)</f>
        <v>2.1504842714660792E-2</v>
      </c>
      <c r="P300" s="543">
        <f>_xll.qlOvernightIndexedSwapFairRate(N300,AllTriggers)</f>
        <v>2.058401787447426E-2</v>
      </c>
      <c r="Q300" s="545">
        <f t="shared" si="8"/>
        <v>9.208248401865321E-4</v>
      </c>
    </row>
    <row r="301" spans="5:17" x14ac:dyDescent="0.2">
      <c r="E301" s="537"/>
      <c r="F301" s="537"/>
      <c r="G301" s="536"/>
      <c r="I301" s="536"/>
      <c r="J301" s="536"/>
      <c r="L301" s="551">
        <f>_xll.qlCalendarAdvance(Calendar,L300,"1M","f",,Trigger)</f>
        <v>51215</v>
      </c>
      <c r="M301" s="542">
        <f>_xll.qlCalendarAdvance(Calendar,L301,"3M","f",,Trigger)</f>
        <v>51307</v>
      </c>
      <c r="N301" s="544" t="str">
        <f>_xll.qlMakeDatedOIS(,L301,M301,OvernightIndex,0,,,,EvaluationDate)</f>
        <v>obj_00508#0000</v>
      </c>
      <c r="O301" s="543">
        <f>_xll.qlIndexFixing("euribor6m",_xll.qlInterestRateIndexFixingDate("Euribor6M",L301),TRUE,AllTriggers)</f>
        <v>2.1485622006764092E-2</v>
      </c>
      <c r="P301" s="543">
        <f>_xll.qlOvernightIndexedSwapFairRate(N301,AllTriggers)</f>
        <v>2.0584605342356836E-2</v>
      </c>
      <c r="Q301" s="545">
        <f t="shared" si="8"/>
        <v>9.0101666440725592E-4</v>
      </c>
    </row>
    <row r="302" spans="5:17" x14ac:dyDescent="0.2">
      <c r="E302" s="537"/>
      <c r="F302" s="537"/>
      <c r="G302" s="536"/>
      <c r="I302" s="536"/>
      <c r="J302" s="536"/>
      <c r="L302" s="551">
        <f>_xll.qlCalendarAdvance(Calendar,L301,"1M","f",,Trigger)</f>
        <v>51246</v>
      </c>
      <c r="M302" s="542">
        <f>_xll.qlCalendarAdvance(Calendar,L302,"3M","f",,Trigger)</f>
        <v>51337</v>
      </c>
      <c r="N302" s="544" t="str">
        <f>_xll.qlMakeDatedOIS(,L302,M302,OvernightIndex,0,,,,EvaluationDate)</f>
        <v>obj_00509#0000</v>
      </c>
      <c r="O302" s="543">
        <f>_xll.qlIndexFixing("euribor6m",_xll.qlInterestRateIndexFixingDate("Euribor6M",L302),TRUE,AllTriggers)</f>
        <v>2.1465286985713605E-2</v>
      </c>
      <c r="P302" s="543">
        <f>_xll.qlOvernightIndexedSwapFairRate(N302,AllTriggers)</f>
        <v>2.0584017874474256E-2</v>
      </c>
      <c r="Q302" s="545">
        <f t="shared" si="8"/>
        <v>8.8126911123934809E-4</v>
      </c>
    </row>
    <row r="303" spans="5:17" x14ac:dyDescent="0.2">
      <c r="E303" s="537"/>
      <c r="F303" s="537"/>
      <c r="G303" s="536"/>
      <c r="I303" s="536"/>
      <c r="J303" s="536"/>
      <c r="L303" s="551">
        <f>_xll.qlCalendarAdvance(Calendar,L302,"1M","f",,Trigger)</f>
        <v>51277</v>
      </c>
      <c r="M303" s="542">
        <f>_xll.qlCalendarAdvance(Calendar,L303,"3M","f",,Trigger)</f>
        <v>51369</v>
      </c>
      <c r="N303" s="544" t="str">
        <f>_xll.qlMakeDatedOIS(,L303,M303,OvernightIndex,0,,,,EvaluationDate)</f>
        <v>obj_0050a#0000</v>
      </c>
      <c r="O303" s="543">
        <f>_xll.qlIndexFixing("euribor6m",_xll.qlInterestRateIndexFixingDate("Euribor6M",L303),TRUE,AllTriggers)</f>
        <v>2.1444874383312596E-2</v>
      </c>
      <c r="P303" s="543">
        <f>_xll.qlOvernightIndexedSwapFairRate(N303,AllTriggers)</f>
        <v>2.0584605342356836E-2</v>
      </c>
      <c r="Q303" s="545">
        <f t="shared" si="8"/>
        <v>8.6026904095575993E-4</v>
      </c>
    </row>
    <row r="304" spans="5:17" x14ac:dyDescent="0.2">
      <c r="E304" s="537"/>
      <c r="F304" s="537"/>
      <c r="G304" s="536"/>
      <c r="I304" s="536"/>
      <c r="J304" s="536"/>
      <c r="L304" s="551">
        <f>_xll.qlCalendarAdvance(Calendar,L303,"1M","f",,Trigger)</f>
        <v>51308</v>
      </c>
      <c r="M304" s="542">
        <f>_xll.qlCalendarAdvance(Calendar,L304,"3M","f",,Trigger)</f>
        <v>51400</v>
      </c>
      <c r="N304" s="544" t="str">
        <f>_xll.qlMakeDatedOIS(,L304,M304,OvernightIndex,0,,,,EvaluationDate)</f>
        <v>obj_0050b#0000</v>
      </c>
      <c r="O304" s="543">
        <f>_xll.qlIndexFixing("euribor6m",_xll.qlInterestRateIndexFixingDate("Euribor6M",L304),TRUE,AllTriggers)</f>
        <v>2.1425004666239179E-2</v>
      </c>
      <c r="P304" s="543">
        <f>_xll.qlOvernightIndexedSwapFairRate(N304,AllTriggers)</f>
        <v>2.05846053423577E-2</v>
      </c>
      <c r="Q304" s="545">
        <f t="shared" si="8"/>
        <v>8.4039932388147928E-4</v>
      </c>
    </row>
    <row r="305" spans="5:17" x14ac:dyDescent="0.2">
      <c r="E305" s="537"/>
      <c r="F305" s="537"/>
      <c r="G305" s="536"/>
      <c r="I305" s="536"/>
      <c r="J305" s="536"/>
      <c r="L305" s="551">
        <f>_xll.qlCalendarAdvance(Calendar,L304,"1M","f",,Trigger)</f>
        <v>51340</v>
      </c>
      <c r="M305" s="542">
        <f>_xll.qlCalendarAdvance(Calendar,L305,"3M","f",,Trigger)</f>
        <v>51432</v>
      </c>
      <c r="N305" s="544" t="str">
        <f>_xll.qlMakeDatedOIS(,L305,M305,OvernightIndex,0,,,,EvaluationDate)</f>
        <v>obj_0050c#0000</v>
      </c>
      <c r="O305" s="543">
        <f>_xll.qlIndexFixing("euribor6m",_xll.qlInterestRateIndexFixingDate("Euribor6M",L305),TRUE,AllTriggers)</f>
        <v>2.1405757334033739E-2</v>
      </c>
      <c r="P305" s="543">
        <f>_xll.qlOvernightIndexedSwapFairRate(N305,AllTriggers)</f>
        <v>2.0584605342356836E-2</v>
      </c>
      <c r="Q305" s="545">
        <f t="shared" si="8"/>
        <v>8.2115199167690292E-4</v>
      </c>
    </row>
    <row r="306" spans="5:17" x14ac:dyDescent="0.2">
      <c r="E306" s="537"/>
      <c r="F306" s="537"/>
      <c r="G306" s="536"/>
      <c r="I306" s="536"/>
      <c r="J306" s="536"/>
      <c r="L306" s="551">
        <f>_xll.qlCalendarAdvance(Calendar,L305,"1M","f",,Trigger)</f>
        <v>51371</v>
      </c>
      <c r="M306" s="542">
        <f>_xll.qlCalendarAdvance(Calendar,L306,"3M","f",,Trigger)</f>
        <v>51463</v>
      </c>
      <c r="N306" s="544" t="str">
        <f>_xll.qlMakeDatedOIS(,L306,M306,OvernightIndex,0,,,,EvaluationDate)</f>
        <v>obj_0050d#0000</v>
      </c>
      <c r="O306" s="543">
        <f>_xll.qlIndexFixing("euribor6m",_xll.qlInterestRateIndexFixingDate("Euribor6M",L306),TRUE,AllTriggers)</f>
        <v>2.1388055368594401E-2</v>
      </c>
      <c r="P306" s="543">
        <f>_xll.qlOvernightIndexedSwapFairRate(N306,AllTriggers)</f>
        <v>2.0584605342356836E-2</v>
      </c>
      <c r="Q306" s="545">
        <f t="shared" si="8"/>
        <v>8.034500262375649E-4</v>
      </c>
    </row>
    <row r="307" spans="5:17" x14ac:dyDescent="0.2">
      <c r="E307" s="537"/>
      <c r="F307" s="537"/>
      <c r="G307" s="536"/>
      <c r="I307" s="536"/>
      <c r="J307" s="536"/>
      <c r="L307" s="551">
        <f>_xll.qlCalendarAdvance(Calendar,L306,"1M","f",,Trigger)</f>
        <v>51403</v>
      </c>
      <c r="M307" s="542">
        <f>_xll.qlCalendarAdvance(Calendar,L307,"3M","f",,Trigger)</f>
        <v>51494</v>
      </c>
      <c r="N307" s="544" t="str">
        <f>_xll.qlMakeDatedOIS(,L307,M307,OvernightIndex,0,,,,EvaluationDate)</f>
        <v>obj_0050e#0000</v>
      </c>
      <c r="O307" s="543">
        <f>_xll.qlIndexFixing("euribor6m",_xll.qlInterestRateIndexFixingDate("Euribor6M",L307),TRUE,AllTriggers)</f>
        <v>2.1368230979513268E-2</v>
      </c>
      <c r="P307" s="543">
        <f>_xll.qlOvernightIndexedSwapFairRate(N307,AllTriggers)</f>
        <v>2.0584017874474256E-2</v>
      </c>
      <c r="Q307" s="545">
        <f t="shared" si="8"/>
        <v>7.8421310503901109E-4</v>
      </c>
    </row>
    <row r="308" spans="5:17" x14ac:dyDescent="0.2">
      <c r="E308" s="537"/>
      <c r="F308" s="537"/>
      <c r="G308" s="536"/>
      <c r="I308" s="536"/>
      <c r="J308" s="536"/>
      <c r="L308" s="551">
        <f>_xll.qlCalendarAdvance(Calendar,L307,"1M","f",,Trigger)</f>
        <v>51433</v>
      </c>
      <c r="M308" s="542">
        <f>_xll.qlCalendarAdvance(Calendar,L308,"3M","f",,Trigger)</f>
        <v>51525</v>
      </c>
      <c r="N308" s="544" t="str">
        <f>_xll.qlMakeDatedOIS(,L308,M308,OvernightIndex,0,,,,EvaluationDate)</f>
        <v>obj_0050f#0000</v>
      </c>
      <c r="O308" s="543">
        <f>_xll.qlIndexFixing("euribor6m",_xll.qlInterestRateIndexFixingDate("Euribor6M",L308),TRUE,AllTriggers)</f>
        <v>2.1351496883525684E-2</v>
      </c>
      <c r="P308" s="543">
        <f>_xll.qlOvernightIndexedSwapFairRate(N308,AllTriggers)</f>
        <v>2.0584605342356833E-2</v>
      </c>
      <c r="Q308" s="545">
        <f t="shared" si="8"/>
        <v>7.668915411688515E-4</v>
      </c>
    </row>
    <row r="309" spans="5:17" x14ac:dyDescent="0.2">
      <c r="E309" s="537"/>
      <c r="F309" s="537"/>
      <c r="G309" s="536"/>
      <c r="I309" s="536"/>
      <c r="J309" s="536"/>
      <c r="L309" s="551">
        <f>_xll.qlCalendarAdvance(Calendar,L308,"1M","f",,Trigger)</f>
        <v>51466</v>
      </c>
      <c r="M309" s="542">
        <f>_xll.qlCalendarAdvance(Calendar,L309,"3M","f",,Trigger)</f>
        <v>51558</v>
      </c>
      <c r="N309" s="544" t="str">
        <f>_xll.qlMakeDatedOIS(,L309,M309,OvernightIndex,0,,,,EvaluationDate)</f>
        <v>obj_00510#0000</v>
      </c>
      <c r="O309" s="543">
        <f>_xll.qlIndexFixing("euribor6m",_xll.qlInterestRateIndexFixingDate("Euribor6M",L309),TRUE,AllTriggers)</f>
        <v>2.1333693197778482E-2</v>
      </c>
      <c r="P309" s="543">
        <f>_xll.qlOvernightIndexedSwapFairRate(N309,AllTriggers)</f>
        <v>2.0584605342357704E-2</v>
      </c>
      <c r="Q309" s="545">
        <f t="shared" si="8"/>
        <v>7.4908785542077833E-4</v>
      </c>
    </row>
    <row r="310" spans="5:17" x14ac:dyDescent="0.2">
      <c r="E310" s="537"/>
      <c r="F310" s="537"/>
      <c r="G310" s="536"/>
      <c r="I310" s="536"/>
      <c r="J310" s="536"/>
      <c r="L310" s="551">
        <f>_xll.qlCalendarAdvance(Calendar,L309,"1M","f",,Trigger)</f>
        <v>51497</v>
      </c>
      <c r="M310" s="542">
        <f>_xll.qlCalendarAdvance(Calendar,L310,"3M","f",,Trigger)</f>
        <v>51587</v>
      </c>
      <c r="N310" s="544" t="str">
        <f>_xll.qlMakeDatedOIS(,L310,M310,OvernightIndex,0,,,,EvaluationDate)</f>
        <v>obj_00511#0000</v>
      </c>
      <c r="O310" s="543">
        <f>_xll.qlIndexFixing("euribor6m",_xll.qlInterestRateIndexFixingDate("Euribor6M",L310),TRUE,AllTriggers)</f>
        <v>2.1317544736944454E-2</v>
      </c>
      <c r="P310" s="543">
        <f>_xll.qlOvernightIndexedSwapFairRate(N310,AllTriggers)</f>
        <v>2.0583430428934513E-2</v>
      </c>
      <c r="Q310" s="545">
        <f t="shared" si="8"/>
        <v>7.3411430800994146E-4</v>
      </c>
    </row>
    <row r="311" spans="5:17" x14ac:dyDescent="0.2">
      <c r="E311" s="537"/>
      <c r="F311" s="537"/>
      <c r="G311" s="536"/>
      <c r="I311" s="536"/>
      <c r="J311" s="536"/>
      <c r="L311" s="551">
        <f>_xll.qlCalendarAdvance(Calendar,L310,"1M","f",,Trigger)</f>
        <v>51529</v>
      </c>
      <c r="M311" s="542">
        <f>_xll.qlCalendarAdvance(Calendar,L311,"3M","f",,Trigger)</f>
        <v>51620</v>
      </c>
      <c r="N311" s="544" t="str">
        <f>_xll.qlMakeDatedOIS(,L311,M311,OvernightIndex,0,,,,EvaluationDate)</f>
        <v>obj_00512#0000</v>
      </c>
      <c r="O311" s="543">
        <f>_xll.qlIndexFixing("euribor6m",_xll.qlInterestRateIndexFixingDate("Euribor6M",L311),TRUE,AllTriggers)</f>
        <v>2.1301460850797125E-2</v>
      </c>
      <c r="P311" s="543">
        <f>_xll.qlOvernightIndexedSwapFairRate(N311,AllTriggers)</f>
        <v>2.0584017874473379E-2</v>
      </c>
      <c r="Q311" s="545">
        <f t="shared" si="8"/>
        <v>7.1744297632374623E-4</v>
      </c>
    </row>
    <row r="312" spans="5:17" x14ac:dyDescent="0.2">
      <c r="E312" s="537"/>
      <c r="F312" s="537"/>
      <c r="G312" s="536"/>
      <c r="I312" s="536"/>
      <c r="J312" s="536"/>
      <c r="L312" s="551">
        <f>_xll.qlCalendarAdvance(Calendar,L311,"1M","f",,Trigger)</f>
        <v>51560</v>
      </c>
      <c r="M312" s="542">
        <f>_xll.qlCalendarAdvance(Calendar,L312,"3M","f",,Trigger)</f>
        <v>51649</v>
      </c>
      <c r="N312" s="544" t="str">
        <f>_xll.qlMakeDatedOIS(,L312,M312,OvernightIndex,0,,,,EvaluationDate)</f>
        <v>obj_00513#0000</v>
      </c>
      <c r="O312" s="543">
        <f>_xll.qlIndexFixing("euribor6m",_xll.qlInterestRateIndexFixingDate("Euribor6M",L312),TRUE,AllTriggers)</f>
        <v>2.1286845088551304E-2</v>
      </c>
      <c r="P312" s="543">
        <f>_xll.qlOvernightIndexedSwapFairRate(N312,AllTriggers)</f>
        <v>2.058284300573987E-2</v>
      </c>
      <c r="Q312" s="545">
        <f t="shared" si="8"/>
        <v>7.040020828114335E-4</v>
      </c>
    </row>
    <row r="313" spans="5:17" x14ac:dyDescent="0.2">
      <c r="E313" s="537"/>
      <c r="F313" s="537"/>
      <c r="G313" s="536"/>
      <c r="I313" s="536"/>
      <c r="J313" s="536"/>
      <c r="L313" s="551">
        <f>_xll.qlCalendarAdvance(Calendar,L312,"1M","f",,Trigger)</f>
        <v>51588</v>
      </c>
      <c r="M313" s="542">
        <f>_xll.qlCalendarAdvance(Calendar,L313,"3M","f",,Trigger)</f>
        <v>51680</v>
      </c>
      <c r="N313" s="544" t="str">
        <f>_xll.qlMakeDatedOIS(,L313,M313,OvernightIndex,0,,,,EvaluationDate)</f>
        <v>obj_00514#0000</v>
      </c>
      <c r="O313" s="543">
        <f>_xll.qlIndexFixing("euribor6m",_xll.qlInterestRateIndexFixingDate("Euribor6M",L313),TRUE,AllTriggers)</f>
        <v>2.1274989302588681E-2</v>
      </c>
      <c r="P313" s="543">
        <f>_xll.qlOvernightIndexedSwapFairRate(N313,AllTriggers)</f>
        <v>2.0584605342356836E-2</v>
      </c>
      <c r="Q313" s="545">
        <f t="shared" si="8"/>
        <v>6.903839602318447E-4</v>
      </c>
    </row>
    <row r="314" spans="5:17" x14ac:dyDescent="0.2">
      <c r="E314" s="537"/>
      <c r="F314" s="537"/>
      <c r="G314" s="536"/>
      <c r="I314" s="536"/>
      <c r="J314" s="536"/>
      <c r="L314" s="551">
        <f>_xll.qlCalendarAdvance(Calendar,L313,"1M","f",,Trigger)</f>
        <v>51620</v>
      </c>
      <c r="M314" s="542">
        <f>_xll.qlCalendarAdvance(Calendar,L314,"3M","f",,Trigger)</f>
        <v>51711</v>
      </c>
      <c r="N314" s="544" t="str">
        <f>_xll.qlMakeDatedOIS(,L314,M314,OvernightIndex,0,,,,EvaluationDate)</f>
        <v>obj_00515#0000</v>
      </c>
      <c r="O314" s="543">
        <f>_xll.qlIndexFixing("euribor6m",_xll.qlInterestRateIndexFixingDate("Euribor6M",L314),TRUE,AllTriggers)</f>
        <v>2.1259387010629766E-2</v>
      </c>
      <c r="P314" s="543">
        <f>_xll.qlOvernightIndexedSwapFairRate(N314,AllTriggers)</f>
        <v>2.0584017874474263E-2</v>
      </c>
      <c r="Q314" s="545">
        <f t="shared" si="8"/>
        <v>6.7536913615550212E-4</v>
      </c>
    </row>
    <row r="315" spans="5:17" x14ac:dyDescent="0.2">
      <c r="E315" s="537"/>
      <c r="F315" s="537"/>
      <c r="G315" s="536"/>
      <c r="I315" s="536"/>
      <c r="J315" s="536"/>
      <c r="L315" s="551">
        <f>_xll.qlCalendarAdvance(Calendar,L314,"1M","f",,Trigger)</f>
        <v>51650</v>
      </c>
      <c r="M315" s="542">
        <f>_xll.qlCalendarAdvance(Calendar,L315,"3M","f",,Trigger)</f>
        <v>51742</v>
      </c>
      <c r="N315" s="544" t="str">
        <f>_xll.qlMakeDatedOIS(,L315,M315,OvernightIndex,0,,,,EvaluationDate)</f>
        <v>obj_00516#0000</v>
      </c>
      <c r="O315" s="543">
        <f>_xll.qlIndexFixing("euribor6m",_xll.qlInterestRateIndexFixingDate("Euribor6M",L315),TRUE,AllTriggers)</f>
        <v>2.1246864372898747E-2</v>
      </c>
      <c r="P315" s="543">
        <f>_xll.qlOvernightIndexedSwapFairRate(N315,AllTriggers)</f>
        <v>2.0584605342356833E-2</v>
      </c>
      <c r="Q315" s="545">
        <f t="shared" si="8"/>
        <v>6.622590305419146E-4</v>
      </c>
    </row>
    <row r="316" spans="5:17" x14ac:dyDescent="0.2">
      <c r="E316" s="537"/>
      <c r="F316" s="537"/>
      <c r="G316" s="536"/>
      <c r="I316" s="536"/>
      <c r="J316" s="536"/>
      <c r="L316" s="551">
        <f>_xll.qlCalendarAdvance(Calendar,L315,"1M","f",,Trigger)</f>
        <v>51683</v>
      </c>
      <c r="M316" s="542">
        <f>_xll.qlCalendarAdvance(Calendar,L316,"3M","f",,Trigger)</f>
        <v>51775</v>
      </c>
      <c r="N316" s="544" t="str">
        <f>_xll.qlMakeDatedOIS(,L316,M316,OvernightIndex,0,,,,EvaluationDate)</f>
        <v>obj_00517#0000</v>
      </c>
      <c r="O316" s="543">
        <f>_xll.qlIndexFixing("euribor6m",_xll.qlInterestRateIndexFixingDate("Euribor6M",L316),TRUE,AllTriggers)</f>
        <v>2.1233668766790965E-2</v>
      </c>
      <c r="P316" s="543">
        <f>_xll.qlOvernightIndexedSwapFairRate(N316,AllTriggers)</f>
        <v>2.0584605342357704E-2</v>
      </c>
      <c r="Q316" s="545">
        <f t="shared" si="8"/>
        <v>6.4906342443326118E-4</v>
      </c>
    </row>
    <row r="317" spans="5:17" x14ac:dyDescent="0.2">
      <c r="E317" s="537"/>
      <c r="F317" s="537"/>
      <c r="G317" s="536"/>
      <c r="I317" s="536"/>
      <c r="J317" s="536"/>
      <c r="L317" s="551">
        <f>_xll.qlCalendarAdvance(Calendar,L316,"1M","f",,Trigger)</f>
        <v>51714</v>
      </c>
      <c r="M317" s="542">
        <f>_xll.qlCalendarAdvance(Calendar,L317,"3M","f",,Trigger)</f>
        <v>51806</v>
      </c>
      <c r="N317" s="544" t="str">
        <f>_xll.qlMakeDatedOIS(,L317,M317,OvernightIndex,0,,,,EvaluationDate)</f>
        <v>obj_00518#0000</v>
      </c>
      <c r="O317" s="543">
        <f>_xll.qlIndexFixing("euribor6m",_xll.qlInterestRateIndexFixingDate("Euribor6M",L317),TRUE,AllTriggers)</f>
        <v>2.122189199458924E-2</v>
      </c>
      <c r="P317" s="543">
        <f>_xll.qlOvernightIndexedSwapFairRate(N317,AllTriggers)</f>
        <v>2.0584605342356833E-2</v>
      </c>
      <c r="Q317" s="545">
        <f t="shared" si="8"/>
        <v>6.3728665223240777E-4</v>
      </c>
    </row>
    <row r="318" spans="5:17" x14ac:dyDescent="0.2">
      <c r="E318" s="537"/>
      <c r="F318" s="537"/>
      <c r="G318" s="536"/>
      <c r="I318" s="536"/>
      <c r="J318" s="536"/>
      <c r="L318" s="551">
        <f>_xll.qlCalendarAdvance(Calendar,L317,"1M","f",,Trigger)</f>
        <v>51746</v>
      </c>
      <c r="M318" s="542">
        <f>_xll.qlCalendarAdvance(Calendar,L318,"3M","f",,Trigger)</f>
        <v>51837</v>
      </c>
      <c r="N318" s="544" t="str">
        <f>_xll.qlMakeDatedOIS(,L318,M318,OvernightIndex,0,,,,EvaluationDate)</f>
        <v>obj_00519#0000</v>
      </c>
      <c r="O318" s="543">
        <f>_xll.qlIndexFixing("euribor6m",_xll.qlInterestRateIndexFixingDate("Euribor6M",L318),TRUE,AllTriggers)</f>
        <v>2.1208083379011079E-2</v>
      </c>
      <c r="P318" s="543">
        <f>_xll.qlOvernightIndexedSwapFairRate(N318,AllTriggers)</f>
        <v>2.0584017874473379E-2</v>
      </c>
      <c r="Q318" s="545">
        <f t="shared" si="8"/>
        <v>6.2406550453769985E-4</v>
      </c>
    </row>
    <row r="319" spans="5:17" x14ac:dyDescent="0.2">
      <c r="E319" s="537"/>
      <c r="F319" s="537"/>
      <c r="G319" s="536"/>
      <c r="I319" s="536"/>
      <c r="J319" s="536"/>
      <c r="L319" s="551">
        <f>_xll.qlCalendarAdvance(Calendar,L318,"1M","f",,Trigger)</f>
        <v>51776</v>
      </c>
      <c r="M319" s="542">
        <f>_xll.qlCalendarAdvance(Calendar,L319,"3M","f",,Trigger)</f>
        <v>51868</v>
      </c>
      <c r="N319" s="544" t="str">
        <f>_xll.qlMakeDatedOIS(,L319,M319,OvernightIndex,0,,,,EvaluationDate)</f>
        <v>obj_0051a#0000</v>
      </c>
      <c r="O319" s="543">
        <f>_xll.qlIndexFixing("euribor6m",_xll.qlInterestRateIndexFixingDate("Euribor6M",L319),TRUE,AllTriggers)</f>
        <v>2.1197325812970479E-2</v>
      </c>
      <c r="P319" s="543">
        <f>_xll.qlOvernightIndexedSwapFairRate(N319,AllTriggers)</f>
        <v>2.0584605342356836E-2</v>
      </c>
      <c r="Q319" s="545">
        <f t="shared" si="8"/>
        <v>6.1272047061364243E-4</v>
      </c>
    </row>
    <row r="320" spans="5:17" x14ac:dyDescent="0.2">
      <c r="E320" s="537"/>
      <c r="F320" s="537"/>
      <c r="G320" s="536"/>
      <c r="I320" s="536"/>
      <c r="J320" s="536"/>
      <c r="L320" s="551">
        <f>_xll.qlCalendarAdvance(Calendar,L319,"1M","f",,Trigger)</f>
        <v>51809</v>
      </c>
      <c r="M320" s="542">
        <f>_xll.qlCalendarAdvance(Calendar,L320,"3M","f",,Trigger)</f>
        <v>51901</v>
      </c>
      <c r="N320" s="544" t="str">
        <f>_xll.qlMakeDatedOIS(,L320,M320,OvernightIndex,0,,,,EvaluationDate)</f>
        <v>obj_0051b#0000</v>
      </c>
      <c r="O320" s="543">
        <f>_xll.qlIndexFixing("euribor6m",_xll.qlInterestRateIndexFixingDate("Euribor6M",L320),TRUE,AllTriggers)</f>
        <v>2.1186096170692434E-2</v>
      </c>
      <c r="P320" s="543">
        <f>_xll.qlOvernightIndexedSwapFairRate(N320,AllTriggers)</f>
        <v>2.0584605342357707E-2</v>
      </c>
      <c r="Q320" s="545">
        <f t="shared" si="8"/>
        <v>6.0149082833472686E-4</v>
      </c>
    </row>
    <row r="321" spans="5:17" x14ac:dyDescent="0.2">
      <c r="E321" s="537"/>
      <c r="F321" s="537"/>
      <c r="G321" s="536"/>
      <c r="I321" s="536"/>
      <c r="J321" s="536"/>
      <c r="L321" s="551">
        <f>_xll.qlCalendarAdvance(Calendar,L320,"1M","f",,Trigger)</f>
        <v>51839</v>
      </c>
      <c r="M321" s="542">
        <f>_xll.qlCalendarAdvance(Calendar,L321,"3M","f",,Trigger)</f>
        <v>51929</v>
      </c>
      <c r="N321" s="544" t="str">
        <f>_xll.qlMakeDatedOIS(,L321,M321,OvernightIndex,0,,,,EvaluationDate)</f>
        <v>obj_0051c#0000</v>
      </c>
      <c r="O321" s="543">
        <f>_xll.qlIndexFixing("euribor6m",_xll.qlInterestRateIndexFixingDate("Euribor6M",L321),TRUE,AllTriggers)</f>
        <v>2.1176436196633092E-2</v>
      </c>
      <c r="P321" s="543">
        <f>_xll.qlOvernightIndexedSwapFairRate(N321,AllTriggers)</f>
        <v>2.0583430428934513E-2</v>
      </c>
      <c r="Q321" s="545">
        <f t="shared" si="8"/>
        <v>5.9300576769857893E-4</v>
      </c>
    </row>
    <row r="322" spans="5:17" x14ac:dyDescent="0.2">
      <c r="E322" s="537"/>
      <c r="F322" s="537"/>
      <c r="G322" s="536"/>
      <c r="I322" s="536"/>
      <c r="J322" s="536"/>
      <c r="L322" s="551">
        <f>_xll.qlCalendarAdvance(Calendar,L321,"1M","f",,Trigger)</f>
        <v>51872</v>
      </c>
      <c r="M322" s="542">
        <f>_xll.qlCalendarAdvance(Calendar,L322,"3M","f",,Trigger)</f>
        <v>51964</v>
      </c>
      <c r="N322" s="544" t="str">
        <f>_xll.qlMakeDatedOIS(,L322,M322,OvernightIndex,0,,,,EvaluationDate)</f>
        <v>obj_0051d#0000</v>
      </c>
      <c r="O322" s="543">
        <f>_xll.qlIndexFixing("euribor6m",_xll.qlInterestRateIndexFixingDate("Euribor6M",L322),TRUE,AllTriggers)</f>
        <v>2.1166413886645013E-2</v>
      </c>
      <c r="P322" s="543">
        <f>_xll.qlOvernightIndexedSwapFairRate(N322,AllTriggers)</f>
        <v>2.0584605342357704E-2</v>
      </c>
      <c r="Q322" s="545">
        <f t="shared" si="8"/>
        <v>5.818085442873093E-4</v>
      </c>
    </row>
    <row r="323" spans="5:17" x14ac:dyDescent="0.2">
      <c r="E323" s="537"/>
      <c r="F323" s="537"/>
      <c r="G323" s="536"/>
      <c r="I323" s="536"/>
      <c r="J323" s="536"/>
      <c r="L323" s="551">
        <f>_xll.qlCalendarAdvance(Calendar,L322,"1M","f",,Trigger)</f>
        <v>51903</v>
      </c>
      <c r="M323" s="542">
        <f>_xll.qlCalendarAdvance(Calendar,L323,"3M","f",,Trigger)</f>
        <v>51992</v>
      </c>
      <c r="N323" s="544" t="str">
        <f>_xll.qlMakeDatedOIS(,L323,M323,OvernightIndex,0,,,,EvaluationDate)</f>
        <v>obj_0051e#0000</v>
      </c>
      <c r="O323" s="543">
        <f>_xll.qlIndexFixing("euribor6m",_xll.qlInterestRateIndexFixingDate("Euribor6M",L323),TRUE,AllTriggers)</f>
        <v>2.1157084892634553E-2</v>
      </c>
      <c r="P323" s="543">
        <f>_xll.qlOvernightIndexedSwapFairRate(N323,AllTriggers)</f>
        <v>2.058284300573987E-2</v>
      </c>
      <c r="Q323" s="545">
        <f t="shared" ref="Q323:Q386" si="9">O323-P323</f>
        <v>5.7424188689468234E-4</v>
      </c>
    </row>
    <row r="324" spans="5:17" x14ac:dyDescent="0.2">
      <c r="E324" s="537"/>
      <c r="F324" s="537"/>
      <c r="G324" s="536"/>
      <c r="I324" s="536"/>
      <c r="J324" s="536"/>
      <c r="L324" s="551">
        <f>_xll.qlCalendarAdvance(Calendar,L323,"1M","f",,Trigger)</f>
        <v>51931</v>
      </c>
      <c r="M324" s="542">
        <f>_xll.qlCalendarAdvance(Calendar,L324,"3M","f",,Trigger)</f>
        <v>52023</v>
      </c>
      <c r="N324" s="544" t="str">
        <f>_xll.qlMakeDatedOIS(,L324,M324,OvernightIndex,0,,,,EvaluationDate)</f>
        <v>obj_0051f#0000</v>
      </c>
      <c r="O324" s="543">
        <f>_xll.qlIndexFixing("euribor6m",_xll.qlInterestRateIndexFixingDate("Euribor6M",L324),TRUE,AllTriggers)</f>
        <v>2.1152064725947592E-2</v>
      </c>
      <c r="P324" s="543">
        <f>_xll.qlOvernightIndexedSwapFairRate(N324,AllTriggers)</f>
        <v>2.0584605342357704E-2</v>
      </c>
      <c r="Q324" s="545">
        <f t="shared" si="9"/>
        <v>5.6745938358988834E-4</v>
      </c>
    </row>
    <row r="325" spans="5:17" x14ac:dyDescent="0.2">
      <c r="E325" s="537"/>
      <c r="F325" s="537"/>
      <c r="G325" s="536"/>
      <c r="I325" s="536"/>
      <c r="J325" s="536"/>
      <c r="L325" s="551">
        <f>_xll.qlCalendarAdvance(Calendar,L324,"1M","f",,Trigger)</f>
        <v>51964</v>
      </c>
      <c r="M325" s="542">
        <f>_xll.qlCalendarAdvance(Calendar,L325,"3M","f",,Trigger)</f>
        <v>52055</v>
      </c>
      <c r="N325" s="544" t="str">
        <f>_xll.qlMakeDatedOIS(,L325,M325,OvernightIndex,0,,,,EvaluationDate)</f>
        <v>obj_00520#0000</v>
      </c>
      <c r="O325" s="543">
        <f>_xll.qlIndexFixing("euribor6m",_xll.qlInterestRateIndexFixingDate("Euribor6M",L325),TRUE,AllTriggers)</f>
        <v>2.1142319141157041E-2</v>
      </c>
      <c r="P325" s="543">
        <f>_xll.qlOvernightIndexedSwapFairRate(N325,AllTriggers)</f>
        <v>2.0584017874473379E-2</v>
      </c>
      <c r="Q325" s="545">
        <f t="shared" si="9"/>
        <v>5.583012666836619E-4</v>
      </c>
    </row>
    <row r="326" spans="5:17" x14ac:dyDescent="0.2">
      <c r="E326" s="537"/>
      <c r="F326" s="537"/>
      <c r="G326" s="536"/>
      <c r="I326" s="536"/>
      <c r="J326" s="536"/>
      <c r="L326" s="551">
        <f>_xll.qlCalendarAdvance(Calendar,L325,"1M","f",,Trigger)</f>
        <v>51994</v>
      </c>
      <c r="M326" s="542">
        <f>_xll.qlCalendarAdvance(Calendar,L326,"3M","f",,Trigger)</f>
        <v>52086</v>
      </c>
      <c r="N326" s="544" t="str">
        <f>_xll.qlMakeDatedOIS(,L326,M326,OvernightIndex,0,,,,EvaluationDate)</f>
        <v>obj_00521#0000</v>
      </c>
      <c r="O326" s="543">
        <f>_xll.qlIndexFixing("euribor6m",_xll.qlInterestRateIndexFixingDate("Euribor6M",L326),TRUE,AllTriggers)</f>
        <v>2.1136915387189079E-2</v>
      </c>
      <c r="P326" s="543">
        <f>_xll.qlOvernightIndexedSwapFairRate(N326,AllTriggers)</f>
        <v>2.0584605342357704E-2</v>
      </c>
      <c r="Q326" s="545">
        <f t="shared" si="9"/>
        <v>5.5231004483137502E-4</v>
      </c>
    </row>
    <row r="327" spans="5:17" x14ac:dyDescent="0.2">
      <c r="E327" s="537"/>
      <c r="F327" s="537"/>
      <c r="G327" s="536"/>
      <c r="I327" s="536"/>
      <c r="J327" s="536"/>
      <c r="L327" s="551">
        <f>_xll.qlCalendarAdvance(Calendar,L326,"1M","f",,Trigger)</f>
        <v>52026</v>
      </c>
      <c r="M327" s="542">
        <f>_xll.qlCalendarAdvance(Calendar,L327,"3M","f",,Trigger)</f>
        <v>52118</v>
      </c>
      <c r="N327" s="544" t="str">
        <f>_xll.qlMakeDatedOIS(,L327,M327,OvernightIndex,0,,,,EvaluationDate)</f>
        <v>obj_00522#0000</v>
      </c>
      <c r="O327" s="543">
        <f>_xll.qlIndexFixing("euribor6m",_xll.qlInterestRateIndexFixingDate("Euribor6M",L327),TRUE,AllTriggers)</f>
        <v>2.1128529032150858E-2</v>
      </c>
      <c r="P327" s="543">
        <f>_xll.qlOvernightIndexedSwapFairRate(N327,AllTriggers)</f>
        <v>2.0584605342357704E-2</v>
      </c>
      <c r="Q327" s="545">
        <f t="shared" si="9"/>
        <v>5.4392368979315486E-4</v>
      </c>
    </row>
    <row r="328" spans="5:17" x14ac:dyDescent="0.2">
      <c r="E328" s="537"/>
      <c r="F328" s="537"/>
      <c r="G328" s="536"/>
      <c r="I328" s="536"/>
      <c r="J328" s="536"/>
      <c r="L328" s="551">
        <f>_xll.qlCalendarAdvance(Calendar,L327,"1M","f",,Trigger)</f>
        <v>52056</v>
      </c>
      <c r="M328" s="542">
        <f>_xll.qlCalendarAdvance(Calendar,L328,"3M","f",,Trigger)</f>
        <v>52148</v>
      </c>
      <c r="N328" s="544" t="str">
        <f>_xll.qlMakeDatedOIS(,L328,M328,OvernightIndex,0,,,,EvaluationDate)</f>
        <v>obj_00523#0000</v>
      </c>
      <c r="O328" s="543">
        <f>_xll.qlIndexFixing("euribor6m",_xll.qlInterestRateIndexFixingDate("Euribor6M",L328),TRUE,AllTriggers)</f>
        <v>2.112319071866723E-2</v>
      </c>
      <c r="P328" s="543">
        <f>_xll.qlOvernightIndexedSwapFairRate(N328,AllTriggers)</f>
        <v>2.0584605342357704E-2</v>
      </c>
      <c r="Q328" s="545">
        <f t="shared" si="9"/>
        <v>5.3858537630952635E-4</v>
      </c>
    </row>
    <row r="329" spans="5:17" x14ac:dyDescent="0.2">
      <c r="E329" s="537"/>
      <c r="F329" s="537"/>
      <c r="G329" s="536"/>
      <c r="I329" s="536"/>
      <c r="J329" s="536"/>
      <c r="L329" s="551">
        <f>_xll.qlCalendarAdvance(Calendar,L328,"1M","f",,Trigger)</f>
        <v>52089</v>
      </c>
      <c r="M329" s="542">
        <f>_xll.qlCalendarAdvance(Calendar,L329,"3M","f",,Trigger)</f>
        <v>52181</v>
      </c>
      <c r="N329" s="544" t="str">
        <f>_xll.qlMakeDatedOIS(,L329,M329,OvernightIndex,0,,,,EvaluationDate)</f>
        <v>obj_00524#0000</v>
      </c>
      <c r="O329" s="543">
        <f>_xll.qlIndexFixing("euribor6m",_xll.qlInterestRateIndexFixingDate("Euribor6M",L329),TRUE,AllTriggers)</f>
        <v>2.1117345238403484E-2</v>
      </c>
      <c r="P329" s="543">
        <f>_xll.qlOvernightIndexedSwapFairRate(N329,AllTriggers)</f>
        <v>2.0584605342357704E-2</v>
      </c>
      <c r="Q329" s="545">
        <f t="shared" si="9"/>
        <v>5.3273989604578006E-4</v>
      </c>
    </row>
    <row r="330" spans="5:17" x14ac:dyDescent="0.2">
      <c r="E330" s="537"/>
      <c r="F330" s="537"/>
      <c r="G330" s="536"/>
      <c r="I330" s="536"/>
      <c r="J330" s="536"/>
      <c r="L330" s="551">
        <f>_xll.qlCalendarAdvance(Calendar,L329,"1M","f",,Trigger)</f>
        <v>52120</v>
      </c>
      <c r="M330" s="542">
        <f>_xll.qlCalendarAdvance(Calendar,L330,"3M","f",,Trigger)</f>
        <v>52211</v>
      </c>
      <c r="N330" s="544" t="str">
        <f>_xll.qlMakeDatedOIS(,L330,M330,OvernightIndex,0,,,,EvaluationDate)</f>
        <v>obj_00525#0000</v>
      </c>
      <c r="O330" s="543">
        <f>_xll.qlIndexFixing("euribor6m",_xll.qlInterestRateIndexFixingDate("Euribor6M",L330),TRUE,AllTriggers)</f>
        <v>2.11107780962142E-2</v>
      </c>
      <c r="P330" s="543">
        <f>_xll.qlOvernightIndexedSwapFairRate(N330,AllTriggers)</f>
        <v>2.0584017874474256E-2</v>
      </c>
      <c r="Q330" s="545">
        <f t="shared" si="9"/>
        <v>5.267602217399435E-4</v>
      </c>
    </row>
    <row r="331" spans="5:17" x14ac:dyDescent="0.2">
      <c r="E331" s="537"/>
      <c r="F331" s="537"/>
      <c r="G331" s="536"/>
      <c r="I331" s="536"/>
      <c r="J331" s="536"/>
      <c r="L331" s="551">
        <f>_xll.qlCalendarAdvance(Calendar,L330,"1M","f",,Trigger)</f>
        <v>52152</v>
      </c>
      <c r="M331" s="542">
        <f>_xll.qlCalendarAdvance(Calendar,L331,"3M","f",,Trigger)</f>
        <v>52244</v>
      </c>
      <c r="N331" s="544" t="str">
        <f>_xll.qlMakeDatedOIS(,L331,M331,OvernightIndex,0,,,,EvaluationDate)</f>
        <v>obj_00526#0000</v>
      </c>
      <c r="O331" s="543">
        <f>_xll.qlIndexFixing("euribor6m",_xll.qlInterestRateIndexFixingDate("Euribor6M",L331),TRUE,AllTriggers)</f>
        <v>2.1106822215978396E-2</v>
      </c>
      <c r="P331" s="543">
        <f>_xll.qlOvernightIndexedSwapFairRate(N331,AllTriggers)</f>
        <v>2.0584605342357707E-2</v>
      </c>
      <c r="Q331" s="545">
        <f t="shared" si="9"/>
        <v>5.2221687362068864E-4</v>
      </c>
    </row>
    <row r="332" spans="5:17" x14ac:dyDescent="0.2">
      <c r="E332" s="537"/>
      <c r="F332" s="537"/>
      <c r="G332" s="536"/>
      <c r="I332" s="536"/>
      <c r="J332" s="536"/>
      <c r="L332" s="551">
        <f>_xll.qlCalendarAdvance(Calendar,L331,"1M","f",,Trigger)</f>
        <v>52183</v>
      </c>
      <c r="M332" s="542">
        <f>_xll.qlCalendarAdvance(Calendar,L332,"3M","f",,Trigger)</f>
        <v>52275</v>
      </c>
      <c r="N332" s="544" t="str">
        <f>_xll.qlMakeDatedOIS(,L332,M332,OvernightIndex,0,,,,EvaluationDate)</f>
        <v>obj_00527#0000</v>
      </c>
      <c r="O332" s="543">
        <f>_xll.qlIndexFixing("euribor6m",_xll.qlInterestRateIndexFixingDate("Euribor6M",L332),TRUE,AllTriggers)</f>
        <v>2.1102455439509837E-2</v>
      </c>
      <c r="P332" s="543">
        <f>_xll.qlOvernightIndexedSwapFairRate(N332,AllTriggers)</f>
        <v>2.0584605342356833E-2</v>
      </c>
      <c r="Q332" s="545">
        <f t="shared" si="9"/>
        <v>5.1785009715300465E-4</v>
      </c>
    </row>
    <row r="333" spans="5:17" x14ac:dyDescent="0.2">
      <c r="E333" s="537"/>
      <c r="F333" s="537"/>
      <c r="G333" s="536"/>
      <c r="I333" s="536"/>
      <c r="J333" s="536"/>
      <c r="L333" s="551">
        <f>_xll.qlCalendarAdvance(Calendar,L332,"1M","f",,Trigger)</f>
        <v>52215</v>
      </c>
      <c r="M333" s="542">
        <f>_xll.qlCalendarAdvance(Calendar,L333,"3M","f",,Trigger)</f>
        <v>52306</v>
      </c>
      <c r="N333" s="544" t="str">
        <f>_xll.qlMakeDatedOIS(,L333,M333,OvernightIndex,0,,,,EvaluationDate)</f>
        <v>obj_00528#0000</v>
      </c>
      <c r="O333" s="543">
        <f>_xll.qlIndexFixing("euribor6m",_xll.qlInterestRateIndexFixingDate("Euribor6M",L333),TRUE,AllTriggers)</f>
        <v>2.1099687977056573E-2</v>
      </c>
      <c r="P333" s="543">
        <f>_xll.qlOvernightIndexedSwapFairRate(N333,AllTriggers)</f>
        <v>2.0584017874474256E-2</v>
      </c>
      <c r="Q333" s="545">
        <f t="shared" si="9"/>
        <v>5.1567010258231696E-4</v>
      </c>
    </row>
    <row r="334" spans="5:17" x14ac:dyDescent="0.2">
      <c r="E334" s="537"/>
      <c r="F334" s="537"/>
      <c r="G334" s="536"/>
      <c r="I334" s="536"/>
      <c r="J334" s="536"/>
      <c r="L334" s="551">
        <f>_xll.qlCalendarAdvance(Calendar,L333,"1M","f",,Trigger)</f>
        <v>52246</v>
      </c>
      <c r="M334" s="542">
        <f>_xll.qlCalendarAdvance(Calendar,L334,"3M","f",,Trigger)</f>
        <v>52336</v>
      </c>
      <c r="N334" s="544" t="str">
        <f>_xll.qlMakeDatedOIS(,L334,M334,OvernightIndex,0,,,,EvaluationDate)</f>
        <v>obj_00529#0000</v>
      </c>
      <c r="O334" s="543">
        <f>_xll.qlIndexFixing("euribor6m",_xll.qlInterestRateIndexFixingDate("Euribor6M",L334),TRUE,AllTriggers)</f>
        <v>2.109643728543531E-2</v>
      </c>
      <c r="P334" s="543">
        <f>_xll.qlOvernightIndexedSwapFairRate(N334,AllTriggers)</f>
        <v>2.0583430428934513E-2</v>
      </c>
      <c r="Q334" s="545">
        <f t="shared" si="9"/>
        <v>5.1300685650079725E-4</v>
      </c>
    </row>
    <row r="335" spans="5:17" x14ac:dyDescent="0.2">
      <c r="E335" s="537"/>
      <c r="F335" s="537"/>
      <c r="G335" s="536"/>
      <c r="I335" s="536"/>
      <c r="J335" s="536"/>
      <c r="L335" s="551">
        <f>_xll.qlCalendarAdvance(Calendar,L334,"1M","f",,Trigger)</f>
        <v>52278</v>
      </c>
      <c r="M335" s="542">
        <f>_xll.qlCalendarAdvance(Calendar,L335,"3M","f",,Trigger)</f>
        <v>52369</v>
      </c>
      <c r="N335" s="544" t="str">
        <f>_xll.qlMakeDatedOIS(,L335,M335,OvernightIndex,0,,,,EvaluationDate)</f>
        <v>obj_0052a#0000</v>
      </c>
      <c r="O335" s="543">
        <f>_xll.qlIndexFixing("euribor6m",_xll.qlInterestRateIndexFixingDate("Euribor6M",L335),TRUE,AllTriggers)</f>
        <v>2.1094858363563267E-2</v>
      </c>
      <c r="P335" s="543">
        <f>_xll.qlOvernightIndexedSwapFairRate(N335,AllTriggers)</f>
        <v>2.0584017874473379E-2</v>
      </c>
      <c r="Q335" s="545">
        <f t="shared" si="9"/>
        <v>5.1084048908988863E-4</v>
      </c>
    </row>
    <row r="336" spans="5:17" x14ac:dyDescent="0.2">
      <c r="E336" s="537"/>
      <c r="F336" s="537"/>
      <c r="G336" s="536"/>
      <c r="I336" s="536"/>
      <c r="J336" s="536"/>
      <c r="L336" s="551">
        <f>_xll.qlCalendarAdvance(Calendar,L335,"1M","f",,Trigger)</f>
        <v>52306</v>
      </c>
      <c r="M336" s="542">
        <f>_xll.qlCalendarAdvance(Calendar,L336,"3M","f",,Trigger)</f>
        <v>52398</v>
      </c>
      <c r="N336" s="544" t="str">
        <f>_xll.qlMakeDatedOIS(,L336,M336,OvernightIndex,0,,,,EvaluationDate)</f>
        <v>obj_0052b#0000</v>
      </c>
      <c r="O336" s="543">
        <f>_xll.qlIndexFixing("euribor6m",_xll.qlInterestRateIndexFixingDate("Euribor6M",L336),TRUE,AllTriggers)</f>
        <v>2.1094659110803528E-2</v>
      </c>
      <c r="P336" s="543">
        <f>_xll.qlOvernightIndexedSwapFairRate(N336,AllTriggers)</f>
        <v>2.0584605342356836E-2</v>
      </c>
      <c r="Q336" s="545">
        <f t="shared" si="9"/>
        <v>5.1005376844669159E-4</v>
      </c>
    </row>
    <row r="337" spans="5:17" x14ac:dyDescent="0.2">
      <c r="E337" s="537"/>
      <c r="F337" s="537"/>
      <c r="G337" s="536"/>
      <c r="I337" s="536"/>
      <c r="J337" s="536"/>
      <c r="L337" s="551">
        <f>_xll.qlCalendarAdvance(Calendar,L336,"1M","f",,Trigger)</f>
        <v>52337</v>
      </c>
      <c r="M337" s="542">
        <f>_xll.qlCalendarAdvance(Calendar,L337,"3M","f",,Trigger)</f>
        <v>52428</v>
      </c>
      <c r="N337" s="544" t="str">
        <f>_xll.qlMakeDatedOIS(,L337,M337,OvernightIndex,0,,,,EvaluationDate)</f>
        <v>obj_0052c#0000</v>
      </c>
      <c r="O337" s="543">
        <f>_xll.qlIndexFixing("euribor6m",_xll.qlInterestRateIndexFixingDate("Euribor6M",L337),TRUE,AllTriggers)</f>
        <v>2.109303773776396E-2</v>
      </c>
      <c r="P337" s="543">
        <f>_xll.qlOvernightIndexedSwapFairRate(N337,AllTriggers)</f>
        <v>2.0584017874474256E-2</v>
      </c>
      <c r="Q337" s="545">
        <f t="shared" si="9"/>
        <v>5.0901986328970306E-4</v>
      </c>
    </row>
    <row r="338" spans="5:17" x14ac:dyDescent="0.2">
      <c r="E338" s="537"/>
      <c r="F338" s="537"/>
      <c r="G338" s="536"/>
      <c r="I338" s="536"/>
      <c r="J338" s="536"/>
      <c r="L338" s="551">
        <f>_xll.qlCalendarAdvance(Calendar,L337,"1M","f",,Trigger)</f>
        <v>52369</v>
      </c>
      <c r="M338" s="542">
        <f>_xll.qlCalendarAdvance(Calendar,L338,"3M","f",,Trigger)</f>
        <v>52461</v>
      </c>
      <c r="N338" s="544" t="str">
        <f>_xll.qlMakeDatedOIS(,L338,M338,OvernightIndex,0,,,,EvaluationDate)</f>
        <v>obj_0052d#0000</v>
      </c>
      <c r="O338" s="543">
        <f>_xll.qlIndexFixing("euribor6m",_xll.qlInterestRateIndexFixingDate("Euribor6M",L338),TRUE,AllTriggers)</f>
        <v>2.1093194783569708E-2</v>
      </c>
      <c r="P338" s="543">
        <f>_xll.qlOvernightIndexedSwapFairRate(N338,AllTriggers)</f>
        <v>2.0584605342356836E-2</v>
      </c>
      <c r="Q338" s="545">
        <f t="shared" si="9"/>
        <v>5.0858944121287206E-4</v>
      </c>
    </row>
    <row r="339" spans="5:17" x14ac:dyDescent="0.2">
      <c r="E339" s="537"/>
      <c r="F339" s="537"/>
      <c r="G339" s="536"/>
      <c r="I339" s="536"/>
      <c r="J339" s="536"/>
      <c r="L339" s="551">
        <f>_xll.qlCalendarAdvance(Calendar,L338,"1M","f",,Trigger)</f>
        <v>52400</v>
      </c>
      <c r="M339" s="542">
        <f>_xll.qlCalendarAdvance(Calendar,L339,"3M","f",,Trigger)</f>
        <v>52492</v>
      </c>
      <c r="N339" s="544" t="str">
        <f>_xll.qlMakeDatedOIS(,L339,M339,OvernightIndex,0,,,,EvaluationDate)</f>
        <v>obj_0052e#0000</v>
      </c>
      <c r="O339" s="543">
        <f>_xll.qlIndexFixing("euribor6m",_xll.qlInterestRateIndexFixingDate("Euribor6M",L339),TRUE,AllTriggers)</f>
        <v>2.1092689279442963E-2</v>
      </c>
      <c r="P339" s="543">
        <f>_xll.qlOvernightIndexedSwapFairRate(N339,AllTriggers)</f>
        <v>2.0584605342356836E-2</v>
      </c>
      <c r="Q339" s="545">
        <f t="shared" si="9"/>
        <v>5.080839370861269E-4</v>
      </c>
    </row>
    <row r="340" spans="5:17" x14ac:dyDescent="0.2">
      <c r="E340" s="537"/>
      <c r="F340" s="537"/>
      <c r="G340" s="536"/>
      <c r="I340" s="536"/>
      <c r="J340" s="536"/>
      <c r="L340" s="551">
        <f>_xll.qlCalendarAdvance(Calendar,L339,"1M","f",,Trigger)</f>
        <v>52432</v>
      </c>
      <c r="M340" s="542">
        <f>_xll.qlCalendarAdvance(Calendar,L340,"3M","f",,Trigger)</f>
        <v>52524</v>
      </c>
      <c r="N340" s="544" t="str">
        <f>_xll.qlMakeDatedOIS(,L340,M340,OvernightIndex,0,,,,EvaluationDate)</f>
        <v>obj_0052f#0000</v>
      </c>
      <c r="O340" s="543">
        <f>_xll.qlIndexFixing("euribor6m",_xll.qlInterestRateIndexFixingDate("Euribor6M",L340),TRUE,AllTriggers)</f>
        <v>2.1094035323649857E-2</v>
      </c>
      <c r="P340" s="543">
        <f>_xll.qlOvernightIndexedSwapFairRate(N340,AllTriggers)</f>
        <v>2.0584605342356836E-2</v>
      </c>
      <c r="Q340" s="545">
        <f t="shared" si="9"/>
        <v>5.0942998129302128E-4</v>
      </c>
    </row>
    <row r="341" spans="5:17" x14ac:dyDescent="0.2">
      <c r="E341" s="537"/>
      <c r="F341" s="537"/>
      <c r="G341" s="536"/>
      <c r="I341" s="536"/>
      <c r="J341" s="536"/>
      <c r="L341" s="551">
        <f>_xll.qlCalendarAdvance(Calendar,L340,"1M","f",,Trigger)</f>
        <v>52463</v>
      </c>
      <c r="M341" s="542">
        <f>_xll.qlCalendarAdvance(Calendar,L341,"3M","f",,Trigger)</f>
        <v>52555</v>
      </c>
      <c r="N341" s="544" t="str">
        <f>_xll.qlMakeDatedOIS(,L341,M341,OvernightIndex,0,,,,EvaluationDate)</f>
        <v>obj_00530#0000</v>
      </c>
      <c r="O341" s="543">
        <f>_xll.qlIndexFixing("euribor6m",_xll.qlInterestRateIndexFixingDate("Euribor6M",L341),TRUE,AllTriggers)</f>
        <v>2.1096594641036429E-2</v>
      </c>
      <c r="P341" s="543">
        <f>_xll.qlOvernightIndexedSwapFairRate(N341,AllTriggers)</f>
        <v>2.058460534235684E-2</v>
      </c>
      <c r="Q341" s="545">
        <f t="shared" si="9"/>
        <v>5.1198929867958889E-4</v>
      </c>
    </row>
    <row r="342" spans="5:17" x14ac:dyDescent="0.2">
      <c r="E342" s="537"/>
      <c r="F342" s="537"/>
      <c r="G342" s="536"/>
      <c r="I342" s="536"/>
      <c r="J342" s="536"/>
      <c r="L342" s="551">
        <f>_xll.qlCalendarAdvance(Calendar,L341,"1M","f",,Trigger)</f>
        <v>52495</v>
      </c>
      <c r="M342" s="542">
        <f>_xll.qlCalendarAdvance(Calendar,L342,"3M","f",,Trigger)</f>
        <v>52586</v>
      </c>
      <c r="N342" s="544" t="str">
        <f>_xll.qlMakeDatedOIS(,L342,M342,OvernightIndex,0,,,,EvaluationDate)</f>
        <v>obj_00531#0000</v>
      </c>
      <c r="O342" s="543">
        <f>_xll.qlIndexFixing("euribor6m",_xll.qlInterestRateIndexFixingDate("Euribor6M",L342),TRUE,AllTriggers)</f>
        <v>2.1095863206629165E-2</v>
      </c>
      <c r="P342" s="543">
        <f>_xll.qlOvernightIndexedSwapFairRate(N342,AllTriggers)</f>
        <v>2.0584017874473379E-2</v>
      </c>
      <c r="Q342" s="545">
        <f t="shared" si="9"/>
        <v>5.1184533215578587E-4</v>
      </c>
    </row>
    <row r="343" spans="5:17" x14ac:dyDescent="0.2">
      <c r="E343" s="537"/>
      <c r="F343" s="537"/>
      <c r="G343" s="536"/>
      <c r="I343" s="536"/>
      <c r="J343" s="536"/>
      <c r="L343" s="551">
        <f>_xll.qlCalendarAdvance(Calendar,L342,"1M","f",,Trigger)</f>
        <v>52525</v>
      </c>
      <c r="M343" s="542">
        <f>_xll.qlCalendarAdvance(Calendar,L343,"3M","f",,Trigger)</f>
        <v>52617</v>
      </c>
      <c r="N343" s="544" t="str">
        <f>_xll.qlMakeDatedOIS(,L343,M343,OvernightIndex,0,,,,EvaluationDate)</f>
        <v>obj_00532#0000</v>
      </c>
      <c r="O343" s="543">
        <f>_xll.qlIndexFixing("euribor6m",_xll.qlInterestRateIndexFixingDate("Euribor6M",L343),TRUE,AllTriggers)</f>
        <v>2.1098820933310891E-2</v>
      </c>
      <c r="P343" s="543">
        <f>_xll.qlOvernightIndexedSwapFairRate(N343,AllTriggers)</f>
        <v>2.0584605342357704E-2</v>
      </c>
      <c r="Q343" s="545">
        <f t="shared" si="9"/>
        <v>5.1421559095318758E-4</v>
      </c>
    </row>
    <row r="344" spans="5:17" x14ac:dyDescent="0.2">
      <c r="E344" s="537"/>
      <c r="F344" s="537"/>
      <c r="G344" s="536"/>
      <c r="I344" s="536"/>
      <c r="J344" s="536"/>
      <c r="L344" s="551">
        <f>_xll.qlCalendarAdvance(Calendar,L343,"1M","f",,Trigger)</f>
        <v>52558</v>
      </c>
      <c r="M344" s="542">
        <f>_xll.qlCalendarAdvance(Calendar,L344,"3M","f",,Trigger)</f>
        <v>52650</v>
      </c>
      <c r="N344" s="544" t="str">
        <f>_xll.qlMakeDatedOIS(,L344,M344,OvernightIndex,0,,,,EvaluationDate)</f>
        <v>obj_00533#0000</v>
      </c>
      <c r="O344" s="543">
        <f>_xll.qlIndexFixing("euribor6m",_xll.qlInterestRateIndexFixingDate("Euribor6M",L344),TRUE,AllTriggers)</f>
        <v>2.1101276281455344E-2</v>
      </c>
      <c r="P344" s="543">
        <f>_xll.qlOvernightIndexedSwapFairRate(N344,AllTriggers)</f>
        <v>2.0584605342356836E-2</v>
      </c>
      <c r="Q344" s="545">
        <f t="shared" si="9"/>
        <v>5.1667093909850761E-4</v>
      </c>
    </row>
    <row r="345" spans="5:17" x14ac:dyDescent="0.2">
      <c r="E345" s="537"/>
      <c r="F345" s="537"/>
      <c r="G345" s="536"/>
      <c r="I345" s="536"/>
      <c r="J345" s="536"/>
      <c r="L345" s="551">
        <f>_xll.qlCalendarAdvance(Calendar,L344,"1M","f",,Trigger)</f>
        <v>52588</v>
      </c>
      <c r="M345" s="542">
        <f>_xll.qlCalendarAdvance(Calendar,L345,"3M","f",,Trigger)</f>
        <v>52679</v>
      </c>
      <c r="N345" s="544" t="str">
        <f>_xll.qlMakeDatedOIS(,L345,M345,OvernightIndex,0,,,,EvaluationDate)</f>
        <v>obj_00534#0000</v>
      </c>
      <c r="O345" s="543">
        <f>_xll.qlIndexFixing("euribor6m",_xll.qlInterestRateIndexFixingDate("Euribor6M",L345),TRUE,AllTriggers)</f>
        <v>2.1105350120024801E-2</v>
      </c>
      <c r="P345" s="543">
        <f>_xll.qlOvernightIndexedSwapFairRate(N345,AllTriggers)</f>
        <v>2.0584017874473379E-2</v>
      </c>
      <c r="Q345" s="545">
        <f t="shared" si="9"/>
        <v>5.213322455514223E-4</v>
      </c>
    </row>
    <row r="346" spans="5:17" x14ac:dyDescent="0.2">
      <c r="E346" s="537"/>
      <c r="F346" s="537"/>
      <c r="G346" s="536"/>
      <c r="I346" s="536"/>
      <c r="J346" s="536"/>
      <c r="L346" s="551">
        <f>_xll.qlCalendarAdvance(Calendar,L345,"1M","f",,Trigger)</f>
        <v>52621</v>
      </c>
      <c r="M346" s="542">
        <f>_xll.qlCalendarAdvance(Calendar,L346,"3M","f",,Trigger)</f>
        <v>52712</v>
      </c>
      <c r="N346" s="544" t="str">
        <f>_xll.qlMakeDatedOIS(,L346,M346,OvernightIndex,0,,,,EvaluationDate)</f>
        <v>obj_00535#0000</v>
      </c>
      <c r="O346" s="543">
        <f>_xll.qlIndexFixing("euribor6m",_xll.qlInterestRateIndexFixingDate("Euribor6M",L346),TRUE,AllTriggers)</f>
        <v>2.1108993987203232E-2</v>
      </c>
      <c r="P346" s="543">
        <f>_xll.qlOvernightIndexedSwapFairRate(N346,AllTriggers)</f>
        <v>2.0584017874474256E-2</v>
      </c>
      <c r="Q346" s="545">
        <f t="shared" si="9"/>
        <v>5.2497611272897537E-4</v>
      </c>
    </row>
    <row r="347" spans="5:17" x14ac:dyDescent="0.2">
      <c r="E347" s="537"/>
      <c r="F347" s="537"/>
      <c r="G347" s="536"/>
      <c r="I347" s="536"/>
      <c r="J347" s="536"/>
      <c r="L347" s="551">
        <f>_xll.qlCalendarAdvance(Calendar,L346,"1M","f",,Trigger)</f>
        <v>52652</v>
      </c>
      <c r="M347" s="542">
        <f>_xll.qlCalendarAdvance(Calendar,L347,"3M","f",,Trigger)</f>
        <v>52742</v>
      </c>
      <c r="N347" s="544" t="str">
        <f>_xll.qlMakeDatedOIS(,L347,M347,OvernightIndex,0,,,,EvaluationDate)</f>
        <v>obj_00536#0000</v>
      </c>
      <c r="O347" s="543">
        <f>_xll.qlIndexFixing("euribor6m",_xll.qlInterestRateIndexFixingDate("Euribor6M",L347),TRUE,AllTriggers)</f>
        <v>2.1113637614731444E-2</v>
      </c>
      <c r="P347" s="543">
        <f>_xll.qlOvernightIndexedSwapFairRate(N347,AllTriggers)</f>
        <v>2.0583430428935401E-2</v>
      </c>
      <c r="Q347" s="545">
        <f t="shared" si="9"/>
        <v>5.3020718579604303E-4</v>
      </c>
    </row>
    <row r="348" spans="5:17" x14ac:dyDescent="0.2">
      <c r="E348" s="537"/>
      <c r="F348" s="537"/>
      <c r="G348" s="536"/>
      <c r="I348" s="536"/>
      <c r="J348" s="536"/>
      <c r="L348" s="551">
        <f>_xll.qlCalendarAdvance(Calendar,L347,"1M","f",,Trigger)</f>
        <v>52681</v>
      </c>
      <c r="M348" s="542">
        <f>_xll.qlCalendarAdvance(Calendar,L348,"3M","f",,Trigger)</f>
        <v>52775</v>
      </c>
      <c r="N348" s="544" t="str">
        <f>_xll.qlMakeDatedOIS(,L348,M348,OvernightIndex,0,,,,EvaluationDate)</f>
        <v>obj_00537#0000</v>
      </c>
      <c r="O348" s="543">
        <f>_xll.qlIndexFixing("euribor6m",_xll.qlInterestRateIndexFixingDate("Euribor6M",L348),TRUE,AllTriggers)</f>
        <v>2.1120627638919958E-2</v>
      </c>
      <c r="P348" s="543">
        <f>_xll.qlOvernightIndexedSwapFairRate(N348,AllTriggers)</f>
        <v>2.0585780345161453E-2</v>
      </c>
      <c r="Q348" s="545">
        <f t="shared" si="9"/>
        <v>5.3484729375850512E-4</v>
      </c>
    </row>
    <row r="349" spans="5:17" x14ac:dyDescent="0.2">
      <c r="E349" s="537"/>
      <c r="F349" s="537"/>
      <c r="G349" s="536"/>
      <c r="I349" s="536"/>
      <c r="J349" s="536"/>
      <c r="L349" s="551">
        <f>_xll.qlCalendarAdvance(Calendar,L348,"1M","f",,Trigger)</f>
        <v>52712</v>
      </c>
      <c r="M349" s="542">
        <f>_xll.qlCalendarAdvance(Calendar,L349,"3M","f",,Trigger)</f>
        <v>52803</v>
      </c>
      <c r="N349" s="544" t="str">
        <f>_xll.qlMakeDatedOIS(,L349,M349,OvernightIndex,0,,,,EvaluationDate)</f>
        <v>obj_00538#0000</v>
      </c>
      <c r="O349" s="543">
        <f>_xll.qlIndexFixing("euribor6m",_xll.qlInterestRateIndexFixingDate("Euribor6M",L349),TRUE,AllTriggers)</f>
        <v>2.11249090910429E-2</v>
      </c>
      <c r="P349" s="543">
        <f>_xll.qlOvernightIndexedSwapFairRate(N349,AllTriggers)</f>
        <v>2.0584017874473379E-2</v>
      </c>
      <c r="Q349" s="545">
        <f t="shared" si="9"/>
        <v>5.4089121656952094E-4</v>
      </c>
    </row>
    <row r="350" spans="5:17" x14ac:dyDescent="0.2">
      <c r="E350" s="537"/>
      <c r="F350" s="537"/>
      <c r="G350" s="536"/>
      <c r="I350" s="536"/>
      <c r="J350" s="536"/>
      <c r="L350" s="551">
        <f>_xll.qlCalendarAdvance(Calendar,L349,"1M","f",,Trigger)</f>
        <v>52742</v>
      </c>
      <c r="M350" s="542">
        <f>_xll.qlCalendarAdvance(Calendar,L350,"3M","f",,Trigger)</f>
        <v>52834</v>
      </c>
      <c r="N350" s="544" t="str">
        <f>_xll.qlMakeDatedOIS(,L350,M350,OvernightIndex,0,,,,EvaluationDate)</f>
        <v>obj_00539#0000</v>
      </c>
      <c r="O350" s="543">
        <f>_xll.qlIndexFixing("euribor6m",_xll.qlInterestRateIndexFixingDate("Euribor6M",L350),TRUE,AllTriggers)</f>
        <v>2.1131641277721054E-2</v>
      </c>
      <c r="P350" s="543">
        <f>_xll.qlOvernightIndexedSwapFairRate(N350,AllTriggers)</f>
        <v>2.0584605342356836E-2</v>
      </c>
      <c r="Q350" s="545">
        <f t="shared" si="9"/>
        <v>5.4703593536421791E-4</v>
      </c>
    </row>
    <row r="351" spans="5:17" x14ac:dyDescent="0.2">
      <c r="E351" s="537"/>
      <c r="F351" s="537"/>
      <c r="G351" s="536"/>
      <c r="I351" s="536"/>
      <c r="J351" s="536"/>
      <c r="L351" s="551">
        <f>_xll.qlCalendarAdvance(Calendar,L350,"1M","f",,Trigger)</f>
        <v>52775</v>
      </c>
      <c r="M351" s="542">
        <f>_xll.qlCalendarAdvance(Calendar,L351,"3M","f",,Trigger)</f>
        <v>52867</v>
      </c>
      <c r="N351" s="544" t="str">
        <f>_xll.qlMakeDatedOIS(,L351,M351,OvernightIndex,0,,,,EvaluationDate)</f>
        <v>obj_0053a#0000</v>
      </c>
      <c r="O351" s="543">
        <f>_xll.qlIndexFixing("euribor6m",_xll.qlInterestRateIndexFixingDate("Euribor6M",L351),TRUE,AllTriggers)</f>
        <v>2.1138018801396249E-2</v>
      </c>
      <c r="P351" s="543">
        <f>_xll.qlOvernightIndexedSwapFairRate(N351,AllTriggers)</f>
        <v>2.0800500327658289E-2</v>
      </c>
      <c r="Q351" s="545">
        <f t="shared" si="9"/>
        <v>3.3751847373796051E-4</v>
      </c>
    </row>
    <row r="352" spans="5:17" x14ac:dyDescent="0.2">
      <c r="E352" s="537"/>
      <c r="F352" s="537"/>
      <c r="G352" s="536"/>
      <c r="I352" s="536"/>
      <c r="J352" s="536"/>
      <c r="L352" s="551">
        <f>_xll.qlCalendarAdvance(Calendar,L351,"1M","f",,Trigger)</f>
        <v>52805</v>
      </c>
      <c r="M352" s="542">
        <f>_xll.qlCalendarAdvance(Calendar,L352,"3M","f",,Trigger)</f>
        <v>52897</v>
      </c>
      <c r="N352" s="544" t="str">
        <f>_xll.qlMakeDatedOIS(,L352,M352,OvernightIndex,0,,,,EvaluationDate)</f>
        <v>obj_0053b#0000</v>
      </c>
      <c r="O352" s="543">
        <f>_xll.qlIndexFixing("euribor6m",_xll.qlInterestRateIndexFixingDate("Euribor6M",L352),TRUE,AllTriggers)</f>
        <v>2.1145645418260865E-2</v>
      </c>
      <c r="P352" s="543">
        <f>_xll.qlOvernightIndexedSwapFairRate(N352,AllTriggers)</f>
        <v>2.1094921676408002E-2</v>
      </c>
      <c r="Q352" s="545">
        <f t="shared" si="9"/>
        <v>5.0723741852862908E-5</v>
      </c>
    </row>
    <row r="353" spans="5:17" x14ac:dyDescent="0.2">
      <c r="E353" s="537"/>
      <c r="F353" s="537"/>
      <c r="G353" s="536"/>
      <c r="I353" s="536"/>
      <c r="J353" s="536"/>
      <c r="L353" s="551">
        <f>_xll.qlCalendarAdvance(Calendar,L352,"1M","f",,Trigger)</f>
        <v>52838</v>
      </c>
      <c r="M353" s="542">
        <f>_xll.qlCalendarAdvance(Calendar,L353,"3M","f",,Trigger)</f>
        <v>52930</v>
      </c>
      <c r="N353" s="544" t="str">
        <f>_xll.qlMakeDatedOIS(,L353,M353,OvernightIndex,0,,,,EvaluationDate)</f>
        <v>obj_0053c#0000</v>
      </c>
      <c r="O353" s="543">
        <f>_xll.qlIndexFixing("euribor6m",_xll.qlInterestRateIndexFixingDate("Euribor6M",L353),TRUE,AllTriggers)</f>
        <v>2.1152901000590332E-2</v>
      </c>
      <c r="P353" s="543">
        <f>_xll.qlOvernightIndexedSwapFairRate(N353,AllTriggers)</f>
        <v>2.1418810611016095E-2</v>
      </c>
      <c r="Q353" s="545">
        <f t="shared" si="9"/>
        <v>-2.6590961042576369E-4</v>
      </c>
    </row>
    <row r="354" spans="5:17" x14ac:dyDescent="0.2">
      <c r="E354" s="537"/>
      <c r="F354" s="537"/>
      <c r="G354" s="536"/>
      <c r="I354" s="536"/>
      <c r="J354" s="536"/>
      <c r="L354" s="551">
        <f>_xll.qlCalendarAdvance(Calendar,L353,"1M","f",,Trigger)</f>
        <v>52869</v>
      </c>
      <c r="M354" s="542">
        <f>_xll.qlCalendarAdvance(Calendar,L354,"3M","f",,Trigger)</f>
        <v>52960</v>
      </c>
      <c r="N354" s="544" t="str">
        <f>_xll.qlMakeDatedOIS(,L354,M354,OvernightIndex,0,,,,EvaluationDate)</f>
        <v>obj_0053d#0000</v>
      </c>
      <c r="O354" s="543">
        <f>_xll.qlIndexFixing("euribor6m",_xll.qlInterestRateIndexFixingDate("Euribor6M",L354),TRUE,AllTriggers)</f>
        <v>2.115927671418312E-2</v>
      </c>
      <c r="P354" s="543">
        <f>_xll.qlOvernightIndexedSwapFairRate(N354,AllTriggers)</f>
        <v>2.1486877667003825E-2</v>
      </c>
      <c r="Q354" s="545">
        <f t="shared" si="9"/>
        <v>-3.2760095282070509E-4</v>
      </c>
    </row>
    <row r="355" spans="5:17" x14ac:dyDescent="0.2">
      <c r="E355" s="537"/>
      <c r="F355" s="537"/>
      <c r="G355" s="536"/>
      <c r="I355" s="536"/>
      <c r="J355" s="536"/>
      <c r="L355" s="551">
        <f>_xll.qlCalendarAdvance(Calendar,L354,"1M","f",,Trigger)</f>
        <v>52901</v>
      </c>
      <c r="M355" s="542">
        <f>_xll.qlCalendarAdvance(Calendar,L355,"3M","f",,Trigger)</f>
        <v>52993</v>
      </c>
      <c r="N355" s="544" t="str">
        <f>_xll.qlMakeDatedOIS(,L355,M355,OvernightIndex,0,,,,EvaluationDate)</f>
        <v>obj_0053e#0000</v>
      </c>
      <c r="O355" s="543">
        <f>_xll.qlIndexFixing("euribor6m",_xll.qlInterestRateIndexFixingDate("Euribor6M",L355),TRUE,AllTriggers)</f>
        <v>2.1166248687552559E-2</v>
      </c>
      <c r="P355" s="543">
        <f>_xll.qlOvernightIndexedSwapFairRate(N355,AllTriggers)</f>
        <v>2.1487517752359381E-2</v>
      </c>
      <c r="Q355" s="545">
        <f t="shared" si="9"/>
        <v>-3.2126906480682213E-4</v>
      </c>
    </row>
    <row r="356" spans="5:17" x14ac:dyDescent="0.2">
      <c r="E356" s="537"/>
      <c r="F356" s="537"/>
      <c r="G356" s="536"/>
      <c r="I356" s="536"/>
      <c r="J356" s="536"/>
      <c r="L356" s="551">
        <f>_xll.qlCalendarAdvance(Calendar,L355,"1M","f",,Trigger)</f>
        <v>52931</v>
      </c>
      <c r="M356" s="542">
        <f>_xll.qlCalendarAdvance(Calendar,L356,"3M","f",,Trigger)</f>
        <v>53021</v>
      </c>
      <c r="N356" s="544" t="str">
        <f>_xll.qlMakeDatedOIS(,L356,M356,OvernightIndex,0,,,,EvaluationDate)</f>
        <v>obj_0053f#0000</v>
      </c>
      <c r="O356" s="543">
        <f>_xll.qlIndexFixing("euribor6m",_xll.qlInterestRateIndexFixingDate("Euribor6M",L356),TRUE,AllTriggers)</f>
        <v>2.1176839369449103E-2</v>
      </c>
      <c r="P356" s="543">
        <f>_xll.qlOvernightIndexedSwapFairRate(N356,AllTriggers)</f>
        <v>2.1486237607061476E-2</v>
      </c>
      <c r="Q356" s="545">
        <f t="shared" si="9"/>
        <v>-3.0939823761237314E-4</v>
      </c>
    </row>
    <row r="357" spans="5:17" x14ac:dyDescent="0.2">
      <c r="E357" s="537"/>
      <c r="F357" s="537"/>
      <c r="G357" s="536"/>
      <c r="I357" s="536"/>
      <c r="J357" s="536"/>
      <c r="L357" s="551">
        <f>_xll.qlCalendarAdvance(Calendar,L356,"1M","f",,Trigger)</f>
        <v>52961</v>
      </c>
      <c r="M357" s="542">
        <f>_xll.qlCalendarAdvance(Calendar,L357,"3M","f",,Trigger)</f>
        <v>53051</v>
      </c>
      <c r="N357" s="544" t="str">
        <f>_xll.qlMakeDatedOIS(,L357,M357,OvernightIndex,0,,,,EvaluationDate)</f>
        <v>obj_00540#0000</v>
      </c>
      <c r="O357" s="543">
        <f>_xll.qlIndexFixing("euribor6m",_xll.qlInterestRateIndexFixingDate("Euribor6M",L357),TRUE,AllTriggers)</f>
        <v>2.1185473715299712E-2</v>
      </c>
      <c r="P357" s="543">
        <f>_xll.qlOvernightIndexedSwapFairRate(N357,AllTriggers)</f>
        <v>2.1486237607062364E-2</v>
      </c>
      <c r="Q357" s="545">
        <f t="shared" si="9"/>
        <v>-3.0076389176265234E-4</v>
      </c>
    </row>
    <row r="358" spans="5:17" x14ac:dyDescent="0.2">
      <c r="E358" s="537"/>
      <c r="F358" s="537"/>
      <c r="G358" s="536"/>
      <c r="I358" s="536"/>
      <c r="J358" s="536"/>
      <c r="L358" s="551">
        <f>_xll.qlCalendarAdvance(Calendar,L357,"1M","f",,Trigger)</f>
        <v>52992</v>
      </c>
      <c r="M358" s="542">
        <f>_xll.qlCalendarAdvance(Calendar,L358,"3M","f",,Trigger)</f>
        <v>53084</v>
      </c>
      <c r="N358" s="544" t="str">
        <f>_xll.qlMakeDatedOIS(,L358,M358,OvernightIndex,0,,,,EvaluationDate)</f>
        <v>obj_00541#0000</v>
      </c>
      <c r="O358" s="543">
        <f>_xll.qlIndexFixing("euribor6m",_xll.qlInterestRateIndexFixingDate("Euribor6M",L358),TRUE,AllTriggers)</f>
        <v>2.1194739556607563E-2</v>
      </c>
      <c r="P358" s="543">
        <f>_xll.qlOvernightIndexedSwapFairRate(N358,AllTriggers)</f>
        <v>2.148751775235851E-2</v>
      </c>
      <c r="Q358" s="545">
        <f t="shared" si="9"/>
        <v>-2.9277819575094718E-4</v>
      </c>
    </row>
    <row r="359" spans="5:17" x14ac:dyDescent="0.2">
      <c r="E359" s="537"/>
      <c r="F359" s="537"/>
      <c r="G359" s="536"/>
      <c r="I359" s="536"/>
      <c r="J359" s="536"/>
      <c r="L359" s="551">
        <f>_xll.qlCalendarAdvance(Calendar,L358,"1M","f",,Trigger)</f>
        <v>53021</v>
      </c>
      <c r="M359" s="542">
        <f>_xll.qlCalendarAdvance(Calendar,L359,"3M","f",,Trigger)</f>
        <v>53111</v>
      </c>
      <c r="N359" s="544" t="str">
        <f>_xll.qlMakeDatedOIS(,L359,M359,OvernightIndex,0,,,,EvaluationDate)</f>
        <v>obj_00542#0000</v>
      </c>
      <c r="O359" s="543">
        <f>_xll.qlIndexFixing("euribor6m",_xll.qlInterestRateIndexFixingDate("Euribor6M",L359),TRUE,AllTriggers)</f>
        <v>2.1205294718240234E-2</v>
      </c>
      <c r="P359" s="543">
        <f>_xll.qlOvernightIndexedSwapFairRate(N359,AllTriggers)</f>
        <v>2.1486237607061476E-2</v>
      </c>
      <c r="Q359" s="545">
        <f t="shared" si="9"/>
        <v>-2.809428888212416E-4</v>
      </c>
    </row>
    <row r="360" spans="5:17" x14ac:dyDescent="0.2">
      <c r="E360" s="537"/>
      <c r="F360" s="537"/>
      <c r="G360" s="536"/>
      <c r="I360" s="536"/>
      <c r="J360" s="536"/>
      <c r="L360" s="551">
        <f>_xll.qlCalendarAdvance(Calendar,L359,"1M","f",,Trigger)</f>
        <v>53049</v>
      </c>
      <c r="M360" s="542">
        <f>_xll.qlCalendarAdvance(Calendar,L360,"3M","f",,Trigger)</f>
        <v>53141</v>
      </c>
      <c r="N360" s="544" t="str">
        <f>_xll.qlMakeDatedOIS(,L360,M360,OvernightIndex,0,,,,EvaluationDate)</f>
        <v>obj_00543#0000</v>
      </c>
      <c r="O360" s="543">
        <f>_xll.qlIndexFixing("euribor6m",_xll.qlInterestRateIndexFixingDate("Euribor6M",L360),TRUE,AllTriggers)</f>
        <v>2.121427051109008E-2</v>
      </c>
      <c r="P360" s="543">
        <f>_xll.qlOvernightIndexedSwapFairRate(N360,AllTriggers)</f>
        <v>2.1487517752358513E-2</v>
      </c>
      <c r="Q360" s="545">
        <f t="shared" si="9"/>
        <v>-2.7324724126843308E-4</v>
      </c>
    </row>
    <row r="361" spans="5:17" x14ac:dyDescent="0.2">
      <c r="E361" s="537"/>
      <c r="F361" s="537"/>
      <c r="G361" s="536"/>
      <c r="I361" s="536"/>
      <c r="J361" s="536"/>
      <c r="L361" s="551">
        <f>_xll.qlCalendarAdvance(Calendar,L360,"1M","f",,Trigger)</f>
        <v>53080</v>
      </c>
      <c r="M361" s="542">
        <f>_xll.qlCalendarAdvance(Calendar,L361,"3M","f",,Trigger)</f>
        <v>53171</v>
      </c>
      <c r="N361" s="544" t="str">
        <f>_xll.qlMakeDatedOIS(,L361,M361,OvernightIndex,0,,,,EvaluationDate)</f>
        <v>obj_00544#0000</v>
      </c>
      <c r="O361" s="543">
        <f>_xll.qlIndexFixing("euribor6m",_xll.qlInterestRateIndexFixingDate("Euribor6M",L361),TRUE,AllTriggers)</f>
        <v>2.1226135704261084E-2</v>
      </c>
      <c r="P361" s="543">
        <f>_xll.qlOvernightIndexedSwapFairRate(N361,AllTriggers)</f>
        <v>2.1486877667004699E-2</v>
      </c>
      <c r="Q361" s="545">
        <f t="shared" si="9"/>
        <v>-2.6074196274361583E-4</v>
      </c>
    </row>
    <row r="362" spans="5:17" x14ac:dyDescent="0.2">
      <c r="E362" s="537"/>
      <c r="F362" s="537"/>
      <c r="G362" s="536"/>
      <c r="I362" s="536"/>
      <c r="J362" s="536"/>
      <c r="L362" s="551">
        <f>_xll.qlCalendarAdvance(Calendar,L361,"1M","f",,Trigger)</f>
        <v>53111</v>
      </c>
      <c r="M362" s="542">
        <f>_xll.qlCalendarAdvance(Calendar,L362,"3M","f",,Trigger)</f>
        <v>53203</v>
      </c>
      <c r="N362" s="544" t="str">
        <f>_xll.qlMakeDatedOIS(,L362,M362,OvernightIndex,0,,,,EvaluationDate)</f>
        <v>obj_00545#0000</v>
      </c>
      <c r="O362" s="543">
        <f>_xll.qlIndexFixing("euribor6m",_xll.qlInterestRateIndexFixingDate("Euribor6M",L362),TRUE,AllTriggers)</f>
        <v>2.1235159798323106E-2</v>
      </c>
      <c r="P362" s="543">
        <f>_xll.qlOvernightIndexedSwapFairRate(N362,AllTriggers)</f>
        <v>2.148751775235851E-2</v>
      </c>
      <c r="Q362" s="545">
        <f t="shared" si="9"/>
        <v>-2.5235795403540442E-4</v>
      </c>
    </row>
    <row r="363" spans="5:17" x14ac:dyDescent="0.2">
      <c r="E363" s="537"/>
      <c r="F363" s="537"/>
      <c r="G363" s="536"/>
      <c r="I363" s="536"/>
      <c r="J363" s="536"/>
      <c r="L363" s="551">
        <f>_xll.qlCalendarAdvance(Calendar,L362,"1M","f",,Trigger)</f>
        <v>53142</v>
      </c>
      <c r="M363" s="542">
        <f>_xll.qlCalendarAdvance(Calendar,L363,"3M","f",,Trigger)</f>
        <v>53234</v>
      </c>
      <c r="N363" s="544" t="str">
        <f>_xll.qlMakeDatedOIS(,L363,M363,OvernightIndex,0,,,,EvaluationDate)</f>
        <v>obj_00546#0000</v>
      </c>
      <c r="O363" s="543">
        <f>_xll.qlIndexFixing("euribor6m",_xll.qlInterestRateIndexFixingDate("Euribor6M",L363),TRUE,AllTriggers)</f>
        <v>2.1245318609679778E-2</v>
      </c>
      <c r="P363" s="543">
        <f>_xll.qlOvernightIndexedSwapFairRate(N363,AllTriggers)</f>
        <v>2.148751775235851E-2</v>
      </c>
      <c r="Q363" s="545">
        <f t="shared" si="9"/>
        <v>-2.4219914267873191E-4</v>
      </c>
    </row>
    <row r="364" spans="5:17" x14ac:dyDescent="0.2">
      <c r="E364" s="537"/>
      <c r="F364" s="537"/>
      <c r="G364" s="536"/>
      <c r="I364" s="536"/>
      <c r="J364" s="536"/>
      <c r="L364" s="551">
        <f>_xll.qlCalendarAdvance(Calendar,L363,"1M","f",,Trigger)</f>
        <v>53174</v>
      </c>
      <c r="M364" s="542">
        <f>_xll.qlCalendarAdvance(Calendar,L364,"3M","f",,Trigger)</f>
        <v>53266</v>
      </c>
      <c r="N364" s="544" t="str">
        <f>_xll.qlMakeDatedOIS(,L364,M364,OvernightIndex,0,,,,EvaluationDate)</f>
        <v>obj_00547#0000</v>
      </c>
      <c r="O364" s="543">
        <f>_xll.qlIndexFixing("euribor6m",_xll.qlInterestRateIndexFixingDate("Euribor6M",L364),TRUE,AllTriggers)</f>
        <v>2.1257817543463203E-2</v>
      </c>
      <c r="P364" s="543">
        <f>_xll.qlOvernightIndexedSwapFairRate(N364,AllTriggers)</f>
        <v>2.148751775235851E-2</v>
      </c>
      <c r="Q364" s="545">
        <f t="shared" si="9"/>
        <v>-2.2970020889530665E-4</v>
      </c>
    </row>
    <row r="365" spans="5:17" x14ac:dyDescent="0.2">
      <c r="E365" s="537"/>
      <c r="F365" s="537"/>
      <c r="G365" s="536"/>
      <c r="I365" s="536"/>
      <c r="J365" s="536"/>
      <c r="L365" s="551">
        <f>_xll.qlCalendarAdvance(Calendar,L364,"1M","f",,Trigger)</f>
        <v>53205</v>
      </c>
      <c r="M365" s="542">
        <f>_xll.qlCalendarAdvance(Calendar,L365,"3M","f",,Trigger)</f>
        <v>53296</v>
      </c>
      <c r="N365" s="544" t="str">
        <f>_xll.qlMakeDatedOIS(,L365,M365,OvernightIndex,0,,,,EvaluationDate)</f>
        <v>obj_00548#0000</v>
      </c>
      <c r="O365" s="543">
        <f>_xll.qlIndexFixing("euribor6m",_xll.qlInterestRateIndexFixingDate("Euribor6M",L365),TRUE,AllTriggers)</f>
        <v>2.1267028632710312E-2</v>
      </c>
      <c r="P365" s="543">
        <f>_xll.qlOvernightIndexedSwapFairRate(N365,AllTriggers)</f>
        <v>2.1486877667004703E-2</v>
      </c>
      <c r="Q365" s="545">
        <f t="shared" si="9"/>
        <v>-2.1984903429439137E-4</v>
      </c>
    </row>
    <row r="366" spans="5:17" x14ac:dyDescent="0.2">
      <c r="E366" s="537"/>
      <c r="F366" s="537"/>
      <c r="G366" s="536"/>
      <c r="I366" s="536"/>
      <c r="J366" s="536"/>
      <c r="L366" s="551">
        <f>_xll.qlCalendarAdvance(Calendar,L365,"1M","f",,Trigger)</f>
        <v>53237</v>
      </c>
      <c r="M366" s="542">
        <f>_xll.qlCalendarAdvance(Calendar,L366,"3M","f",,Trigger)</f>
        <v>53329</v>
      </c>
      <c r="N366" s="544" t="str">
        <f>_xll.qlMakeDatedOIS(,L366,M366,OvernightIndex,0,,,,EvaluationDate)</f>
        <v>obj_00549#0000</v>
      </c>
      <c r="O366" s="543">
        <f>_xll.qlIndexFixing("euribor6m",_xll.qlInterestRateIndexFixingDate("Euribor6M",L366),TRUE,AllTriggers)</f>
        <v>2.1280259936393733E-2</v>
      </c>
      <c r="P366" s="543">
        <f>_xll.qlOvernightIndexedSwapFairRate(N366,AllTriggers)</f>
        <v>2.148751775235851E-2</v>
      </c>
      <c r="Q366" s="545">
        <f t="shared" si="9"/>
        <v>-2.0725781596477727E-4</v>
      </c>
    </row>
    <row r="367" spans="5:17" x14ac:dyDescent="0.2">
      <c r="E367" s="537"/>
      <c r="F367" s="537"/>
      <c r="G367" s="536"/>
      <c r="I367" s="536"/>
      <c r="J367" s="536"/>
      <c r="L367" s="551">
        <f>_xll.qlCalendarAdvance(Calendar,L366,"1M","f",,Trigger)</f>
        <v>53268</v>
      </c>
      <c r="M367" s="542">
        <f>_xll.qlCalendarAdvance(Calendar,L367,"3M","f",,Trigger)</f>
        <v>53360</v>
      </c>
      <c r="N367" s="544" t="str">
        <f>_xll.qlMakeDatedOIS(,L367,M367,OvernightIndex,0,,,,EvaluationDate)</f>
        <v>obj_0054a#0000</v>
      </c>
      <c r="O367" s="543">
        <f>_xll.qlIndexFixing("euribor6m",_xll.qlInterestRateIndexFixingDate("Euribor6M",L367),TRUE,AllTriggers)</f>
        <v>2.1291800768367997E-2</v>
      </c>
      <c r="P367" s="543">
        <f>_xll.qlOvernightIndexedSwapFairRate(N367,AllTriggers)</f>
        <v>2.148751775235851E-2</v>
      </c>
      <c r="Q367" s="545">
        <f t="shared" si="9"/>
        <v>-1.9571698399051263E-4</v>
      </c>
    </row>
    <row r="368" spans="5:17" x14ac:dyDescent="0.2">
      <c r="E368" s="537"/>
      <c r="F368" s="537"/>
      <c r="G368" s="536"/>
      <c r="I368" s="536"/>
      <c r="J368" s="536"/>
      <c r="L368" s="551">
        <f>_xll.qlCalendarAdvance(Calendar,L367,"1M","f",,Trigger)</f>
        <v>53300</v>
      </c>
      <c r="M368" s="542">
        <f>_xll.qlCalendarAdvance(Calendar,L368,"3M","f",,Trigger)</f>
        <v>53391</v>
      </c>
      <c r="N368" s="544" t="str">
        <f>_xll.qlMakeDatedOIS(,L368,M368,OvernightIndex,0,,,,EvaluationDate)</f>
        <v>obj_0054b#0000</v>
      </c>
      <c r="O368" s="543">
        <f>_xll.qlIndexFixing("euribor6m",_xll.qlInterestRateIndexFixingDate("Euribor6M",L368),TRUE,AllTriggers)</f>
        <v>2.1305777895925537E-2</v>
      </c>
      <c r="P368" s="543">
        <f>_xll.qlOvernightIndexedSwapFairRate(N368,AllTriggers)</f>
        <v>2.1486877667004703E-2</v>
      </c>
      <c r="Q368" s="545">
        <f t="shared" si="9"/>
        <v>-1.8109977107916633E-4</v>
      </c>
    </row>
    <row r="369" spans="5:17" x14ac:dyDescent="0.2">
      <c r="E369" s="537"/>
      <c r="F369" s="537"/>
      <c r="G369" s="536"/>
      <c r="I369" s="536"/>
      <c r="J369" s="536"/>
      <c r="L369" s="551">
        <f>_xll.qlCalendarAdvance(Calendar,L368,"1M","f",,Trigger)</f>
        <v>53331</v>
      </c>
      <c r="M369" s="542">
        <f>_xll.qlCalendarAdvance(Calendar,L369,"3M","f",,Trigger)</f>
        <v>53421</v>
      </c>
      <c r="N369" s="544" t="str">
        <f>_xll.qlMakeDatedOIS(,L369,M369,OvernightIndex,0,,,,EvaluationDate)</f>
        <v>obj_0054c#0000</v>
      </c>
      <c r="O369" s="543">
        <f>_xll.qlIndexFixing("euribor6m",_xll.qlInterestRateIndexFixingDate("Euribor6M",L369),TRUE,AllTriggers)</f>
        <v>2.1318015758042281E-2</v>
      </c>
      <c r="P369" s="543">
        <f>_xll.qlOvernightIndexedSwapFairRate(N369,AllTriggers)</f>
        <v>2.1486237607061476E-2</v>
      </c>
      <c r="Q369" s="545">
        <f t="shared" si="9"/>
        <v>-1.6822184901919487E-4</v>
      </c>
    </row>
    <row r="370" spans="5:17" x14ac:dyDescent="0.2">
      <c r="E370" s="537"/>
      <c r="F370" s="537"/>
      <c r="G370" s="536"/>
      <c r="I370" s="536"/>
      <c r="J370" s="536"/>
      <c r="L370" s="551">
        <f>_xll.qlCalendarAdvance(Calendar,L369,"1M","f",,Trigger)</f>
        <v>53363</v>
      </c>
      <c r="M370" s="542">
        <f>_xll.qlCalendarAdvance(Calendar,L370,"3M","f",,Trigger)</f>
        <v>53454</v>
      </c>
      <c r="N370" s="544" t="str">
        <f>_xll.qlMakeDatedOIS(,L370,M370,OvernightIndex,0,,,,EvaluationDate)</f>
        <v>obj_0054d#0000</v>
      </c>
      <c r="O370" s="543">
        <f>_xll.qlIndexFixing("euribor6m",_xll.qlInterestRateIndexFixingDate("Euribor6M",L370),TRUE,AllTriggers)</f>
        <v>2.1332738825038083E-2</v>
      </c>
      <c r="P370" s="543">
        <f>_xll.qlOvernightIndexedSwapFairRate(N370,AllTriggers)</f>
        <v>2.1486877667004699E-2</v>
      </c>
      <c r="Q370" s="545">
        <f t="shared" si="9"/>
        <v>-1.5413884196661606E-4</v>
      </c>
    </row>
    <row r="371" spans="5:17" x14ac:dyDescent="0.2">
      <c r="E371" s="537"/>
      <c r="F371" s="537"/>
      <c r="G371" s="536"/>
      <c r="I371" s="536"/>
      <c r="J371" s="536"/>
      <c r="L371" s="551">
        <f>_xll.qlCalendarAdvance(Calendar,L370,"1M","f",,Trigger)</f>
        <v>53391</v>
      </c>
      <c r="M371" s="542">
        <f>_xll.qlCalendarAdvance(Calendar,L371,"3M","f",,Trigger)</f>
        <v>53483</v>
      </c>
      <c r="N371" s="544" t="str">
        <f>_xll.qlMakeDatedOIS(,L371,M371,OvernightIndex,0,,,,EvaluationDate)</f>
        <v>obj_0054e#0000</v>
      </c>
      <c r="O371" s="543">
        <f>_xll.qlIndexFixing("euribor6m",_xll.qlInterestRateIndexFixingDate("Euribor6M",L371),TRUE,AllTriggers)</f>
        <v>2.1346906681067243E-2</v>
      </c>
      <c r="P371" s="543">
        <f>_xll.qlOvernightIndexedSwapFairRate(N371,AllTriggers)</f>
        <v>2.148751775235851E-2</v>
      </c>
      <c r="Q371" s="545">
        <f t="shared" si="9"/>
        <v>-1.4061107129126685E-4</v>
      </c>
    </row>
    <row r="372" spans="5:17" x14ac:dyDescent="0.2">
      <c r="E372" s="537"/>
      <c r="F372" s="537"/>
      <c r="G372" s="536"/>
      <c r="I372" s="536"/>
      <c r="J372" s="536"/>
      <c r="L372" s="551">
        <f>_xll.qlCalendarAdvance(Calendar,L371,"1M","f",,Trigger)</f>
        <v>53422</v>
      </c>
      <c r="M372" s="542">
        <f>_xll.qlCalendarAdvance(Calendar,L372,"3M","f",,Trigger)</f>
        <v>53513</v>
      </c>
      <c r="N372" s="544" t="str">
        <f>_xll.qlMakeDatedOIS(,L372,M372,OvernightIndex,0,,,,EvaluationDate)</f>
        <v>obj_0054f#0000</v>
      </c>
      <c r="O372" s="543">
        <f>_xll.qlIndexFixing("euribor6m",_xll.qlInterestRateIndexFixingDate("Euribor6M",L372),TRUE,AllTriggers)</f>
        <v>2.1360163850316118E-2</v>
      </c>
      <c r="P372" s="543">
        <f>_xll.qlOvernightIndexedSwapFairRate(N372,AllTriggers)</f>
        <v>2.1486877667004703E-2</v>
      </c>
      <c r="Q372" s="545">
        <f t="shared" si="9"/>
        <v>-1.2671381668858533E-4</v>
      </c>
    </row>
    <row r="373" spans="5:17" x14ac:dyDescent="0.2">
      <c r="E373" s="537"/>
      <c r="F373" s="537"/>
      <c r="G373" s="536"/>
      <c r="I373" s="536"/>
      <c r="J373" s="536"/>
      <c r="L373" s="551">
        <f>_xll.qlCalendarAdvance(Calendar,L372,"1M","f",,Trigger)</f>
        <v>53454</v>
      </c>
      <c r="M373" s="542">
        <f>_xll.qlCalendarAdvance(Calendar,L373,"3M","f",,Trigger)</f>
        <v>53546</v>
      </c>
      <c r="N373" s="544" t="str">
        <f>_xll.qlMakeDatedOIS(,L373,M373,OvernightIndex,0,,,,EvaluationDate)</f>
        <v>obj_00550#0000</v>
      </c>
      <c r="O373" s="543">
        <f>_xll.qlIndexFixing("euribor6m",_xll.qlInterestRateIndexFixingDate("Euribor6M",L373),TRUE,AllTriggers)</f>
        <v>2.1375978340894965E-2</v>
      </c>
      <c r="P373" s="543">
        <f>_xll.qlOvernightIndexedSwapFairRate(N373,AllTriggers)</f>
        <v>2.1487517752358506E-2</v>
      </c>
      <c r="Q373" s="545">
        <f t="shared" si="9"/>
        <v>-1.115394114635411E-4</v>
      </c>
    </row>
    <row r="374" spans="5:17" x14ac:dyDescent="0.2">
      <c r="E374" s="537"/>
      <c r="F374" s="537"/>
      <c r="G374" s="536"/>
      <c r="I374" s="536"/>
      <c r="J374" s="536"/>
      <c r="L374" s="551">
        <f>_xll.qlCalendarAdvance(Calendar,L373,"1M","f",,Trigger)</f>
        <v>53485</v>
      </c>
      <c r="M374" s="542">
        <f>_xll.qlCalendarAdvance(Calendar,L374,"3M","f",,Trigger)</f>
        <v>53577</v>
      </c>
      <c r="N374" s="544" t="str">
        <f>_xll.qlMakeDatedOIS(,L374,M374,OvernightIndex,0,,,,EvaluationDate)</f>
        <v>obj_00551#0000</v>
      </c>
      <c r="O374" s="543">
        <f>_xll.qlIndexFixing("euribor6m",_xll.qlInterestRateIndexFixingDate("Euribor6M",L374),TRUE,AllTriggers)</f>
        <v>2.138993248152515E-2</v>
      </c>
      <c r="P374" s="543">
        <f>_xll.qlOvernightIndexedSwapFairRate(N374,AllTriggers)</f>
        <v>2.1487517752358513E-2</v>
      </c>
      <c r="Q374" s="545">
        <f t="shared" si="9"/>
        <v>-9.7585270833363408E-5</v>
      </c>
    </row>
    <row r="375" spans="5:17" x14ac:dyDescent="0.2">
      <c r="E375" s="537"/>
      <c r="F375" s="537"/>
      <c r="G375" s="536"/>
      <c r="I375" s="536"/>
      <c r="J375" s="536"/>
      <c r="L375" s="551">
        <f>_xll.qlCalendarAdvance(Calendar,L374,"1M","f",,Trigger)</f>
        <v>53517</v>
      </c>
      <c r="M375" s="542">
        <f>_xll.qlCalendarAdvance(Calendar,L375,"3M","f",,Trigger)</f>
        <v>53609</v>
      </c>
      <c r="N375" s="544" t="str">
        <f>_xll.qlMakeDatedOIS(,L375,M375,OvernightIndex,0,,,,EvaluationDate)</f>
        <v>obj_00552#0000</v>
      </c>
      <c r="O375" s="543">
        <f>_xll.qlIndexFixing("euribor6m",_xll.qlInterestRateIndexFixingDate("Euribor6M",L375),TRUE,AllTriggers)</f>
        <v>2.1406493294864281E-2</v>
      </c>
      <c r="P375" s="543">
        <f>_xll.qlOvernightIndexedSwapFairRate(N375,AllTriggers)</f>
        <v>2.148751775235851E-2</v>
      </c>
      <c r="Q375" s="545">
        <f t="shared" si="9"/>
        <v>-8.1024457494228985E-5</v>
      </c>
    </row>
    <row r="376" spans="5:17" x14ac:dyDescent="0.2">
      <c r="E376" s="537"/>
      <c r="F376" s="537"/>
      <c r="G376" s="536"/>
      <c r="I376" s="536"/>
      <c r="J376" s="536"/>
      <c r="L376" s="551">
        <f>_xll.qlCalendarAdvance(Calendar,L375,"1M","f",,Trigger)</f>
        <v>53548</v>
      </c>
      <c r="M376" s="542">
        <f>_xll.qlCalendarAdvance(Calendar,L376,"3M","f",,Trigger)</f>
        <v>53640</v>
      </c>
      <c r="N376" s="544" t="str">
        <f>_xll.qlMakeDatedOIS(,L376,M376,OvernightIndex,0,,,,EvaluationDate)</f>
        <v>obj_00553#0000</v>
      </c>
      <c r="O376" s="543">
        <f>_xll.qlIndexFixing("euribor6m",_xll.qlInterestRateIndexFixingDate("Euribor6M",L376),TRUE,AllTriggers)</f>
        <v>2.1423827136872669E-2</v>
      </c>
      <c r="P376" s="543">
        <f>_xll.qlOvernightIndexedSwapFairRate(N376,AllTriggers)</f>
        <v>2.148751775235851E-2</v>
      </c>
      <c r="Q376" s="545">
        <f t="shared" si="9"/>
        <v>-6.369061548584104E-5</v>
      </c>
    </row>
    <row r="377" spans="5:17" x14ac:dyDescent="0.2">
      <c r="E377" s="537"/>
      <c r="F377" s="537"/>
      <c r="G377" s="536"/>
      <c r="I377" s="536"/>
      <c r="J377" s="536"/>
      <c r="L377" s="551">
        <f>_xll.qlCalendarAdvance(Calendar,L376,"1M","f",,Trigger)</f>
        <v>53580</v>
      </c>
      <c r="M377" s="542">
        <f>_xll.qlCalendarAdvance(Calendar,L377,"3M","f",,Trigger)</f>
        <v>53671</v>
      </c>
      <c r="N377" s="544" t="str">
        <f>_xll.qlMakeDatedOIS(,L377,M377,OvernightIndex,0,,,,EvaluationDate)</f>
        <v>obj_00554#0000</v>
      </c>
      <c r="O377" s="543">
        <f>_xll.qlIndexFixing("euribor6m",_xll.qlInterestRateIndexFixingDate("Euribor6M",L377),TRUE,AllTriggers)</f>
        <v>2.1436650037183667E-2</v>
      </c>
      <c r="P377" s="543">
        <f>_xll.qlOvernightIndexedSwapFairRate(N377,AllTriggers)</f>
        <v>2.1486877667004699E-2</v>
      </c>
      <c r="Q377" s="545">
        <f t="shared" si="9"/>
        <v>-5.0227629821032044E-5</v>
      </c>
    </row>
    <row r="378" spans="5:17" x14ac:dyDescent="0.2">
      <c r="E378" s="537"/>
      <c r="F378" s="537"/>
      <c r="G378" s="536"/>
      <c r="I378" s="536"/>
      <c r="J378" s="536"/>
      <c r="L378" s="551">
        <f>_xll.qlCalendarAdvance(Calendar,L377,"1M","f",,Trigger)</f>
        <v>53610</v>
      </c>
      <c r="M378" s="542">
        <f>_xll.qlCalendarAdvance(Calendar,L378,"3M","f",,Trigger)</f>
        <v>53702</v>
      </c>
      <c r="N378" s="544" t="str">
        <f>_xll.qlMakeDatedOIS(,L378,M378,OvernightIndex,0,,,,EvaluationDate)</f>
        <v>obj_00555#0000</v>
      </c>
      <c r="O378" s="543">
        <f>_xll.qlIndexFixing("euribor6m",_xll.qlInterestRateIndexFixingDate("Euribor6M",L378),TRUE,AllTriggers)</f>
        <v>2.1452362833777626E-2</v>
      </c>
      <c r="P378" s="543">
        <f>_xll.qlOvernightIndexedSwapFairRate(N378,AllTriggers)</f>
        <v>2.148751775235851E-2</v>
      </c>
      <c r="Q378" s="545">
        <f t="shared" si="9"/>
        <v>-3.5154918580884015E-5</v>
      </c>
    </row>
    <row r="379" spans="5:17" x14ac:dyDescent="0.2">
      <c r="E379" s="537"/>
      <c r="F379" s="537"/>
      <c r="G379" s="536"/>
      <c r="I379" s="536"/>
      <c r="J379" s="536"/>
      <c r="L379" s="551">
        <f>_xll.qlCalendarAdvance(Calendar,L378,"1M","f",,Trigger)</f>
        <v>53643</v>
      </c>
      <c r="M379" s="542">
        <f>_xll.qlCalendarAdvance(Calendar,L379,"3M","f",,Trigger)</f>
        <v>53735</v>
      </c>
      <c r="N379" s="544" t="str">
        <f>_xll.qlMakeDatedOIS(,L379,M379,OvernightIndex,0,,,,EvaluationDate)</f>
        <v>obj_00556#0000</v>
      </c>
      <c r="O379" s="543">
        <f>_xll.qlIndexFixing("euribor6m",_xll.qlInterestRateIndexFixingDate("Euribor6M",L379),TRUE,AllTriggers)</f>
        <v>2.1470024913997084E-2</v>
      </c>
      <c r="P379" s="543">
        <f>_xll.qlOvernightIndexedSwapFairRate(N379,AllTriggers)</f>
        <v>2.148751775235851E-2</v>
      </c>
      <c r="Q379" s="545">
        <f t="shared" si="9"/>
        <v>-1.7492838361426316E-5</v>
      </c>
    </row>
    <row r="380" spans="5:17" x14ac:dyDescent="0.2">
      <c r="E380" s="537"/>
      <c r="F380" s="537"/>
      <c r="G380" s="536"/>
      <c r="I380" s="536"/>
      <c r="J380" s="536"/>
      <c r="L380" s="551">
        <f>_xll.qlCalendarAdvance(Calendar,L379,"1M","f",,Trigger)</f>
        <v>53673</v>
      </c>
      <c r="M380" s="542">
        <f>_xll.qlCalendarAdvance(Calendar,L380,"3M","f",,Trigger)</f>
        <v>53763</v>
      </c>
      <c r="N380" s="544" t="str">
        <f>_xll.qlMakeDatedOIS(,L380,M380,OvernightIndex,0,,,,EvaluationDate)</f>
        <v>obj_00557#0000</v>
      </c>
      <c r="O380" s="543">
        <f>_xll.qlIndexFixing("euribor6m",_xll.qlInterestRateIndexFixingDate("Euribor6M",L380),TRUE,AllTriggers)</f>
        <v>2.1486424999081776E-2</v>
      </c>
      <c r="P380" s="543">
        <f>_xll.qlOvernightIndexedSwapFairRate(N380,AllTriggers)</f>
        <v>2.1486237607062364E-2</v>
      </c>
      <c r="Q380" s="545">
        <f t="shared" si="9"/>
        <v>1.8739201941217476E-7</v>
      </c>
    </row>
    <row r="381" spans="5:17" x14ac:dyDescent="0.2">
      <c r="E381" s="537"/>
      <c r="F381" s="537"/>
      <c r="G381" s="536"/>
      <c r="I381" s="536"/>
      <c r="J381" s="536"/>
      <c r="L381" s="551">
        <f>_xll.qlCalendarAdvance(Calendar,L380,"1M","f",,Trigger)</f>
        <v>53706</v>
      </c>
      <c r="M381" s="542">
        <f>_xll.qlCalendarAdvance(Calendar,L381,"3M","f",,Trigger)</f>
        <v>53798</v>
      </c>
      <c r="N381" s="544" t="str">
        <f>_xll.qlMakeDatedOIS(,L381,M381,OvernightIndex,0,,,,EvaluationDate)</f>
        <v>obj_00558#0000</v>
      </c>
      <c r="O381" s="543">
        <f>_xll.qlIndexFixing("euribor6m",_xll.qlInterestRateIndexFixingDate("Euribor6M",L381),TRUE,AllTriggers)</f>
        <v>2.1504843115967912E-2</v>
      </c>
      <c r="P381" s="543">
        <f>_xll.qlOvernightIndexedSwapFairRate(N381,AllTriggers)</f>
        <v>2.148751775235851E-2</v>
      </c>
      <c r="Q381" s="545">
        <f t="shared" si="9"/>
        <v>1.7325363609401595E-5</v>
      </c>
    </row>
    <row r="382" spans="5:17" x14ac:dyDescent="0.2">
      <c r="E382" s="537"/>
      <c r="F382" s="537"/>
      <c r="G382" s="536"/>
      <c r="I382" s="536"/>
      <c r="J382" s="536"/>
      <c r="L382" s="551">
        <f>_xll.qlCalendarAdvance(Calendar,L381,"1M","f",,Trigger)</f>
        <v>53737</v>
      </c>
      <c r="M382" s="542">
        <f>_xll.qlCalendarAdvance(Calendar,L382,"3M","f",,Trigger)</f>
        <v>53826</v>
      </c>
      <c r="N382" s="544" t="str">
        <f>_xll.qlMakeDatedOIS(,L382,M382,OvernightIndex,0,,,,EvaluationDate)</f>
        <v>obj_00559#0000</v>
      </c>
      <c r="O382" s="543">
        <f>_xll.qlIndexFixing("euribor6m",_xll.qlInterestRateIndexFixingDate("Euribor6M",L382),TRUE,AllTriggers)</f>
        <v>2.1521571582368521E-2</v>
      </c>
      <c r="P382" s="543">
        <f>_xll.qlOvernightIndexedSwapFairRate(N382,AllTriggers)</f>
        <v>2.148559757252853E-2</v>
      </c>
      <c r="Q382" s="545">
        <f t="shared" si="9"/>
        <v>3.597400983999105E-5</v>
      </c>
    </row>
    <row r="383" spans="5:17" x14ac:dyDescent="0.2">
      <c r="E383" s="537"/>
      <c r="F383" s="537"/>
      <c r="G383" s="536"/>
      <c r="I383" s="536"/>
      <c r="J383" s="536"/>
      <c r="L383" s="551">
        <f>_xll.qlCalendarAdvance(Calendar,L382,"1M","f",,Trigger)</f>
        <v>53765</v>
      </c>
      <c r="M383" s="542">
        <f>_xll.qlCalendarAdvance(Calendar,L383,"3M","f",,Trigger)</f>
        <v>53857</v>
      </c>
      <c r="N383" s="544" t="str">
        <f>_xll.qlMakeDatedOIS(,L383,M383,OvernightIndex,0,,,,EvaluationDate)</f>
        <v>obj_0055a#0000</v>
      </c>
      <c r="O383" s="543">
        <f>_xll.qlIndexFixing("euribor6m",_xll.qlInterestRateIndexFixingDate("Euribor6M",L383),TRUE,AllTriggers)</f>
        <v>2.1542522174652246E-2</v>
      </c>
      <c r="P383" s="543">
        <f>_xll.qlOvernightIndexedSwapFairRate(N383,AllTriggers)</f>
        <v>2.148751775235851E-2</v>
      </c>
      <c r="Q383" s="545">
        <f t="shared" si="9"/>
        <v>5.5004422293735561E-5</v>
      </c>
    </row>
    <row r="384" spans="5:17" x14ac:dyDescent="0.2">
      <c r="E384" s="537"/>
      <c r="F384" s="537"/>
      <c r="G384" s="536"/>
      <c r="I384" s="536"/>
      <c r="J384" s="536"/>
      <c r="L384" s="551">
        <f>_xll.qlCalendarAdvance(Calendar,L383,"1M","f",,Trigger)</f>
        <v>53798</v>
      </c>
      <c r="M384" s="542">
        <f>_xll.qlCalendarAdvance(Calendar,L384,"3M","f",,Trigger)</f>
        <v>53889</v>
      </c>
      <c r="N384" s="544" t="str">
        <f>_xll.qlMakeDatedOIS(,L384,M384,OvernightIndex,0,,,,EvaluationDate)</f>
        <v>obj_0055b#0000</v>
      </c>
      <c r="O384" s="543">
        <f>_xll.qlIndexFixing("euribor6m",_xll.qlInterestRateIndexFixingDate("Euribor6M",L384),TRUE,AllTriggers)</f>
        <v>2.1559229286502675E-2</v>
      </c>
      <c r="P384" s="543">
        <f>_xll.qlOvernightIndexedSwapFairRate(N384,AllTriggers)</f>
        <v>2.1486877667004703E-2</v>
      </c>
      <c r="Q384" s="545">
        <f t="shared" si="9"/>
        <v>7.2351619497972031E-5</v>
      </c>
    </row>
    <row r="385" spans="5:17" x14ac:dyDescent="0.2">
      <c r="E385" s="537"/>
      <c r="F385" s="537"/>
      <c r="G385" s="536"/>
      <c r="I385" s="536"/>
      <c r="J385" s="536"/>
      <c r="L385" s="551">
        <f>_xll.qlCalendarAdvance(Calendar,L384,"1M","f",,Trigger)</f>
        <v>53828</v>
      </c>
      <c r="M385" s="542">
        <f>_xll.qlCalendarAdvance(Calendar,L385,"3M","f",,Trigger)</f>
        <v>53920</v>
      </c>
      <c r="N385" s="544" t="str">
        <f>_xll.qlMakeDatedOIS(,L385,M385,OvernightIndex,0,,,,EvaluationDate)</f>
        <v>obj_0055c#0000</v>
      </c>
      <c r="O385" s="543">
        <f>_xll.qlIndexFixing("euribor6m",_xll.qlInterestRateIndexFixingDate("Euribor6M",L385),TRUE,AllTriggers)</f>
        <v>2.1580190403895125E-2</v>
      </c>
      <c r="P385" s="543">
        <f>_xll.qlOvernightIndexedSwapFairRate(N385,AllTriggers)</f>
        <v>2.148751775235851E-2</v>
      </c>
      <c r="Q385" s="545">
        <f t="shared" si="9"/>
        <v>9.2672651536614831E-5</v>
      </c>
    </row>
    <row r="386" spans="5:17" x14ac:dyDescent="0.2">
      <c r="E386" s="537"/>
      <c r="F386" s="537"/>
      <c r="G386" s="536"/>
      <c r="I386" s="536"/>
      <c r="J386" s="536"/>
      <c r="L386" s="551">
        <f>_xll.qlCalendarAdvance(Calendar,L385,"1M","f",,Trigger)</f>
        <v>53860</v>
      </c>
      <c r="M386" s="542">
        <f>_xll.qlCalendarAdvance(Calendar,L386,"3M","f",,Trigger)</f>
        <v>53952</v>
      </c>
      <c r="N386" s="544" t="str">
        <f>_xll.qlMakeDatedOIS(,L386,M386,OvernightIndex,0,,,,EvaluationDate)</f>
        <v>obj_0055d#0000</v>
      </c>
      <c r="O386" s="543">
        <f>_xll.qlIndexFixing("euribor6m",_xll.qlInterestRateIndexFixingDate("Euribor6M",L386),TRUE,AllTriggers)</f>
        <v>2.159699206423853E-2</v>
      </c>
      <c r="P386" s="543">
        <f>_xll.qlOvernightIndexedSwapFairRate(N386,AllTriggers)</f>
        <v>2.1487517752358506E-2</v>
      </c>
      <c r="Q386" s="545">
        <f t="shared" si="9"/>
        <v>1.0947431188002357E-4</v>
      </c>
    </row>
    <row r="387" spans="5:17" x14ac:dyDescent="0.2">
      <c r="E387" s="537"/>
      <c r="F387" s="537"/>
      <c r="G387" s="536"/>
      <c r="I387" s="536"/>
      <c r="J387" s="536"/>
      <c r="L387" s="551">
        <f>_xll.qlCalendarAdvance(Calendar,L386,"1M","f",,Trigger)</f>
        <v>53890</v>
      </c>
      <c r="M387" s="542">
        <f>_xll.qlCalendarAdvance(Calendar,L387,"3M","f",,Trigger)</f>
        <v>53982</v>
      </c>
      <c r="N387" s="544" t="str">
        <f>_xll.qlMakeDatedOIS(,L387,M387,OvernightIndex,0,,,,EvaluationDate)</f>
        <v>obj_0055e#0000</v>
      </c>
      <c r="O387" s="543">
        <f>_xll.qlIndexFixing("euribor6m",_xll.qlInterestRateIndexFixingDate("Euribor6M",L387),TRUE,AllTriggers)</f>
        <v>2.1616734185783911E-2</v>
      </c>
      <c r="P387" s="543">
        <f>_xll.qlOvernightIndexedSwapFairRate(N387,AllTriggers)</f>
        <v>2.1487517752358513E-2</v>
      </c>
      <c r="Q387" s="545">
        <f t="shared" ref="Q387:Q450" si="10">O387-P387</f>
        <v>1.2921643342539771E-4</v>
      </c>
    </row>
    <row r="388" spans="5:17" x14ac:dyDescent="0.2">
      <c r="E388" s="537"/>
      <c r="F388" s="537"/>
      <c r="G388" s="536"/>
      <c r="I388" s="536"/>
      <c r="J388" s="536"/>
      <c r="L388" s="551">
        <f>_xll.qlCalendarAdvance(Calendar,L387,"1M","f",,Trigger)</f>
        <v>53923</v>
      </c>
      <c r="M388" s="542">
        <f>_xll.qlCalendarAdvance(Calendar,L388,"3M","f",,Trigger)</f>
        <v>54015</v>
      </c>
      <c r="N388" s="544" t="str">
        <f>_xll.qlMakeDatedOIS(,L388,M388,OvernightIndex,0,,,,EvaluationDate)</f>
        <v>obj_0055f#0000</v>
      </c>
      <c r="O388" s="543">
        <f>_xll.qlIndexFixing("euribor6m",_xll.qlInterestRateIndexFixingDate("Euribor6M",L388),TRUE,AllTriggers)</f>
        <v>2.1637771261361544E-2</v>
      </c>
      <c r="P388" s="543">
        <f>_xll.qlOvernightIndexedSwapFairRate(N388,AllTriggers)</f>
        <v>2.1487517752357639E-2</v>
      </c>
      <c r="Q388" s="545">
        <f t="shared" si="10"/>
        <v>1.502535090039045E-4</v>
      </c>
    </row>
    <row r="389" spans="5:17" x14ac:dyDescent="0.2">
      <c r="E389" s="537"/>
      <c r="F389" s="537"/>
      <c r="G389" s="536"/>
      <c r="I389" s="536"/>
      <c r="J389" s="536"/>
      <c r="L389" s="551">
        <f>_xll.qlCalendarAdvance(Calendar,L388,"1M","f",,Trigger)</f>
        <v>53954</v>
      </c>
      <c r="M389" s="542">
        <f>_xll.qlCalendarAdvance(Calendar,L389,"3M","f",,Trigger)</f>
        <v>54045</v>
      </c>
      <c r="N389" s="544" t="str">
        <f>_xll.qlMakeDatedOIS(,L389,M389,OvernightIndex,0,,,,EvaluationDate)</f>
        <v>obj_00560#0000</v>
      </c>
      <c r="O389" s="543">
        <f>_xll.qlIndexFixing("euribor6m",_xll.qlInterestRateIndexFixingDate("Euribor6M",L389),TRUE,AllTriggers)</f>
        <v>2.1655930519988251E-2</v>
      </c>
      <c r="P389" s="543">
        <f>_xll.qlOvernightIndexedSwapFairRate(N389,AllTriggers)</f>
        <v>2.1486877667004703E-2</v>
      </c>
      <c r="Q389" s="545">
        <f t="shared" si="10"/>
        <v>1.6905285298354777E-4</v>
      </c>
    </row>
    <row r="390" spans="5:17" x14ac:dyDescent="0.2">
      <c r="E390" s="537"/>
      <c r="F390" s="537"/>
      <c r="G390" s="536"/>
      <c r="I390" s="536"/>
      <c r="J390" s="536"/>
      <c r="L390" s="551">
        <f>_xll.qlCalendarAdvance(Calendar,L389,"1M","f",,Trigger)</f>
        <v>53986</v>
      </c>
      <c r="M390" s="542">
        <f>_xll.qlCalendarAdvance(Calendar,L390,"3M","f",,Trigger)</f>
        <v>54078</v>
      </c>
      <c r="N390" s="544" t="str">
        <f>_xll.qlMakeDatedOIS(,L390,M390,OvernightIndex,0,,,,EvaluationDate)</f>
        <v>obj_00561#0000</v>
      </c>
      <c r="O390" s="543">
        <f>_xll.qlIndexFixing("euribor6m",_xll.qlInterestRateIndexFixingDate("Euribor6M",L390),TRUE,AllTriggers)</f>
        <v>2.1678044012578813E-2</v>
      </c>
      <c r="P390" s="543">
        <f>_xll.qlOvernightIndexedSwapFairRate(N390,AllTriggers)</f>
        <v>2.148751775235851E-2</v>
      </c>
      <c r="Q390" s="545">
        <f t="shared" si="10"/>
        <v>1.9052626022030353E-4</v>
      </c>
    </row>
    <row r="391" spans="5:17" x14ac:dyDescent="0.2">
      <c r="E391" s="537"/>
      <c r="F391" s="537"/>
      <c r="G391" s="536"/>
      <c r="I391" s="536"/>
      <c r="J391" s="536"/>
      <c r="L391" s="551">
        <f>_xll.qlCalendarAdvance(Calendar,L390,"1M","f",,Trigger)</f>
        <v>54017</v>
      </c>
      <c r="M391" s="542">
        <f>_xll.qlCalendarAdvance(Calendar,L391,"3M","f",,Trigger)</f>
        <v>54109</v>
      </c>
      <c r="N391" s="544" t="str">
        <f>_xll.qlMakeDatedOIS(,L391,M391,OvernightIndex,0,,,,EvaluationDate)</f>
        <v>obj_00562#0000</v>
      </c>
      <c r="O391" s="543">
        <f>_xll.qlIndexFixing("euribor6m",_xll.qlInterestRateIndexFixingDate("Euribor6M",L391),TRUE,AllTriggers)</f>
        <v>2.1697874872696716E-2</v>
      </c>
      <c r="P391" s="543">
        <f>_xll.qlOvernightIndexedSwapFairRate(N391,AllTriggers)</f>
        <v>2.1487517752357643E-2</v>
      </c>
      <c r="Q391" s="545">
        <f t="shared" si="10"/>
        <v>2.1035712033907333E-4</v>
      </c>
    </row>
    <row r="392" spans="5:17" x14ac:dyDescent="0.2">
      <c r="E392" s="537"/>
      <c r="F392" s="537"/>
      <c r="G392" s="536"/>
      <c r="I392" s="536"/>
      <c r="J392" s="536"/>
      <c r="L392" s="551">
        <f>_xll.qlCalendarAdvance(Calendar,L391,"1M","f",,Trigger)</f>
        <v>54049</v>
      </c>
      <c r="M392" s="542">
        <f>_xll.qlCalendarAdvance(Calendar,L392,"3M","f",,Trigger)</f>
        <v>54140</v>
      </c>
      <c r="N392" s="544" t="str">
        <f>_xll.qlMakeDatedOIS(,L392,M392,OvernightIndex,0,,,,EvaluationDate)</f>
        <v>obj_00563#0000</v>
      </c>
      <c r="O392" s="543">
        <f>_xll.qlIndexFixing("euribor6m",_xll.qlInterestRateIndexFixingDate("Euribor6M",L392),TRUE,AllTriggers)</f>
        <v>2.1720735739977515E-2</v>
      </c>
      <c r="P392" s="543">
        <f>_xll.qlOvernightIndexedSwapFairRate(N392,AllTriggers)</f>
        <v>2.1486877667003818E-2</v>
      </c>
      <c r="Q392" s="545">
        <f t="shared" si="10"/>
        <v>2.3385807297369651E-4</v>
      </c>
    </row>
    <row r="393" spans="5:17" x14ac:dyDescent="0.2">
      <c r="E393" s="537"/>
      <c r="F393" s="537"/>
      <c r="G393" s="536"/>
      <c r="I393" s="536"/>
      <c r="J393" s="536"/>
      <c r="L393" s="551">
        <f>_xll.qlCalendarAdvance(Calendar,L392,"1M","f",,Trigger)</f>
        <v>54080</v>
      </c>
      <c r="M393" s="542">
        <f>_xll.qlCalendarAdvance(Calendar,L393,"3M","f",,Trigger)</f>
        <v>54171</v>
      </c>
      <c r="N393" s="544" t="str">
        <f>_xll.qlMakeDatedOIS(,L393,M393,OvernightIndex,0,,,,EvaluationDate)</f>
        <v>obj_00564#0000</v>
      </c>
      <c r="O393" s="543">
        <f>_xll.qlIndexFixing("euribor6m",_xll.qlInterestRateIndexFixingDate("Euribor6M",L393),TRUE,AllTriggers)</f>
        <v>2.1741263043869086E-2</v>
      </c>
      <c r="P393" s="543">
        <f>_xll.qlOvernightIndexedSwapFairRate(N393,AllTriggers)</f>
        <v>2.1486877667004699E-2</v>
      </c>
      <c r="Q393" s="545">
        <f t="shared" si="10"/>
        <v>2.5438537686438625E-4</v>
      </c>
    </row>
    <row r="394" spans="5:17" x14ac:dyDescent="0.2">
      <c r="E394" s="537"/>
      <c r="F394" s="537"/>
      <c r="G394" s="536"/>
      <c r="I394" s="536"/>
      <c r="J394" s="536"/>
      <c r="L394" s="551">
        <f>_xll.qlCalendarAdvance(Calendar,L393,"1M","f",,Trigger)</f>
        <v>54112</v>
      </c>
      <c r="M394" s="542">
        <f>_xll.qlCalendarAdvance(Calendar,L394,"3M","f",,Trigger)</f>
        <v>54203</v>
      </c>
      <c r="N394" s="544" t="str">
        <f>_xll.qlMakeDatedOIS(,L394,M394,OvernightIndex,0,,,,EvaluationDate)</f>
        <v>obj_00565#0000</v>
      </c>
      <c r="O394" s="543">
        <f>_xll.qlIndexFixing("euribor6m",_xll.qlInterestRateIndexFixingDate("Euribor6M",L394),TRUE,AllTriggers)</f>
        <v>2.1763854446243396E-2</v>
      </c>
      <c r="P394" s="543">
        <f>_xll.qlOvernightIndexedSwapFairRate(N394,AllTriggers)</f>
        <v>2.1486877667004699E-2</v>
      </c>
      <c r="Q394" s="545">
        <f t="shared" si="10"/>
        <v>2.769767792386961E-4</v>
      </c>
    </row>
    <row r="395" spans="5:17" x14ac:dyDescent="0.2">
      <c r="E395" s="537"/>
      <c r="F395" s="537"/>
      <c r="G395" s="536"/>
      <c r="I395" s="536"/>
      <c r="J395" s="536"/>
      <c r="L395" s="551">
        <f>_xll.qlCalendarAdvance(Calendar,L394,"1M","f",,Trigger)</f>
        <v>54141</v>
      </c>
      <c r="M395" s="542">
        <f>_xll.qlCalendarAdvance(Calendar,L395,"3M","f",,Trigger)</f>
        <v>54233</v>
      </c>
      <c r="N395" s="544" t="str">
        <f>_xll.qlMakeDatedOIS(,L395,M395,OvernightIndex,0,,,,EvaluationDate)</f>
        <v>obj_00566#0000</v>
      </c>
      <c r="O395" s="543">
        <f>_xll.qlIndexFixing("euribor6m",_xll.qlInterestRateIndexFixingDate("Euribor6M",L395),TRUE,AllTriggers)</f>
        <v>2.1786696898182367E-2</v>
      </c>
      <c r="P395" s="543">
        <f>_xll.qlOvernightIndexedSwapFairRate(N395,AllTriggers)</f>
        <v>2.1487517752357639E-2</v>
      </c>
      <c r="Q395" s="545">
        <f t="shared" si="10"/>
        <v>2.991791458247274E-4</v>
      </c>
    </row>
    <row r="396" spans="5:17" x14ac:dyDescent="0.2">
      <c r="E396" s="537"/>
      <c r="F396" s="537"/>
      <c r="G396" s="536"/>
      <c r="I396" s="536"/>
      <c r="J396" s="536"/>
      <c r="L396" s="551">
        <f>_xll.qlCalendarAdvance(Calendar,L395,"1M","f",,Trigger)</f>
        <v>54172</v>
      </c>
      <c r="M396" s="542">
        <f>_xll.qlCalendarAdvance(Calendar,L396,"3M","f",,Trigger)</f>
        <v>54263</v>
      </c>
      <c r="N396" s="544" t="str">
        <f>_xll.qlMakeDatedOIS(,L396,M396,OvernightIndex,0,,,,EvaluationDate)</f>
        <v>obj_00567#0000</v>
      </c>
      <c r="O396" s="543">
        <f>_xll.qlIndexFixing("euribor6m",_xll.qlInterestRateIndexFixingDate("Euribor6M",L396),TRUE,AllTriggers)</f>
        <v>2.1810309543145896E-2</v>
      </c>
      <c r="P396" s="543">
        <f>_xll.qlOvernightIndexedSwapFairRate(N396,AllTriggers)</f>
        <v>2.1486877667003822E-2</v>
      </c>
      <c r="Q396" s="545">
        <f t="shared" si="10"/>
        <v>3.2343187614207458E-4</v>
      </c>
    </row>
    <row r="397" spans="5:17" x14ac:dyDescent="0.2">
      <c r="E397" s="537"/>
      <c r="F397" s="537"/>
      <c r="G397" s="536"/>
      <c r="I397" s="536"/>
      <c r="J397" s="536"/>
      <c r="L397" s="551">
        <f>_xll.qlCalendarAdvance(Calendar,L396,"1M","f",,Trigger)</f>
        <v>54203</v>
      </c>
      <c r="M397" s="542">
        <f>_xll.qlCalendarAdvance(Calendar,L397,"3M","f",,Trigger)</f>
        <v>54295</v>
      </c>
      <c r="N397" s="544" t="str">
        <f>_xll.qlMakeDatedOIS(,L397,M397,OvernightIndex,0,,,,EvaluationDate)</f>
        <v>obj_00568#0000</v>
      </c>
      <c r="O397" s="543">
        <f>_xll.qlIndexFixing("euribor6m",_xll.qlInterestRateIndexFixingDate("Euribor6M",L397),TRUE,AllTriggers)</f>
        <v>2.1832210097320979E-2</v>
      </c>
      <c r="P397" s="543">
        <f>_xll.qlOvernightIndexedSwapFairRate(N397,AllTriggers)</f>
        <v>2.1487517752359377E-2</v>
      </c>
      <c r="Q397" s="545">
        <f t="shared" si="10"/>
        <v>3.4469234496160156E-4</v>
      </c>
    </row>
    <row r="398" spans="5:17" x14ac:dyDescent="0.2">
      <c r="E398" s="537"/>
      <c r="F398" s="537"/>
      <c r="G398" s="536"/>
      <c r="I398" s="536"/>
      <c r="J398" s="536"/>
      <c r="L398" s="551">
        <f>_xll.qlCalendarAdvance(Calendar,L397,"1M","f",,Trigger)</f>
        <v>54234</v>
      </c>
      <c r="M398" s="542">
        <f>_xll.qlCalendarAdvance(Calendar,L398,"3M","f",,Trigger)</f>
        <v>54326</v>
      </c>
      <c r="N398" s="544" t="str">
        <f>_xll.qlMakeDatedOIS(,L398,M398,OvernightIndex,0,,,,EvaluationDate)</f>
        <v>obj_00569#0000</v>
      </c>
      <c r="O398" s="543">
        <f>_xll.qlIndexFixing("euribor6m",_xll.qlInterestRateIndexFixingDate("Euribor6M",L398),TRUE,AllTriggers)</f>
        <v>2.1857581354833625E-2</v>
      </c>
      <c r="P398" s="543">
        <f>_xll.qlOvernightIndexedSwapFairRate(N398,AllTriggers)</f>
        <v>2.1487517752358513E-2</v>
      </c>
      <c r="Q398" s="545">
        <f t="shared" si="10"/>
        <v>3.700636024751118E-4</v>
      </c>
    </row>
    <row r="399" spans="5:17" x14ac:dyDescent="0.2">
      <c r="E399" s="537"/>
      <c r="F399" s="537"/>
      <c r="G399" s="536"/>
      <c r="I399" s="536"/>
      <c r="J399" s="536"/>
      <c r="L399" s="551">
        <f>_xll.qlCalendarAdvance(Calendar,L398,"1M","f",,Trigger)</f>
        <v>54266</v>
      </c>
      <c r="M399" s="542">
        <f>_xll.qlCalendarAdvance(Calendar,L399,"3M","f",,Trigger)</f>
        <v>54358</v>
      </c>
      <c r="N399" s="544" t="str">
        <f>_xll.qlMakeDatedOIS(,L399,M399,OvernightIndex,0,,,,EvaluationDate)</f>
        <v>obj_0056a#0000</v>
      </c>
      <c r="O399" s="543">
        <f>_xll.qlIndexFixing("euribor6m",_xll.qlInterestRateIndexFixingDate("Euribor6M",L399),TRUE,AllTriggers)</f>
        <v>2.1879890210973498E-2</v>
      </c>
      <c r="P399" s="543">
        <f>_xll.qlOvernightIndexedSwapFairRate(N399,AllTriggers)</f>
        <v>2.148751775235851E-2</v>
      </c>
      <c r="Q399" s="545">
        <f t="shared" si="10"/>
        <v>3.9237245861498821E-4</v>
      </c>
    </row>
    <row r="400" spans="5:17" x14ac:dyDescent="0.2">
      <c r="E400" s="537"/>
      <c r="F400" s="537"/>
      <c r="G400" s="536"/>
      <c r="I400" s="536"/>
      <c r="J400" s="536"/>
      <c r="L400" s="551">
        <f>_xll.qlCalendarAdvance(Calendar,L399,"1M","f",,Trigger)</f>
        <v>54297</v>
      </c>
      <c r="M400" s="542">
        <f>_xll.qlCalendarAdvance(Calendar,L400,"3M","f",,Trigger)</f>
        <v>54389</v>
      </c>
      <c r="N400" s="544" t="str">
        <f>_xll.qlMakeDatedOIS(,L400,M400,OvernightIndex,0,,,,EvaluationDate)</f>
        <v>obj_0056b#0000</v>
      </c>
      <c r="O400" s="543">
        <f>_xll.qlIndexFixing("euribor6m",_xll.qlInterestRateIndexFixingDate("Euribor6M",L400),TRUE,AllTriggers)</f>
        <v>2.1902822926556098E-2</v>
      </c>
      <c r="P400" s="543">
        <f>_xll.qlOvernightIndexedSwapFairRate(N400,AllTriggers)</f>
        <v>2.148751775235851E-2</v>
      </c>
      <c r="Q400" s="545">
        <f t="shared" si="10"/>
        <v>4.1530517419758814E-4</v>
      </c>
    </row>
    <row r="401" spans="5:17" x14ac:dyDescent="0.2">
      <c r="E401" s="537"/>
      <c r="F401" s="537"/>
      <c r="G401" s="536"/>
      <c r="I401" s="536"/>
      <c r="J401" s="536"/>
      <c r="L401" s="551">
        <f>_xll.qlCalendarAdvance(Calendar,L400,"1M","f",,Trigger)</f>
        <v>54329</v>
      </c>
      <c r="M401" s="542">
        <f>_xll.qlCalendarAdvance(Calendar,L401,"3M","f",,Trigger)</f>
        <v>54420</v>
      </c>
      <c r="N401" s="544" t="str">
        <f>_xll.qlMakeDatedOIS(,L401,M401,OvernightIndex,0,,,,EvaluationDate)</f>
        <v>obj_0056c#0000</v>
      </c>
      <c r="O401" s="543">
        <f>_xll.qlIndexFixing("euribor6m",_xll.qlInterestRateIndexFixingDate("Euribor6M",L401),TRUE,AllTriggers)</f>
        <v>2.1926881926117046E-2</v>
      </c>
      <c r="P401" s="543">
        <f>_xll.qlOvernightIndexedSwapFairRate(N401,AllTriggers)</f>
        <v>2.1486877667004703E-2</v>
      </c>
      <c r="Q401" s="545">
        <f t="shared" si="10"/>
        <v>4.4000425911234348E-4</v>
      </c>
    </row>
    <row r="402" spans="5:17" x14ac:dyDescent="0.2">
      <c r="E402" s="537"/>
      <c r="F402" s="537"/>
      <c r="G402" s="536"/>
      <c r="I402" s="536"/>
      <c r="J402" s="536"/>
      <c r="L402" s="551">
        <f>_xll.qlCalendarAdvance(Calendar,L401,"1M","f",,Trigger)</f>
        <v>54359</v>
      </c>
      <c r="M402" s="542">
        <f>_xll.qlCalendarAdvance(Calendar,L402,"3M","f",,Trigger)</f>
        <v>54451</v>
      </c>
      <c r="N402" s="544" t="str">
        <f>_xll.qlMakeDatedOIS(,L402,M402,OvernightIndex,0,,,,EvaluationDate)</f>
        <v>obj_0056d#0000</v>
      </c>
      <c r="O402" s="543">
        <f>_xll.qlIndexFixing("euribor6m",_xll.qlInterestRateIndexFixingDate("Euribor6M",L402),TRUE,AllTriggers)</f>
        <v>2.1950768435088707E-2</v>
      </c>
      <c r="P402" s="543">
        <f>_xll.qlOvernightIndexedSwapFairRate(N402,AllTriggers)</f>
        <v>2.148751775235851E-2</v>
      </c>
      <c r="Q402" s="545">
        <f t="shared" si="10"/>
        <v>4.6325068273019715E-4</v>
      </c>
    </row>
    <row r="403" spans="5:17" x14ac:dyDescent="0.2">
      <c r="E403" s="537"/>
      <c r="F403" s="537"/>
      <c r="G403" s="536"/>
      <c r="I403" s="536"/>
      <c r="J403" s="536"/>
      <c r="L403" s="551">
        <f>_xll.qlCalendarAdvance(Calendar,L402,"1M","f",,Trigger)</f>
        <v>54392</v>
      </c>
      <c r="M403" s="542">
        <f>_xll.qlCalendarAdvance(Calendar,L403,"3M","f",,Trigger)</f>
        <v>54483</v>
      </c>
      <c r="N403" s="544" t="str">
        <f>_xll.qlMakeDatedOIS(,L403,M403,OvernightIndex,0,,,,EvaluationDate)</f>
        <v>obj_0056e#0000</v>
      </c>
      <c r="O403" s="543">
        <f>_xll.qlIndexFixing("euribor6m",_xll.qlInterestRateIndexFixingDate("Euribor6M",L403),TRUE,AllTriggers)</f>
        <v>2.1977421881702892E-2</v>
      </c>
      <c r="P403" s="543">
        <f>_xll.qlOvernightIndexedSwapFairRate(N403,AllTriggers)</f>
        <v>2.1486877667004699E-2</v>
      </c>
      <c r="Q403" s="545">
        <f t="shared" si="10"/>
        <v>4.9054421469819226E-4</v>
      </c>
    </row>
    <row r="404" spans="5:17" x14ac:dyDescent="0.2">
      <c r="E404" s="537"/>
      <c r="F404" s="537"/>
      <c r="G404" s="536"/>
      <c r="I404" s="536"/>
      <c r="J404" s="536"/>
      <c r="L404" s="551">
        <f>_xll.qlCalendarAdvance(Calendar,L403,"1M","f",,Trigger)</f>
        <v>54422</v>
      </c>
      <c r="M404" s="542">
        <f>_xll.qlCalendarAdvance(Calendar,L404,"3M","f",,Trigger)</f>
        <v>54512</v>
      </c>
      <c r="N404" s="544" t="str">
        <f>_xll.qlMakeDatedOIS(,L404,M404,OvernightIndex,0,,,,EvaluationDate)</f>
        <v>obj_0056f#0000</v>
      </c>
      <c r="O404" s="543">
        <f>_xll.qlIndexFixing("euribor6m",_xll.qlInterestRateIndexFixingDate("Euribor6M",L404),TRUE,AllTriggers)</f>
        <v>2.2001996197664814E-2</v>
      </c>
      <c r="P404" s="543">
        <f>_xll.qlOvernightIndexedSwapFairRate(N404,AllTriggers)</f>
        <v>2.1486237607061476E-2</v>
      </c>
      <c r="Q404" s="545">
        <f t="shared" si="10"/>
        <v>5.1575859060333865E-4</v>
      </c>
    </row>
    <row r="405" spans="5:17" x14ac:dyDescent="0.2">
      <c r="E405" s="537"/>
      <c r="F405" s="537"/>
      <c r="G405" s="536"/>
      <c r="I405" s="536"/>
      <c r="J405" s="536"/>
      <c r="L405" s="551">
        <f>_xll.qlCalendarAdvance(Calendar,L404,"1M","f",,Trigger)</f>
        <v>54455</v>
      </c>
      <c r="M405" s="542">
        <f>_xll.qlCalendarAdvance(Calendar,L405,"3M","f",,Trigger)</f>
        <v>54546</v>
      </c>
      <c r="N405" s="544" t="str">
        <f>_xll.qlMakeDatedOIS(,L405,M405,OvernightIndex,0,,,,EvaluationDate)</f>
        <v>obj_00570#0000</v>
      </c>
      <c r="O405" s="543">
        <f>_xll.qlIndexFixing("euribor6m",_xll.qlInterestRateIndexFixingDate("Euribor6M",L405),TRUE,AllTriggers)</f>
        <v>2.2029406261032867E-2</v>
      </c>
      <c r="P405" s="543">
        <f>_xll.qlOvernightIndexedSwapFairRate(N405,AllTriggers)</f>
        <v>2.1486877667003825E-2</v>
      </c>
      <c r="Q405" s="545">
        <f t="shared" si="10"/>
        <v>5.4252859402904169E-4</v>
      </c>
    </row>
    <row r="406" spans="5:17" x14ac:dyDescent="0.2">
      <c r="E406" s="537"/>
      <c r="F406" s="537"/>
      <c r="G406" s="536"/>
      <c r="I406" s="536"/>
      <c r="J406" s="536"/>
      <c r="L406" s="551">
        <f>_xll.qlCalendarAdvance(Calendar,L405,"1M","f",,Trigger)</f>
        <v>54483</v>
      </c>
      <c r="M406" s="542">
        <f>_xll.qlCalendarAdvance(Calendar,L406,"3M","f",,Trigger)</f>
        <v>54575</v>
      </c>
      <c r="N406" s="544" t="str">
        <f>_xll.qlMakeDatedOIS(,L406,M406,OvernightIndex,0,,,,EvaluationDate)</f>
        <v>obj_00571#0000</v>
      </c>
      <c r="O406" s="543">
        <f>_xll.qlIndexFixing("euribor6m",_xll.qlInterestRateIndexFixingDate("Euribor6M",L406),TRUE,AllTriggers)</f>
        <v>2.205517827068899E-2</v>
      </c>
      <c r="P406" s="543">
        <f>_xll.qlOvernightIndexedSwapFairRate(N406,AllTriggers)</f>
        <v>2.148751775235851E-2</v>
      </c>
      <c r="Q406" s="545">
        <f t="shared" si="10"/>
        <v>5.6766051833048031E-4</v>
      </c>
    </row>
    <row r="407" spans="5:17" x14ac:dyDescent="0.2">
      <c r="E407" s="537"/>
      <c r="F407" s="537"/>
      <c r="G407" s="536"/>
      <c r="I407" s="536"/>
      <c r="J407" s="536"/>
      <c r="L407" s="551">
        <f>_xll.qlCalendarAdvance(Calendar,L406,"1M","f",,Trigger)</f>
        <v>54514</v>
      </c>
      <c r="M407" s="542">
        <f>_xll.qlCalendarAdvance(Calendar,L407,"3M","f",,Trigger)</f>
        <v>54605</v>
      </c>
      <c r="N407" s="544" t="str">
        <f>_xll.qlMakeDatedOIS(,L407,M407,OvernightIndex,0,,,,EvaluationDate)</f>
        <v>obj_00572#0000</v>
      </c>
      <c r="O407" s="543">
        <f>_xll.qlIndexFixing("euribor6m",_xll.qlInterestRateIndexFixingDate("Euribor6M",L407),TRUE,AllTriggers)</f>
        <v>2.2080487493393218E-2</v>
      </c>
      <c r="P407" s="543">
        <f>_xll.qlOvernightIndexedSwapFairRate(N407,AllTriggers)</f>
        <v>2.1486877667003822E-2</v>
      </c>
      <c r="Q407" s="545">
        <f t="shared" si="10"/>
        <v>5.936098263893963E-4</v>
      </c>
    </row>
    <row r="408" spans="5:17" x14ac:dyDescent="0.2">
      <c r="E408" s="537"/>
      <c r="F408" s="537"/>
      <c r="G408" s="536"/>
      <c r="I408" s="536"/>
      <c r="J408" s="536"/>
      <c r="L408" s="551">
        <f>_xll.qlCalendarAdvance(Calendar,L407,"1M","f",,Trigger)</f>
        <v>54546</v>
      </c>
      <c r="M408" s="542">
        <f>_xll.qlCalendarAdvance(Calendar,L408,"3M","f",,Trigger)</f>
        <v>54638</v>
      </c>
      <c r="N408" s="544" t="str">
        <f>_xll.qlMakeDatedOIS(,L408,M408,OvernightIndex,0,,,,EvaluationDate)</f>
        <v>obj_00573#0000</v>
      </c>
      <c r="O408" s="543">
        <f>_xll.qlIndexFixing("euribor6m",_xll.qlInterestRateIndexFixingDate("Euribor6M",L408),TRUE,AllTriggers)</f>
        <v>2.2109009753632409E-2</v>
      </c>
      <c r="P408" s="543">
        <f>_xll.qlOvernightIndexedSwapFairRate(N408,AllTriggers)</f>
        <v>2.1487517752359381E-2</v>
      </c>
      <c r="Q408" s="545">
        <f t="shared" si="10"/>
        <v>6.2149200127302809E-4</v>
      </c>
    </row>
    <row r="409" spans="5:17" x14ac:dyDescent="0.2">
      <c r="E409" s="537"/>
      <c r="F409" s="537"/>
      <c r="G409" s="536"/>
      <c r="I409" s="536"/>
      <c r="J409" s="536"/>
      <c r="L409" s="551">
        <f>_xll.qlCalendarAdvance(Calendar,L408,"1M","f",,Trigger)</f>
        <v>54577</v>
      </c>
      <c r="M409" s="542">
        <f>_xll.qlCalendarAdvance(Calendar,L409,"3M","f",,Trigger)</f>
        <v>54669</v>
      </c>
      <c r="N409" s="544" t="str">
        <f>_xll.qlMakeDatedOIS(,L409,M409,OvernightIndex,0,,,,EvaluationDate)</f>
        <v>obj_00574#0000</v>
      </c>
      <c r="O409" s="543">
        <f>_xll.qlIndexFixing("euribor6m",_xll.qlInterestRateIndexFixingDate("Euribor6M",L409),TRUE,AllTriggers)</f>
        <v>2.2134361116645761E-2</v>
      </c>
      <c r="P409" s="543">
        <f>_xll.qlOvernightIndexedSwapFairRate(N409,AllTriggers)</f>
        <v>2.1487517752357643E-2</v>
      </c>
      <c r="Q409" s="545">
        <f t="shared" si="10"/>
        <v>6.4684336428811814E-4</v>
      </c>
    </row>
    <row r="410" spans="5:17" x14ac:dyDescent="0.2">
      <c r="E410" s="537"/>
      <c r="F410" s="537"/>
      <c r="G410" s="536"/>
      <c r="I410" s="536"/>
      <c r="J410" s="536"/>
      <c r="L410" s="551">
        <f>_xll.qlCalendarAdvance(Calendar,L409,"1M","f",,Trigger)</f>
        <v>54609</v>
      </c>
      <c r="M410" s="542">
        <f>_xll.qlCalendarAdvance(Calendar,L410,"3M","f",,Trigger)</f>
        <v>54701</v>
      </c>
      <c r="N410" s="544" t="str">
        <f>_xll.qlMakeDatedOIS(,L410,M410,OvernightIndex,0,,,,EvaluationDate)</f>
        <v>obj_00575#0000</v>
      </c>
      <c r="O410" s="543">
        <f>_xll.qlIndexFixing("euribor6m",_xll.qlInterestRateIndexFixingDate("Euribor6M",L410),TRUE,AllTriggers)</f>
        <v>2.2162381509725326E-2</v>
      </c>
      <c r="P410" s="543">
        <f>_xll.qlOvernightIndexedSwapFairRate(N410,AllTriggers)</f>
        <v>2.148751775235851E-2</v>
      </c>
      <c r="Q410" s="545">
        <f t="shared" si="10"/>
        <v>6.7486375736681634E-4</v>
      </c>
    </row>
    <row r="411" spans="5:17" x14ac:dyDescent="0.2">
      <c r="E411" s="537"/>
      <c r="F411" s="537"/>
      <c r="G411" s="536"/>
      <c r="I411" s="536"/>
      <c r="J411" s="536"/>
      <c r="L411" s="551">
        <f>_xll.qlCalendarAdvance(Calendar,L410,"1M","f",,Trigger)</f>
        <v>54640</v>
      </c>
      <c r="M411" s="542">
        <f>_xll.qlCalendarAdvance(Calendar,L411,"3M","f",,Trigger)</f>
        <v>54732</v>
      </c>
      <c r="N411" s="544" t="str">
        <f>_xll.qlMakeDatedOIS(,L411,M411,OvernightIndex,0,,,,EvaluationDate)</f>
        <v>obj_00576#0000</v>
      </c>
      <c r="O411" s="543">
        <f>_xll.qlIndexFixing("euribor6m",_xll.qlInterestRateIndexFixingDate("Euribor6M",L411),TRUE,AllTriggers)</f>
        <v>2.2189983093178316E-2</v>
      </c>
      <c r="P411" s="543">
        <f>_xll.qlOvernightIndexedSwapFairRate(N411,AllTriggers)</f>
        <v>2.148751775235851E-2</v>
      </c>
      <c r="Q411" s="545">
        <f t="shared" si="10"/>
        <v>7.0246534081980574E-4</v>
      </c>
    </row>
    <row r="412" spans="5:17" x14ac:dyDescent="0.2">
      <c r="E412" s="537"/>
      <c r="F412" s="537"/>
      <c r="G412" s="536"/>
      <c r="I412" s="536"/>
      <c r="J412" s="536"/>
      <c r="L412" s="551">
        <f>_xll.qlCalendarAdvance(Calendar,L411,"1M","f",,Trigger)</f>
        <v>54672</v>
      </c>
      <c r="M412" s="542">
        <f>_xll.qlCalendarAdvance(Calendar,L412,"3M","f",,Trigger)</f>
        <v>54763</v>
      </c>
      <c r="N412" s="544" t="str">
        <f>_xll.qlMakeDatedOIS(,L412,M412,OvernightIndex,0,,,,EvaluationDate)</f>
        <v>obj_00577#0000</v>
      </c>
      <c r="O412" s="543">
        <f>_xll.qlIndexFixing("euribor6m",_xll.qlInterestRateIndexFixingDate("Euribor6M",L412),TRUE,AllTriggers)</f>
        <v>2.2211118409019893E-2</v>
      </c>
      <c r="P412" s="543">
        <f>_xll.qlOvernightIndexedSwapFairRate(N412,AllTriggers)</f>
        <v>2.1486877667004703E-2</v>
      </c>
      <c r="Q412" s="545">
        <f t="shared" si="10"/>
        <v>7.2424074201518987E-4</v>
      </c>
    </row>
    <row r="413" spans="5:17" x14ac:dyDescent="0.2">
      <c r="E413" s="537"/>
      <c r="F413" s="537"/>
      <c r="G413" s="536"/>
      <c r="I413" s="536"/>
      <c r="J413" s="536"/>
      <c r="L413" s="551">
        <f>_xll.qlCalendarAdvance(Calendar,L412,"1M","f",,Trigger)</f>
        <v>54702</v>
      </c>
      <c r="M413" s="542">
        <f>_xll.qlCalendarAdvance(Calendar,L413,"3M","f",,Trigger)</f>
        <v>54794</v>
      </c>
      <c r="N413" s="544" t="str">
        <f>_xll.qlMakeDatedOIS(,L413,M413,OvernightIndex,0,,,,EvaluationDate)</f>
        <v>obj_00578#0000</v>
      </c>
      <c r="O413" s="543">
        <f>_xll.qlIndexFixing("euribor6m",_xll.qlInterestRateIndexFixingDate("Euribor6M",L413),TRUE,AllTriggers)</f>
        <v>2.2233909965290299E-2</v>
      </c>
      <c r="P413" s="543">
        <f>_xll.qlOvernightIndexedSwapFairRate(N413,AllTriggers)</f>
        <v>2.148751775235851E-2</v>
      </c>
      <c r="Q413" s="545">
        <f t="shared" si="10"/>
        <v>7.4639221293178876E-4</v>
      </c>
    </row>
    <row r="414" spans="5:17" x14ac:dyDescent="0.2">
      <c r="E414" s="537"/>
      <c r="F414" s="537"/>
      <c r="G414" s="536"/>
      <c r="I414" s="536"/>
      <c r="J414" s="536"/>
      <c r="L414" s="551">
        <f>_xll.qlCalendarAdvance(Calendar,L413,"1M","f",,Trigger)</f>
        <v>54735</v>
      </c>
      <c r="M414" s="542">
        <f>_xll.qlCalendarAdvance(Calendar,L414,"3M","f",,Trigger)</f>
        <v>54827</v>
      </c>
      <c r="N414" s="544" t="str">
        <f>_xll.qlMakeDatedOIS(,L414,M414,OvernightIndex,0,,,,EvaluationDate)</f>
        <v>obj_00579#0000</v>
      </c>
      <c r="O414" s="543">
        <f>_xll.qlIndexFixing("euribor6m",_xll.qlInterestRateIndexFixingDate("Euribor6M",L414),TRUE,AllTriggers)</f>
        <v>2.2257776763434704E-2</v>
      </c>
      <c r="P414" s="543">
        <f>_xll.qlOvernightIndexedSwapFairRate(N414,AllTriggers)</f>
        <v>2.148751775235851E-2</v>
      </c>
      <c r="Q414" s="545">
        <f t="shared" si="10"/>
        <v>7.7025901107619435E-4</v>
      </c>
    </row>
    <row r="415" spans="5:17" x14ac:dyDescent="0.2">
      <c r="E415" s="537"/>
      <c r="F415" s="537"/>
      <c r="G415" s="536"/>
      <c r="I415" s="536"/>
      <c r="J415" s="536"/>
      <c r="L415" s="551">
        <f>_xll.qlCalendarAdvance(Calendar,L414,"1M","f",,Trigger)</f>
        <v>54765</v>
      </c>
      <c r="M415" s="542">
        <f>_xll.qlCalendarAdvance(Calendar,L415,"3M","f",,Trigger)</f>
        <v>54855</v>
      </c>
      <c r="N415" s="544" t="str">
        <f>_xll.qlMakeDatedOIS(,L415,M415,OvernightIndex,0,,,,EvaluationDate)</f>
        <v>obj_0057a#0000</v>
      </c>
      <c r="O415" s="543">
        <f>_xll.qlIndexFixing("euribor6m",_xll.qlInterestRateIndexFixingDate("Euribor6M",L415),TRUE,AllTriggers)</f>
        <v>2.2278379348801232E-2</v>
      </c>
      <c r="P415" s="543">
        <f>_xll.qlOvernightIndexedSwapFairRate(N415,AllTriggers)</f>
        <v>2.1486237607062364E-2</v>
      </c>
      <c r="Q415" s="545">
        <f t="shared" si="10"/>
        <v>7.9214174173886792E-4</v>
      </c>
    </row>
    <row r="416" spans="5:17" x14ac:dyDescent="0.2">
      <c r="E416" s="537"/>
      <c r="F416" s="537"/>
      <c r="G416" s="536"/>
      <c r="I416" s="536"/>
      <c r="J416" s="536"/>
      <c r="L416" s="551">
        <f>_xll.qlCalendarAdvance(Calendar,L415,"1M","f",,Trigger)</f>
        <v>54798</v>
      </c>
      <c r="M416" s="542">
        <f>_xll.qlCalendarAdvance(Calendar,L416,"3M","f",,Trigger)</f>
        <v>54890</v>
      </c>
      <c r="N416" s="544" t="str">
        <f>_xll.qlMakeDatedOIS(,L416,M416,OvernightIndex,0,,,,EvaluationDate)</f>
        <v>obj_0057b#0000</v>
      </c>
      <c r="O416" s="543">
        <f>_xll.qlIndexFixing("euribor6m",_xll.qlInterestRateIndexFixingDate("Euribor6M",L416),TRUE,AllTriggers)</f>
        <v>2.229983819877555E-2</v>
      </c>
      <c r="P416" s="543">
        <f>_xll.qlOvernightIndexedSwapFairRate(N416,AllTriggers)</f>
        <v>2.1487517752359377E-2</v>
      </c>
      <c r="Q416" s="545">
        <f t="shared" si="10"/>
        <v>8.1232044641617318E-4</v>
      </c>
    </row>
    <row r="417" spans="5:17" x14ac:dyDescent="0.2">
      <c r="E417" s="537"/>
      <c r="F417" s="537"/>
      <c r="G417" s="536"/>
      <c r="I417" s="536"/>
      <c r="J417" s="536"/>
      <c r="L417" s="551">
        <f>_xll.qlCalendarAdvance(Calendar,L416,"1M","f",,Trigger)</f>
        <v>54829</v>
      </c>
      <c r="M417" s="542">
        <f>_xll.qlCalendarAdvance(Calendar,L417,"3M","f",,Trigger)</f>
        <v>54918</v>
      </c>
      <c r="N417" s="544" t="str">
        <f>_xll.qlMakeDatedOIS(,L417,M417,OvernightIndex,0,,,,EvaluationDate)</f>
        <v>obj_0057c#0000</v>
      </c>
      <c r="O417" s="543">
        <f>_xll.qlIndexFixing("euribor6m",_xll.qlInterestRateIndexFixingDate("Euribor6M",L417),TRUE,AllTriggers)</f>
        <v>2.2317878022953458E-2</v>
      </c>
      <c r="P417" s="543">
        <f>_xll.qlOvernightIndexedSwapFairRate(N417,AllTriggers)</f>
        <v>2.1485597572529425E-2</v>
      </c>
      <c r="Q417" s="545">
        <f t="shared" si="10"/>
        <v>8.3228045042403262E-4</v>
      </c>
    </row>
    <row r="418" spans="5:17" x14ac:dyDescent="0.2">
      <c r="E418" s="537"/>
      <c r="F418" s="537"/>
      <c r="G418" s="536"/>
      <c r="I418" s="536"/>
      <c r="J418" s="536"/>
      <c r="L418" s="551">
        <f>_xll.qlCalendarAdvance(Calendar,L417,"1M","f",,Trigger)</f>
        <v>54857</v>
      </c>
      <c r="M418" s="542">
        <f>_xll.qlCalendarAdvance(Calendar,L418,"3M","f",,Trigger)</f>
        <v>54949</v>
      </c>
      <c r="N418" s="544" t="str">
        <f>_xll.qlMakeDatedOIS(,L418,M418,OvernightIndex,0,,,,EvaluationDate)</f>
        <v>obj_0057d#0000</v>
      </c>
      <c r="O418" s="543">
        <f>_xll.qlIndexFixing("euribor6m",_xll.qlInterestRateIndexFixingDate("Euribor6M",L418),TRUE,AllTriggers)</f>
        <v>2.2338874218089701E-2</v>
      </c>
      <c r="P418" s="543">
        <f>_xll.qlOvernightIndexedSwapFairRate(N418,AllTriggers)</f>
        <v>2.1487517752359381E-2</v>
      </c>
      <c r="Q418" s="545">
        <f t="shared" si="10"/>
        <v>8.5135646573031992E-4</v>
      </c>
    </row>
    <row r="419" spans="5:17" x14ac:dyDescent="0.2">
      <c r="E419" s="537"/>
      <c r="F419" s="537"/>
      <c r="G419" s="536"/>
      <c r="I419" s="536"/>
      <c r="J419" s="536"/>
      <c r="L419" s="551">
        <f>_xll.qlCalendarAdvance(Calendar,L418,"1M","f",,Trigger)</f>
        <v>54890</v>
      </c>
      <c r="M419" s="542">
        <f>_xll.qlCalendarAdvance(Calendar,L419,"3M","f",,Trigger)</f>
        <v>54981</v>
      </c>
      <c r="N419" s="544" t="str">
        <f>_xll.qlMakeDatedOIS(,L419,M419,OvernightIndex,0,,,,EvaluationDate)</f>
        <v>obj_0057e#0000</v>
      </c>
      <c r="O419" s="543">
        <f>_xll.qlIndexFixing("euribor6m",_xll.qlInterestRateIndexFixingDate("Euribor6M",L419),TRUE,AllTriggers)</f>
        <v>2.2353938575111497E-2</v>
      </c>
      <c r="P419" s="543">
        <f>_xll.qlOvernightIndexedSwapFairRate(N419,AllTriggers)</f>
        <v>2.1486877667003822E-2</v>
      </c>
      <c r="Q419" s="545">
        <f t="shared" si="10"/>
        <v>8.6706090810767522E-4</v>
      </c>
    </row>
    <row r="420" spans="5:17" x14ac:dyDescent="0.2">
      <c r="E420" s="537"/>
      <c r="F420" s="537"/>
      <c r="G420" s="536"/>
      <c r="I420" s="536"/>
      <c r="J420" s="536"/>
      <c r="L420" s="551">
        <f>_xll.qlCalendarAdvance(Calendar,L419,"1M","f",,Trigger)</f>
        <v>54920</v>
      </c>
      <c r="M420" s="542">
        <f>_xll.qlCalendarAdvance(Calendar,L420,"3M","f",,Trigger)</f>
        <v>55012</v>
      </c>
      <c r="N420" s="544" t="str">
        <f>_xll.qlMakeDatedOIS(,L420,M420,OvernightIndex,0,,,,EvaluationDate)</f>
        <v>obj_0057f#0000</v>
      </c>
      <c r="O420" s="543">
        <f>_xll.qlIndexFixing("euribor6m",_xll.qlInterestRateIndexFixingDate("Euribor6M",L420),TRUE,AllTriggers)</f>
        <v>2.2371895084848485E-2</v>
      </c>
      <c r="P420" s="543">
        <f>_xll.qlOvernightIndexedSwapFairRate(N420,AllTriggers)</f>
        <v>2.148751775235851E-2</v>
      </c>
      <c r="Q420" s="545">
        <f t="shared" si="10"/>
        <v>8.8437733248997522E-4</v>
      </c>
    </row>
    <row r="421" spans="5:17" x14ac:dyDescent="0.2">
      <c r="E421" s="537"/>
      <c r="F421" s="537"/>
      <c r="G421" s="536"/>
      <c r="I421" s="536"/>
      <c r="J421" s="536"/>
      <c r="L421" s="551">
        <f>_xll.qlCalendarAdvance(Calendar,L420,"1M","f",,Trigger)</f>
        <v>54952</v>
      </c>
      <c r="M421" s="542">
        <f>_xll.qlCalendarAdvance(Calendar,L421,"3M","f",,Trigger)</f>
        <v>55044</v>
      </c>
      <c r="N421" s="544" t="str">
        <f>_xll.qlMakeDatedOIS(,L421,M421,OvernightIndex,0,,,,EvaluationDate)</f>
        <v>obj_00580#0000</v>
      </c>
      <c r="O421" s="543">
        <f>_xll.qlIndexFixing("euribor6m",_xll.qlInterestRateIndexFixingDate("Euribor6M",L421),TRUE,AllTriggers)</f>
        <v>2.2384202729746974E-2</v>
      </c>
      <c r="P421" s="543">
        <f>_xll.qlOvernightIndexedSwapFairRate(N421,AllTriggers)</f>
        <v>2.1487517752359377E-2</v>
      </c>
      <c r="Q421" s="545">
        <f t="shared" si="10"/>
        <v>8.9668497738759623E-4</v>
      </c>
    </row>
    <row r="422" spans="5:17" x14ac:dyDescent="0.2">
      <c r="E422" s="537"/>
      <c r="F422" s="537"/>
      <c r="G422" s="536"/>
      <c r="I422" s="536"/>
      <c r="J422" s="536"/>
      <c r="L422" s="551">
        <f>_xll.qlCalendarAdvance(Calendar,L421,"1M","f",,Trigger)</f>
        <v>54982</v>
      </c>
      <c r="M422" s="542">
        <f>_xll.qlCalendarAdvance(Calendar,L422,"3M","f",,Trigger)</f>
        <v>55074</v>
      </c>
      <c r="N422" s="544" t="str">
        <f>_xll.qlMakeDatedOIS(,L422,M422,OvernightIndex,0,,,,EvaluationDate)</f>
        <v>obj_00581#0000</v>
      </c>
      <c r="O422" s="543">
        <f>_xll.qlIndexFixing("euribor6m",_xll.qlInterestRateIndexFixingDate("Euribor6M",L422),TRUE,AllTriggers)</f>
        <v>2.2398132947806626E-2</v>
      </c>
      <c r="P422" s="543">
        <f>_xll.qlOvernightIndexedSwapFairRate(N422,AllTriggers)</f>
        <v>2.148751775235851E-2</v>
      </c>
      <c r="Q422" s="545">
        <f t="shared" si="10"/>
        <v>9.1061519544811606E-4</v>
      </c>
    </row>
    <row r="423" spans="5:17" x14ac:dyDescent="0.2">
      <c r="E423" s="537"/>
      <c r="F423" s="537"/>
      <c r="G423" s="536"/>
      <c r="I423" s="536"/>
      <c r="J423" s="536"/>
      <c r="L423" s="551">
        <f>_xll.qlCalendarAdvance(Calendar,L422,"1M","f",,Trigger)</f>
        <v>55015</v>
      </c>
      <c r="M423" s="542">
        <f>_xll.qlCalendarAdvance(Calendar,L423,"3M","f",,Trigger)</f>
        <v>55107</v>
      </c>
      <c r="N423" s="544" t="str">
        <f>_xll.qlMakeDatedOIS(,L423,M423,OvernightIndex,0,,,,EvaluationDate)</f>
        <v>obj_00582#0000</v>
      </c>
      <c r="O423" s="543">
        <f>_xll.qlIndexFixing("euribor6m",_xll.qlInterestRateIndexFixingDate("Euribor6M",L423),TRUE,AllTriggers)</f>
        <v>2.2411260120207461E-2</v>
      </c>
      <c r="P423" s="543">
        <f>_xll.qlOvernightIndexedSwapFairRate(N423,AllTriggers)</f>
        <v>2.148751775235851E-2</v>
      </c>
      <c r="Q423" s="545">
        <f t="shared" si="10"/>
        <v>9.2374236784895092E-4</v>
      </c>
    </row>
    <row r="424" spans="5:17" x14ac:dyDescent="0.2">
      <c r="E424" s="537"/>
      <c r="F424" s="537"/>
      <c r="G424" s="536"/>
      <c r="I424" s="536"/>
      <c r="J424" s="536"/>
      <c r="L424" s="551">
        <f>_xll.qlCalendarAdvance(Calendar,L423,"1M","f",,Trigger)</f>
        <v>55046</v>
      </c>
      <c r="M424" s="542">
        <f>_xll.qlCalendarAdvance(Calendar,L424,"3M","f",,Trigger)</f>
        <v>55137</v>
      </c>
      <c r="N424" s="544" t="str">
        <f>_xll.qlMakeDatedOIS(,L424,M424,OvernightIndex,0,,,,EvaluationDate)</f>
        <v>obj_00583#0000</v>
      </c>
      <c r="O424" s="543">
        <f>_xll.qlIndexFixing("euribor6m",_xll.qlInterestRateIndexFixingDate("Euribor6M",L424),TRUE,AllTriggers)</f>
        <v>2.2419893100523891E-2</v>
      </c>
      <c r="P424" s="543">
        <f>_xll.qlOvernightIndexedSwapFairRate(N424,AllTriggers)</f>
        <v>2.1486877667003822E-2</v>
      </c>
      <c r="Q424" s="545">
        <f t="shared" si="10"/>
        <v>9.3301543352006938E-4</v>
      </c>
    </row>
    <row r="425" spans="5:17" x14ac:dyDescent="0.2">
      <c r="E425" s="537"/>
      <c r="F425" s="537"/>
      <c r="G425" s="536"/>
      <c r="I425" s="536"/>
      <c r="J425" s="536"/>
      <c r="L425" s="551">
        <f>_xll.qlCalendarAdvance(Calendar,L424,"1M","f",,Trigger)</f>
        <v>55078</v>
      </c>
      <c r="M425" s="542">
        <f>_xll.qlCalendarAdvance(Calendar,L425,"3M","f",,Trigger)</f>
        <v>55170</v>
      </c>
      <c r="N425" s="544" t="str">
        <f>_xll.qlMakeDatedOIS(,L425,M425,OvernightIndex,0,,,,EvaluationDate)</f>
        <v>obj_00584#0000</v>
      </c>
      <c r="O425" s="543">
        <f>_xll.qlIndexFixing("euribor6m",_xll.qlInterestRateIndexFixingDate("Euribor6M",L425),TRUE,AllTriggers)</f>
        <v>2.2431154037282294E-2</v>
      </c>
      <c r="P425" s="543">
        <f>_xll.qlOvernightIndexedSwapFairRate(N425,AllTriggers)</f>
        <v>2.1487517752359377E-2</v>
      </c>
      <c r="Q425" s="545">
        <f t="shared" si="10"/>
        <v>9.4363628492291629E-4</v>
      </c>
    </row>
    <row r="426" spans="5:17" x14ac:dyDescent="0.2">
      <c r="E426" s="537"/>
      <c r="F426" s="537"/>
      <c r="G426" s="536"/>
      <c r="I426" s="536"/>
      <c r="J426" s="536"/>
      <c r="L426" s="551">
        <f>_xll.qlCalendarAdvance(Calendar,L425,"1M","f",,Trigger)</f>
        <v>55109</v>
      </c>
      <c r="M426" s="542">
        <f>_xll.qlCalendarAdvance(Calendar,L426,"3M","f",,Trigger)</f>
        <v>55201</v>
      </c>
      <c r="N426" s="544" t="str">
        <f>_xll.qlMakeDatedOIS(,L426,M426,OvernightIndex,0,,,,EvaluationDate)</f>
        <v>obj_00585#0000</v>
      </c>
      <c r="O426" s="543">
        <f>_xll.qlIndexFixing("euribor6m",_xll.qlInterestRateIndexFixingDate("Euribor6M",L426),TRUE,AllTriggers)</f>
        <v>2.2439293459185317E-2</v>
      </c>
      <c r="P426" s="543">
        <f>_xll.qlOvernightIndexedSwapFairRate(N426,AllTriggers)</f>
        <v>2.1487517752359381E-2</v>
      </c>
      <c r="Q426" s="545">
        <f t="shared" si="10"/>
        <v>9.5177570682593651E-4</v>
      </c>
    </row>
    <row r="427" spans="5:17" x14ac:dyDescent="0.2">
      <c r="E427" s="537"/>
      <c r="F427" s="537"/>
      <c r="G427" s="536"/>
      <c r="I427" s="536"/>
      <c r="J427" s="536"/>
      <c r="L427" s="551">
        <f>_xll.qlCalendarAdvance(Calendar,L426,"1M","f",,Trigger)</f>
        <v>55141</v>
      </c>
      <c r="M427" s="542">
        <f>_xll.qlCalendarAdvance(Calendar,L427,"3M","f",,Trigger)</f>
        <v>55232</v>
      </c>
      <c r="N427" s="544" t="str">
        <f>_xll.qlMakeDatedOIS(,L427,M427,OvernightIndex,0,,,,EvaluationDate)</f>
        <v>obj_00586#0000</v>
      </c>
      <c r="O427" s="543">
        <f>_xll.qlIndexFixing("euribor6m",_xll.qlInterestRateIndexFixingDate("Euribor6M",L427),TRUE,AllTriggers)</f>
        <v>2.2448183537855503E-2</v>
      </c>
      <c r="P427" s="543">
        <f>_xll.qlOvernightIndexedSwapFairRate(N427,AllTriggers)</f>
        <v>2.1486877667003822E-2</v>
      </c>
      <c r="Q427" s="545">
        <f t="shared" si="10"/>
        <v>9.6130587085168154E-4</v>
      </c>
    </row>
    <row r="428" spans="5:17" x14ac:dyDescent="0.2">
      <c r="E428" s="537"/>
      <c r="F428" s="537"/>
      <c r="G428" s="536"/>
      <c r="I428" s="536"/>
      <c r="J428" s="536"/>
      <c r="L428" s="551">
        <f>_xll.qlCalendarAdvance(Calendar,L427,"1M","f",,Trigger)</f>
        <v>55172</v>
      </c>
      <c r="M428" s="542">
        <f>_xll.qlCalendarAdvance(Calendar,L428,"3M","f",,Trigger)</f>
        <v>55262</v>
      </c>
      <c r="N428" s="544" t="str">
        <f>_xll.qlMakeDatedOIS(,L428,M428,OvernightIndex,0,,,,EvaluationDate)</f>
        <v>obj_00587#0000</v>
      </c>
      <c r="O428" s="543">
        <f>_xll.qlIndexFixing("euribor6m",_xll.qlInterestRateIndexFixingDate("Euribor6M",L428),TRUE,AllTriggers)</f>
        <v>2.2454095926558264E-2</v>
      </c>
      <c r="P428" s="543">
        <f>_xll.qlOvernightIndexedSwapFairRate(N428,AllTriggers)</f>
        <v>2.1486237607061476E-2</v>
      </c>
      <c r="Q428" s="545">
        <f t="shared" si="10"/>
        <v>9.6785831949678866E-4</v>
      </c>
    </row>
    <row r="429" spans="5:17" x14ac:dyDescent="0.2">
      <c r="E429" s="537"/>
      <c r="F429" s="537"/>
      <c r="G429" s="536"/>
      <c r="I429" s="536"/>
      <c r="J429" s="536"/>
      <c r="L429" s="551">
        <f>_xll.qlCalendarAdvance(Calendar,L428,"1M","f",,Trigger)</f>
        <v>55204</v>
      </c>
      <c r="M429" s="542">
        <f>_xll.qlCalendarAdvance(Calendar,L429,"3M","f",,Trigger)</f>
        <v>55295</v>
      </c>
      <c r="N429" s="544" t="str">
        <f>_xll.qlMakeDatedOIS(,L429,M429,OvernightIndex,0,,,,EvaluationDate)</f>
        <v>obj_00588#0000</v>
      </c>
      <c r="O429" s="543">
        <f>_xll.qlIndexFixing("euribor6m",_xll.qlInterestRateIndexFixingDate("Euribor6M",L429),TRUE,AllTriggers)</f>
        <v>2.2460614806382163E-2</v>
      </c>
      <c r="P429" s="543">
        <f>_xll.qlOvernightIndexedSwapFairRate(N429,AllTriggers)</f>
        <v>2.1486877667004703E-2</v>
      </c>
      <c r="Q429" s="545">
        <f t="shared" si="10"/>
        <v>9.7373713937745979E-4</v>
      </c>
    </row>
    <row r="430" spans="5:17" x14ac:dyDescent="0.2">
      <c r="E430" s="537"/>
      <c r="F430" s="537"/>
      <c r="G430" s="536"/>
      <c r="I430" s="536"/>
      <c r="J430" s="536"/>
      <c r="L430" s="551">
        <f>_xll.qlCalendarAdvance(Calendar,L429,"1M","f",,Trigger)</f>
        <v>55232</v>
      </c>
      <c r="M430" s="542">
        <f>_xll.qlCalendarAdvance(Calendar,L430,"3M","f",,Trigger)</f>
        <v>55324</v>
      </c>
      <c r="N430" s="544" t="str">
        <f>_xll.qlMakeDatedOIS(,L430,M430,OvernightIndex,0,,,,EvaluationDate)</f>
        <v>obj_00589#0000</v>
      </c>
      <c r="O430" s="543">
        <f>_xll.qlIndexFixing("euribor6m",_xll.qlInterestRateIndexFixingDate("Euribor6M",L430),TRUE,AllTriggers)</f>
        <v>2.2466152915828621E-2</v>
      </c>
      <c r="P430" s="543">
        <f>_xll.qlOvernightIndexedSwapFairRate(N430,AllTriggers)</f>
        <v>2.1487517752359381E-2</v>
      </c>
      <c r="Q430" s="545">
        <f t="shared" si="10"/>
        <v>9.7863516346924015E-4</v>
      </c>
    </row>
    <row r="431" spans="5:17" x14ac:dyDescent="0.2">
      <c r="E431" s="537"/>
      <c r="F431" s="537"/>
      <c r="G431" s="536"/>
      <c r="I431" s="536"/>
      <c r="J431" s="536"/>
      <c r="L431" s="551">
        <f>_xll.qlCalendarAdvance(Calendar,L430,"1M","f",,Trigger)</f>
        <v>55263</v>
      </c>
      <c r="M431" s="542">
        <f>_xll.qlCalendarAdvance(Calendar,L431,"3M","f",,Trigger)</f>
        <v>55354</v>
      </c>
      <c r="N431" s="544" t="str">
        <f>_xll.qlMakeDatedOIS(,L431,M431,OvernightIndex,0,,,,EvaluationDate)</f>
        <v>obj_0058a#0000</v>
      </c>
      <c r="O431" s="543">
        <f>_xll.qlIndexFixing("euribor6m",_xll.qlInterestRateIndexFixingDate("Euribor6M",L431),TRUE,AllTriggers)</f>
        <v>2.2468814117512427E-2</v>
      </c>
      <c r="P431" s="543">
        <f>_xll.qlOvernightIndexedSwapFairRate(N431,AllTriggers)</f>
        <v>2.1486877667005581E-2</v>
      </c>
      <c r="Q431" s="545">
        <f t="shared" si="10"/>
        <v>9.8193645050684633E-4</v>
      </c>
    </row>
    <row r="432" spans="5:17" x14ac:dyDescent="0.2">
      <c r="E432" s="537"/>
      <c r="F432" s="537"/>
      <c r="G432" s="536"/>
      <c r="I432" s="536"/>
      <c r="J432" s="536"/>
      <c r="L432" s="551">
        <f>_xll.qlCalendarAdvance(Calendar,L431,"1M","f",,Trigger)</f>
        <v>55295</v>
      </c>
      <c r="M432" s="542">
        <f>_xll.qlCalendarAdvance(Calendar,L432,"3M","f",,Trigger)</f>
        <v>55387</v>
      </c>
      <c r="N432" s="544" t="str">
        <f>_xll.qlMakeDatedOIS(,L432,M432,OvernightIndex,0,,,,EvaluationDate)</f>
        <v>obj_0058b#0000</v>
      </c>
      <c r="O432" s="543">
        <f>_xll.qlIndexFixing("euribor6m",_xll.qlInterestRateIndexFixingDate("Euribor6M",L432),TRUE,AllTriggers)</f>
        <v>2.2471869869976964E-2</v>
      </c>
      <c r="P432" s="543">
        <f>_xll.qlOvernightIndexedSwapFairRate(N432,AllTriggers)</f>
        <v>2.1487517752358506E-2</v>
      </c>
      <c r="Q432" s="545">
        <f t="shared" si="10"/>
        <v>9.8435211761845748E-4</v>
      </c>
    </row>
    <row r="433" spans="5:17" x14ac:dyDescent="0.2">
      <c r="E433" s="537"/>
      <c r="F433" s="537"/>
      <c r="G433" s="536"/>
      <c r="I433" s="536"/>
      <c r="J433" s="536"/>
      <c r="L433" s="551">
        <f>_xll.qlCalendarAdvance(Calendar,L432,"1M","f",,Trigger)</f>
        <v>55326</v>
      </c>
      <c r="M433" s="542">
        <f>_xll.qlCalendarAdvance(Calendar,L433,"3M","f",,Trigger)</f>
        <v>55418</v>
      </c>
      <c r="N433" s="544" t="str">
        <f>_xll.qlMakeDatedOIS(,L433,M433,OvernightIndex,0,,,,EvaluationDate)</f>
        <v>obj_0058c#0000</v>
      </c>
      <c r="O433" s="543">
        <f>_xll.qlIndexFixing("euribor6m",_xll.qlInterestRateIndexFixingDate("Euribor6M",L433),TRUE,AllTriggers)</f>
        <v>2.2472304379042712E-2</v>
      </c>
      <c r="P433" s="543">
        <f>_xll.qlOvernightIndexedSwapFairRate(N433,AllTriggers)</f>
        <v>2.148751775235851E-2</v>
      </c>
      <c r="Q433" s="545">
        <f t="shared" si="10"/>
        <v>9.8478662668420244E-4</v>
      </c>
    </row>
    <row r="434" spans="5:17" x14ac:dyDescent="0.2">
      <c r="E434" s="537"/>
      <c r="F434" s="537"/>
      <c r="G434" s="536"/>
      <c r="I434" s="536"/>
      <c r="J434" s="536"/>
      <c r="L434" s="551">
        <f>_xll.qlCalendarAdvance(Calendar,L433,"1M","f",,Trigger)</f>
        <v>55358</v>
      </c>
      <c r="M434" s="542">
        <f>_xll.qlCalendarAdvance(Calendar,L434,"3M","f",,Trigger)</f>
        <v>55450</v>
      </c>
      <c r="N434" s="544" t="str">
        <f>_xll.qlMakeDatedOIS(,L434,M434,OvernightIndex,0,,,,EvaluationDate)</f>
        <v>obj_0058d#0000</v>
      </c>
      <c r="O434" s="543">
        <f>_xll.qlIndexFixing("euribor6m",_xll.qlInterestRateIndexFixingDate("Euribor6M",L434),TRUE,AllTriggers)</f>
        <v>2.2472987867465898E-2</v>
      </c>
      <c r="P434" s="543">
        <f>_xll.qlOvernightIndexedSwapFairRate(N434,AllTriggers)</f>
        <v>2.1487517752359381E-2</v>
      </c>
      <c r="Q434" s="545">
        <f t="shared" si="10"/>
        <v>9.8547011510651678E-4</v>
      </c>
    </row>
    <row r="435" spans="5:17" x14ac:dyDescent="0.2">
      <c r="E435" s="537"/>
      <c r="F435" s="537"/>
      <c r="G435" s="536"/>
      <c r="I435" s="536"/>
      <c r="J435" s="536"/>
      <c r="L435" s="551">
        <f>_xll.qlCalendarAdvance(Calendar,L434,"1M","f",,Trigger)</f>
        <v>55389</v>
      </c>
      <c r="M435" s="542">
        <f>_xll.qlCalendarAdvance(Calendar,L435,"3M","f",,Trigger)</f>
        <v>55481</v>
      </c>
      <c r="N435" s="544" t="str">
        <f>_xll.qlMakeDatedOIS(,L435,M435,OvernightIndex,0,,,,EvaluationDate)</f>
        <v>obj_0058e#0000</v>
      </c>
      <c r="O435" s="543">
        <f>_xll.qlIndexFixing("euribor6m",_xll.qlInterestRateIndexFixingDate("Euribor6M",L435),TRUE,AllTriggers)</f>
        <v>2.2473156195176706E-2</v>
      </c>
      <c r="P435" s="543">
        <f>_xll.qlOvernightIndexedSwapFairRate(N435,AllTriggers)</f>
        <v>2.1487517752358513E-2</v>
      </c>
      <c r="Q435" s="545">
        <f t="shared" si="10"/>
        <v>9.8563844281819232E-4</v>
      </c>
    </row>
    <row r="436" spans="5:17" x14ac:dyDescent="0.2">
      <c r="E436" s="537"/>
      <c r="F436" s="537"/>
      <c r="G436" s="536"/>
      <c r="I436" s="536"/>
      <c r="J436" s="536"/>
      <c r="L436" s="551">
        <f>_xll.qlCalendarAdvance(Calendar,L435,"1M","f",,Trigger)</f>
        <v>55421</v>
      </c>
      <c r="M436" s="542">
        <f>_xll.qlCalendarAdvance(Calendar,L436,"3M","f",,Trigger)</f>
        <v>55514</v>
      </c>
      <c r="N436" s="544" t="str">
        <f>_xll.qlMakeDatedOIS(,L436,M436,OvernightIndex,0,,,,EvaluationDate)</f>
        <v>obj_0058f#0000</v>
      </c>
      <c r="O436" s="543">
        <f>_xll.qlIndexFixing("euribor6m",_xll.qlInterestRateIndexFixingDate("Euribor6M",L436),TRUE,AllTriggers)</f>
        <v>2.2468236354507523E-2</v>
      </c>
      <c r="P436" s="543">
        <f>_xll.qlOvernightIndexedSwapFairRate(N436,AllTriggers)</f>
        <v>2.1488157863124909E-2</v>
      </c>
      <c r="Q436" s="545">
        <f t="shared" si="10"/>
        <v>9.8007849138261396E-4</v>
      </c>
    </row>
    <row r="437" spans="5:17" x14ac:dyDescent="0.2">
      <c r="E437" s="537"/>
      <c r="F437" s="537"/>
      <c r="G437" s="536"/>
      <c r="I437" s="536"/>
      <c r="J437" s="536"/>
      <c r="L437" s="551">
        <f>_xll.qlCalendarAdvance(Calendar,L436,"1M","f",,Trigger)</f>
        <v>55451</v>
      </c>
      <c r="M437" s="542">
        <f>_xll.qlCalendarAdvance(Calendar,L437,"3M","f",,Trigger)</f>
        <v>55543</v>
      </c>
      <c r="N437" s="544" t="str">
        <f>_xll.qlMakeDatedOIS(,L437,M437,OvernightIndex,0,,,,EvaluationDate)</f>
        <v>obj_00590#0000</v>
      </c>
      <c r="O437" s="543">
        <f>_xll.qlIndexFixing("euribor6m",_xll.qlInterestRateIndexFixingDate("Euribor6M",L437),TRUE,AllTriggers)</f>
        <v>2.2465615379250618E-2</v>
      </c>
      <c r="P437" s="543">
        <f>_xll.qlOvernightIndexedSwapFairRate(N437,AllTriggers)</f>
        <v>2.148751775235851E-2</v>
      </c>
      <c r="Q437" s="545">
        <f t="shared" si="10"/>
        <v>9.7809762689210836E-4</v>
      </c>
    </row>
    <row r="438" spans="5:17" x14ac:dyDescent="0.2">
      <c r="E438" s="537"/>
      <c r="F438" s="537"/>
      <c r="G438" s="536"/>
      <c r="I438" s="536"/>
      <c r="J438" s="536"/>
      <c r="L438" s="551">
        <f>_xll.qlCalendarAdvance(Calendar,L437,"1M","f",,Trigger)</f>
        <v>55484</v>
      </c>
      <c r="M438" s="542">
        <f>_xll.qlCalendarAdvance(Calendar,L438,"3M","f",,Trigger)</f>
        <v>55576</v>
      </c>
      <c r="N438" s="544" t="str">
        <f>_xll.qlMakeDatedOIS(,L438,M438,OvernightIndex,0,,,,EvaluationDate)</f>
        <v>obj_00591#0000</v>
      </c>
      <c r="O438" s="543">
        <f>_xll.qlIndexFixing("euribor6m",_xll.qlInterestRateIndexFixingDate("Euribor6M",L438),TRUE,AllTriggers)</f>
        <v>2.2460230439484731E-2</v>
      </c>
      <c r="P438" s="543">
        <f>_xll.qlOvernightIndexedSwapFairRate(N438,AllTriggers)</f>
        <v>2.148751775235851E-2</v>
      </c>
      <c r="Q438" s="545">
        <f t="shared" si="10"/>
        <v>9.7271268712622108E-4</v>
      </c>
    </row>
    <row r="439" spans="5:17" x14ac:dyDescent="0.2">
      <c r="E439" s="537"/>
      <c r="F439" s="537"/>
      <c r="G439" s="536"/>
      <c r="I439" s="536"/>
      <c r="J439" s="536"/>
      <c r="L439" s="551">
        <f>_xll.qlCalendarAdvance(Calendar,L438,"1M","f",,Trigger)</f>
        <v>55514</v>
      </c>
      <c r="M439" s="542">
        <f>_xll.qlCalendarAdvance(Calendar,L439,"3M","f",,Trigger)</f>
        <v>55605</v>
      </c>
      <c r="N439" s="544" t="str">
        <f>_xll.qlMakeDatedOIS(,L439,M439,OvernightIndex,0,,,,EvaluationDate)</f>
        <v>obj_00592#0000</v>
      </c>
      <c r="O439" s="543">
        <f>_xll.qlIndexFixing("euribor6m",_xll.qlInterestRateIndexFixingDate("Euribor6M",L439),TRUE,AllTriggers)</f>
        <v>2.2455382652247835E-2</v>
      </c>
      <c r="P439" s="543">
        <f>_xll.qlOvernightIndexedSwapFairRate(N439,AllTriggers)</f>
        <v>2.1486877667004703E-2</v>
      </c>
      <c r="Q439" s="545">
        <f t="shared" si="10"/>
        <v>9.6850498524313211E-4</v>
      </c>
    </row>
    <row r="440" spans="5:17" x14ac:dyDescent="0.2">
      <c r="E440" s="537"/>
      <c r="F440" s="537"/>
      <c r="G440" s="536"/>
      <c r="I440" s="536"/>
      <c r="J440" s="536"/>
      <c r="L440" s="551">
        <f>_xll.qlCalendarAdvance(Calendar,L439,"1M","f",,Trigger)</f>
        <v>55547</v>
      </c>
      <c r="M440" s="542">
        <f>_xll.qlCalendarAdvance(Calendar,L440,"3M","f",,Trigger)</f>
        <v>55638</v>
      </c>
      <c r="N440" s="544" t="str">
        <f>_xll.qlMakeDatedOIS(,L440,M440,OvernightIndex,0,,,,EvaluationDate)</f>
        <v>obj_00593#0000</v>
      </c>
      <c r="O440" s="543">
        <f>_xll.qlIndexFixing("euribor6m",_xll.qlInterestRateIndexFixingDate("Euribor6M",L440),TRUE,AllTriggers)</f>
        <v>2.2447626209342493E-2</v>
      </c>
      <c r="P440" s="543">
        <f>_xll.qlOvernightIndexedSwapFairRate(N440,AllTriggers)</f>
        <v>2.1486877667004703E-2</v>
      </c>
      <c r="Q440" s="545">
        <f t="shared" si="10"/>
        <v>9.6074854233779011E-4</v>
      </c>
    </row>
    <row r="441" spans="5:17" x14ac:dyDescent="0.2">
      <c r="E441" s="537"/>
      <c r="F441" s="537"/>
      <c r="G441" s="536"/>
      <c r="I441" s="536"/>
      <c r="J441" s="536"/>
      <c r="L441" s="551">
        <f>_xll.qlCalendarAdvance(Calendar,L440,"1M","f",,Trigger)</f>
        <v>55578</v>
      </c>
      <c r="M441" s="542">
        <f>_xll.qlCalendarAdvance(Calendar,L441,"3M","f",,Trigger)</f>
        <v>55668</v>
      </c>
      <c r="N441" s="544" t="str">
        <f>_xll.qlMakeDatedOIS(,L441,M441,OvernightIndex,0,,,,EvaluationDate)</f>
        <v>obj_00594#0000</v>
      </c>
      <c r="O441" s="543">
        <f>_xll.qlIndexFixing("euribor6m",_xll.qlInterestRateIndexFixingDate("Euribor6M",L441),TRUE,AllTriggers)</f>
        <v>2.2440278870925808E-2</v>
      </c>
      <c r="P441" s="543">
        <f>_xll.qlOvernightIndexedSwapFairRate(N441,AllTriggers)</f>
        <v>2.1486237607062364E-2</v>
      </c>
      <c r="Q441" s="545">
        <f t="shared" si="10"/>
        <v>9.5404126386344421E-4</v>
      </c>
    </row>
    <row r="442" spans="5:17" x14ac:dyDescent="0.2">
      <c r="E442" s="537"/>
      <c r="F442" s="537"/>
      <c r="G442" s="536"/>
      <c r="I442" s="536"/>
      <c r="J442" s="536"/>
      <c r="L442" s="551">
        <f>_xll.qlCalendarAdvance(Calendar,L441,"1M","f",,Trigger)</f>
        <v>55607</v>
      </c>
      <c r="M442" s="542">
        <f>_xll.qlCalendarAdvance(Calendar,L442,"3M","f",,Trigger)</f>
        <v>55701</v>
      </c>
      <c r="N442" s="544" t="str">
        <f>_xll.qlMakeDatedOIS(,L442,M442,OvernightIndex,0,,,,EvaluationDate)</f>
        <v>obj_00595#0000</v>
      </c>
      <c r="O442" s="543">
        <f>_xll.qlIndexFixing("euribor6m",_xll.qlInterestRateIndexFixingDate("Euribor6M",L442),TRUE,AllTriggers)</f>
        <v>2.2432922297137392E-2</v>
      </c>
      <c r="P442" s="543">
        <f>_xll.qlOvernightIndexedSwapFairRate(N442,AllTriggers)</f>
        <v>2.1488797999304983E-2</v>
      </c>
      <c r="Q442" s="545">
        <f t="shared" si="10"/>
        <v>9.4412429783240909E-4</v>
      </c>
    </row>
    <row r="443" spans="5:17" x14ac:dyDescent="0.2">
      <c r="E443" s="537"/>
      <c r="F443" s="537"/>
      <c r="G443" s="536"/>
      <c r="I443" s="536"/>
      <c r="J443" s="536"/>
      <c r="L443" s="551">
        <f>_xll.qlCalendarAdvance(Calendar,L442,"1M","f",,Trigger)</f>
        <v>55638</v>
      </c>
      <c r="M443" s="542">
        <f>_xll.qlCalendarAdvance(Calendar,L443,"3M","f",,Trigger)</f>
        <v>55729</v>
      </c>
      <c r="N443" s="544" t="str">
        <f>_xll.qlMakeDatedOIS(,L443,M443,OvernightIndex,0,,,,EvaluationDate)</f>
        <v>obj_00596#0000</v>
      </c>
      <c r="O443" s="543">
        <f>_xll.qlIndexFixing("euribor6m",_xll.qlInterestRateIndexFixingDate("Euribor6M",L443),TRUE,AllTriggers)</f>
        <v>2.2421809106247696E-2</v>
      </c>
      <c r="P443" s="543">
        <f>_xll.qlOvernightIndexedSwapFairRate(N443,AllTriggers)</f>
        <v>2.1486877667003822E-2</v>
      </c>
      <c r="Q443" s="545">
        <f t="shared" si="10"/>
        <v>9.3493143924387387E-4</v>
      </c>
    </row>
    <row r="444" spans="5:17" x14ac:dyDescent="0.2">
      <c r="E444" s="537"/>
      <c r="F444" s="537"/>
      <c r="G444" s="536"/>
      <c r="I444" s="536"/>
      <c r="J444" s="536"/>
      <c r="L444" s="551">
        <f>_xll.qlCalendarAdvance(Calendar,L443,"1M","f",,Trigger)</f>
        <v>55668</v>
      </c>
      <c r="M444" s="542">
        <f>_xll.qlCalendarAdvance(Calendar,L444,"3M","f",,Trigger)</f>
        <v>55760</v>
      </c>
      <c r="N444" s="544" t="str">
        <f>_xll.qlMakeDatedOIS(,L444,M444,OvernightIndex,0,,,,EvaluationDate)</f>
        <v>obj_00597#0000</v>
      </c>
      <c r="O444" s="543">
        <f>_xll.qlIndexFixing("euribor6m",_xll.qlInterestRateIndexFixingDate("Euribor6M",L444),TRUE,AllTriggers)</f>
        <v>2.2411498566233427E-2</v>
      </c>
      <c r="P444" s="543">
        <f>_xll.qlOvernightIndexedSwapFairRate(N444,AllTriggers)</f>
        <v>2.1487517752357639E-2</v>
      </c>
      <c r="Q444" s="545">
        <f t="shared" si="10"/>
        <v>9.2398081387578754E-4</v>
      </c>
    </row>
    <row r="445" spans="5:17" x14ac:dyDescent="0.2">
      <c r="E445" s="537"/>
      <c r="F445" s="537"/>
      <c r="G445" s="536"/>
      <c r="I445" s="536"/>
      <c r="J445" s="536"/>
      <c r="L445" s="551">
        <f>_xll.qlCalendarAdvance(Calendar,L444,"1M","f",,Trigger)</f>
        <v>55701</v>
      </c>
      <c r="M445" s="542">
        <f>_xll.qlCalendarAdvance(Calendar,L445,"3M","f",,Trigger)</f>
        <v>55793</v>
      </c>
      <c r="N445" s="544" t="str">
        <f>_xll.qlMakeDatedOIS(,L445,M445,OvernightIndex,0,,,,EvaluationDate)</f>
        <v>obj_00598#0000</v>
      </c>
      <c r="O445" s="543">
        <f>_xll.qlIndexFixing("euribor6m",_xll.qlInterestRateIndexFixingDate("Euribor6M",L445),TRUE,AllTriggers)</f>
        <v>2.2398863588492239E-2</v>
      </c>
      <c r="P445" s="543">
        <f>_xll.qlOvernightIndexedSwapFairRate(N445,AllTriggers)</f>
        <v>2.1487517752357643E-2</v>
      </c>
      <c r="Q445" s="545">
        <f t="shared" si="10"/>
        <v>9.1134583613459649E-4</v>
      </c>
    </row>
    <row r="446" spans="5:17" x14ac:dyDescent="0.2">
      <c r="E446" s="537"/>
      <c r="F446" s="537"/>
      <c r="G446" s="536"/>
      <c r="I446" s="536"/>
      <c r="J446" s="536"/>
      <c r="L446" s="551">
        <f>_xll.qlCalendarAdvance(Calendar,L445,"1M","f",,Trigger)</f>
        <v>55732</v>
      </c>
      <c r="M446" s="542">
        <f>_xll.qlCalendarAdvance(Calendar,L446,"3M","f",,Trigger)</f>
        <v>55824</v>
      </c>
      <c r="N446" s="544" t="str">
        <f>_xll.qlMakeDatedOIS(,L446,M446,OvernightIndex,0,,,,EvaluationDate)</f>
        <v>obj_00599#0000</v>
      </c>
      <c r="O446" s="543">
        <f>_xll.qlIndexFixing("euribor6m",_xll.qlInterestRateIndexFixingDate("Euribor6M",L446),TRUE,AllTriggers)</f>
        <v>2.2385835443556733E-2</v>
      </c>
      <c r="P446" s="543">
        <f>_xll.qlOvernightIndexedSwapFairRate(N446,AllTriggers)</f>
        <v>2.1487517752358506E-2</v>
      </c>
      <c r="Q446" s="545">
        <f t="shared" si="10"/>
        <v>8.983176911982263E-4</v>
      </c>
    </row>
    <row r="447" spans="5:17" x14ac:dyDescent="0.2">
      <c r="E447" s="537"/>
      <c r="F447" s="537"/>
      <c r="G447" s="536"/>
      <c r="I447" s="536"/>
      <c r="J447" s="536"/>
      <c r="L447" s="551">
        <f>_xll.qlCalendarAdvance(Calendar,L446,"1M","f",,Trigger)</f>
        <v>55764</v>
      </c>
      <c r="M447" s="542">
        <f>_xll.qlCalendarAdvance(Calendar,L447,"3M","f",,Trigger)</f>
        <v>55855</v>
      </c>
      <c r="N447" s="544" t="str">
        <f>_xll.qlMakeDatedOIS(,L447,M447,OvernightIndex,0,,,,EvaluationDate)</f>
        <v>obj_0059a#0000</v>
      </c>
      <c r="O447" s="543">
        <f>_xll.qlIndexFixing("euribor6m",_xll.qlInterestRateIndexFixingDate("Euribor6M",L447),TRUE,AllTriggers)</f>
        <v>2.2369016135463157E-2</v>
      </c>
      <c r="P447" s="543">
        <f>_xll.qlOvernightIndexedSwapFairRate(N447,AllTriggers)</f>
        <v>2.1486877667004703E-2</v>
      </c>
      <c r="Q447" s="545">
        <f t="shared" si="10"/>
        <v>8.8213846845845365E-4</v>
      </c>
    </row>
    <row r="448" spans="5:17" x14ac:dyDescent="0.2">
      <c r="E448" s="537"/>
      <c r="F448" s="537"/>
      <c r="G448" s="536"/>
      <c r="I448" s="536"/>
      <c r="J448" s="536"/>
      <c r="L448" s="551">
        <f>_xll.qlCalendarAdvance(Calendar,L447,"1M","f",,Trigger)</f>
        <v>55794</v>
      </c>
      <c r="M448" s="542">
        <f>_xll.qlCalendarAdvance(Calendar,L448,"3M","f",,Trigger)</f>
        <v>55886</v>
      </c>
      <c r="N448" s="544" t="str">
        <f>_xll.qlMakeDatedOIS(,L448,M448,OvernightIndex,0,,,,EvaluationDate)</f>
        <v>obj_0059b#0000</v>
      </c>
      <c r="O448" s="543">
        <f>_xll.qlIndexFixing("euribor6m",_xll.qlInterestRateIndexFixingDate("Euribor6M",L448),TRUE,AllTriggers)</f>
        <v>2.2353856342077261E-2</v>
      </c>
      <c r="P448" s="543">
        <f>_xll.qlOvernightIndexedSwapFairRate(N448,AllTriggers)</f>
        <v>2.1487517752357639E-2</v>
      </c>
      <c r="Q448" s="545">
        <f t="shared" si="10"/>
        <v>8.6633858971962158E-4</v>
      </c>
    </row>
    <row r="449" spans="5:17" x14ac:dyDescent="0.2">
      <c r="E449" s="537"/>
      <c r="F449" s="537"/>
      <c r="G449" s="536"/>
      <c r="I449" s="536"/>
      <c r="J449" s="536"/>
      <c r="L449" s="551">
        <f>_xll.qlCalendarAdvance(Calendar,L448,"1M","f",,Trigger)</f>
        <v>55827</v>
      </c>
      <c r="M449" s="542">
        <f>_xll.qlCalendarAdvance(Calendar,L449,"3M","f",,Trigger)</f>
        <v>55919</v>
      </c>
      <c r="N449" s="544" t="str">
        <f>_xll.qlMakeDatedOIS(,L449,M449,OvernightIndex,0,,,,EvaluationDate)</f>
        <v>obj_0059c#0000</v>
      </c>
      <c r="O449" s="543">
        <f>_xll.qlIndexFixing("euribor6m",_xll.qlInterestRateIndexFixingDate("Euribor6M",L449),TRUE,AllTriggers)</f>
        <v>2.2335976441266347E-2</v>
      </c>
      <c r="P449" s="543">
        <f>_xll.qlOvernightIndexedSwapFairRate(N449,AllTriggers)</f>
        <v>2.148751775235851E-2</v>
      </c>
      <c r="Q449" s="545">
        <f t="shared" si="10"/>
        <v>8.4845868890783688E-4</v>
      </c>
    </row>
    <row r="450" spans="5:17" x14ac:dyDescent="0.2">
      <c r="E450" s="537"/>
      <c r="F450" s="537"/>
      <c r="G450" s="536"/>
      <c r="I450" s="536"/>
      <c r="J450" s="536"/>
      <c r="L450" s="551">
        <f>_xll.qlCalendarAdvance(Calendar,L449,"1M","f",,Trigger)</f>
        <v>55857</v>
      </c>
      <c r="M450" s="542">
        <f>_xll.qlCalendarAdvance(Calendar,L450,"3M","f",,Trigger)</f>
        <v>55947</v>
      </c>
      <c r="N450" s="544" t="str">
        <f>_xll.qlMakeDatedOIS(,L450,M450,OvernightIndex,0,,,,EvaluationDate)</f>
        <v>obj_0059d#0000</v>
      </c>
      <c r="O450" s="543">
        <f>_xll.qlIndexFixing("euribor6m",_xll.qlInterestRateIndexFixingDate("Euribor6M",L450),TRUE,AllTriggers)</f>
        <v>2.2318627351664486E-2</v>
      </c>
      <c r="P450" s="543">
        <f>_xll.qlOvernightIndexedSwapFairRate(N450,AllTriggers)</f>
        <v>2.1486237607062364E-2</v>
      </c>
      <c r="Q450" s="545">
        <f t="shared" si="10"/>
        <v>8.3238974460212237E-4</v>
      </c>
    </row>
    <row r="451" spans="5:17" x14ac:dyDescent="0.2">
      <c r="E451" s="537"/>
      <c r="F451" s="537"/>
      <c r="G451" s="536"/>
      <c r="I451" s="536"/>
      <c r="J451" s="536"/>
      <c r="L451" s="551">
        <f>_xll.qlCalendarAdvance(Calendar,L450,"1M","f",,Trigger)</f>
        <v>55890</v>
      </c>
      <c r="M451" s="542">
        <f>_xll.qlCalendarAdvance(Calendar,L451,"3M","f",,Trigger)</f>
        <v>55982</v>
      </c>
      <c r="N451" s="544" t="str">
        <f>_xll.qlMakeDatedOIS(,L451,M451,OvernightIndex,0,,,,EvaluationDate)</f>
        <v>obj_0059e#0000</v>
      </c>
      <c r="O451" s="543">
        <f>_xll.qlIndexFixing("euribor6m",_xll.qlInterestRateIndexFixingDate("Euribor6M",L451),TRUE,AllTriggers)</f>
        <v>2.2298339288770643E-2</v>
      </c>
      <c r="P451" s="543">
        <f>_xll.qlOvernightIndexedSwapFairRate(N451,AllTriggers)</f>
        <v>2.1487517752358506E-2</v>
      </c>
      <c r="Q451" s="545">
        <f t="shared" ref="Q451:Q514" si="11">O451-P451</f>
        <v>8.108215364121367E-4</v>
      </c>
    </row>
    <row r="452" spans="5:17" x14ac:dyDescent="0.2">
      <c r="E452" s="537"/>
      <c r="F452" s="537"/>
      <c r="G452" s="536"/>
      <c r="I452" s="536"/>
      <c r="J452" s="536"/>
      <c r="L452" s="551">
        <f>_xll.qlCalendarAdvance(Calendar,L451,"1M","f",,Trigger)</f>
        <v>55921</v>
      </c>
      <c r="M452" s="542">
        <f>_xll.qlCalendarAdvance(Calendar,L452,"3M","f",,Trigger)</f>
        <v>56010</v>
      </c>
      <c r="N452" s="544" t="str">
        <f>_xll.qlMakeDatedOIS(,L452,M452,OvernightIndex,0,,,,EvaluationDate)</f>
        <v>obj_0059f#0000</v>
      </c>
      <c r="O452" s="543">
        <f>_xll.qlIndexFixing("euribor6m",_xll.qlInterestRateIndexFixingDate("Euribor6M",L452),TRUE,AllTriggers)</f>
        <v>2.227779731419224E-2</v>
      </c>
      <c r="P452" s="543">
        <f>_xll.qlOvernightIndexedSwapFairRate(N452,AllTriggers)</f>
        <v>2.1485597572529425E-2</v>
      </c>
      <c r="Q452" s="545">
        <f t="shared" si="11"/>
        <v>7.9219974166281487E-4</v>
      </c>
    </row>
    <row r="453" spans="5:17" x14ac:dyDescent="0.2">
      <c r="E453" s="537"/>
      <c r="F453" s="537"/>
      <c r="G453" s="536"/>
      <c r="I453" s="536"/>
      <c r="J453" s="536"/>
      <c r="L453" s="551">
        <f>_xll.qlCalendarAdvance(Calendar,L452,"1M","f",,Trigger)</f>
        <v>55949</v>
      </c>
      <c r="M453" s="542">
        <f>_xll.qlCalendarAdvance(Calendar,L453,"3M","f",,Trigger)</f>
        <v>56041</v>
      </c>
      <c r="N453" s="544" t="str">
        <f>_xll.qlMakeDatedOIS(,L453,M453,OvernightIndex,0,,,,EvaluationDate)</f>
        <v>obj_005a0#0000</v>
      </c>
      <c r="O453" s="543">
        <f>_xll.qlIndexFixing("euribor6m",_xll.qlInterestRateIndexFixingDate("Euribor6M",L453),TRUE,AllTriggers)</f>
        <v>2.2260187458675217E-2</v>
      </c>
      <c r="P453" s="543">
        <f>_xll.qlOvernightIndexedSwapFairRate(N453,AllTriggers)</f>
        <v>2.1487517752357639E-2</v>
      </c>
      <c r="Q453" s="545">
        <f t="shared" si="11"/>
        <v>7.7266970631757748E-4</v>
      </c>
    </row>
    <row r="454" spans="5:17" x14ac:dyDescent="0.2">
      <c r="E454" s="537"/>
      <c r="F454" s="537"/>
      <c r="G454" s="536"/>
      <c r="I454" s="536"/>
      <c r="J454" s="536"/>
      <c r="L454" s="551">
        <f>_xll.qlCalendarAdvance(Calendar,L453,"1M","f",,Trigger)</f>
        <v>55982</v>
      </c>
      <c r="M454" s="542">
        <f>_xll.qlCalendarAdvance(Calendar,L454,"3M","f",,Trigger)</f>
        <v>56073</v>
      </c>
      <c r="N454" s="544" t="str">
        <f>_xll.qlMakeDatedOIS(,L454,M454,OvernightIndex,0,,,,EvaluationDate)</f>
        <v>obj_005a1#0000</v>
      </c>
      <c r="O454" s="543">
        <f>_xll.qlIndexFixing("euribor6m",_xll.qlInterestRateIndexFixingDate("Euribor6M",L454),TRUE,AllTriggers)</f>
        <v>2.223541477382257E-2</v>
      </c>
      <c r="P454" s="543">
        <f>_xll.qlOvernightIndexedSwapFairRate(N454,AllTriggers)</f>
        <v>2.1486877667004699E-2</v>
      </c>
      <c r="Q454" s="545">
        <f t="shared" si="11"/>
        <v>7.4853710681787103E-4</v>
      </c>
    </row>
    <row r="455" spans="5:17" x14ac:dyDescent="0.2">
      <c r="E455" s="537"/>
      <c r="F455" s="537"/>
      <c r="G455" s="536"/>
      <c r="I455" s="536"/>
      <c r="J455" s="536"/>
      <c r="L455" s="551">
        <f>_xll.qlCalendarAdvance(Calendar,L454,"1M","f",,Trigger)</f>
        <v>56012</v>
      </c>
      <c r="M455" s="542">
        <f>_xll.qlCalendarAdvance(Calendar,L455,"3M","f",,Trigger)</f>
        <v>56104</v>
      </c>
      <c r="N455" s="544" t="str">
        <f>_xll.qlMakeDatedOIS(,L455,M455,OvernightIndex,0,,,,EvaluationDate)</f>
        <v>obj_005a2#0000</v>
      </c>
      <c r="O455" s="543">
        <f>_xll.qlIndexFixing("euribor6m",_xll.qlInterestRateIndexFixingDate("Euribor6M",L455),TRUE,AllTriggers)</f>
        <v>2.2213490659822119E-2</v>
      </c>
      <c r="P455" s="543">
        <f>_xll.qlOvernightIndexedSwapFairRate(N455,AllTriggers)</f>
        <v>2.148751775235851E-2</v>
      </c>
      <c r="Q455" s="545">
        <f t="shared" si="11"/>
        <v>7.2597290746360954E-4</v>
      </c>
    </row>
    <row r="456" spans="5:17" x14ac:dyDescent="0.2">
      <c r="E456" s="537"/>
      <c r="F456" s="537"/>
      <c r="G456" s="536"/>
      <c r="I456" s="536"/>
      <c r="J456" s="536"/>
      <c r="L456" s="551">
        <f>_xll.qlCalendarAdvance(Calendar,L455,"1M","f",,Trigger)</f>
        <v>56044</v>
      </c>
      <c r="M456" s="542">
        <f>_xll.qlCalendarAdvance(Calendar,L456,"3M","f",,Trigger)</f>
        <v>56136</v>
      </c>
      <c r="N456" s="544" t="str">
        <f>_xll.qlMakeDatedOIS(,L456,M456,OvernightIndex,0,,,,EvaluationDate)</f>
        <v>obj_005a3#0000</v>
      </c>
      <c r="O456" s="543">
        <f>_xll.qlIndexFixing("euribor6m",_xll.qlInterestRateIndexFixingDate("Euribor6M",L456),TRUE,AllTriggers)</f>
        <v>2.2187241568862617E-2</v>
      </c>
      <c r="P456" s="543">
        <f>_xll.qlOvernightIndexedSwapFairRate(N456,AllTriggers)</f>
        <v>2.148751775235851E-2</v>
      </c>
      <c r="Q456" s="545">
        <f t="shared" si="11"/>
        <v>6.997238165041067E-4</v>
      </c>
    </row>
    <row r="457" spans="5:17" x14ac:dyDescent="0.2">
      <c r="E457" s="537"/>
      <c r="F457" s="537"/>
      <c r="G457" s="536"/>
      <c r="I457" s="536"/>
      <c r="J457" s="536"/>
      <c r="L457" s="551">
        <f>_xll.qlCalendarAdvance(Calendar,L456,"1M","f",,Trigger)</f>
        <v>56074</v>
      </c>
      <c r="M457" s="542">
        <f>_xll.qlCalendarAdvance(Calendar,L457,"3M","f",,Trigger)</f>
        <v>56166</v>
      </c>
      <c r="N457" s="544" t="str">
        <f>_xll.qlMakeDatedOIS(,L457,M457,OvernightIndex,0,,,,EvaluationDate)</f>
        <v>obj_005a4#0000</v>
      </c>
      <c r="O457" s="543">
        <f>_xll.qlIndexFixing("euribor6m",_xll.qlInterestRateIndexFixingDate("Euribor6M",L457),TRUE,AllTriggers)</f>
        <v>2.2162571625161762E-2</v>
      </c>
      <c r="P457" s="543">
        <f>_xll.qlOvernightIndexedSwapFairRate(N457,AllTriggers)</f>
        <v>2.1487517752357643E-2</v>
      </c>
      <c r="Q457" s="545">
        <f t="shared" si="11"/>
        <v>6.7505387280411902E-4</v>
      </c>
    </row>
    <row r="458" spans="5:17" x14ac:dyDescent="0.2">
      <c r="E458" s="537"/>
      <c r="F458" s="537"/>
      <c r="G458" s="536"/>
      <c r="I458" s="536"/>
      <c r="J458" s="536"/>
      <c r="L458" s="551">
        <f>_xll.qlCalendarAdvance(Calendar,L457,"1M","f",,Trigger)</f>
        <v>56107</v>
      </c>
      <c r="M458" s="542">
        <f>_xll.qlCalendarAdvance(Calendar,L458,"3M","f",,Trigger)</f>
        <v>56199</v>
      </c>
      <c r="N458" s="544" t="str">
        <f>_xll.qlMakeDatedOIS(,L458,M458,OvernightIndex,0,,,,EvaluationDate)</f>
        <v>obj_005a5#0000</v>
      </c>
      <c r="O458" s="543">
        <f>_xll.qlIndexFixing("euribor6m",_xll.qlInterestRateIndexFixingDate("Euribor6M",L458),TRUE,AllTriggers)</f>
        <v>2.2133948240139142E-2</v>
      </c>
      <c r="P458" s="543">
        <f>_xll.qlOvernightIndexedSwapFairRate(N458,AllTriggers)</f>
        <v>2.148751775235851E-2</v>
      </c>
      <c r="Q458" s="545">
        <f t="shared" si="11"/>
        <v>6.4643048778063178E-4</v>
      </c>
    </row>
    <row r="459" spans="5:17" x14ac:dyDescent="0.2">
      <c r="E459" s="537"/>
      <c r="F459" s="537"/>
      <c r="G459" s="536"/>
      <c r="I459" s="536"/>
      <c r="J459" s="536"/>
      <c r="L459" s="551">
        <f>_xll.qlCalendarAdvance(Calendar,L458,"1M","f",,Trigger)</f>
        <v>56138</v>
      </c>
      <c r="M459" s="542">
        <f>_xll.qlCalendarAdvance(Calendar,L459,"3M","f",,Trigger)</f>
        <v>56229</v>
      </c>
      <c r="N459" s="544" t="str">
        <f>_xll.qlMakeDatedOIS(,L459,M459,OvernightIndex,0,,,,EvaluationDate)</f>
        <v>obj_005a6#0000</v>
      </c>
      <c r="O459" s="543">
        <f>_xll.qlIndexFixing("euribor6m",_xll.qlInterestRateIndexFixingDate("Euribor6M",L459),TRUE,AllTriggers)</f>
        <v>2.2105317232480763E-2</v>
      </c>
      <c r="P459" s="543">
        <f>_xll.qlOvernightIndexedSwapFairRate(N459,AllTriggers)</f>
        <v>2.1486877667004699E-2</v>
      </c>
      <c r="Q459" s="545">
        <f t="shared" si="11"/>
        <v>6.1843956547606369E-4</v>
      </c>
    </row>
    <row r="460" spans="5:17" x14ac:dyDescent="0.2">
      <c r="E460" s="537"/>
      <c r="F460" s="537"/>
      <c r="G460" s="536"/>
      <c r="I460" s="536"/>
      <c r="J460" s="536"/>
      <c r="L460" s="551">
        <f>_xll.qlCalendarAdvance(Calendar,L459,"1M","f",,Trigger)</f>
        <v>56170</v>
      </c>
      <c r="M460" s="542">
        <f>_xll.qlCalendarAdvance(Calendar,L460,"3M","f",,Trigger)</f>
        <v>56262</v>
      </c>
      <c r="N460" s="544" t="str">
        <f>_xll.qlMakeDatedOIS(,L460,M460,OvernightIndex,0,,,,EvaluationDate)</f>
        <v>obj_005a7#0000</v>
      </c>
      <c r="O460" s="543">
        <f>_xll.qlIndexFixing("euribor6m",_xll.qlInterestRateIndexFixingDate("Euribor6M",L460),TRUE,AllTriggers)</f>
        <v>2.2075446940355944E-2</v>
      </c>
      <c r="P460" s="543">
        <f>_xll.qlOvernightIndexedSwapFairRate(N460,AllTriggers)</f>
        <v>2.1487517752358506E-2</v>
      </c>
      <c r="Q460" s="545">
        <f t="shared" si="11"/>
        <v>5.8792918799743799E-4</v>
      </c>
    </row>
    <row r="461" spans="5:17" x14ac:dyDescent="0.2">
      <c r="E461" s="537"/>
      <c r="F461" s="537"/>
      <c r="G461" s="536"/>
      <c r="I461" s="536"/>
      <c r="J461" s="536"/>
      <c r="L461" s="551">
        <f>_xll.qlCalendarAdvance(Calendar,L460,"1M","f",,Trigger)</f>
        <v>56201</v>
      </c>
      <c r="M461" s="542">
        <f>_xll.qlCalendarAdvance(Calendar,L461,"3M","f",,Trigger)</f>
        <v>56293</v>
      </c>
      <c r="N461" s="544" t="str">
        <f>_xll.qlMakeDatedOIS(,L461,M461,OvernightIndex,0,,,,EvaluationDate)</f>
        <v>obj_005a8#0000</v>
      </c>
      <c r="O461" s="543">
        <f>_xll.qlIndexFixing("euribor6m",_xll.qlInterestRateIndexFixingDate("Euribor6M",L461),TRUE,AllTriggers)</f>
        <v>2.2045029252421078E-2</v>
      </c>
      <c r="P461" s="543">
        <f>_xll.qlOvernightIndexedSwapFairRate(N461,AllTriggers)</f>
        <v>2.1487517752359377E-2</v>
      </c>
      <c r="Q461" s="545">
        <f t="shared" si="11"/>
        <v>5.575115000617005E-4</v>
      </c>
    </row>
    <row r="462" spans="5:17" x14ac:dyDescent="0.2">
      <c r="E462" s="537"/>
      <c r="F462" s="537"/>
      <c r="G462" s="536"/>
      <c r="I462" s="536"/>
      <c r="J462" s="536"/>
      <c r="L462" s="551">
        <f>_xll.qlCalendarAdvance(Calendar,L461,"1M","f",,Trigger)</f>
        <v>56233</v>
      </c>
      <c r="M462" s="542">
        <f>_xll.qlCalendarAdvance(Calendar,L462,"3M","f",,Trigger)</f>
        <v>56324</v>
      </c>
      <c r="N462" s="544" t="str">
        <f>_xll.qlMakeDatedOIS(,L462,M462,OvernightIndex,0,,,,EvaluationDate)</f>
        <v>obj_005a9#0000</v>
      </c>
      <c r="O462" s="543">
        <f>_xll.qlIndexFixing("euribor6m",_xll.qlInterestRateIndexFixingDate("Euribor6M",L462),TRUE,AllTriggers)</f>
        <v>2.2012784558223121E-2</v>
      </c>
      <c r="P462" s="543">
        <f>_xll.qlOvernightIndexedSwapFairRate(N462,AllTriggers)</f>
        <v>2.1486877667004699E-2</v>
      </c>
      <c r="Q462" s="545">
        <f t="shared" si="11"/>
        <v>5.2590689121842157E-4</v>
      </c>
    </row>
    <row r="463" spans="5:17" x14ac:dyDescent="0.2">
      <c r="E463" s="537"/>
      <c r="F463" s="537"/>
      <c r="G463" s="536"/>
      <c r="I463" s="536"/>
      <c r="J463" s="536"/>
      <c r="L463" s="551">
        <f>_xll.qlCalendarAdvance(Calendar,L462,"1M","f",,Trigger)</f>
        <v>56264</v>
      </c>
      <c r="M463" s="542">
        <f>_xll.qlCalendarAdvance(Calendar,L463,"3M","f",,Trigger)</f>
        <v>56354</v>
      </c>
      <c r="N463" s="544" t="str">
        <f>_xll.qlMakeDatedOIS(,L463,M463,OvernightIndex,0,,,,EvaluationDate)</f>
        <v>obj_005aa#0000</v>
      </c>
      <c r="O463" s="543">
        <f>_xll.qlIndexFixing("euribor6m",_xll.qlInterestRateIndexFixingDate("Euribor6M",L463),TRUE,AllTriggers)</f>
        <v>2.1980146084731648E-2</v>
      </c>
      <c r="P463" s="543">
        <f>_xll.qlOvernightIndexedSwapFairRate(N463,AllTriggers)</f>
        <v>2.1486237607061476E-2</v>
      </c>
      <c r="Q463" s="545">
        <f t="shared" si="11"/>
        <v>4.9390847767017201E-4</v>
      </c>
    </row>
    <row r="464" spans="5:17" x14ac:dyDescent="0.2">
      <c r="E464" s="537"/>
      <c r="F464" s="537"/>
      <c r="G464" s="536"/>
      <c r="I464" s="536"/>
      <c r="J464" s="536"/>
      <c r="L464" s="551">
        <f>_xll.qlCalendarAdvance(Calendar,L463,"1M","f",,Trigger)</f>
        <v>56296</v>
      </c>
      <c r="M464" s="542">
        <f>_xll.qlCalendarAdvance(Calendar,L464,"3M","f",,Trigger)</f>
        <v>56387</v>
      </c>
      <c r="N464" s="544" t="str">
        <f>_xll.qlMakeDatedOIS(,L464,M464,OvernightIndex,0,,,,EvaluationDate)</f>
        <v>obj_005ab#0000</v>
      </c>
      <c r="O464" s="543">
        <f>_xll.qlIndexFixing("euribor6m",_xll.qlInterestRateIndexFixingDate("Euribor6M",L464),TRUE,AllTriggers)</f>
        <v>2.1945526946265077E-2</v>
      </c>
      <c r="P464" s="543">
        <f>_xll.qlOvernightIndexedSwapFairRate(N464,AllTriggers)</f>
        <v>2.1486877667003829E-2</v>
      </c>
      <c r="Q464" s="545">
        <f t="shared" si="11"/>
        <v>4.5864927926124802E-4</v>
      </c>
    </row>
    <row r="465" spans="5:17" x14ac:dyDescent="0.2">
      <c r="E465" s="537"/>
      <c r="F465" s="537"/>
      <c r="G465" s="536"/>
      <c r="I465" s="536"/>
      <c r="J465" s="536"/>
      <c r="L465" s="551">
        <f>_xll.qlCalendarAdvance(Calendar,L464,"1M","f",,Trigger)</f>
        <v>56324</v>
      </c>
      <c r="M465" s="542">
        <f>_xll.qlCalendarAdvance(Calendar,L465,"3M","f",,Trigger)</f>
        <v>56416</v>
      </c>
      <c r="N465" s="544" t="str">
        <f>_xll.qlMakeDatedOIS(,L465,M465,OvernightIndex,0,,,,EvaluationDate)</f>
        <v>obj_005ac#0000</v>
      </c>
      <c r="O465" s="543">
        <f>_xll.qlIndexFixing("euribor6m",_xll.qlInterestRateIndexFixingDate("Euribor6M",L465),TRUE,AllTriggers)</f>
        <v>2.1914317447730113E-2</v>
      </c>
      <c r="P465" s="543">
        <f>_xll.qlOvernightIndexedSwapFairRate(N465,AllTriggers)</f>
        <v>2.148751775235851E-2</v>
      </c>
      <c r="Q465" s="545">
        <f t="shared" si="11"/>
        <v>4.2679969537160259E-4</v>
      </c>
    </row>
    <row r="466" spans="5:17" x14ac:dyDescent="0.2">
      <c r="E466" s="537"/>
      <c r="F466" s="537"/>
      <c r="G466" s="536"/>
      <c r="I466" s="536"/>
      <c r="J466" s="536"/>
      <c r="L466" s="551">
        <f>_xll.qlCalendarAdvance(Calendar,L465,"1M","f",,Trigger)</f>
        <v>56355</v>
      </c>
      <c r="M466" s="542">
        <f>_xll.qlCalendarAdvance(Calendar,L466,"3M","f",,Trigger)</f>
        <v>56446</v>
      </c>
      <c r="N466" s="544" t="str">
        <f>_xll.qlMakeDatedOIS(,L466,M466,OvernightIndex,0,,,,EvaluationDate)</f>
        <v>obj_005ad#0000</v>
      </c>
      <c r="O466" s="543">
        <f>_xll.qlIndexFixing("euribor6m",_xll.qlInterestRateIndexFixingDate("Euribor6M",L466),TRUE,AllTriggers)</f>
        <v>2.1878517344000519E-2</v>
      </c>
      <c r="P466" s="543">
        <f>_xll.qlOvernightIndexedSwapFairRate(N466,AllTriggers)</f>
        <v>2.1486877667003825E-2</v>
      </c>
      <c r="Q466" s="545">
        <f t="shared" si="11"/>
        <v>3.91639676996694E-4</v>
      </c>
    </row>
    <row r="467" spans="5:17" x14ac:dyDescent="0.2">
      <c r="E467" s="537"/>
      <c r="F467" s="537"/>
      <c r="G467" s="536"/>
      <c r="I467" s="536"/>
      <c r="J467" s="536"/>
      <c r="L467" s="551">
        <f>_xll.qlCalendarAdvance(Calendar,L466,"1M","f",,Trigger)</f>
        <v>56387</v>
      </c>
      <c r="M467" s="542">
        <f>_xll.qlCalendarAdvance(Calendar,L467,"3M","f",,Trigger)</f>
        <v>56479</v>
      </c>
      <c r="N467" s="544" t="str">
        <f>_xll.qlMakeDatedOIS(,L467,M467,OvernightIndex,0,,,,EvaluationDate)</f>
        <v>obj_005ae#0000</v>
      </c>
      <c r="O467" s="543">
        <f>_xll.qlIndexFixing("euribor6m",_xll.qlInterestRateIndexFixingDate("Euribor6M",L467),TRUE,AllTriggers)</f>
        <v>2.1840876587736289E-2</v>
      </c>
      <c r="P467" s="543">
        <f>_xll.qlOvernightIndexedSwapFairRate(N467,AllTriggers)</f>
        <v>2.148751775235851E-2</v>
      </c>
      <c r="Q467" s="545">
        <f t="shared" si="11"/>
        <v>3.533588353777789E-4</v>
      </c>
    </row>
    <row r="468" spans="5:17" x14ac:dyDescent="0.2">
      <c r="E468" s="537"/>
      <c r="F468" s="537"/>
      <c r="G468" s="536"/>
      <c r="I468" s="536"/>
      <c r="J468" s="536"/>
      <c r="L468" s="551">
        <f>_xll.qlCalendarAdvance(Calendar,L467,"1M","f",,Trigger)</f>
        <v>56418</v>
      </c>
      <c r="M468" s="542">
        <f>_xll.qlCalendarAdvance(Calendar,L468,"3M","f",,Trigger)</f>
        <v>56510</v>
      </c>
      <c r="N468" s="544" t="str">
        <f>_xll.qlMakeDatedOIS(,L468,M468,OvernightIndex,0,,,,EvaluationDate)</f>
        <v>obj_005af#0000</v>
      </c>
      <c r="O468" s="543">
        <f>_xll.qlIndexFixing("euribor6m",_xll.qlInterestRateIndexFixingDate("Euribor6M",L468),TRUE,AllTriggers)</f>
        <v>2.1803768879272475E-2</v>
      </c>
      <c r="P468" s="543">
        <f>_xll.qlOvernightIndexedSwapFairRate(N468,AllTriggers)</f>
        <v>2.1337501378441391E-2</v>
      </c>
      <c r="Q468" s="545">
        <f t="shared" si="11"/>
        <v>4.6626750083108431E-4</v>
      </c>
    </row>
    <row r="469" spans="5:17" x14ac:dyDescent="0.2">
      <c r="E469" s="537"/>
      <c r="F469" s="537"/>
      <c r="G469" s="536"/>
      <c r="I469" s="536"/>
      <c r="J469" s="536"/>
      <c r="L469" s="551">
        <f>_xll.qlCalendarAdvance(Calendar,L468,"1M","f",,Trigger)</f>
        <v>56450</v>
      </c>
      <c r="M469" s="542">
        <f>_xll.qlCalendarAdvance(Calendar,L469,"3M","f",,Trigger)</f>
        <v>56542</v>
      </c>
      <c r="N469" s="544" t="str">
        <f>_xll.qlMakeDatedOIS(,L469,M469,OvernightIndex,0,,,,EvaluationDate)</f>
        <v>obj_005b0#0000</v>
      </c>
      <c r="O469" s="543">
        <f>_xll.qlIndexFixing("euribor6m",_xll.qlInterestRateIndexFixingDate("Euribor6M",L469),TRUE,AllTriggers)</f>
        <v>2.1765305084611407E-2</v>
      </c>
      <c r="P469" s="543">
        <f>_xll.qlOvernightIndexedSwapFairRate(N469,AllTriggers)</f>
        <v>2.0901122630836631E-2</v>
      </c>
      <c r="Q469" s="545">
        <f t="shared" si="11"/>
        <v>8.6418245377477623E-4</v>
      </c>
    </row>
    <row r="470" spans="5:17" x14ac:dyDescent="0.2">
      <c r="E470" s="537"/>
      <c r="F470" s="537"/>
      <c r="G470" s="536"/>
      <c r="I470" s="536"/>
      <c r="J470" s="536"/>
      <c r="L470" s="551">
        <f>_xll.qlCalendarAdvance(Calendar,L469,"1M","f",,Trigger)</f>
        <v>56481</v>
      </c>
      <c r="M470" s="542">
        <f>_xll.qlCalendarAdvance(Calendar,L470,"3M","f",,Trigger)</f>
        <v>56573</v>
      </c>
      <c r="N470" s="544" t="str">
        <f>_xll.qlMakeDatedOIS(,L470,M470,OvernightIndex,0,,,,EvaluationDate)</f>
        <v>obj_005b1#0000</v>
      </c>
      <c r="O470" s="543">
        <f>_xll.qlIndexFixing("euribor6m",_xll.qlInterestRateIndexFixingDate("Euribor6M",L470),TRUE,AllTriggers)</f>
        <v>2.1728112351275589E-2</v>
      </c>
      <c r="P470" s="543">
        <f>_xll.qlOvernightIndexedSwapFairRate(N470,AllTriggers)</f>
        <v>2.047842687460659E-2</v>
      </c>
      <c r="Q470" s="545">
        <f t="shared" si="11"/>
        <v>1.2496854766689998E-3</v>
      </c>
    </row>
    <row r="471" spans="5:17" x14ac:dyDescent="0.2">
      <c r="E471" s="537"/>
      <c r="F471" s="537"/>
      <c r="G471" s="536"/>
      <c r="I471" s="536"/>
      <c r="J471" s="536"/>
      <c r="L471" s="551">
        <f>_xll.qlCalendarAdvance(Calendar,L470,"1M","f",,Trigger)</f>
        <v>56513</v>
      </c>
      <c r="M471" s="542">
        <f>_xll.qlCalendarAdvance(Calendar,L471,"3M","f",,Trigger)</f>
        <v>56604</v>
      </c>
      <c r="N471" s="544" t="str">
        <f>_xll.qlMakeDatedOIS(,L471,M471,OvernightIndex,0,,,,EvaluationDate)</f>
        <v>obj_005b2#0000</v>
      </c>
      <c r="O471" s="543">
        <f>_xll.qlIndexFixing("euribor6m",_xll.qlInterestRateIndexFixingDate("Euribor6M",L471),TRUE,AllTriggers)</f>
        <v>2.1689628572085565E-2</v>
      </c>
      <c r="P471" s="543">
        <f>_xll.qlOvernightIndexedSwapFairRate(N471,AllTriggers)</f>
        <v>2.0232443883536354E-2</v>
      </c>
      <c r="Q471" s="545">
        <f t="shared" si="11"/>
        <v>1.457184688549211E-3</v>
      </c>
    </row>
    <row r="472" spans="5:17" x14ac:dyDescent="0.2">
      <c r="E472" s="537"/>
      <c r="F472" s="537"/>
      <c r="G472" s="536"/>
      <c r="I472" s="536"/>
      <c r="J472" s="536"/>
      <c r="L472" s="551">
        <f>_xll.qlCalendarAdvance(Calendar,L471,"1M","f",,Trigger)</f>
        <v>56543</v>
      </c>
      <c r="M472" s="542">
        <f>_xll.qlCalendarAdvance(Calendar,L472,"3M","f",,Trigger)</f>
        <v>56635</v>
      </c>
      <c r="N472" s="544" t="str">
        <f>_xll.qlMakeDatedOIS(,L472,M472,OvernightIndex,0,,,,EvaluationDate)</f>
        <v>obj_005b3#0000</v>
      </c>
      <c r="O472" s="543">
        <f>_xll.qlIndexFixing("euribor6m",_xll.qlInterestRateIndexFixingDate("Euribor6M",L472),TRUE,AllTriggers)</f>
        <v>2.1654161568500543E-2</v>
      </c>
      <c r="P472" s="543">
        <f>_xll.qlOvernightIndexedSwapFairRate(N472,AllTriggers)</f>
        <v>2.023301147152792E-2</v>
      </c>
      <c r="Q472" s="545">
        <f t="shared" si="11"/>
        <v>1.4211500969726239E-3</v>
      </c>
    </row>
    <row r="473" spans="5:17" x14ac:dyDescent="0.2">
      <c r="E473" s="537"/>
      <c r="F473" s="537"/>
      <c r="G473" s="536"/>
      <c r="I473" s="536"/>
      <c r="J473" s="536"/>
      <c r="L473" s="551">
        <f>_xll.qlCalendarAdvance(Calendar,L472,"1M","f",,Trigger)</f>
        <v>56576</v>
      </c>
      <c r="M473" s="542">
        <f>_xll.qlCalendarAdvance(Calendar,L473,"3M","f",,Trigger)</f>
        <v>56668</v>
      </c>
      <c r="N473" s="544" t="str">
        <f>_xll.qlMakeDatedOIS(,L473,M473,OvernightIndex,0,,,,EvaluationDate)</f>
        <v>obj_005b4#0000</v>
      </c>
      <c r="O473" s="543">
        <f>_xll.qlIndexFixing("euribor6m",_xll.qlInterestRateIndexFixingDate("Euribor6M",L473),TRUE,AllTriggers)</f>
        <v>2.1615593598789885E-2</v>
      </c>
      <c r="P473" s="543">
        <f>_xll.qlOvernightIndexedSwapFairRate(N473,AllTriggers)</f>
        <v>2.0233011471527049E-2</v>
      </c>
      <c r="Q473" s="545">
        <f t="shared" si="11"/>
        <v>1.3825821272628359E-3</v>
      </c>
    </row>
    <row r="474" spans="5:17" x14ac:dyDescent="0.2">
      <c r="E474" s="537"/>
      <c r="F474" s="537"/>
      <c r="G474" s="536"/>
      <c r="I474" s="536"/>
      <c r="J474" s="536"/>
      <c r="L474" s="551">
        <f>_xll.qlCalendarAdvance(Calendar,L473,"1M","f",,Trigger)</f>
        <v>56606</v>
      </c>
      <c r="M474" s="542">
        <f>_xll.qlCalendarAdvance(Calendar,L474,"3M","f",,Trigger)</f>
        <v>56696</v>
      </c>
      <c r="N474" s="544" t="str">
        <f>_xll.qlMakeDatedOIS(,L474,M474,OvernightIndex,0,,,,EvaluationDate)</f>
        <v>obj_005b5#0000</v>
      </c>
      <c r="O474" s="543">
        <f>_xll.qlIndexFixing("euribor6m",_xll.qlInterestRateIndexFixingDate("Euribor6M",L474),TRUE,AllTriggers)</f>
        <v>2.1580936999079859E-2</v>
      </c>
      <c r="P474" s="543">
        <f>_xll.qlOvernightIndexedSwapFairRate(N474,AllTriggers)</f>
        <v>2.0231876316767483E-2</v>
      </c>
      <c r="Q474" s="545">
        <f t="shared" si="11"/>
        <v>1.3490606823123759E-3</v>
      </c>
    </row>
    <row r="475" spans="5:17" x14ac:dyDescent="0.2">
      <c r="E475" s="537"/>
      <c r="F475" s="537"/>
      <c r="G475" s="536"/>
      <c r="I475" s="536"/>
      <c r="J475" s="536"/>
      <c r="L475" s="551">
        <f>_xll.qlCalendarAdvance(Calendar,L474,"1M","f",,Trigger)</f>
        <v>56639</v>
      </c>
      <c r="M475" s="542">
        <f>_xll.qlCalendarAdvance(Calendar,L475,"3M","f",,Trigger)</f>
        <v>56730</v>
      </c>
      <c r="N475" s="544" t="str">
        <f>_xll.qlMakeDatedOIS(,L475,M475,OvernightIndex,0,,,,EvaluationDate)</f>
        <v>obj_005b6#0000</v>
      </c>
      <c r="O475" s="543">
        <f>_xll.qlIndexFixing("euribor6m",_xll.qlInterestRateIndexFixingDate("Euribor6M",L475),TRUE,AllTriggers)</f>
        <v>2.1543260424737268E-2</v>
      </c>
      <c r="P475" s="543">
        <f>_xll.qlOvernightIndexedSwapFairRate(N475,AllTriggers)</f>
        <v>2.0232443883537232E-2</v>
      </c>
      <c r="Q475" s="545">
        <f t="shared" si="11"/>
        <v>1.3108165412000355E-3</v>
      </c>
    </row>
    <row r="476" spans="5:17" x14ac:dyDescent="0.2">
      <c r="E476" s="537"/>
      <c r="F476" s="537"/>
      <c r="G476" s="536"/>
      <c r="I476" s="536"/>
      <c r="J476" s="536"/>
      <c r="L476" s="551">
        <f>_xll.qlCalendarAdvance(Calendar,L475,"1M","f",,Trigger)</f>
        <v>56670</v>
      </c>
      <c r="M476" s="542">
        <f>_xll.qlCalendarAdvance(Calendar,L476,"3M","f",,Trigger)</f>
        <v>56759</v>
      </c>
      <c r="N476" s="544" t="str">
        <f>_xll.qlMakeDatedOIS(,L476,M476,OvernightIndex,0,,,,EvaluationDate)</f>
        <v>obj_005b7#0000</v>
      </c>
      <c r="O476" s="543">
        <f>_xll.qlIndexFixing("euribor6m",_xll.qlInterestRateIndexFixingDate("Euribor6M",L476),TRUE,AllTriggers)</f>
        <v>2.1508206616813044E-2</v>
      </c>
      <c r="P476" s="543">
        <f>_xll.qlOvernightIndexedSwapFairRate(N476,AllTriggers)</f>
        <v>2.0231308771216355E-2</v>
      </c>
      <c r="Q476" s="545">
        <f t="shared" si="11"/>
        <v>1.276897845596689E-3</v>
      </c>
    </row>
    <row r="477" spans="5:17" x14ac:dyDescent="0.2">
      <c r="E477" s="537"/>
      <c r="F477" s="537"/>
      <c r="G477" s="536"/>
      <c r="I477" s="536"/>
      <c r="J477" s="536"/>
      <c r="L477" s="551">
        <f>_xll.qlCalendarAdvance(Calendar,L476,"1M","f",,Trigger)</f>
        <v>56698</v>
      </c>
      <c r="M477" s="542">
        <f>_xll.qlCalendarAdvance(Calendar,L477,"3M","f",,Trigger)</f>
        <v>56790</v>
      </c>
      <c r="N477" s="544" t="str">
        <f>_xll.qlMakeDatedOIS(,L477,M477,OvernightIndex,0,,,,EvaluationDate)</f>
        <v>obj_005b8#0000</v>
      </c>
      <c r="O477" s="543">
        <f>_xll.qlIndexFixing("euribor6m",_xll.qlInterestRateIndexFixingDate("Euribor6M",L477),TRUE,AllTriggers)</f>
        <v>2.1477424277884506E-2</v>
      </c>
      <c r="P477" s="543">
        <f>_xll.qlOvernightIndexedSwapFairRate(N477,AllTriggers)</f>
        <v>2.0233011471527049E-2</v>
      </c>
      <c r="Q477" s="545">
        <f t="shared" si="11"/>
        <v>1.2444128063574568E-3</v>
      </c>
    </row>
    <row r="478" spans="5:17" x14ac:dyDescent="0.2">
      <c r="E478" s="537"/>
      <c r="F478" s="537"/>
      <c r="G478" s="536"/>
      <c r="I478" s="536"/>
      <c r="J478" s="536"/>
      <c r="L478" s="551">
        <f>_xll.qlCalendarAdvance(Calendar,L477,"1M","f",,Trigger)</f>
        <v>56730</v>
      </c>
      <c r="M478" s="542">
        <f>_xll.qlCalendarAdvance(Calendar,L478,"3M","f",,Trigger)</f>
        <v>56821</v>
      </c>
      <c r="N478" s="544" t="str">
        <f>_xll.qlMakeDatedOIS(,L478,M478,OvernightIndex,0,,,,EvaluationDate)</f>
        <v>obj_005b9#0000</v>
      </c>
      <c r="O478" s="543">
        <f>_xll.qlIndexFixing("euribor6m",_xll.qlInterestRateIndexFixingDate("Euribor6M",L478),TRUE,AllTriggers)</f>
        <v>2.1441878187895815E-2</v>
      </c>
      <c r="P478" s="543">
        <f>_xll.qlOvernightIndexedSwapFairRate(N478,AllTriggers)</f>
        <v>2.0232443883536354E-2</v>
      </c>
      <c r="Q478" s="545">
        <f t="shared" si="11"/>
        <v>1.2094343043594601E-3</v>
      </c>
    </row>
    <row r="479" spans="5:17" x14ac:dyDescent="0.2">
      <c r="E479" s="537"/>
      <c r="F479" s="537"/>
      <c r="G479" s="536"/>
      <c r="I479" s="536"/>
      <c r="J479" s="536"/>
      <c r="L479" s="551">
        <f>_xll.qlCalendarAdvance(Calendar,L478,"1M","f",,Trigger)</f>
        <v>56760</v>
      </c>
      <c r="M479" s="542">
        <f>_xll.qlCalendarAdvance(Calendar,L479,"3M","f",,Trigger)</f>
        <v>56852</v>
      </c>
      <c r="N479" s="544" t="str">
        <f>_xll.qlMakeDatedOIS(,L479,M479,OvernightIndex,0,,,,EvaluationDate)</f>
        <v>obj_005ba#0000</v>
      </c>
      <c r="O479" s="543">
        <f>_xll.qlIndexFixing("euribor6m",_xll.qlInterestRateIndexFixingDate("Euribor6M",L479),TRUE,AllTriggers)</f>
        <v>2.1409306280170272E-2</v>
      </c>
      <c r="P479" s="543">
        <f>_xll.qlOvernightIndexedSwapFairRate(N479,AllTriggers)</f>
        <v>2.0233011471527045E-2</v>
      </c>
      <c r="Q479" s="545">
        <f t="shared" si="11"/>
        <v>1.1762948086432266E-3</v>
      </c>
    </row>
    <row r="480" spans="5:17" x14ac:dyDescent="0.2">
      <c r="E480" s="537"/>
      <c r="F480" s="537"/>
      <c r="G480" s="536"/>
      <c r="I480" s="536"/>
      <c r="J480" s="536"/>
      <c r="L480" s="551">
        <f>_xll.qlCalendarAdvance(Calendar,L479,"1M","f",,Trigger)</f>
        <v>56793</v>
      </c>
      <c r="M480" s="542">
        <f>_xll.qlCalendarAdvance(Calendar,L480,"3M","f",,Trigger)</f>
        <v>56885</v>
      </c>
      <c r="N480" s="544" t="str">
        <f>_xll.qlMakeDatedOIS(,L480,M480,OvernightIndex,0,,,,EvaluationDate)</f>
        <v>obj_005bb#0000</v>
      </c>
      <c r="O480" s="543">
        <f>_xll.qlIndexFixing("euribor6m",_xll.qlInterestRateIndexFixingDate("Euribor6M",L480),TRUE,AllTriggers)</f>
        <v>2.1373713670147072E-2</v>
      </c>
      <c r="P480" s="543">
        <f>_xll.qlOvernightIndexedSwapFairRate(N480,AllTriggers)</f>
        <v>2.0233011471527049E-2</v>
      </c>
      <c r="Q480" s="545">
        <f t="shared" si="11"/>
        <v>1.1407021986200236E-3</v>
      </c>
    </row>
    <row r="481" spans="5:17" x14ac:dyDescent="0.2">
      <c r="E481" s="537"/>
      <c r="F481" s="537"/>
      <c r="G481" s="536"/>
      <c r="I481" s="536"/>
      <c r="J481" s="536"/>
      <c r="L481" s="551">
        <f>_xll.qlCalendarAdvance(Calendar,L480,"1M","f",,Trigger)</f>
        <v>56823</v>
      </c>
      <c r="M481" s="542">
        <f>_xll.qlCalendarAdvance(Calendar,L481,"3M","f",,Trigger)</f>
        <v>56915</v>
      </c>
      <c r="N481" s="544" t="str">
        <f>_xll.qlMakeDatedOIS(,L481,M481,OvernightIndex,0,,,,EvaluationDate)</f>
        <v>obj_005bc#0000</v>
      </c>
      <c r="O481" s="543">
        <f>_xll.qlIndexFixing("euribor6m",_xll.qlInterestRateIndexFixingDate("Euribor6M",L481),TRUE,AllTriggers)</f>
        <v>2.1341961449005568E-2</v>
      </c>
      <c r="P481" s="543">
        <f>_xll.qlOvernightIndexedSwapFairRate(N481,AllTriggers)</f>
        <v>2.0233011471527916E-2</v>
      </c>
      <c r="Q481" s="545">
        <f t="shared" si="11"/>
        <v>1.1089499774776523E-3</v>
      </c>
    </row>
    <row r="482" spans="5:17" x14ac:dyDescent="0.2">
      <c r="E482" s="537"/>
      <c r="F482" s="537"/>
      <c r="G482" s="536"/>
      <c r="I482" s="536"/>
      <c r="J482" s="536"/>
      <c r="L482" s="551">
        <f>_xll.qlCalendarAdvance(Calendar,L481,"1M","f",,Trigger)</f>
        <v>56856</v>
      </c>
      <c r="M482" s="542">
        <f>_xll.qlCalendarAdvance(Calendar,L482,"3M","f",,Trigger)</f>
        <v>56948</v>
      </c>
      <c r="N482" s="544" t="str">
        <f>_xll.qlMakeDatedOIS(,L482,M482,OvernightIndex,0,,,,EvaluationDate)</f>
        <v>obj_005bd#0000</v>
      </c>
      <c r="O482" s="543">
        <f>_xll.qlIndexFixing("euribor6m",_xll.qlInterestRateIndexFixingDate("Euribor6M",L482),TRUE,AllTriggers)</f>
        <v>2.1307250446045933E-2</v>
      </c>
      <c r="P482" s="543">
        <f>_xll.qlOvernightIndexedSwapFairRate(N482,AllTriggers)</f>
        <v>2.0233011471527049E-2</v>
      </c>
      <c r="Q482" s="545">
        <f t="shared" si="11"/>
        <v>1.0742389745188839E-3</v>
      </c>
    </row>
    <row r="483" spans="5:17" x14ac:dyDescent="0.2">
      <c r="E483" s="537"/>
      <c r="F483" s="537"/>
      <c r="G483" s="536"/>
      <c r="I483" s="536"/>
      <c r="J483" s="536"/>
      <c r="L483" s="551">
        <f>_xll.qlCalendarAdvance(Calendar,L482,"1M","f",,Trigger)</f>
        <v>56887</v>
      </c>
      <c r="M483" s="542">
        <f>_xll.qlCalendarAdvance(Calendar,L483,"3M","f",,Trigger)</f>
        <v>56978</v>
      </c>
      <c r="N483" s="544" t="str">
        <f>_xll.qlMakeDatedOIS(,L483,M483,OvernightIndex,0,,,,EvaluationDate)</f>
        <v>obj_005be#0000</v>
      </c>
      <c r="O483" s="543">
        <f>_xll.qlIndexFixing("euribor6m",_xll.qlInterestRateIndexFixingDate("Euribor6M",L483),TRUE,AllTriggers)</f>
        <v>2.127505201954695E-2</v>
      </c>
      <c r="P483" s="543">
        <f>_xll.qlOvernightIndexedSwapFairRate(N483,AllTriggers)</f>
        <v>2.0232443883536358E-2</v>
      </c>
      <c r="Q483" s="545">
        <f t="shared" si="11"/>
        <v>1.0426081360105921E-3</v>
      </c>
    </row>
    <row r="484" spans="5:17" x14ac:dyDescent="0.2">
      <c r="E484" s="537"/>
      <c r="F484" s="537"/>
      <c r="G484" s="536"/>
      <c r="I484" s="536"/>
      <c r="J484" s="536"/>
      <c r="L484" s="551">
        <f>_xll.qlCalendarAdvance(Calendar,L483,"1M","f",,Trigger)</f>
        <v>56919</v>
      </c>
      <c r="M484" s="542">
        <f>_xll.qlCalendarAdvance(Calendar,L484,"3M","f",,Trigger)</f>
        <v>57011</v>
      </c>
      <c r="N484" s="544" t="str">
        <f>_xll.qlMakeDatedOIS(,L484,M484,OvernightIndex,0,,,,EvaluationDate)</f>
        <v>obj_005bf#0000</v>
      </c>
      <c r="O484" s="543">
        <f>_xll.qlIndexFixing("euribor6m",_xll.qlInterestRateIndexFixingDate("Euribor6M",L484),TRUE,AllTriggers)</f>
        <v>2.1242488345162167E-2</v>
      </c>
      <c r="P484" s="543">
        <f>_xll.qlOvernightIndexedSwapFairRate(N484,AllTriggers)</f>
        <v>2.0233011471527049E-2</v>
      </c>
      <c r="Q484" s="545">
        <f t="shared" si="11"/>
        <v>1.0094768736351178E-3</v>
      </c>
    </row>
    <row r="485" spans="5:17" x14ac:dyDescent="0.2">
      <c r="E485" s="537"/>
      <c r="F485" s="537"/>
      <c r="G485" s="536"/>
      <c r="I485" s="536"/>
      <c r="J485" s="536"/>
      <c r="L485" s="551">
        <f>_xll.qlCalendarAdvance(Calendar,L484,"1M","f",,Trigger)</f>
        <v>56949</v>
      </c>
      <c r="M485" s="542">
        <f>_xll.qlCalendarAdvance(Calendar,L485,"3M","f",,Trigger)</f>
        <v>57040</v>
      </c>
      <c r="N485" s="544" t="str">
        <f>_xll.qlMakeDatedOIS(,L485,M485,OvernightIndex,0,,,,EvaluationDate)</f>
        <v>obj_005c0#0000</v>
      </c>
      <c r="O485" s="543">
        <f>_xll.qlIndexFixing("euribor6m",_xll.qlInterestRateIndexFixingDate("Euribor6M",L485),TRUE,AllTriggers)</f>
        <v>2.1212247101612177E-2</v>
      </c>
      <c r="P485" s="543">
        <f>_xll.qlOvernightIndexedSwapFairRate(N485,AllTriggers)</f>
        <v>2.0232443883537232E-2</v>
      </c>
      <c r="Q485" s="545">
        <f t="shared" si="11"/>
        <v>9.7980321807494483E-4</v>
      </c>
    </row>
    <row r="486" spans="5:17" x14ac:dyDescent="0.2">
      <c r="E486" s="537"/>
      <c r="F486" s="537"/>
      <c r="G486" s="536"/>
      <c r="I486" s="536"/>
      <c r="J486" s="536"/>
      <c r="L486" s="551">
        <f>_xll.qlCalendarAdvance(Calendar,L485,"1M","f",,Trigger)</f>
        <v>56982</v>
      </c>
      <c r="M486" s="542">
        <f>_xll.qlCalendarAdvance(Calendar,L486,"3M","f",,Trigger)</f>
        <v>57074</v>
      </c>
      <c r="N486" s="544" t="str">
        <f>_xll.qlMakeDatedOIS(,L486,M486,OvernightIndex,0,,,,EvaluationDate)</f>
        <v>obj_005c1#0000</v>
      </c>
      <c r="O486" s="543">
        <f>_xll.qlIndexFixing("euribor6m",_xll.qlInterestRateIndexFixingDate("Euribor6M",L486),TRUE,AllTriggers)</f>
        <v>2.1179293677420902E-2</v>
      </c>
      <c r="P486" s="543">
        <f>_xll.qlOvernightIndexedSwapFairRate(N486,AllTriggers)</f>
        <v>2.0233011471527049E-2</v>
      </c>
      <c r="Q486" s="545">
        <f t="shared" si="11"/>
        <v>9.4628220589385373E-4</v>
      </c>
    </row>
    <row r="487" spans="5:17" x14ac:dyDescent="0.2">
      <c r="E487" s="537"/>
      <c r="F487" s="537"/>
      <c r="G487" s="536"/>
      <c r="I487" s="536"/>
      <c r="J487" s="536"/>
      <c r="L487" s="551">
        <f>_xll.qlCalendarAdvance(Calendar,L486,"1M","f",,Trigger)</f>
        <v>57013</v>
      </c>
      <c r="M487" s="542">
        <f>_xll.qlCalendarAdvance(Calendar,L487,"3M","f",,Trigger)</f>
        <v>57103</v>
      </c>
      <c r="N487" s="544" t="str">
        <f>_xll.qlMakeDatedOIS(,L487,M487,OvernightIndex,0,,,,EvaluationDate)</f>
        <v>obj_005c2#0000</v>
      </c>
      <c r="O487" s="543">
        <f>_xll.qlIndexFixing("euribor6m",_xll.qlInterestRateIndexFixingDate("Euribor6M",L487),TRUE,AllTriggers)</f>
        <v>2.1148883090749186E-2</v>
      </c>
      <c r="P487" s="543">
        <f>_xll.qlOvernightIndexedSwapFairRate(N487,AllTriggers)</f>
        <v>2.0231876316766595E-2</v>
      </c>
      <c r="Q487" s="545">
        <f t="shared" si="11"/>
        <v>9.1700677398259128E-4</v>
      </c>
    </row>
    <row r="488" spans="5:17" x14ac:dyDescent="0.2">
      <c r="E488" s="537"/>
      <c r="F488" s="537"/>
      <c r="G488" s="536"/>
      <c r="I488" s="536"/>
      <c r="J488" s="536"/>
      <c r="L488" s="551">
        <f>_xll.qlCalendarAdvance(Calendar,L487,"1M","f",,Trigger)</f>
        <v>57042</v>
      </c>
      <c r="M488" s="542">
        <f>_xll.qlCalendarAdvance(Calendar,L488,"3M","f",,Trigger)</f>
        <v>57136</v>
      </c>
      <c r="N488" s="544" t="str">
        <f>_xll.qlMakeDatedOIS(,L488,M488,OvernightIndex,0,,,,EvaluationDate)</f>
        <v>obj_005c3#0000</v>
      </c>
      <c r="O488" s="543">
        <f>_xll.qlIndexFixing("euribor6m",_xll.qlInterestRateIndexFixingDate("Euribor6M",L488),TRUE,AllTriggers)</f>
        <v>2.1121236466272168E-2</v>
      </c>
      <c r="P488" s="543">
        <f>_xll.qlOvernightIndexedSwapFairRate(N488,AllTriggers)</f>
        <v>2.0234146711174055E-2</v>
      </c>
      <c r="Q488" s="545">
        <f t="shared" si="11"/>
        <v>8.8708975509811314E-4</v>
      </c>
    </row>
    <row r="489" spans="5:17" x14ac:dyDescent="0.2">
      <c r="E489" s="537"/>
      <c r="F489" s="537"/>
      <c r="G489" s="536"/>
      <c r="I489" s="536"/>
      <c r="J489" s="536"/>
      <c r="L489" s="551">
        <f>_xll.qlCalendarAdvance(Calendar,L488,"1M","f",,Trigger)</f>
        <v>57074</v>
      </c>
      <c r="M489" s="542">
        <f>_xll.qlCalendarAdvance(Calendar,L489,"3M","f",,Trigger)</f>
        <v>57165</v>
      </c>
      <c r="N489" s="544" t="str">
        <f>_xll.qlMakeDatedOIS(,L489,M489,OvernightIndex,0,,,,EvaluationDate)</f>
        <v>obj_005c4#0000</v>
      </c>
      <c r="O489" s="543">
        <f>_xll.qlIndexFixing("euribor6m",_xll.qlInterestRateIndexFixingDate("Euribor6M",L489),TRUE,AllTriggers)</f>
        <v>2.1090393215484112E-2</v>
      </c>
      <c r="P489" s="543">
        <f>_xll.qlOvernightIndexedSwapFairRate(N489,AllTriggers)</f>
        <v>2.0232443883536351E-2</v>
      </c>
      <c r="Q489" s="545">
        <f t="shared" si="11"/>
        <v>8.5794933194776116E-4</v>
      </c>
    </row>
    <row r="490" spans="5:17" x14ac:dyDescent="0.2">
      <c r="E490" s="537"/>
      <c r="F490" s="537"/>
      <c r="G490" s="536"/>
      <c r="I490" s="536"/>
      <c r="J490" s="536"/>
      <c r="L490" s="551">
        <f>_xll.qlCalendarAdvance(Calendar,L489,"1M","f",,Trigger)</f>
        <v>57104</v>
      </c>
      <c r="M490" s="542">
        <f>_xll.qlCalendarAdvance(Calendar,L490,"3M","f",,Trigger)</f>
        <v>57196</v>
      </c>
      <c r="N490" s="544" t="str">
        <f>_xll.qlMakeDatedOIS(,L490,M490,OvernightIndex,0,,,,EvaluationDate)</f>
        <v>obj_005c5#0000</v>
      </c>
      <c r="O490" s="543">
        <f>_xll.qlIndexFixing("euribor6m",_xll.qlInterestRateIndexFixingDate("Euribor6M",L490),TRUE,AllTriggers)</f>
        <v>2.1062603627306709E-2</v>
      </c>
      <c r="P490" s="543">
        <f>_xll.qlOvernightIndexedSwapFairRate(N490,AllTriggers)</f>
        <v>2.0233011471527045E-2</v>
      </c>
      <c r="Q490" s="545">
        <f t="shared" si="11"/>
        <v>8.29592155779664E-4</v>
      </c>
    </row>
    <row r="491" spans="5:17" x14ac:dyDescent="0.2">
      <c r="E491" s="537"/>
      <c r="F491" s="537"/>
      <c r="G491" s="536"/>
      <c r="I491" s="536"/>
      <c r="J491" s="536"/>
      <c r="L491" s="551">
        <f>_xll.qlCalendarAdvance(Calendar,L490,"1M","f",,Trigger)</f>
        <v>57136</v>
      </c>
      <c r="M491" s="542">
        <f>_xll.qlCalendarAdvance(Calendar,L491,"3M","f",,Trigger)</f>
        <v>57228</v>
      </c>
      <c r="N491" s="544" t="str">
        <f>_xll.qlMakeDatedOIS(,L491,M491,OvernightIndex,0,,,,EvaluationDate)</f>
        <v>obj_005c6#0000</v>
      </c>
      <c r="O491" s="543">
        <f>_xll.qlIndexFixing("euribor6m",_xll.qlInterestRateIndexFixingDate("Euribor6M",L491),TRUE,AllTriggers)</f>
        <v>2.1032437559946045E-2</v>
      </c>
      <c r="P491" s="543">
        <f>_xll.qlOvernightIndexedSwapFairRate(N491,AllTriggers)</f>
        <v>2.0233011471527045E-2</v>
      </c>
      <c r="Q491" s="545">
        <f t="shared" si="11"/>
        <v>7.994260884190002E-4</v>
      </c>
    </row>
    <row r="492" spans="5:17" x14ac:dyDescent="0.2">
      <c r="E492" s="537"/>
      <c r="F492" s="537"/>
      <c r="G492" s="536"/>
      <c r="I492" s="536"/>
      <c r="J492" s="536"/>
      <c r="L492" s="551">
        <f>_xll.qlCalendarAdvance(Calendar,L491,"1M","f",,Trigger)</f>
        <v>57166</v>
      </c>
      <c r="M492" s="542">
        <f>_xll.qlCalendarAdvance(Calendar,L492,"3M","f",,Trigger)</f>
        <v>57258</v>
      </c>
      <c r="N492" s="544" t="str">
        <f>_xll.qlMakeDatedOIS(,L492,M492,OvernightIndex,0,,,,EvaluationDate)</f>
        <v>obj_005c7#0000</v>
      </c>
      <c r="O492" s="543">
        <f>_xll.qlIndexFixing("euribor6m",_xll.qlInterestRateIndexFixingDate("Euribor6M",L492),TRUE,AllTriggers)</f>
        <v>2.10051486241534E-2</v>
      </c>
      <c r="P492" s="543">
        <f>_xll.qlOvernightIndexedSwapFairRate(N492,AllTriggers)</f>
        <v>2.0233011471527045E-2</v>
      </c>
      <c r="Q492" s="545">
        <f t="shared" si="11"/>
        <v>7.7213715262635513E-4</v>
      </c>
    </row>
    <row r="493" spans="5:17" x14ac:dyDescent="0.2">
      <c r="E493" s="537"/>
      <c r="F493" s="537"/>
      <c r="G493" s="536"/>
      <c r="I493" s="536"/>
      <c r="J493" s="536"/>
      <c r="L493" s="551">
        <f>_xll.qlCalendarAdvance(Calendar,L492,"1M","f",,Trigger)</f>
        <v>57199</v>
      </c>
      <c r="M493" s="542">
        <f>_xll.qlCalendarAdvance(Calendar,L493,"3M","f",,Trigger)</f>
        <v>57291</v>
      </c>
      <c r="N493" s="544" t="str">
        <f>_xll.qlMakeDatedOIS(,L493,M493,OvernightIndex,0,,,,EvaluationDate)</f>
        <v>obj_005c8#0000</v>
      </c>
      <c r="O493" s="543">
        <f>_xll.qlIndexFixing("euribor6m",_xll.qlInterestRateIndexFixingDate("Euribor6M",L493),TRUE,AllTriggers)</f>
        <v>2.0975402289709937E-2</v>
      </c>
      <c r="P493" s="543">
        <f>_xll.qlOvernightIndexedSwapFairRate(N493,AllTriggers)</f>
        <v>2.0233011471527049E-2</v>
      </c>
      <c r="Q493" s="545">
        <f t="shared" si="11"/>
        <v>7.4239081818288852E-4</v>
      </c>
    </row>
    <row r="494" spans="5:17" x14ac:dyDescent="0.2">
      <c r="E494" s="537"/>
      <c r="F494" s="537"/>
      <c r="G494" s="536"/>
      <c r="I494" s="536"/>
      <c r="J494" s="536"/>
      <c r="L494" s="551">
        <f>_xll.qlCalendarAdvance(Calendar,L493,"1M","f",,Trigger)</f>
        <v>57230</v>
      </c>
      <c r="M494" s="542">
        <f>_xll.qlCalendarAdvance(Calendar,L494,"3M","f",,Trigger)</f>
        <v>57321</v>
      </c>
      <c r="N494" s="544" t="str">
        <f>_xll.qlMakeDatedOIS(,L494,M494,OvernightIndex,0,,,,EvaluationDate)</f>
        <v>obj_005c9#0000</v>
      </c>
      <c r="O494" s="543">
        <f>_xll.qlIndexFixing("euribor6m",_xll.qlInterestRateIndexFixingDate("Euribor6M",L494),TRUE,AllTriggers)</f>
        <v>2.0947364266243235E-2</v>
      </c>
      <c r="P494" s="543">
        <f>_xll.qlOvernightIndexedSwapFairRate(N494,AllTriggers)</f>
        <v>2.0232443883537236E-2</v>
      </c>
      <c r="Q494" s="545">
        <f t="shared" si="11"/>
        <v>7.1492038270599967E-4</v>
      </c>
    </row>
    <row r="495" spans="5:17" x14ac:dyDescent="0.2">
      <c r="E495" s="537"/>
      <c r="F495" s="537"/>
      <c r="G495" s="536"/>
      <c r="I495" s="536"/>
      <c r="J495" s="536"/>
      <c r="L495" s="551">
        <f>_xll.qlCalendarAdvance(Calendar,L494,"1M","f",,Trigger)</f>
        <v>57262</v>
      </c>
      <c r="M495" s="542">
        <f>_xll.qlCalendarAdvance(Calendar,L495,"3M","f",,Trigger)</f>
        <v>57354</v>
      </c>
      <c r="N495" s="544" t="str">
        <f>_xll.qlMakeDatedOIS(,L495,M495,OvernightIndex,0,,,,EvaluationDate)</f>
        <v>obj_005ca#0000</v>
      </c>
      <c r="O495" s="543">
        <f>_xll.qlIndexFixing("euribor6m",_xll.qlInterestRateIndexFixingDate("Euribor6M",L495),TRUE,AllTriggers)</f>
        <v>2.0919552431746088E-2</v>
      </c>
      <c r="P495" s="543">
        <f>_xll.qlOvernightIndexedSwapFairRate(N495,AllTriggers)</f>
        <v>2.0233011471527045E-2</v>
      </c>
      <c r="Q495" s="545">
        <f t="shared" si="11"/>
        <v>6.8654096021904254E-4</v>
      </c>
    </row>
    <row r="496" spans="5:17" x14ac:dyDescent="0.2">
      <c r="E496" s="537"/>
      <c r="F496" s="537"/>
      <c r="G496" s="536"/>
      <c r="I496" s="536"/>
      <c r="J496" s="536"/>
      <c r="L496" s="551">
        <f>_xll.qlCalendarAdvance(Calendar,L495,"1M","f",,Trigger)</f>
        <v>57293</v>
      </c>
      <c r="M496" s="542">
        <f>_xll.qlCalendarAdvance(Calendar,L496,"3M","f",,Trigger)</f>
        <v>57385</v>
      </c>
      <c r="N496" s="544" t="str">
        <f>_xll.qlMakeDatedOIS(,L496,M496,OvernightIndex,0,,,,EvaluationDate)</f>
        <v>obj_005cb#0000</v>
      </c>
      <c r="O496" s="543">
        <f>_xll.qlIndexFixing("euribor6m",_xll.qlInterestRateIndexFixingDate("Euribor6M",L496),TRUE,AllTriggers)</f>
        <v>2.0892676962769922E-2</v>
      </c>
      <c r="P496" s="543">
        <f>_xll.qlOvernightIndexedSwapFairRate(N496,AllTriggers)</f>
        <v>2.0233011471527045E-2</v>
      </c>
      <c r="Q496" s="545">
        <f t="shared" si="11"/>
        <v>6.5966549124287649E-4</v>
      </c>
    </row>
    <row r="497" spans="5:17" x14ac:dyDescent="0.2">
      <c r="E497" s="537"/>
      <c r="F497" s="537"/>
      <c r="G497" s="536"/>
      <c r="I497" s="536"/>
      <c r="J497" s="536"/>
      <c r="L497" s="551">
        <f>_xll.qlCalendarAdvance(Calendar,L496,"1M","f",,Trigger)</f>
        <v>57325</v>
      </c>
      <c r="M497" s="542">
        <f>_xll.qlCalendarAdvance(Calendar,L497,"3M","f",,Trigger)</f>
        <v>57416</v>
      </c>
      <c r="N497" s="544" t="str">
        <f>_xll.qlMakeDatedOIS(,L497,M497,OvernightIndex,0,,,,EvaluationDate)</f>
        <v>obj_005cc#0000</v>
      </c>
      <c r="O497" s="543">
        <f>_xll.qlIndexFixing("euribor6m",_xll.qlInterestRateIndexFixingDate("Euribor6M",L497),TRUE,AllTriggers)</f>
        <v>2.0865738945864177E-2</v>
      </c>
      <c r="P497" s="543">
        <f>_xll.qlOvernightIndexedSwapFairRate(N497,AllTriggers)</f>
        <v>2.0232443883537236E-2</v>
      </c>
      <c r="Q497" s="545">
        <f t="shared" si="11"/>
        <v>6.3329506232694122E-4</v>
      </c>
    </row>
    <row r="498" spans="5:17" x14ac:dyDescent="0.2">
      <c r="E498" s="537"/>
      <c r="F498" s="537"/>
      <c r="G498" s="536"/>
      <c r="I498" s="536"/>
      <c r="J498" s="536"/>
      <c r="L498" s="551">
        <f>_xll.qlCalendarAdvance(Calendar,L497,"1M","f",,Trigger)</f>
        <v>57356</v>
      </c>
      <c r="M498" s="542">
        <f>_xll.qlCalendarAdvance(Calendar,L498,"3M","f",,Trigger)</f>
        <v>57446</v>
      </c>
      <c r="N498" s="544" t="str">
        <f>_xll.qlMakeDatedOIS(,L498,M498,OvernightIndex,0,,,,EvaluationDate)</f>
        <v>obj_005cd#0000</v>
      </c>
      <c r="O498" s="543">
        <f>_xll.qlIndexFixing("euribor6m",_xll.qlInterestRateIndexFixingDate("Euribor6M",L498),TRUE,AllTriggers)</f>
        <v>2.0839689510417023E-2</v>
      </c>
      <c r="P498" s="543">
        <f>_xll.qlOvernightIndexedSwapFairRate(N498,AllTriggers)</f>
        <v>2.0231876316766595E-2</v>
      </c>
      <c r="Q498" s="545">
        <f t="shared" si="11"/>
        <v>6.0781319365042774E-4</v>
      </c>
    </row>
    <row r="499" spans="5:17" x14ac:dyDescent="0.2">
      <c r="E499" s="537"/>
      <c r="F499" s="537"/>
      <c r="G499" s="536"/>
      <c r="I499" s="536"/>
      <c r="J499" s="536"/>
      <c r="L499" s="551">
        <f>_xll.qlCalendarAdvance(Calendar,L498,"1M","f",,Trigger)</f>
        <v>57388</v>
      </c>
      <c r="M499" s="542">
        <f>_xll.qlCalendarAdvance(Calendar,L499,"3M","f",,Trigger)</f>
        <v>57479</v>
      </c>
      <c r="N499" s="544" t="str">
        <f>_xll.qlMakeDatedOIS(,L499,M499,OvernightIndex,0,,,,EvaluationDate)</f>
        <v>obj_005ce#0000</v>
      </c>
      <c r="O499" s="543">
        <f>_xll.qlIndexFixing("euribor6m",_xll.qlInterestRateIndexFixingDate("Euribor6M",L499),TRUE,AllTriggers)</f>
        <v>2.0813625346973876E-2</v>
      </c>
      <c r="P499" s="543">
        <f>_xll.qlOvernightIndexedSwapFairRate(N499,AllTriggers)</f>
        <v>2.0232443883536351E-2</v>
      </c>
      <c r="Q499" s="545">
        <f t="shared" si="11"/>
        <v>5.8118146343752453E-4</v>
      </c>
    </row>
    <row r="500" spans="5:17" x14ac:dyDescent="0.2">
      <c r="E500" s="537"/>
      <c r="F500" s="537"/>
      <c r="G500" s="536"/>
      <c r="I500" s="536"/>
      <c r="J500" s="536"/>
      <c r="L500" s="551">
        <f>_xll.qlCalendarAdvance(Calendar,L499,"1M","f",,Trigger)</f>
        <v>57416</v>
      </c>
      <c r="M500" s="542">
        <f>_xll.qlCalendarAdvance(Calendar,L500,"3M","f",,Trigger)</f>
        <v>57508</v>
      </c>
      <c r="N500" s="544" t="str">
        <f>_xll.qlMakeDatedOIS(,L500,M500,OvernightIndex,0,,,,EvaluationDate)</f>
        <v>obj_005cf#0000</v>
      </c>
      <c r="O500" s="543">
        <f>_xll.qlIndexFixing("euribor6m",_xll.qlInterestRateIndexFixingDate("Euribor6M",L500),TRUE,AllTriggers)</f>
        <v>2.0791417411821875E-2</v>
      </c>
      <c r="P500" s="543">
        <f>_xll.qlOvernightIndexedSwapFairRate(N500,AllTriggers)</f>
        <v>2.0233011471527045E-2</v>
      </c>
      <c r="Q500" s="545">
        <f t="shared" si="11"/>
        <v>5.5840594029482951E-4</v>
      </c>
    </row>
    <row r="501" spans="5:17" x14ac:dyDescent="0.2">
      <c r="E501" s="537"/>
      <c r="F501" s="537"/>
      <c r="G501" s="536"/>
      <c r="I501" s="536"/>
      <c r="J501" s="536"/>
      <c r="L501" s="551">
        <f>_xll.qlCalendarAdvance(Calendar,L500,"1M","f",,Trigger)</f>
        <v>57447</v>
      </c>
      <c r="M501" s="542">
        <f>_xll.qlCalendarAdvance(Calendar,L501,"3M","f",,Trigger)</f>
        <v>57538</v>
      </c>
      <c r="N501" s="544" t="str">
        <f>_xll.qlMakeDatedOIS(,L501,M501,OvernightIndex,0,,,,EvaluationDate)</f>
        <v>obj_005d0#0000</v>
      </c>
      <c r="O501" s="543">
        <f>_xll.qlIndexFixing("euribor6m",_xll.qlInterestRateIndexFixingDate("Euribor6M",L501),TRUE,AllTriggers)</f>
        <v>2.0766571040139625E-2</v>
      </c>
      <c r="P501" s="543">
        <f>_xll.qlOvernightIndexedSwapFairRate(N501,AllTriggers)</f>
        <v>2.0232443883536351E-2</v>
      </c>
      <c r="Q501" s="545">
        <f t="shared" si="11"/>
        <v>5.3412715660327431E-4</v>
      </c>
    </row>
    <row r="502" spans="5:17" x14ac:dyDescent="0.2">
      <c r="E502" s="537"/>
      <c r="F502" s="537"/>
      <c r="G502" s="536"/>
      <c r="I502" s="536"/>
      <c r="J502" s="536"/>
      <c r="L502" s="551">
        <f>_xll.qlCalendarAdvance(Calendar,L501,"1M","f",,Trigger)</f>
        <v>57479</v>
      </c>
      <c r="M502" s="542">
        <f>_xll.qlCalendarAdvance(Calendar,L502,"3M","f",,Trigger)</f>
        <v>57571</v>
      </c>
      <c r="N502" s="544" t="str">
        <f>_xll.qlMakeDatedOIS(,L502,M502,OvernightIndex,0,,,,EvaluationDate)</f>
        <v>obj_005d1#0000</v>
      </c>
      <c r="O502" s="543">
        <f>_xll.qlIndexFixing("euribor6m",_xll.qlInterestRateIndexFixingDate("Euribor6M",L502),TRUE,AllTriggers)</f>
        <v>2.0741780253612507E-2</v>
      </c>
      <c r="P502" s="543">
        <f>_xll.qlOvernightIndexedSwapFairRate(N502,AllTriggers)</f>
        <v>2.0233011471527916E-2</v>
      </c>
      <c r="Q502" s="545">
        <f t="shared" si="11"/>
        <v>5.0876878208459125E-4</v>
      </c>
    </row>
    <row r="503" spans="5:17" x14ac:dyDescent="0.2">
      <c r="E503" s="537"/>
      <c r="F503" s="537"/>
      <c r="G503" s="536"/>
      <c r="I503" s="536"/>
      <c r="J503" s="536"/>
      <c r="L503" s="551">
        <f>_xll.qlCalendarAdvance(Calendar,L502,"1M","f",,Trigger)</f>
        <v>57510</v>
      </c>
      <c r="M503" s="542">
        <f>_xll.qlCalendarAdvance(Calendar,L503,"3M","f",,Trigger)</f>
        <v>57602</v>
      </c>
      <c r="N503" s="544" t="str">
        <f>_xll.qlMakeDatedOIS(,L503,M503,OvernightIndex,0,,,,EvaluationDate)</f>
        <v>obj_005d2#0000</v>
      </c>
      <c r="O503" s="543">
        <f>_xll.qlIndexFixing("euribor6m",_xll.qlInterestRateIndexFixingDate("Euribor6M",L503),TRUE,AllTriggers)</f>
        <v>2.071775960285192E-2</v>
      </c>
      <c r="P503" s="543">
        <f>_xll.qlOvernightIndexedSwapFairRate(N503,AllTriggers)</f>
        <v>2.0233011471527052E-2</v>
      </c>
      <c r="Q503" s="545">
        <f t="shared" si="11"/>
        <v>4.8474813132486777E-4</v>
      </c>
    </row>
    <row r="504" spans="5:17" x14ac:dyDescent="0.2">
      <c r="E504" s="537"/>
      <c r="F504" s="537"/>
      <c r="G504" s="536"/>
      <c r="I504" s="536"/>
      <c r="J504" s="536"/>
      <c r="L504" s="551">
        <f>_xll.qlCalendarAdvance(Calendar,L503,"1M","f",,Trigger)</f>
        <v>57542</v>
      </c>
      <c r="M504" s="542">
        <f>_xll.qlCalendarAdvance(Calendar,L504,"3M","f",,Trigger)</f>
        <v>57634</v>
      </c>
      <c r="N504" s="544" t="str">
        <f>_xll.qlMakeDatedOIS(,L504,M504,OvernightIndex,0,,,,EvaluationDate)</f>
        <v>obj_005d3#0000</v>
      </c>
      <c r="O504" s="543">
        <f>_xll.qlIndexFixing("euribor6m",_xll.qlInterestRateIndexFixingDate("Euribor6M",L504),TRUE,AllTriggers)</f>
        <v>2.0693842871180229E-2</v>
      </c>
      <c r="P504" s="543">
        <f>_xll.qlOvernightIndexedSwapFairRate(N504,AllTriggers)</f>
        <v>2.0233011471527042E-2</v>
      </c>
      <c r="Q504" s="545">
        <f t="shared" si="11"/>
        <v>4.6083139965318737E-4</v>
      </c>
    </row>
    <row r="505" spans="5:17" x14ac:dyDescent="0.2">
      <c r="E505" s="537"/>
      <c r="F505" s="537"/>
      <c r="G505" s="536"/>
      <c r="I505" s="536"/>
      <c r="J505" s="536"/>
      <c r="L505" s="551">
        <f>_xll.qlCalendarAdvance(Calendar,L504,"1M","f",,Trigger)</f>
        <v>57573</v>
      </c>
      <c r="M505" s="542">
        <f>_xll.qlCalendarAdvance(Calendar,L505,"3M","f",,Trigger)</f>
        <v>57665</v>
      </c>
      <c r="N505" s="544" t="str">
        <f>_xll.qlMakeDatedOIS(,L505,M505,OvernightIndex,0,,,,EvaluationDate)</f>
        <v>obj_005d4#0000</v>
      </c>
      <c r="O505" s="543">
        <f>_xll.qlIndexFixing("euribor6m",_xll.qlInterestRateIndexFixingDate("Euribor6M",L505),TRUE,AllTriggers)</f>
        <v>2.0671340547640114E-2</v>
      </c>
      <c r="P505" s="543">
        <f>_xll.qlOvernightIndexedSwapFairRate(N505,AllTriggers)</f>
        <v>2.0233011471527049E-2</v>
      </c>
      <c r="Q505" s="545">
        <f t="shared" si="11"/>
        <v>4.3832907611306496E-4</v>
      </c>
    </row>
    <row r="506" spans="5:17" x14ac:dyDescent="0.2">
      <c r="E506" s="537"/>
      <c r="F506" s="537"/>
      <c r="G506" s="536"/>
      <c r="I506" s="536"/>
      <c r="J506" s="536"/>
      <c r="L506" s="551">
        <f>_xll.qlCalendarAdvance(Calendar,L505,"1M","f",,Trigger)</f>
        <v>57605</v>
      </c>
      <c r="M506" s="542">
        <f>_xll.qlCalendarAdvance(Calendar,L506,"3M","f",,Trigger)</f>
        <v>57696</v>
      </c>
      <c r="N506" s="544" t="str">
        <f>_xll.qlMakeDatedOIS(,L506,M506,OvernightIndex,0,,,,EvaluationDate)</f>
        <v>obj_005d5#0000</v>
      </c>
      <c r="O506" s="543">
        <f>_xll.qlIndexFixing("euribor6m",_xll.qlInterestRateIndexFixingDate("Euribor6M",L506),TRUE,AllTriggers)</f>
        <v>2.0647132622408599E-2</v>
      </c>
      <c r="P506" s="543">
        <f>_xll.qlOvernightIndexedSwapFairRate(N506,AllTriggers)</f>
        <v>2.0232443883537232E-2</v>
      </c>
      <c r="Q506" s="545">
        <f t="shared" si="11"/>
        <v>4.1468873887136673E-4</v>
      </c>
    </row>
    <row r="507" spans="5:17" x14ac:dyDescent="0.2">
      <c r="E507" s="537"/>
      <c r="F507" s="537"/>
      <c r="G507" s="536"/>
      <c r="I507" s="536"/>
      <c r="J507" s="536"/>
      <c r="L507" s="551">
        <f>_xll.qlCalendarAdvance(Calendar,L506,"1M","f",,Trigger)</f>
        <v>57635</v>
      </c>
      <c r="M507" s="542">
        <f>_xll.qlCalendarAdvance(Calendar,L507,"3M","f",,Trigger)</f>
        <v>57727</v>
      </c>
      <c r="N507" s="544" t="str">
        <f>_xll.qlMakeDatedOIS(,L507,M507,OvernightIndex,0,,,,EvaluationDate)</f>
        <v>obj_005d6#0000</v>
      </c>
      <c r="O507" s="543">
        <f>_xll.qlIndexFixing("euribor6m",_xll.qlInterestRateIndexFixingDate("Euribor6M",L507),TRUE,AllTriggers)</f>
        <v>2.062570160302047E-2</v>
      </c>
      <c r="P507" s="543">
        <f>_xll.qlOvernightIndexedSwapFairRate(N507,AllTriggers)</f>
        <v>2.0233011471527049E-2</v>
      </c>
      <c r="Q507" s="545">
        <f t="shared" si="11"/>
        <v>3.9269013149342141E-4</v>
      </c>
    </row>
    <row r="508" spans="5:17" x14ac:dyDescent="0.2">
      <c r="E508" s="537"/>
      <c r="F508" s="537"/>
      <c r="G508" s="536"/>
      <c r="I508" s="536"/>
      <c r="J508" s="536"/>
      <c r="L508" s="551">
        <f>_xll.qlCalendarAdvance(Calendar,L507,"1M","f",,Trigger)</f>
        <v>57668</v>
      </c>
      <c r="M508" s="542">
        <f>_xll.qlCalendarAdvance(Calendar,L508,"3M","f",,Trigger)</f>
        <v>57760</v>
      </c>
      <c r="N508" s="544" t="str">
        <f>_xll.qlMakeDatedOIS(,L508,M508,OvernightIndex,0,,,,EvaluationDate)</f>
        <v>obj_005d7#0000</v>
      </c>
      <c r="O508" s="543">
        <f>_xll.qlIndexFixing("euribor6m",_xll.qlInterestRateIndexFixingDate("Euribor6M",L508),TRUE,AllTriggers)</f>
        <v>2.0602572529352298E-2</v>
      </c>
      <c r="P508" s="543">
        <f>_xll.qlOvernightIndexedSwapFairRate(N508,AllTriggers)</f>
        <v>2.0233011471527049E-2</v>
      </c>
      <c r="Q508" s="545">
        <f t="shared" si="11"/>
        <v>3.6956105782524895E-4</v>
      </c>
    </row>
    <row r="509" spans="5:17" x14ac:dyDescent="0.2">
      <c r="E509" s="537"/>
      <c r="F509" s="537"/>
      <c r="G509" s="536"/>
      <c r="I509" s="536"/>
      <c r="J509" s="536"/>
      <c r="L509" s="551">
        <f>_xll.qlCalendarAdvance(Calendar,L508,"1M","f",,Trigger)</f>
        <v>57698</v>
      </c>
      <c r="M509" s="542">
        <f>_xll.qlCalendarAdvance(Calendar,L509,"3M","f",,Trigger)</f>
        <v>57788</v>
      </c>
      <c r="N509" s="544" t="str">
        <f>_xll.qlMakeDatedOIS(,L509,M509,OvernightIndex,0,,,,EvaluationDate)</f>
        <v>obj_005d8#0000</v>
      </c>
      <c r="O509" s="543">
        <f>_xll.qlIndexFixing("euribor6m",_xll.qlInterestRateIndexFixingDate("Euribor6M",L509),TRUE,AllTriggers)</f>
        <v>2.0581950674336595E-2</v>
      </c>
      <c r="P509" s="543">
        <f>_xll.qlOvernightIndexedSwapFairRate(N509,AllTriggers)</f>
        <v>2.0231876316766595E-2</v>
      </c>
      <c r="Q509" s="545">
        <f t="shared" si="11"/>
        <v>3.5007435757000022E-4</v>
      </c>
    </row>
    <row r="510" spans="5:17" x14ac:dyDescent="0.2">
      <c r="E510" s="537"/>
      <c r="F510" s="537"/>
      <c r="G510" s="536"/>
      <c r="I510" s="536"/>
      <c r="J510" s="536"/>
      <c r="L510" s="551">
        <f>_xll.qlCalendarAdvance(Calendar,L509,"1M","f",,Trigger)</f>
        <v>57731</v>
      </c>
      <c r="M510" s="542">
        <f>_xll.qlCalendarAdvance(Calendar,L510,"3M","f",,Trigger)</f>
        <v>57822</v>
      </c>
      <c r="N510" s="544" t="str">
        <f>_xll.qlMakeDatedOIS(,L510,M510,OvernightIndex,0,,,,EvaluationDate)</f>
        <v>obj_005d9#0000</v>
      </c>
      <c r="O510" s="543">
        <f>_xll.qlIndexFixing("euribor6m",_xll.qlInterestRateIndexFixingDate("Euribor6M",L510),TRUE,AllTriggers)</f>
        <v>2.0559711652281935E-2</v>
      </c>
      <c r="P510" s="543">
        <f>_xll.qlOvernightIndexedSwapFairRate(N510,AllTriggers)</f>
        <v>2.0232443883537232E-2</v>
      </c>
      <c r="Q510" s="545">
        <f t="shared" si="11"/>
        <v>3.2726776874470245E-4</v>
      </c>
    </row>
    <row r="511" spans="5:17" x14ac:dyDescent="0.2">
      <c r="E511" s="537"/>
      <c r="F511" s="537"/>
      <c r="G511" s="536"/>
      <c r="I511" s="536"/>
      <c r="J511" s="536"/>
      <c r="L511" s="551">
        <f>_xll.qlCalendarAdvance(Calendar,L510,"1M","f",,Trigger)</f>
        <v>57762</v>
      </c>
      <c r="M511" s="542">
        <f>_xll.qlCalendarAdvance(Calendar,L511,"3M","f",,Trigger)</f>
        <v>57851</v>
      </c>
      <c r="N511" s="544" t="str">
        <f>_xll.qlMakeDatedOIS(,L511,M511,OvernightIndex,0,,,,EvaluationDate)</f>
        <v>obj_005da#0000</v>
      </c>
      <c r="O511" s="543">
        <f>_xll.qlIndexFixing("euribor6m",_xll.qlInterestRateIndexFixingDate("Euribor6M",L511),TRUE,AllTriggers)</f>
        <v>2.053898158225852E-2</v>
      </c>
      <c r="P511" s="543">
        <f>_xll.qlOvernightIndexedSwapFairRate(N511,AllTriggers)</f>
        <v>2.023130877121725E-2</v>
      </c>
      <c r="Q511" s="545">
        <f t="shared" si="11"/>
        <v>3.0767281104127076E-4</v>
      </c>
    </row>
    <row r="512" spans="5:17" x14ac:dyDescent="0.2">
      <c r="E512" s="537"/>
      <c r="F512" s="537"/>
      <c r="G512" s="536"/>
      <c r="I512" s="536"/>
      <c r="J512" s="536"/>
      <c r="L512" s="551">
        <f>_xll.qlCalendarAdvance(Calendar,L511,"1M","f",,Trigger)</f>
        <v>57790</v>
      </c>
      <c r="M512" s="542">
        <f>_xll.qlCalendarAdvance(Calendar,L512,"3M","f",,Trigger)</f>
        <v>57882</v>
      </c>
      <c r="N512" s="544" t="str">
        <f>_xll.qlMakeDatedOIS(,L512,M512,OvernightIndex,0,,,,EvaluationDate)</f>
        <v>obj_005db#0000</v>
      </c>
      <c r="O512" s="543">
        <f>_xll.qlIndexFixing("euribor6m",_xll.qlInterestRateIndexFixingDate("Euribor6M",L512),TRUE,AllTriggers)</f>
        <v>2.0522188110772999E-2</v>
      </c>
      <c r="P512" s="543">
        <f>_xll.qlOvernightIndexedSwapFairRate(N512,AllTriggers)</f>
        <v>2.0233011471527049E-2</v>
      </c>
      <c r="Q512" s="545">
        <f t="shared" si="11"/>
        <v>2.8917663924594994E-4</v>
      </c>
    </row>
    <row r="513" spans="5:17" x14ac:dyDescent="0.2">
      <c r="E513" s="537"/>
      <c r="F513" s="537"/>
      <c r="G513" s="536"/>
      <c r="I513" s="536"/>
      <c r="J513" s="536"/>
      <c r="L513" s="551">
        <f>_xll.qlCalendarAdvance(Calendar,L512,"1M","f",,Trigger)</f>
        <v>57822</v>
      </c>
      <c r="M513" s="542">
        <f>_xll.qlCalendarAdvance(Calendar,L513,"3M","f",,Trigger)</f>
        <v>57913</v>
      </c>
      <c r="N513" s="544" t="str">
        <f>_xll.qlMakeDatedOIS(,L513,M513,OvernightIndex,0,,,,EvaluationDate)</f>
        <v>obj_005dc#0000</v>
      </c>
      <c r="O513" s="543">
        <f>_xll.qlIndexFixing("euribor6m",_xll.qlInterestRateIndexFixingDate("Euribor6M",L513),TRUE,AllTriggers)</f>
        <v>2.050107545482769E-2</v>
      </c>
      <c r="P513" s="543">
        <f>_xll.qlOvernightIndexedSwapFairRate(N513,AllTriggers)</f>
        <v>2.0232443883536351E-2</v>
      </c>
      <c r="Q513" s="545">
        <f t="shared" si="11"/>
        <v>2.6863157129133897E-4</v>
      </c>
    </row>
    <row r="514" spans="5:17" x14ac:dyDescent="0.2">
      <c r="E514" s="537"/>
      <c r="F514" s="537"/>
      <c r="G514" s="536"/>
      <c r="I514" s="536"/>
      <c r="J514" s="536"/>
      <c r="L514" s="551">
        <f>_xll.qlCalendarAdvance(Calendar,L513,"1M","f",,Trigger)</f>
        <v>57852</v>
      </c>
      <c r="M514" s="542">
        <f>_xll.qlCalendarAdvance(Calendar,L514,"3M","f",,Trigger)</f>
        <v>57944</v>
      </c>
      <c r="N514" s="544" t="str">
        <f>_xll.qlMakeDatedOIS(,L514,M514,OvernightIndex,0,,,,EvaluationDate)</f>
        <v>obj_005dd#0000</v>
      </c>
      <c r="O514" s="543">
        <f>_xll.qlIndexFixing("euribor6m",_xll.qlInterestRateIndexFixingDate("Euribor6M",L514),TRUE,AllTriggers)</f>
        <v>2.0482716529473123E-2</v>
      </c>
      <c r="P514" s="543">
        <f>_xll.qlOvernightIndexedSwapFairRate(N514,AllTriggers)</f>
        <v>2.0233011471527049E-2</v>
      </c>
      <c r="Q514" s="545">
        <f t="shared" si="11"/>
        <v>2.4970505794607439E-4</v>
      </c>
    </row>
    <row r="515" spans="5:17" x14ac:dyDescent="0.2">
      <c r="E515" s="537"/>
      <c r="F515" s="537"/>
      <c r="G515" s="536"/>
      <c r="I515" s="536"/>
      <c r="J515" s="536"/>
      <c r="L515" s="551">
        <f>_xll.qlCalendarAdvance(Calendar,L514,"1M","f",,Trigger)</f>
        <v>57885</v>
      </c>
      <c r="M515" s="542">
        <f>_xll.qlCalendarAdvance(Calendar,L515,"3M","f",,Trigger)</f>
        <v>57977</v>
      </c>
      <c r="N515" s="544" t="str">
        <f>_xll.qlMakeDatedOIS(,L515,M515,OvernightIndex,0,,,,EvaluationDate)</f>
        <v>obj_005de#0000</v>
      </c>
      <c r="O515" s="543">
        <f>_xll.qlIndexFixing("euribor6m",_xll.qlInterestRateIndexFixingDate("Euribor6M",L515),TRUE,AllTriggers)</f>
        <v>2.0462379058691322E-2</v>
      </c>
      <c r="P515" s="543">
        <f>_xll.qlOvernightIndexedSwapFairRate(N515,AllTriggers)</f>
        <v>2.0233011471527049E-2</v>
      </c>
      <c r="Q515" s="545">
        <f t="shared" ref="Q515:Q578" si="12">O515-P515</f>
        <v>2.2936758716427322E-4</v>
      </c>
    </row>
    <row r="516" spans="5:17" x14ac:dyDescent="0.2">
      <c r="E516" s="537"/>
      <c r="F516" s="537"/>
      <c r="G516" s="536"/>
      <c r="I516" s="536"/>
      <c r="J516" s="536"/>
      <c r="L516" s="551">
        <f>_xll.qlCalendarAdvance(Calendar,L515,"1M","f",,Trigger)</f>
        <v>57915</v>
      </c>
      <c r="M516" s="542">
        <f>_xll.qlCalendarAdvance(Calendar,L516,"3M","f",,Trigger)</f>
        <v>58007</v>
      </c>
      <c r="N516" s="544" t="str">
        <f>_xll.qlMakeDatedOIS(,L516,M516,OvernightIndex,0,,,,EvaluationDate)</f>
        <v>obj_005df#0000</v>
      </c>
      <c r="O516" s="543">
        <f>_xll.qlIndexFixing("euribor6m",_xll.qlInterestRateIndexFixingDate("Euribor6M",L516),TRUE,AllTriggers)</f>
        <v>2.0444840514518271E-2</v>
      </c>
      <c r="P516" s="543">
        <f>_xll.qlOvernightIndexedSwapFairRate(N516,AllTriggers)</f>
        <v>2.0233011471527916E-2</v>
      </c>
      <c r="Q516" s="545">
        <f t="shared" si="12"/>
        <v>2.1182904299035452E-4</v>
      </c>
    </row>
    <row r="517" spans="5:17" x14ac:dyDescent="0.2">
      <c r="E517" s="537"/>
      <c r="F517" s="537"/>
      <c r="G517" s="536"/>
      <c r="I517" s="536"/>
      <c r="J517" s="536"/>
      <c r="L517" s="551">
        <f>_xll.qlCalendarAdvance(Calendar,L516,"1M","f",,Trigger)</f>
        <v>57948</v>
      </c>
      <c r="M517" s="542">
        <f>_xll.qlCalendarAdvance(Calendar,L517,"3M","f",,Trigger)</f>
        <v>58040</v>
      </c>
      <c r="N517" s="544" t="str">
        <f>_xll.qlMakeDatedOIS(,L517,M517,OvernightIndex,0,,,,EvaluationDate)</f>
        <v>obj_005e0#0000</v>
      </c>
      <c r="O517" s="543">
        <f>_xll.qlIndexFixing("euribor6m",_xll.qlInterestRateIndexFixingDate("Euribor6M",L517),TRUE,AllTriggers)</f>
        <v>2.0425678766267108E-2</v>
      </c>
      <c r="P517" s="543">
        <f>_xll.qlOvernightIndexedSwapFairRate(N517,AllTriggers)</f>
        <v>2.0233011471527045E-2</v>
      </c>
      <c r="Q517" s="545">
        <f t="shared" si="12"/>
        <v>1.9266729474006275E-4</v>
      </c>
    </row>
    <row r="518" spans="5:17" x14ac:dyDescent="0.2">
      <c r="E518" s="537"/>
      <c r="F518" s="537"/>
      <c r="G518" s="536"/>
      <c r="I518" s="536"/>
      <c r="J518" s="536"/>
      <c r="L518" s="551">
        <f>_xll.qlCalendarAdvance(Calendar,L517,"1M","f",,Trigger)</f>
        <v>57979</v>
      </c>
      <c r="M518" s="542">
        <f>_xll.qlCalendarAdvance(Calendar,L518,"3M","f",,Trigger)</f>
        <v>58071</v>
      </c>
      <c r="N518" s="544" t="str">
        <f>_xll.qlMakeDatedOIS(,L518,M518,OvernightIndex,0,,,,EvaluationDate)</f>
        <v>obj_005e1#0000</v>
      </c>
      <c r="O518" s="543">
        <f>_xll.qlIndexFixing("euribor6m",_xll.qlInterestRateIndexFixingDate("Euribor6M",L518),TRUE,AllTriggers)</f>
        <v>2.0407195001688635E-2</v>
      </c>
      <c r="P518" s="543">
        <f>_xll.qlOvernightIndexedSwapFairRate(N518,AllTriggers)</f>
        <v>2.0233011471527913E-2</v>
      </c>
      <c r="Q518" s="545">
        <f t="shared" si="12"/>
        <v>1.7418353016072224E-4</v>
      </c>
    </row>
    <row r="519" spans="5:17" x14ac:dyDescent="0.2">
      <c r="E519" s="537"/>
      <c r="F519" s="537"/>
      <c r="G519" s="536"/>
      <c r="I519" s="536"/>
      <c r="J519" s="536"/>
      <c r="L519" s="551">
        <f>_xll.qlCalendarAdvance(Calendar,L518,"1M","f",,Trigger)</f>
        <v>58011</v>
      </c>
      <c r="M519" s="542">
        <f>_xll.qlCalendarAdvance(Calendar,L519,"3M","f",,Trigger)</f>
        <v>58103</v>
      </c>
      <c r="N519" s="544" t="str">
        <f>_xll.qlMakeDatedOIS(,L519,M519,OvernightIndex,0,,,,EvaluationDate)</f>
        <v>obj_005e2#0000</v>
      </c>
      <c r="O519" s="543">
        <f>_xll.qlIndexFixing("euribor6m",_xll.qlInterestRateIndexFixingDate("Euribor6M",L519),TRUE,AllTriggers)</f>
        <v>2.0389774537789531E-2</v>
      </c>
      <c r="P519" s="543">
        <f>_xll.qlOvernightIndexedSwapFairRate(N519,AllTriggers)</f>
        <v>2.0233011471527049E-2</v>
      </c>
      <c r="Q519" s="545">
        <f t="shared" si="12"/>
        <v>1.5676306626248235E-4</v>
      </c>
    </row>
    <row r="520" spans="5:17" x14ac:dyDescent="0.2">
      <c r="E520" s="537"/>
      <c r="F520" s="537"/>
      <c r="G520" s="536"/>
      <c r="I520" s="536"/>
      <c r="J520" s="536"/>
      <c r="L520" s="551">
        <f>_xll.qlCalendarAdvance(Calendar,L519,"1M","f",,Trigger)</f>
        <v>58042</v>
      </c>
      <c r="M520" s="542">
        <f>_xll.qlCalendarAdvance(Calendar,L520,"3M","f",,Trigger)</f>
        <v>58134</v>
      </c>
      <c r="N520" s="544" t="str">
        <f>_xll.qlMakeDatedOIS(,L520,M520,OvernightIndex,0,,,,EvaluationDate)</f>
        <v>obj_005e3#0000</v>
      </c>
      <c r="O520" s="543">
        <f>_xll.qlIndexFixing("euribor6m",_xll.qlInterestRateIndexFixingDate("Euribor6M",L520),TRUE,AllTriggers)</f>
        <v>2.0372709261812959E-2</v>
      </c>
      <c r="P520" s="543">
        <f>_xll.qlOvernightIndexedSwapFairRate(N520,AllTriggers)</f>
        <v>2.0233011471527045E-2</v>
      </c>
      <c r="Q520" s="545">
        <f t="shared" si="12"/>
        <v>1.3969779028591423E-4</v>
      </c>
    </row>
    <row r="521" spans="5:17" x14ac:dyDescent="0.2">
      <c r="E521" s="537"/>
      <c r="F521" s="537"/>
      <c r="G521" s="536"/>
      <c r="I521" s="536"/>
      <c r="J521" s="536"/>
      <c r="L521" s="551">
        <f>_xll.qlCalendarAdvance(Calendar,L520,"1M","f",,Trigger)</f>
        <v>58074</v>
      </c>
      <c r="M521" s="542">
        <f>_xll.qlCalendarAdvance(Calendar,L521,"3M","f",,Trigger)</f>
        <v>58166</v>
      </c>
      <c r="N521" s="544" t="str">
        <f>_xll.qlMakeDatedOIS(,L521,M521,OvernightIndex,0,,,,EvaluationDate)</f>
        <v>obj_005e4#0000</v>
      </c>
      <c r="O521" s="543">
        <f>_xll.qlIndexFixing("euribor6m",_xll.qlInterestRateIndexFixingDate("Euribor6M",L521),TRUE,AllTriggers)</f>
        <v>2.035616314328453E-2</v>
      </c>
      <c r="P521" s="543">
        <f>_xll.qlOvernightIndexedSwapFairRate(N521,AllTriggers)</f>
        <v>2.0233011471527045E-2</v>
      </c>
      <c r="Q521" s="545">
        <f t="shared" si="12"/>
        <v>1.2315167175748487E-4</v>
      </c>
    </row>
    <row r="522" spans="5:17" x14ac:dyDescent="0.2">
      <c r="E522" s="537"/>
      <c r="F522" s="537"/>
      <c r="G522" s="536"/>
      <c r="I522" s="536"/>
      <c r="J522" s="536"/>
      <c r="L522" s="551">
        <f>_xll.qlCalendarAdvance(Calendar,L521,"1M","f",,Trigger)</f>
        <v>58105</v>
      </c>
      <c r="M522" s="542">
        <f>_xll.qlCalendarAdvance(Calendar,L522,"3M","f",,Trigger)</f>
        <v>58195</v>
      </c>
      <c r="N522" s="544" t="str">
        <f>_xll.qlMakeDatedOIS(,L522,M522,OvernightIndex,0,,,,EvaluationDate)</f>
        <v>obj_005e5#0000</v>
      </c>
      <c r="O522" s="543">
        <f>_xll.qlIndexFixing("euribor6m",_xll.qlInterestRateIndexFixingDate("Euribor6M",L522),TRUE,AllTriggers)</f>
        <v>2.0339922054608699E-2</v>
      </c>
      <c r="P522" s="543">
        <f>_xll.qlOvernightIndexedSwapFairRate(N522,AllTriggers)</f>
        <v>2.0231876316766595E-2</v>
      </c>
      <c r="Q522" s="545">
        <f t="shared" si="12"/>
        <v>1.0804573784210444E-4</v>
      </c>
    </row>
    <row r="523" spans="5:17" x14ac:dyDescent="0.2">
      <c r="E523" s="537"/>
      <c r="F523" s="537"/>
      <c r="G523" s="536"/>
      <c r="I523" s="536"/>
      <c r="J523" s="536"/>
      <c r="L523" s="551">
        <f>_xll.qlCalendarAdvance(Calendar,L522,"1M","f",,Trigger)</f>
        <v>58134</v>
      </c>
      <c r="M523" s="542">
        <f>_xll.qlCalendarAdvance(Calendar,L523,"3M","f",,Trigger)</f>
        <v>58223</v>
      </c>
      <c r="N523" s="544" t="str">
        <f>_xll.qlMakeDatedOIS(,L523,M523,OvernightIndex,0,,,,EvaluationDate)</f>
        <v>obj_005e6#0000</v>
      </c>
      <c r="O523" s="543">
        <f>_xll.qlIndexFixing("euribor6m",_xll.qlInterestRateIndexFixingDate("Euribor6M",L523),TRUE,AllTriggers)</f>
        <v>2.0325731478493345E-2</v>
      </c>
      <c r="P523" s="543">
        <f>_xll.qlOvernightIndexedSwapFairRate(N523,AllTriggers)</f>
        <v>2.0231308771216351E-2</v>
      </c>
      <c r="Q523" s="545">
        <f t="shared" si="12"/>
        <v>9.4422707276994172E-5</v>
      </c>
    </row>
    <row r="524" spans="5:17" x14ac:dyDescent="0.2">
      <c r="E524" s="537"/>
      <c r="F524" s="537"/>
      <c r="G524" s="536"/>
      <c r="I524" s="536"/>
      <c r="J524" s="536"/>
      <c r="L524" s="551">
        <f>_xll.qlCalendarAdvance(Calendar,L523,"1M","f",,Trigger)</f>
        <v>58166</v>
      </c>
      <c r="M524" s="542">
        <f>_xll.qlCalendarAdvance(Calendar,L524,"3M","f",,Trigger)</f>
        <v>58257</v>
      </c>
      <c r="N524" s="544" t="str">
        <f>_xll.qlMakeDatedOIS(,L524,M524,OvernightIndex,0,,,,EvaluationDate)</f>
        <v>obj_005e7#0000</v>
      </c>
      <c r="O524" s="543">
        <f>_xll.qlIndexFixing("euribor6m",_xll.qlInterestRateIndexFixingDate("Euribor6M",L524),TRUE,AllTriggers)</f>
        <v>2.0310468389630101E-2</v>
      </c>
      <c r="P524" s="543">
        <f>_xll.qlOvernightIndexedSwapFairRate(N524,AllTriggers)</f>
        <v>2.0232443883537232E-2</v>
      </c>
      <c r="Q524" s="545">
        <f t="shared" si="12"/>
        <v>7.8024506092868456E-5</v>
      </c>
    </row>
    <row r="525" spans="5:17" x14ac:dyDescent="0.2">
      <c r="E525" s="537"/>
      <c r="F525" s="537"/>
      <c r="G525" s="536"/>
      <c r="I525" s="536"/>
      <c r="J525" s="536"/>
      <c r="L525" s="551">
        <f>_xll.qlCalendarAdvance(Calendar,L524,"1M","f",,Trigger)</f>
        <v>58197</v>
      </c>
      <c r="M525" s="542">
        <f>_xll.qlCalendarAdvance(Calendar,L525,"3M","f",,Trigger)</f>
        <v>58291</v>
      </c>
      <c r="N525" s="544" t="str">
        <f>_xll.qlMakeDatedOIS(,L525,M525,OvernightIndex,0,,,,EvaluationDate)</f>
        <v>obj_005e8#0000</v>
      </c>
      <c r="O525" s="543">
        <f>_xll.qlIndexFixing("euribor6m",_xll.qlInterestRateIndexFixingDate("Euribor6M",L525),TRUE,AllTriggers)</f>
        <v>2.0296465723213648E-2</v>
      </c>
      <c r="P525" s="543">
        <f>_xll.qlOvernightIndexedSwapFairRate(N525,AllTriggers)</f>
        <v>2.0234146711173198E-2</v>
      </c>
      <c r="Q525" s="545">
        <f t="shared" si="12"/>
        <v>6.231901204045015E-5</v>
      </c>
    </row>
    <row r="526" spans="5:17" x14ac:dyDescent="0.2">
      <c r="E526" s="537"/>
      <c r="F526" s="537"/>
      <c r="G526" s="536"/>
      <c r="I526" s="536"/>
      <c r="J526" s="536"/>
      <c r="L526" s="551">
        <f>_xll.qlCalendarAdvance(Calendar,L525,"1M","f",,Trigger)</f>
        <v>58228</v>
      </c>
      <c r="M526" s="542">
        <f>_xll.qlCalendarAdvance(Calendar,L526,"3M","f",,Trigger)</f>
        <v>58320</v>
      </c>
      <c r="N526" s="544" t="str">
        <f>_xll.qlMakeDatedOIS(,L526,M526,OvernightIndex,0,,,,EvaluationDate)</f>
        <v>obj_005e9#0000</v>
      </c>
      <c r="O526" s="543">
        <f>_xll.qlIndexFixing("euribor6m",_xll.qlInterestRateIndexFixingDate("Euribor6M",L526),TRUE,AllTriggers)</f>
        <v>2.0281501472750093E-2</v>
      </c>
      <c r="P526" s="543">
        <f>_xll.qlOvernightIndexedSwapFairRate(N526,AllTriggers)</f>
        <v>2.0233011471527049E-2</v>
      </c>
      <c r="Q526" s="545">
        <f t="shared" si="12"/>
        <v>4.8490001223044227E-5</v>
      </c>
    </row>
    <row r="527" spans="5:17" x14ac:dyDescent="0.2">
      <c r="E527" s="537"/>
      <c r="F527" s="537"/>
      <c r="G527" s="536"/>
      <c r="I527" s="536"/>
      <c r="J527" s="536"/>
      <c r="L527" s="551">
        <f>_xll.qlCalendarAdvance(Calendar,L526,"1M","f",,Trigger)</f>
        <v>58258</v>
      </c>
      <c r="M527" s="542">
        <f>_xll.qlCalendarAdvance(Calendar,L527,"3M","f",,Trigger)</f>
        <v>58350</v>
      </c>
      <c r="N527" s="544" t="str">
        <f>_xll.qlMakeDatedOIS(,L527,M527,OvernightIndex,0,,,,EvaluationDate)</f>
        <v>obj_005ea#0000</v>
      </c>
      <c r="O527" s="543">
        <f>_xll.qlIndexFixing("euribor6m",_xll.qlInterestRateIndexFixingDate("Euribor6M",L527),TRUE,AllTriggers)</f>
        <v>2.0268430425466819E-2</v>
      </c>
      <c r="P527" s="543">
        <f>_xll.qlOvernightIndexedSwapFairRate(N527,AllTriggers)</f>
        <v>2.0233011471527045E-2</v>
      </c>
      <c r="Q527" s="545">
        <f t="shared" si="12"/>
        <v>3.5418953939773262E-5</v>
      </c>
    </row>
    <row r="528" spans="5:17" x14ac:dyDescent="0.2">
      <c r="E528" s="537"/>
      <c r="F528" s="537"/>
      <c r="G528" s="536"/>
      <c r="I528" s="536"/>
      <c r="J528" s="536"/>
      <c r="L528" s="551">
        <f>_xll.qlCalendarAdvance(Calendar,L527,"1M","f",,Trigger)</f>
        <v>58291</v>
      </c>
      <c r="M528" s="542">
        <f>_xll.qlCalendarAdvance(Calendar,L528,"3M","f",,Trigger)</f>
        <v>58383</v>
      </c>
      <c r="N528" s="544" t="str">
        <f>_xll.qlMakeDatedOIS(,L528,M528,OvernightIndex,0,,,,EvaluationDate)</f>
        <v>obj_005eb#0000</v>
      </c>
      <c r="O528" s="543">
        <f>_xll.qlIndexFixing("euribor6m",_xll.qlInterestRateIndexFixingDate("Euribor6M",L528),TRUE,AllTriggers)</f>
        <v>2.0254113261054967E-2</v>
      </c>
      <c r="P528" s="543">
        <f>_xll.qlOvernightIndexedSwapFairRate(N528,AllTriggers)</f>
        <v>2.0233011471527045E-2</v>
      </c>
      <c r="Q528" s="545">
        <f t="shared" si="12"/>
        <v>2.1101789527921272E-5</v>
      </c>
    </row>
    <row r="529" spans="5:17" x14ac:dyDescent="0.2">
      <c r="E529" s="537"/>
      <c r="F529" s="537"/>
      <c r="G529" s="536"/>
      <c r="I529" s="536"/>
      <c r="J529" s="536"/>
      <c r="L529" s="551">
        <f>_xll.qlCalendarAdvance(Calendar,L528,"1M","f",,Trigger)</f>
        <v>58322</v>
      </c>
      <c r="M529" s="542">
        <f>_xll.qlCalendarAdvance(Calendar,L529,"3M","f",,Trigger)</f>
        <v>58413</v>
      </c>
      <c r="N529" s="544" t="str">
        <f>_xll.qlMakeDatedOIS(,L529,M529,OvernightIndex,0,,,,EvaluationDate)</f>
        <v>obj_005ec#0000</v>
      </c>
      <c r="O529" s="543">
        <f>_xll.qlIndexFixing("euribor6m",_xll.qlInterestRateIndexFixingDate("Euribor6M",L529),TRUE,AllTriggers)</f>
        <v>2.0240354858762463E-2</v>
      </c>
      <c r="P529" s="543">
        <f>_xll.qlOvernightIndexedSwapFairRate(N529,AllTriggers)</f>
        <v>2.0232443883537229E-2</v>
      </c>
      <c r="Q529" s="545">
        <f t="shared" si="12"/>
        <v>7.9109752252337628E-6</v>
      </c>
    </row>
    <row r="530" spans="5:17" x14ac:dyDescent="0.2">
      <c r="E530" s="537"/>
      <c r="F530" s="537"/>
      <c r="G530" s="536"/>
      <c r="I530" s="536"/>
      <c r="J530" s="536"/>
      <c r="L530" s="551">
        <f>_xll.qlCalendarAdvance(Calendar,L529,"1M","f",,Trigger)</f>
        <v>58354</v>
      </c>
      <c r="M530" s="542">
        <f>_xll.qlCalendarAdvance(Calendar,L530,"3M","f",,Trigger)</f>
        <v>58446</v>
      </c>
      <c r="N530" s="544" t="str">
        <f>_xll.qlMakeDatedOIS(,L530,M530,OvernightIndex,0,,,,EvaluationDate)</f>
        <v>obj_005ed#0000</v>
      </c>
      <c r="O530" s="543">
        <f>_xll.qlIndexFixing("euribor6m",_xll.qlInterestRateIndexFixingDate("Euribor6M",L530),TRUE,AllTriggers)</f>
        <v>2.0227701670408028E-2</v>
      </c>
      <c r="P530" s="543">
        <f>_xll.qlOvernightIndexedSwapFairRate(N530,AllTriggers)</f>
        <v>2.0233011471527045E-2</v>
      </c>
      <c r="Q530" s="545">
        <f t="shared" si="12"/>
        <v>-5.3098011190168271E-6</v>
      </c>
    </row>
    <row r="531" spans="5:17" x14ac:dyDescent="0.2">
      <c r="E531" s="537"/>
      <c r="F531" s="537"/>
      <c r="G531" s="536"/>
      <c r="I531" s="536"/>
      <c r="J531" s="536"/>
      <c r="L531" s="551">
        <f>_xll.qlCalendarAdvance(Calendar,L530,"1M","f",,Trigger)</f>
        <v>58385</v>
      </c>
      <c r="M531" s="542">
        <f>_xll.qlCalendarAdvance(Calendar,L531,"3M","f",,Trigger)</f>
        <v>58477</v>
      </c>
      <c r="N531" s="544" t="str">
        <f>_xll.qlMakeDatedOIS(,L531,M531,OvernightIndex,0,,,,EvaluationDate)</f>
        <v>obj_005ee#0000</v>
      </c>
      <c r="O531" s="543">
        <f>_xll.qlIndexFixing("euribor6m",_xll.qlInterestRateIndexFixingDate("Euribor6M",L531),TRUE,AllTriggers)</f>
        <v>2.0215127806908827E-2</v>
      </c>
      <c r="P531" s="543">
        <f>_xll.qlOvernightIndexedSwapFairRate(N531,AllTriggers)</f>
        <v>2.0233011471527045E-2</v>
      </c>
      <c r="Q531" s="545">
        <f t="shared" si="12"/>
        <v>-1.7883664618217887E-5</v>
      </c>
    </row>
    <row r="532" spans="5:17" x14ac:dyDescent="0.2">
      <c r="E532" s="537"/>
      <c r="F532" s="537"/>
      <c r="G532" s="536"/>
      <c r="I532" s="536"/>
      <c r="J532" s="536"/>
      <c r="L532" s="551">
        <f>_xll.qlCalendarAdvance(Calendar,L531,"1M","f",,Trigger)</f>
        <v>58417</v>
      </c>
      <c r="M532" s="542">
        <f>_xll.qlCalendarAdvance(Calendar,L532,"3M","f",,Trigger)</f>
        <v>58508</v>
      </c>
      <c r="N532" s="544" t="str">
        <f>_xll.qlMakeDatedOIS(,L532,M532,OvernightIndex,0,,,,EvaluationDate)</f>
        <v>obj_005ef#0000</v>
      </c>
      <c r="O532" s="543">
        <f>_xll.qlIndexFixing("euribor6m",_xll.qlInterestRateIndexFixingDate("Euribor6M",L532),TRUE,AllTriggers)</f>
        <v>2.0203349335873113E-2</v>
      </c>
      <c r="P532" s="543">
        <f>_xll.qlOvernightIndexedSwapFairRate(N532,AllTriggers)</f>
        <v>2.0232443883536358E-2</v>
      </c>
      <c r="Q532" s="545">
        <f t="shared" si="12"/>
        <v>-2.9094547663244957E-5</v>
      </c>
    </row>
    <row r="533" spans="5:17" x14ac:dyDescent="0.2">
      <c r="E533" s="537"/>
      <c r="F533" s="537"/>
      <c r="G533" s="536"/>
      <c r="I533" s="536"/>
      <c r="J533" s="536"/>
      <c r="L533" s="551">
        <f>_xll.qlCalendarAdvance(Calendar,L532,"1M","f",,Trigger)</f>
        <v>58448</v>
      </c>
      <c r="M533" s="542">
        <f>_xll.qlCalendarAdvance(Calendar,L533,"3M","f",,Trigger)</f>
        <v>58539</v>
      </c>
      <c r="N533" s="544" t="str">
        <f>_xll.qlMakeDatedOIS(,L533,M533,OvernightIndex,0,,,,EvaluationDate)</f>
        <v>obj_005f0#0000</v>
      </c>
      <c r="O533" s="543">
        <f>_xll.qlIndexFixing("euribor6m",_xll.qlInterestRateIndexFixingDate("Euribor6M",L533),TRUE,AllTriggers)</f>
        <v>2.0191598983268191E-2</v>
      </c>
      <c r="P533" s="543">
        <f>_xll.qlOvernightIndexedSwapFairRate(N533,AllTriggers)</f>
        <v>2.0232443883537236E-2</v>
      </c>
      <c r="Q533" s="545">
        <f t="shared" si="12"/>
        <v>-4.0844900269045026E-5</v>
      </c>
    </row>
    <row r="534" spans="5:17" x14ac:dyDescent="0.2">
      <c r="E534" s="537"/>
      <c r="F534" s="537"/>
      <c r="G534" s="536"/>
      <c r="I534" s="536"/>
      <c r="J534" s="536"/>
      <c r="L534" s="551">
        <f>_xll.qlCalendarAdvance(Calendar,L533,"1M","f",,Trigger)</f>
        <v>58480</v>
      </c>
      <c r="M534" s="542">
        <f>_xll.qlCalendarAdvance(Calendar,L534,"3M","f",,Trigger)</f>
        <v>58571</v>
      </c>
      <c r="N534" s="544" t="str">
        <f>_xll.qlMakeDatedOIS(,L534,M534,OvernightIndex,0,,,,EvaluationDate)</f>
        <v>obj_005f1#0000</v>
      </c>
      <c r="O534" s="543">
        <f>_xll.qlIndexFixing("euribor6m",_xll.qlInterestRateIndexFixingDate("Euribor6M",L534),TRUE,AllTriggers)</f>
        <v>2.0180298182444278E-2</v>
      </c>
      <c r="P534" s="543">
        <f>_xll.qlOvernightIndexedSwapFairRate(N534,AllTriggers)</f>
        <v>2.0232443883536354E-2</v>
      </c>
      <c r="Q534" s="545">
        <f t="shared" si="12"/>
        <v>-5.2145701092076724E-5</v>
      </c>
    </row>
    <row r="535" spans="5:17" x14ac:dyDescent="0.2">
      <c r="E535" s="537"/>
      <c r="F535" s="537"/>
      <c r="G535" s="536"/>
      <c r="I535" s="536"/>
      <c r="J535" s="536"/>
      <c r="L535" s="551">
        <f>_xll.qlCalendarAdvance(Calendar,L534,"1M","f",,Trigger)</f>
        <v>58509</v>
      </c>
      <c r="M535" s="542">
        <f>_xll.qlCalendarAdvance(Calendar,L535,"3M","f",,Trigger)</f>
        <v>58601</v>
      </c>
      <c r="N535" s="544" t="str">
        <f>_xll.qlMakeDatedOIS(,L535,M535,OvernightIndex,0,,,,EvaluationDate)</f>
        <v>obj_005f2#0000</v>
      </c>
      <c r="O535" s="543">
        <f>_xll.qlIndexFixing("euribor6m",_xll.qlInterestRateIndexFixingDate("Euribor6M",L535),TRUE,AllTriggers)</f>
        <v>2.0171240943693439E-2</v>
      </c>
      <c r="P535" s="543">
        <f>_xll.qlOvernightIndexedSwapFairRate(N535,AllTriggers)</f>
        <v>2.0233011471527045E-2</v>
      </c>
      <c r="Q535" s="545">
        <f t="shared" si="12"/>
        <v>-6.1770527833605871E-5</v>
      </c>
    </row>
    <row r="536" spans="5:17" x14ac:dyDescent="0.2">
      <c r="E536" s="537"/>
      <c r="F536" s="537"/>
      <c r="G536" s="536"/>
      <c r="I536" s="536"/>
      <c r="J536" s="536"/>
      <c r="L536" s="551">
        <f>_xll.qlCalendarAdvance(Calendar,L535,"1M","f",,Trigger)</f>
        <v>58540</v>
      </c>
      <c r="M536" s="542">
        <f>_xll.qlCalendarAdvance(Calendar,L536,"3M","f",,Trigger)</f>
        <v>58631</v>
      </c>
      <c r="N536" s="544" t="str">
        <f>_xll.qlMakeDatedOIS(,L536,M536,OvernightIndex,0,,,,EvaluationDate)</f>
        <v>obj_005f3#0000</v>
      </c>
      <c r="O536" s="543">
        <f>_xll.qlIndexFixing("euribor6m",_xll.qlInterestRateIndexFixingDate("Euribor6M",L536),TRUE,AllTriggers)</f>
        <v>2.0161516979954698E-2</v>
      </c>
      <c r="P536" s="543">
        <f>_xll.qlOvernightIndexedSwapFairRate(N536,AllTriggers)</f>
        <v>2.0232443883536354E-2</v>
      </c>
      <c r="Q536" s="545">
        <f t="shared" si="12"/>
        <v>-7.0926903581656348E-5</v>
      </c>
    </row>
    <row r="537" spans="5:17" x14ac:dyDescent="0.2">
      <c r="E537" s="537"/>
      <c r="F537" s="537"/>
      <c r="G537" s="536"/>
      <c r="I537" s="536"/>
      <c r="J537" s="536"/>
      <c r="L537" s="551">
        <f>_xll.qlCalendarAdvance(Calendar,L536,"1M","f",,Trigger)</f>
        <v>58571</v>
      </c>
      <c r="M537" s="542">
        <f>_xll.qlCalendarAdvance(Calendar,L537,"3M","f",,Trigger)</f>
        <v>58663</v>
      </c>
      <c r="N537" s="544" t="str">
        <f>_xll.qlMakeDatedOIS(,L537,M537,OvernightIndex,0,,,,EvaluationDate)</f>
        <v>obj_005f4#0000</v>
      </c>
      <c r="O537" s="543">
        <f>_xll.qlIndexFixing("euribor6m",_xll.qlInterestRateIndexFixingDate("Euribor6M",L537),TRUE,AllTriggers)</f>
        <v>2.0151385963690278E-2</v>
      </c>
      <c r="P537" s="543">
        <f>_xll.qlOvernightIndexedSwapFairRate(N537,AllTriggers)</f>
        <v>2.023301147152792E-2</v>
      </c>
      <c r="Q537" s="545">
        <f t="shared" si="12"/>
        <v>-8.1625507837641831E-5</v>
      </c>
    </row>
    <row r="538" spans="5:17" x14ac:dyDescent="0.2">
      <c r="E538" s="537"/>
      <c r="F538" s="537"/>
      <c r="G538" s="536"/>
      <c r="I538" s="536"/>
      <c r="J538" s="536"/>
      <c r="L538" s="551">
        <f>_xll.qlCalendarAdvance(Calendar,L537,"1M","f",,Trigger)</f>
        <v>58602</v>
      </c>
      <c r="M538" s="542">
        <f>_xll.qlCalendarAdvance(Calendar,L538,"3M","f",,Trigger)</f>
        <v>58694</v>
      </c>
      <c r="N538" s="544" t="str">
        <f>_xll.qlMakeDatedOIS(,L538,M538,OvernightIndex,0,,,,EvaluationDate)</f>
        <v>obj_005f5#0000</v>
      </c>
      <c r="O538" s="543">
        <f>_xll.qlIndexFixing("euribor6m",_xll.qlInterestRateIndexFixingDate("Euribor6M",L538),TRUE,AllTriggers)</f>
        <v>2.0141654082501462E-2</v>
      </c>
      <c r="P538" s="543">
        <f>_xll.qlOvernightIndexedSwapFairRate(N538,AllTriggers)</f>
        <v>2.0233011471527049E-2</v>
      </c>
      <c r="Q538" s="545">
        <f t="shared" si="12"/>
        <v>-9.1357389025586294E-5</v>
      </c>
    </row>
    <row r="539" spans="5:17" x14ac:dyDescent="0.2">
      <c r="E539" s="537"/>
      <c r="F539" s="537"/>
      <c r="G539" s="536"/>
      <c r="I539" s="536"/>
      <c r="J539" s="536"/>
      <c r="L539" s="551">
        <f>_xll.qlCalendarAdvance(Calendar,L538,"1M","f",,Trigger)</f>
        <v>58634</v>
      </c>
      <c r="M539" s="542">
        <f>_xll.qlCalendarAdvance(Calendar,L539,"3M","f",,Trigger)</f>
        <v>58726</v>
      </c>
      <c r="N539" s="544" t="str">
        <f>_xll.qlMakeDatedOIS(,L539,M539,OvernightIndex,0,,,,EvaluationDate)</f>
        <v>obj_005f6#0000</v>
      </c>
      <c r="O539" s="543">
        <f>_xll.qlIndexFixing("euribor6m",_xll.qlInterestRateIndexFixingDate("Euribor6M",L539),TRUE,AllTriggers)</f>
        <v>2.0132895517630776E-2</v>
      </c>
      <c r="P539" s="543">
        <f>_xll.qlOvernightIndexedSwapFairRate(N539,AllTriggers)</f>
        <v>2.0233011471527045E-2</v>
      </c>
      <c r="Q539" s="545">
        <f t="shared" si="12"/>
        <v>-1.0011595389626884E-4</v>
      </c>
    </row>
    <row r="540" spans="5:17" x14ac:dyDescent="0.2">
      <c r="E540" s="537"/>
      <c r="F540" s="537"/>
      <c r="G540" s="536"/>
      <c r="I540" s="536"/>
      <c r="J540" s="536"/>
      <c r="L540" s="551">
        <f>_xll.qlCalendarAdvance(Calendar,L539,"1M","f",,Trigger)</f>
        <v>58665</v>
      </c>
      <c r="M540" s="542">
        <f>_xll.qlCalendarAdvance(Calendar,L540,"3M","f",,Trigger)</f>
        <v>58757</v>
      </c>
      <c r="N540" s="544" t="str">
        <f>_xll.qlMakeDatedOIS(,L540,M540,OvernightIndex,0,,,,EvaluationDate)</f>
        <v>obj_005f7#0000</v>
      </c>
      <c r="O540" s="543">
        <f>_xll.qlIndexFixing("euribor6m",_xll.qlInterestRateIndexFixingDate("Euribor6M",L540),TRUE,AllTriggers)</f>
        <v>2.0125288252490919E-2</v>
      </c>
      <c r="P540" s="543">
        <f>_xll.qlOvernightIndexedSwapFairRate(N540,AllTriggers)</f>
        <v>2.0233011471527049E-2</v>
      </c>
      <c r="Q540" s="545">
        <f t="shared" si="12"/>
        <v>-1.0772321903613005E-4</v>
      </c>
    </row>
    <row r="541" spans="5:17" x14ac:dyDescent="0.2">
      <c r="E541" s="537"/>
      <c r="F541" s="537"/>
      <c r="G541" s="536"/>
      <c r="I541" s="536"/>
      <c r="J541" s="536"/>
      <c r="L541" s="551">
        <f>_xll.qlCalendarAdvance(Calendar,L540,"1M","f",,Trigger)</f>
        <v>58697</v>
      </c>
      <c r="M541" s="542">
        <f>_xll.qlCalendarAdvance(Calendar,L541,"3M","f",,Trigger)</f>
        <v>58788</v>
      </c>
      <c r="N541" s="544" t="str">
        <f>_xll.qlMakeDatedOIS(,L541,M541,OvernightIndex,0,,,,EvaluationDate)</f>
        <v>obj_005f8#0000</v>
      </c>
      <c r="O541" s="543">
        <f>_xll.qlIndexFixing("euribor6m",_xll.qlInterestRateIndexFixingDate("Euribor6M",L541),TRUE,AllTriggers)</f>
        <v>2.0115223307699184E-2</v>
      </c>
      <c r="P541" s="543">
        <f>_xll.qlOvernightIndexedSwapFairRate(N541,AllTriggers)</f>
        <v>2.0232443883537232E-2</v>
      </c>
      <c r="Q541" s="545">
        <f t="shared" si="12"/>
        <v>-1.172205758380486E-4</v>
      </c>
    </row>
    <row r="542" spans="5:17" x14ac:dyDescent="0.2">
      <c r="E542" s="537"/>
      <c r="F542" s="537"/>
      <c r="G542" s="536"/>
      <c r="I542" s="536"/>
      <c r="J542" s="536"/>
      <c r="L542" s="551">
        <f>_xll.qlCalendarAdvance(Calendar,L541,"1M","f",,Trigger)</f>
        <v>58727</v>
      </c>
      <c r="M542" s="542">
        <f>_xll.qlCalendarAdvance(Calendar,L542,"3M","f",,Trigger)</f>
        <v>58819</v>
      </c>
      <c r="N542" s="544" t="str">
        <f>_xll.qlMakeDatedOIS(,L542,M542,OvernightIndex,0,,,,EvaluationDate)</f>
        <v>obj_005f9#0000</v>
      </c>
      <c r="O542" s="543">
        <f>_xll.qlIndexFixing("euribor6m",_xll.qlInterestRateIndexFixingDate("Euribor6M",L542),TRUE,AllTriggers)</f>
        <v>2.0107811853996998E-2</v>
      </c>
      <c r="P542" s="543">
        <f>_xll.qlOvernightIndexedSwapFairRate(N542,AllTriggers)</f>
        <v>2.0233011471527045E-2</v>
      </c>
      <c r="Q542" s="545">
        <f t="shared" si="12"/>
        <v>-1.2519961753004738E-4</v>
      </c>
    </row>
    <row r="543" spans="5:17" x14ac:dyDescent="0.2">
      <c r="E543" s="537"/>
      <c r="F543" s="537"/>
      <c r="G543" s="536"/>
      <c r="I543" s="536"/>
      <c r="J543" s="536"/>
      <c r="L543" s="551">
        <f>_xll.qlCalendarAdvance(Calendar,L542,"1M","f",,Trigger)</f>
        <v>58760</v>
      </c>
      <c r="M543" s="542">
        <f>_xll.qlCalendarAdvance(Calendar,L543,"3M","f",,Trigger)</f>
        <v>58852</v>
      </c>
      <c r="N543" s="544" t="str">
        <f>_xll.qlMakeDatedOIS(,L543,M543,OvernightIndex,0,,,,EvaluationDate)</f>
        <v>obj_005fa#0000</v>
      </c>
      <c r="O543" s="543">
        <f>_xll.qlIndexFixing("euribor6m",_xll.qlInterestRateIndexFixingDate("Euribor6M",L543),TRUE,AllTriggers)</f>
        <v>2.0100103957099109E-2</v>
      </c>
      <c r="P543" s="543">
        <f>_xll.qlOvernightIndexedSwapFairRate(N543,AllTriggers)</f>
        <v>2.0233011471527049E-2</v>
      </c>
      <c r="Q543" s="545">
        <f t="shared" si="12"/>
        <v>-1.329075144279393E-4</v>
      </c>
    </row>
    <row r="544" spans="5:17" x14ac:dyDescent="0.2">
      <c r="E544" s="537"/>
      <c r="F544" s="537"/>
      <c r="G544" s="536"/>
      <c r="I544" s="536"/>
      <c r="J544" s="536"/>
      <c r="L544" s="551">
        <f>_xll.qlCalendarAdvance(Calendar,L543,"1M","f",,Trigger)</f>
        <v>58790</v>
      </c>
      <c r="M544" s="542">
        <f>_xll.qlCalendarAdvance(Calendar,L544,"3M","f",,Trigger)</f>
        <v>58880</v>
      </c>
      <c r="N544" s="544" t="str">
        <f>_xll.qlMakeDatedOIS(,L544,M544,OvernightIndex,0,,,,EvaluationDate)</f>
        <v>obj_005fb#0000</v>
      </c>
      <c r="O544" s="543">
        <f>_xll.qlIndexFixing("euribor6m",_xll.qlInterestRateIndexFixingDate("Euribor6M",L544),TRUE,AllTriggers)</f>
        <v>2.0093501048409408E-2</v>
      </c>
      <c r="P544" s="543">
        <f>_xll.qlOvernightIndexedSwapFairRate(N544,AllTriggers)</f>
        <v>2.0231876316766591E-2</v>
      </c>
      <c r="Q544" s="545">
        <f t="shared" si="12"/>
        <v>-1.3837526835718331E-4</v>
      </c>
    </row>
    <row r="545" spans="5:17" x14ac:dyDescent="0.2">
      <c r="E545" s="537"/>
      <c r="F545" s="537"/>
      <c r="G545" s="536"/>
      <c r="I545" s="536"/>
      <c r="J545" s="536"/>
      <c r="L545" s="551">
        <f>_xll.qlCalendarAdvance(Calendar,L544,"1M","f",,Trigger)</f>
        <v>58823</v>
      </c>
      <c r="M545" s="542">
        <f>_xll.qlCalendarAdvance(Calendar,L545,"3M","f",,Trigger)</f>
        <v>58914</v>
      </c>
      <c r="N545" s="544" t="str">
        <f>_xll.qlMakeDatedOIS(,L545,M545,OvernightIndex,0,,,,EvaluationDate)</f>
        <v>obj_005fc#0000</v>
      </c>
      <c r="O545" s="543">
        <f>_xll.qlIndexFixing("euribor6m",_xll.qlInterestRateIndexFixingDate("Euribor6M",L545),TRUE,AllTriggers)</f>
        <v>2.008668254148813E-2</v>
      </c>
      <c r="P545" s="543">
        <f>_xll.qlOvernightIndexedSwapFairRate(N545,AllTriggers)</f>
        <v>2.0232443883536358E-2</v>
      </c>
      <c r="Q545" s="545">
        <f t="shared" si="12"/>
        <v>-1.4576134204822774E-4</v>
      </c>
    </row>
    <row r="546" spans="5:17" x14ac:dyDescent="0.2">
      <c r="E546" s="537"/>
      <c r="F546" s="537"/>
      <c r="G546" s="536"/>
      <c r="I546" s="536"/>
      <c r="J546" s="536"/>
      <c r="L546" s="551">
        <f>_xll.qlCalendarAdvance(Calendar,L545,"1M","f",,Trigger)</f>
        <v>58854</v>
      </c>
      <c r="M546" s="542">
        <f>_xll.qlCalendarAdvance(Calendar,L546,"3M","f",,Trigger)</f>
        <v>58943</v>
      </c>
      <c r="N546" s="544" t="str">
        <f>_xll.qlMakeDatedOIS(,L546,M546,OvernightIndex,0,,,,EvaluationDate)</f>
        <v>obj_005fd#0000</v>
      </c>
      <c r="O546" s="543">
        <f>_xll.qlIndexFixing("euribor6m",_xll.qlInterestRateIndexFixingDate("Euribor6M",L546),TRUE,AllTriggers)</f>
        <v>2.0080230222961432E-2</v>
      </c>
      <c r="P546" s="543">
        <f>_xll.qlOvernightIndexedSwapFairRate(N546,AllTriggers)</f>
        <v>2.0231308771216351E-2</v>
      </c>
      <c r="Q546" s="545">
        <f t="shared" si="12"/>
        <v>-1.5107854825491956E-4</v>
      </c>
    </row>
    <row r="547" spans="5:17" x14ac:dyDescent="0.2">
      <c r="E547" s="537"/>
      <c r="F547" s="537"/>
      <c r="G547" s="536"/>
      <c r="I547" s="536"/>
      <c r="J547" s="536"/>
      <c r="L547" s="551">
        <f>_xll.qlCalendarAdvance(Calendar,L546,"1M","f",,Trigger)</f>
        <v>58882</v>
      </c>
      <c r="M547" s="542">
        <f>_xll.qlCalendarAdvance(Calendar,L547,"3M","f",,Trigger)</f>
        <v>58974</v>
      </c>
      <c r="N547" s="544" t="str">
        <f>_xll.qlMakeDatedOIS(,L547,M547,OvernightIndex,0,,,,EvaluationDate)</f>
        <v>obj_005fe#0000</v>
      </c>
      <c r="O547" s="543">
        <f>_xll.qlIndexFixing("euribor6m",_xll.qlInterestRateIndexFixingDate("Euribor6M",L547),TRUE,AllTriggers)</f>
        <v>2.0077562966076903E-2</v>
      </c>
      <c r="P547" s="543">
        <f>_xll.qlOvernightIndexedSwapFairRate(N547,AllTriggers)</f>
        <v>2.0233011471527049E-2</v>
      </c>
      <c r="Q547" s="545">
        <f t="shared" si="12"/>
        <v>-1.5544850545014602E-4</v>
      </c>
    </row>
    <row r="548" spans="5:17" x14ac:dyDescent="0.2">
      <c r="E548" s="537"/>
      <c r="F548" s="537"/>
      <c r="G548" s="536"/>
      <c r="I548" s="536"/>
      <c r="J548" s="536"/>
      <c r="L548" s="551">
        <f>_xll.qlCalendarAdvance(Calendar,L547,"1M","f",,Trigger)</f>
        <v>58914</v>
      </c>
      <c r="M548" s="542">
        <f>_xll.qlCalendarAdvance(Calendar,L548,"3M","f",,Trigger)</f>
        <v>59005</v>
      </c>
      <c r="N548" s="544" t="str">
        <f>_xll.qlMakeDatedOIS(,L548,M548,OvernightIndex,0,,,,EvaluationDate)</f>
        <v>obj_005ff#0000</v>
      </c>
      <c r="O548" s="543">
        <f>_xll.qlIndexFixing("euribor6m",_xll.qlInterestRateIndexFixingDate("Euribor6M",L548),TRUE,AllTriggers)</f>
        <v>2.0070777405860062E-2</v>
      </c>
      <c r="P548" s="543">
        <f>_xll.qlOvernightIndexedSwapFairRate(N548,AllTriggers)</f>
        <v>2.0232443883537236E-2</v>
      </c>
      <c r="Q548" s="545">
        <f t="shared" si="12"/>
        <v>-1.616664776771734E-4</v>
      </c>
    </row>
    <row r="549" spans="5:17" x14ac:dyDescent="0.2">
      <c r="E549" s="537"/>
      <c r="F549" s="537"/>
      <c r="G549" s="536"/>
      <c r="I549" s="536"/>
      <c r="J549" s="536"/>
      <c r="L549" s="551">
        <f>_xll.qlCalendarAdvance(Calendar,L548,"1M","f",,Trigger)</f>
        <v>58944</v>
      </c>
      <c r="M549" s="542">
        <f>_xll.qlCalendarAdvance(Calendar,L549,"3M","f",,Trigger)</f>
        <v>59036</v>
      </c>
      <c r="N549" s="544" t="str">
        <f>_xll.qlMakeDatedOIS(,L549,M549,OvernightIndex,0,,,,EvaluationDate)</f>
        <v>obj_00600#0000</v>
      </c>
      <c r="O549" s="543">
        <f>_xll.qlIndexFixing("euribor6m",_xll.qlInterestRateIndexFixingDate("Euribor6M",L549),TRUE,AllTriggers)</f>
        <v>2.0066647183457971E-2</v>
      </c>
      <c r="P549" s="543">
        <f>_xll.qlOvernightIndexedSwapFairRate(N549,AllTriggers)</f>
        <v>2.0233011471527916E-2</v>
      </c>
      <c r="Q549" s="545">
        <f t="shared" si="12"/>
        <v>-1.6636428806994508E-4</v>
      </c>
    </row>
    <row r="550" spans="5:17" x14ac:dyDescent="0.2">
      <c r="E550" s="537"/>
      <c r="F550" s="537"/>
      <c r="G550" s="536"/>
      <c r="I550" s="536"/>
      <c r="J550" s="536"/>
      <c r="L550" s="551">
        <f>_xll.qlCalendarAdvance(Calendar,L549,"1M","f",,Trigger)</f>
        <v>58977</v>
      </c>
      <c r="M550" s="542">
        <f>_xll.qlCalendarAdvance(Calendar,L550,"3M","f",,Trigger)</f>
        <v>59069</v>
      </c>
      <c r="N550" s="544" t="str">
        <f>_xll.qlMakeDatedOIS(,L550,M550,OvernightIndex,0,,,,EvaluationDate)</f>
        <v>obj_00601#0000</v>
      </c>
      <c r="O550" s="543">
        <f>_xll.qlIndexFixing("euribor6m",_xll.qlInterestRateIndexFixingDate("Euribor6M",L550),TRUE,AllTriggers)</f>
        <v>2.0061519324268213E-2</v>
      </c>
      <c r="P550" s="543">
        <f>_xll.qlOvernightIndexedSwapFairRate(N550,AllTriggers)</f>
        <v>2.0233011471527913E-2</v>
      </c>
      <c r="Q550" s="545">
        <f t="shared" si="12"/>
        <v>-1.7149214725969975E-4</v>
      </c>
    </row>
    <row r="551" spans="5:17" x14ac:dyDescent="0.2">
      <c r="E551" s="537"/>
      <c r="F551" s="537"/>
      <c r="G551" s="536"/>
      <c r="I551" s="536"/>
      <c r="J551" s="536"/>
      <c r="L551" s="551">
        <f>_xll.qlCalendarAdvance(Calendar,L550,"1M","f",,Trigger)</f>
        <v>59007</v>
      </c>
      <c r="M551" s="542">
        <f>_xll.qlCalendarAdvance(Calendar,L551,"3M","f",,Trigger)</f>
        <v>59099</v>
      </c>
      <c r="N551" s="544" t="str">
        <f>_xll.qlMakeDatedOIS(,L551,M551,OvernightIndex,0,,,,EvaluationDate)</f>
        <v>obj_00602#0000</v>
      </c>
      <c r="O551" s="543">
        <f>_xll.qlIndexFixing("euribor6m",_xll.qlInterestRateIndexFixingDate("Euribor6M",L551),TRUE,AllTriggers)</f>
        <v>2.0058210650284604E-2</v>
      </c>
      <c r="P551" s="543">
        <f>_xll.qlOvernightIndexedSwapFairRate(N551,AllTriggers)</f>
        <v>2.0233011471527049E-2</v>
      </c>
      <c r="Q551" s="545">
        <f t="shared" si="12"/>
        <v>-1.7480082124244484E-4</v>
      </c>
    </row>
    <row r="552" spans="5:17" x14ac:dyDescent="0.2">
      <c r="E552" s="537"/>
      <c r="F552" s="537"/>
      <c r="G552" s="536"/>
      <c r="I552" s="536"/>
      <c r="J552" s="536"/>
      <c r="L552" s="551">
        <f>_xll.qlCalendarAdvance(Calendar,L551,"1M","f",,Trigger)</f>
        <v>59040</v>
      </c>
      <c r="M552" s="542">
        <f>_xll.qlCalendarAdvance(Calendar,L552,"3M","f",,Trigger)</f>
        <v>59132</v>
      </c>
      <c r="N552" s="544" t="str">
        <f>_xll.qlMakeDatedOIS(,L552,M552,OvernightIndex,0,,,,EvaluationDate)</f>
        <v>obj_00603#0000</v>
      </c>
      <c r="O552" s="543">
        <f>_xll.qlIndexFixing("euribor6m",_xll.qlInterestRateIndexFixingDate("Euribor6M",L552),TRUE,AllTriggers)</f>
        <v>2.005446918047368E-2</v>
      </c>
      <c r="P552" s="543">
        <f>_xll.qlOvernightIndexedSwapFairRate(N552,AllTriggers)</f>
        <v>2.0233011471527049E-2</v>
      </c>
      <c r="Q552" s="545">
        <f t="shared" si="12"/>
        <v>-1.7854229105336919E-4</v>
      </c>
    </row>
    <row r="553" spans="5:17" x14ac:dyDescent="0.2">
      <c r="E553" s="537"/>
      <c r="F553" s="537"/>
      <c r="G553" s="536"/>
      <c r="I553" s="536"/>
      <c r="J553" s="536"/>
      <c r="L553" s="551">
        <f>_xll.qlCalendarAdvance(Calendar,L552,"1M","f",,Trigger)</f>
        <v>59071</v>
      </c>
      <c r="M553" s="542">
        <f>_xll.qlCalendarAdvance(Calendar,L553,"3M","f",,Trigger)</f>
        <v>59162</v>
      </c>
      <c r="N553" s="544" t="str">
        <f>_xll.qlMakeDatedOIS(,L553,M553,OvernightIndex,0,,,,EvaluationDate)</f>
        <v>obj_00604#0000</v>
      </c>
      <c r="O553" s="543">
        <f>_xll.qlIndexFixing("euribor6m",_xll.qlInterestRateIndexFixingDate("Euribor6M",L553),TRUE,AllTriggers)</f>
        <v>2.0049829933347162E-2</v>
      </c>
      <c r="P553" s="543">
        <f>_xll.qlOvernightIndexedSwapFairRate(N553,AllTriggers)</f>
        <v>2.0232443883537232E-2</v>
      </c>
      <c r="Q553" s="545">
        <f t="shared" si="12"/>
        <v>-1.826139501900706E-4</v>
      </c>
    </row>
    <row r="554" spans="5:17" x14ac:dyDescent="0.2">
      <c r="E554" s="537"/>
      <c r="F554" s="537"/>
      <c r="G554" s="536"/>
      <c r="I554" s="536"/>
      <c r="J554" s="536"/>
      <c r="L554" s="551">
        <f>_xll.qlCalendarAdvance(Calendar,L553,"1M","f",,Trigger)</f>
        <v>59103</v>
      </c>
      <c r="M554" s="542">
        <f>_xll.qlCalendarAdvance(Calendar,L554,"3M","f",,Trigger)</f>
        <v>59195</v>
      </c>
      <c r="N554" s="544" t="str">
        <f>_xll.qlMakeDatedOIS(,L554,M554,OvernightIndex,0,,,,EvaluationDate)</f>
        <v>obj_00605#0000</v>
      </c>
      <c r="O554" s="543">
        <f>_xll.qlIndexFixing("euribor6m",_xll.qlInterestRateIndexFixingDate("Euribor6M",L554),TRUE,AllTriggers)</f>
        <v>2.0047573930246806E-2</v>
      </c>
      <c r="P554" s="543">
        <f>_xll.qlOvernightIndexedSwapFairRate(N554,AllTriggers)</f>
        <v>2.0233011471527045E-2</v>
      </c>
      <c r="Q554" s="545">
        <f t="shared" si="12"/>
        <v>-1.8543754128023948E-4</v>
      </c>
    </row>
    <row r="555" spans="5:17" x14ac:dyDescent="0.2">
      <c r="E555" s="537"/>
      <c r="F555" s="537"/>
      <c r="G555" s="536"/>
      <c r="I555" s="536"/>
      <c r="J555" s="536"/>
      <c r="L555" s="551">
        <f>_xll.qlCalendarAdvance(Calendar,L554,"1M","f",,Trigger)</f>
        <v>59134</v>
      </c>
      <c r="M555" s="542">
        <f>_xll.qlCalendarAdvance(Calendar,L555,"3M","f",,Trigger)</f>
        <v>59226</v>
      </c>
      <c r="N555" s="544" t="str">
        <f>_xll.qlMakeDatedOIS(,L555,M555,OvernightIndex,0,,,,EvaluationDate)</f>
        <v>obj_00606#0000</v>
      </c>
      <c r="O555" s="543">
        <f>_xll.qlIndexFixing("euribor6m",_xll.qlInterestRateIndexFixingDate("Euribor6M",L555),TRUE,AllTriggers)</f>
        <v>2.004477677457751E-2</v>
      </c>
      <c r="P555" s="543">
        <f>_xll.qlOvernightIndexedSwapFairRate(N555,AllTriggers)</f>
        <v>2.023301147152792E-2</v>
      </c>
      <c r="Q555" s="545">
        <f t="shared" si="12"/>
        <v>-1.8823469695040951E-4</v>
      </c>
    </row>
    <row r="556" spans="5:17" x14ac:dyDescent="0.2">
      <c r="E556" s="537"/>
      <c r="F556" s="537"/>
      <c r="G556" s="536"/>
      <c r="I556" s="536"/>
      <c r="J556" s="536"/>
      <c r="L556" s="551">
        <f>_xll.qlCalendarAdvance(Calendar,L555,"1M","f",,Trigger)</f>
        <v>59167</v>
      </c>
      <c r="M556" s="542">
        <f>_xll.qlCalendarAdvance(Calendar,L556,"3M","f",,Trigger)</f>
        <v>59258</v>
      </c>
      <c r="N556" s="544" t="str">
        <f>_xll.qlMakeDatedOIS(,L556,M556,OvernightIndex,0,,,,EvaluationDate)</f>
        <v>obj_00607#0000</v>
      </c>
      <c r="O556" s="543">
        <f>_xll.qlIndexFixing("euribor6m",_xll.qlInterestRateIndexFixingDate("Euribor6M",L556),TRUE,AllTriggers)</f>
        <v>2.0043343717096488E-2</v>
      </c>
      <c r="P556" s="543">
        <f>_xll.qlOvernightIndexedSwapFairRate(N556,AllTriggers)</f>
        <v>2.0232443883537232E-2</v>
      </c>
      <c r="Q556" s="545">
        <f t="shared" si="12"/>
        <v>-1.8910016644074421E-4</v>
      </c>
    </row>
    <row r="557" spans="5:17" x14ac:dyDescent="0.2">
      <c r="E557" s="537"/>
      <c r="F557" s="537"/>
      <c r="G557" s="536"/>
      <c r="I557" s="536"/>
      <c r="J557" s="536"/>
      <c r="L557" s="551">
        <f>_xll.qlCalendarAdvance(Calendar,L556,"1M","f",,Trigger)</f>
        <v>59198</v>
      </c>
      <c r="M557" s="542">
        <f>_xll.qlCalendarAdvance(Calendar,L557,"3M","f",,Trigger)</f>
        <v>59288</v>
      </c>
      <c r="N557" s="544" t="str">
        <f>_xll.qlMakeDatedOIS(,L557,M557,OvernightIndex,0,,,,EvaluationDate)</f>
        <v>obj_00608#0000</v>
      </c>
      <c r="O557" s="543">
        <f>_xll.qlIndexFixing("euribor6m",_xll.qlInterestRateIndexFixingDate("Euribor6M",L557),TRUE,AllTriggers)</f>
        <v>2.0041381743486776E-2</v>
      </c>
      <c r="P557" s="543">
        <f>_xll.qlOvernightIndexedSwapFairRate(N557,AllTriggers)</f>
        <v>2.0231876316767483E-2</v>
      </c>
      <c r="Q557" s="545">
        <f t="shared" si="12"/>
        <v>-1.9049457328070701E-4</v>
      </c>
    </row>
    <row r="558" spans="5:17" x14ac:dyDescent="0.2">
      <c r="E558" s="537"/>
      <c r="F558" s="537"/>
      <c r="G558" s="536"/>
      <c r="I558" s="536"/>
      <c r="J558" s="536"/>
      <c r="L558" s="551">
        <f>_xll.qlCalendarAdvance(Calendar,L557,"1M","f",,Trigger)</f>
        <v>59229</v>
      </c>
      <c r="M558" s="542">
        <f>_xll.qlCalendarAdvance(Calendar,L558,"3M","f",,Trigger)</f>
        <v>59320</v>
      </c>
      <c r="N558" s="544" t="str">
        <f>_xll.qlMakeDatedOIS(,L558,M558,OvernightIndex,0,,,,EvaluationDate)</f>
        <v>obj_00609#0000</v>
      </c>
      <c r="O558" s="543">
        <f>_xll.qlIndexFixing("euribor6m",_xll.qlInterestRateIndexFixingDate("Euribor6M",L558),TRUE,AllTriggers)</f>
        <v>2.0040916539439825E-2</v>
      </c>
      <c r="P558" s="543">
        <f>_xll.qlOvernightIndexedSwapFairRate(N558,AllTriggers)</f>
        <v>2.0232443883537229E-2</v>
      </c>
      <c r="Q558" s="545">
        <f t="shared" si="12"/>
        <v>-1.9152734409740371E-4</v>
      </c>
    </row>
    <row r="559" spans="5:17" x14ac:dyDescent="0.2">
      <c r="E559" s="537"/>
      <c r="F559" s="537"/>
      <c r="G559" s="536"/>
      <c r="I559" s="536"/>
      <c r="J559" s="536"/>
      <c r="L559" s="551">
        <f>_xll.qlCalendarAdvance(Calendar,L558,"1M","f",,Trigger)</f>
        <v>59258</v>
      </c>
      <c r="M559" s="542">
        <f>_xll.qlCalendarAdvance(Calendar,L559,"3M","f",,Trigger)</f>
        <v>59350</v>
      </c>
      <c r="N559" s="544" t="str">
        <f>_xll.qlMakeDatedOIS(,L559,M559,OvernightIndex,0,,,,EvaluationDate)</f>
        <v>obj_0060a#0000</v>
      </c>
      <c r="O559" s="543">
        <f>_xll.qlIndexFixing("euribor6m",_xll.qlInterestRateIndexFixingDate("Euribor6M",L559),TRUE,AllTriggers)</f>
        <v>2.0041457346929137E-2</v>
      </c>
      <c r="P559" s="543">
        <f>_xll.qlOvernightIndexedSwapFairRate(N559,AllTriggers)</f>
        <v>2.0233011471527049E-2</v>
      </c>
      <c r="Q559" s="545">
        <f t="shared" si="12"/>
        <v>-1.9155412459791188E-4</v>
      </c>
    </row>
    <row r="560" spans="5:17" x14ac:dyDescent="0.2">
      <c r="E560" s="537"/>
      <c r="F560" s="537"/>
      <c r="G560" s="536"/>
      <c r="I560" s="536"/>
      <c r="J560" s="536"/>
      <c r="L560" s="551">
        <f>_xll.qlCalendarAdvance(Calendar,L559,"1M","f",,Trigger)</f>
        <v>59289</v>
      </c>
      <c r="M560" s="542">
        <f>_xll.qlCalendarAdvance(Calendar,L560,"3M","f",,Trigger)</f>
        <v>59380</v>
      </c>
      <c r="N560" s="544" t="str">
        <f>_xll.qlMakeDatedOIS(,L560,M560,OvernightIndex,0,,,,EvaluationDate)</f>
        <v>obj_0060b#0000</v>
      </c>
      <c r="O560" s="543">
        <f>_xll.qlIndexFixing("euribor6m",_xll.qlInterestRateIndexFixingDate("Euribor6M",L560),TRUE,AllTriggers)</f>
        <v>2.0042383734707635E-2</v>
      </c>
      <c r="P560" s="543">
        <f>_xll.qlOvernightIndexedSwapFairRate(N560,AllTriggers)</f>
        <v>2.0232443883536358E-2</v>
      </c>
      <c r="Q560" s="545">
        <f t="shared" si="12"/>
        <v>-1.9006014882872249E-4</v>
      </c>
    </row>
    <row r="561" spans="5:17" x14ac:dyDescent="0.2">
      <c r="E561" s="537"/>
      <c r="F561" s="537"/>
      <c r="G561" s="536"/>
      <c r="I561" s="536"/>
      <c r="J561" s="536"/>
      <c r="L561" s="551">
        <f>_xll.qlCalendarAdvance(Calendar,L560,"1M","f",,Trigger)</f>
        <v>59320</v>
      </c>
      <c r="M561" s="542">
        <f>_xll.qlCalendarAdvance(Calendar,L561,"3M","f",,Trigger)</f>
        <v>59412</v>
      </c>
      <c r="N561" s="544" t="str">
        <f>_xll.qlMakeDatedOIS(,L561,M561,OvernightIndex,0,,,,EvaluationDate)</f>
        <v>obj_0060c#0000</v>
      </c>
      <c r="O561" s="543">
        <f>_xll.qlIndexFixing("euribor6m",_xll.qlInterestRateIndexFixingDate("Euribor6M",L561),TRUE,AllTriggers)</f>
        <v>2.0041470119478676E-2</v>
      </c>
      <c r="P561" s="543">
        <f>_xll.qlOvernightIndexedSwapFairRate(N561,AllTriggers)</f>
        <v>2.0233011471527045E-2</v>
      </c>
      <c r="Q561" s="545">
        <f t="shared" si="12"/>
        <v>-1.9154135204836956E-4</v>
      </c>
    </row>
    <row r="562" spans="5:17" x14ac:dyDescent="0.2">
      <c r="E562" s="537"/>
      <c r="F562" s="537"/>
      <c r="G562" s="536"/>
      <c r="I562" s="536"/>
      <c r="J562" s="536"/>
      <c r="L562" s="551">
        <f>_xll.qlCalendarAdvance(Calendar,L561,"1M","f",,Trigger)</f>
        <v>59351</v>
      </c>
      <c r="M562" s="542">
        <f>_xll.qlCalendarAdvance(Calendar,L562,"3M","f",,Trigger)</f>
        <v>59443</v>
      </c>
      <c r="N562" s="544" t="str">
        <f>_xll.qlMakeDatedOIS(,L562,M562,OvernightIndex,0,,,,EvaluationDate)</f>
        <v>obj_0060d#0000</v>
      </c>
      <c r="O562" s="543">
        <f>_xll.qlIndexFixing("euribor6m",_xll.qlInterestRateIndexFixingDate("Euribor6M",L562),TRUE,AllTriggers)</f>
        <v>2.0041517347760777E-2</v>
      </c>
      <c r="P562" s="543">
        <f>_xll.qlOvernightIndexedSwapFairRate(N562,AllTriggers)</f>
        <v>2.0233011471527052E-2</v>
      </c>
      <c r="Q562" s="545">
        <f t="shared" si="12"/>
        <v>-1.9149412376627539E-4</v>
      </c>
    </row>
    <row r="563" spans="5:17" x14ac:dyDescent="0.2">
      <c r="E563" s="537"/>
      <c r="F563" s="537"/>
      <c r="G563" s="536"/>
      <c r="I563" s="536"/>
      <c r="J563" s="536"/>
      <c r="L563" s="551">
        <f>_xll.qlCalendarAdvance(Calendar,L562,"1M","f",,Trigger)</f>
        <v>59383</v>
      </c>
      <c r="M563" s="542">
        <f>_xll.qlCalendarAdvance(Calendar,L563,"3M","f",,Trigger)</f>
        <v>59475</v>
      </c>
      <c r="N563" s="544" t="str">
        <f>_xll.qlMakeDatedOIS(,L563,M563,OvernightIndex,0,,,,EvaluationDate)</f>
        <v>obj_0060e#0000</v>
      </c>
      <c r="O563" s="543">
        <f>_xll.qlIndexFixing("euribor6m",_xll.qlInterestRateIndexFixingDate("Euribor6M",L563),TRUE,AllTriggers)</f>
        <v>2.0043167592840114E-2</v>
      </c>
      <c r="P563" s="543">
        <f>_xll.qlOvernightIndexedSwapFairRate(N563,AllTriggers)</f>
        <v>2.0233011471527049E-2</v>
      </c>
      <c r="Q563" s="545">
        <f t="shared" si="12"/>
        <v>-1.8984387868693428E-4</v>
      </c>
    </row>
    <row r="564" spans="5:17" x14ac:dyDescent="0.2">
      <c r="E564" s="537"/>
      <c r="F564" s="537"/>
      <c r="G564" s="536"/>
      <c r="I564" s="536"/>
      <c r="J564" s="536"/>
      <c r="L564" s="551">
        <f>_xll.qlCalendarAdvance(Calendar,L563,"1M","f",,Trigger)</f>
        <v>59414</v>
      </c>
      <c r="M564" s="542">
        <f>_xll.qlCalendarAdvance(Calendar,L564,"3M","f",,Trigger)</f>
        <v>59505</v>
      </c>
      <c r="N564" s="544" t="str">
        <f>_xll.qlMakeDatedOIS(,L564,M564,OvernightIndex,0,,,,EvaluationDate)</f>
        <v>obj_0060f#0000</v>
      </c>
      <c r="O564" s="543">
        <f>_xll.qlIndexFixing("euribor6m",_xll.qlInterestRateIndexFixingDate("Euribor6M",L564),TRUE,AllTriggers)</f>
        <v>2.0042858298982991E-2</v>
      </c>
      <c r="P564" s="543">
        <f>_xll.qlOvernightIndexedSwapFairRate(N564,AllTriggers)</f>
        <v>2.0232443883537232E-2</v>
      </c>
      <c r="Q564" s="545">
        <f t="shared" si="12"/>
        <v>-1.8958558455424088E-4</v>
      </c>
    </row>
    <row r="565" spans="5:17" x14ac:dyDescent="0.2">
      <c r="E565" s="537"/>
      <c r="F565" s="537"/>
      <c r="G565" s="536"/>
      <c r="I565" s="536"/>
      <c r="J565" s="536"/>
      <c r="L565" s="551">
        <f>_xll.qlCalendarAdvance(Calendar,L564,"1M","f",,Trigger)</f>
        <v>59446</v>
      </c>
      <c r="M565" s="542">
        <f>_xll.qlCalendarAdvance(Calendar,L565,"3M","f",,Trigger)</f>
        <v>59538</v>
      </c>
      <c r="N565" s="544" t="str">
        <f>_xll.qlMakeDatedOIS(,L565,M565,OvernightIndex,0,,,,EvaluationDate)</f>
        <v>obj_00610#0000</v>
      </c>
      <c r="O565" s="543">
        <f>_xll.qlIndexFixing("euribor6m",_xll.qlInterestRateIndexFixingDate("Euribor6M",L565),TRUE,AllTriggers)</f>
        <v>2.0045370387323291E-2</v>
      </c>
      <c r="P565" s="543">
        <f>_xll.qlOvernightIndexedSwapFairRate(N565,AllTriggers)</f>
        <v>2.0233011471527049E-2</v>
      </c>
      <c r="Q565" s="545">
        <f t="shared" si="12"/>
        <v>-1.8764108420375736E-4</v>
      </c>
    </row>
    <row r="566" spans="5:17" x14ac:dyDescent="0.2">
      <c r="E566" s="537"/>
      <c r="F566" s="537"/>
      <c r="G566" s="536"/>
      <c r="I566" s="536"/>
      <c r="J566" s="536"/>
      <c r="L566" s="551">
        <f>_xll.qlCalendarAdvance(Calendar,L565,"1M","f",,Trigger)</f>
        <v>59477</v>
      </c>
      <c r="M566" s="542">
        <f>_xll.qlCalendarAdvance(Calendar,L566,"3M","f",,Trigger)</f>
        <v>59569</v>
      </c>
      <c r="N566" s="544" t="str">
        <f>_xll.qlMakeDatedOIS(,L566,M566,OvernightIndex,0,,,,EvaluationDate)</f>
        <v>obj_00611#0000</v>
      </c>
      <c r="O566" s="543">
        <f>_xll.qlIndexFixing("euribor6m",_xll.qlInterestRateIndexFixingDate("Euribor6M",L566),TRUE,AllTriggers)</f>
        <v>2.0047048137335939E-2</v>
      </c>
      <c r="P566" s="543">
        <f>_xll.qlOvernightIndexedSwapFairRate(N566,AllTriggers)</f>
        <v>2.023301147152792E-2</v>
      </c>
      <c r="Q566" s="545">
        <f t="shared" si="12"/>
        <v>-1.8596333419198044E-4</v>
      </c>
    </row>
    <row r="567" spans="5:17" x14ac:dyDescent="0.2">
      <c r="E567" s="537"/>
      <c r="F567" s="537"/>
      <c r="G567" s="536"/>
      <c r="I567" s="536"/>
      <c r="J567" s="536"/>
      <c r="L567" s="551">
        <f>_xll.qlCalendarAdvance(Calendar,L566,"1M","f",,Trigger)</f>
        <v>59509</v>
      </c>
      <c r="M567" s="542">
        <f>_xll.qlCalendarAdvance(Calendar,L567,"3M","f",,Trigger)</f>
        <v>59600</v>
      </c>
      <c r="N567" s="544" t="str">
        <f>_xll.qlMakeDatedOIS(,L567,M567,OvernightIndex,0,,,,EvaluationDate)</f>
        <v>obj_00612#0000</v>
      </c>
      <c r="O567" s="543">
        <f>_xll.qlIndexFixing("euribor6m",_xll.qlInterestRateIndexFixingDate("Euribor6M",L567),TRUE,AllTriggers)</f>
        <v>2.0050436306026723E-2</v>
      </c>
      <c r="P567" s="543">
        <f>_xll.qlOvernightIndexedSwapFairRate(N567,AllTriggers)</f>
        <v>2.0232443883536358E-2</v>
      </c>
      <c r="Q567" s="545">
        <f t="shared" si="12"/>
        <v>-1.8200757750963525E-4</v>
      </c>
    </row>
    <row r="568" spans="5:17" x14ac:dyDescent="0.2">
      <c r="E568" s="537"/>
      <c r="F568" s="537"/>
      <c r="G568" s="536"/>
      <c r="I568" s="536"/>
      <c r="J568" s="536"/>
      <c r="L568" s="551">
        <f>_xll.qlCalendarAdvance(Calendar,L567,"1M","f",,Trigger)</f>
        <v>59540</v>
      </c>
      <c r="M568" s="542">
        <f>_xll.qlCalendarAdvance(Calendar,L568,"3M","f",,Trigger)</f>
        <v>59630</v>
      </c>
      <c r="N568" s="544" t="str">
        <f>_xll.qlMakeDatedOIS(,L568,M568,OvernightIndex,0,,,,EvaluationDate)</f>
        <v>obj_00613#0000</v>
      </c>
      <c r="O568" s="543">
        <f>_xll.qlIndexFixing("euribor6m",_xll.qlInterestRateIndexFixingDate("Euribor6M",L568),TRUE,AllTriggers)</f>
        <v>2.0052935682718872E-2</v>
      </c>
      <c r="P568" s="543">
        <f>_xll.qlOvernightIndexedSwapFairRate(N568,AllTriggers)</f>
        <v>2.0231876316767483E-2</v>
      </c>
      <c r="Q568" s="545">
        <f t="shared" si="12"/>
        <v>-1.7894063404861119E-4</v>
      </c>
    </row>
    <row r="569" spans="5:17" x14ac:dyDescent="0.2">
      <c r="E569" s="537"/>
      <c r="F569" s="537"/>
      <c r="G569" s="536"/>
      <c r="I569" s="536"/>
      <c r="J569" s="536"/>
      <c r="L569" s="551">
        <f>_xll.qlCalendarAdvance(Calendar,L568,"1M","f",,Trigger)</f>
        <v>59572</v>
      </c>
      <c r="M569" s="542">
        <f>_xll.qlCalendarAdvance(Calendar,L569,"3M","f",,Trigger)</f>
        <v>59663</v>
      </c>
      <c r="N569" s="544" t="str">
        <f>_xll.qlMakeDatedOIS(,L569,M569,OvernightIndex,0,,,,EvaluationDate)</f>
        <v>obj_00614#0000</v>
      </c>
      <c r="O569" s="543">
        <f>_xll.qlIndexFixing("euribor6m",_xll.qlInterestRateIndexFixingDate("Euribor6M",L569),TRUE,AllTriggers)</f>
        <v>2.0057200033107115E-2</v>
      </c>
      <c r="P569" s="543">
        <f>_xll.qlOvernightIndexedSwapFairRate(N569,AllTriggers)</f>
        <v>2.0232443883537229E-2</v>
      </c>
      <c r="Q569" s="545">
        <f t="shared" si="12"/>
        <v>-1.7524385043011376E-4</v>
      </c>
    </row>
    <row r="570" spans="5:17" x14ac:dyDescent="0.2">
      <c r="E570" s="537"/>
      <c r="F570" s="537"/>
      <c r="G570" s="536"/>
      <c r="I570" s="536"/>
      <c r="J570" s="536"/>
      <c r="L570" s="551">
        <f>_xll.qlCalendarAdvance(Calendar,L569,"1M","f",,Trigger)</f>
        <v>59600</v>
      </c>
      <c r="M570" s="542">
        <f>_xll.qlCalendarAdvance(Calendar,L570,"3M","f",,Trigger)</f>
        <v>59692</v>
      </c>
      <c r="N570" s="544" t="str">
        <f>_xll.qlMakeDatedOIS(,L570,M570,OvernightIndex,0,,,,EvaluationDate)</f>
        <v>obj_00615#0000</v>
      </c>
      <c r="O570" s="543">
        <f>_xll.qlIndexFixing("euribor6m",_xll.qlInterestRateIndexFixingDate("Euribor6M",L570),TRUE,AllTriggers)</f>
        <v>2.0062011356633814E-2</v>
      </c>
      <c r="P570" s="543">
        <f>_xll.qlOvernightIndexedSwapFairRate(N570,AllTriggers)</f>
        <v>2.023301147152792E-2</v>
      </c>
      <c r="Q570" s="545">
        <f t="shared" si="12"/>
        <v>-1.7100011489410566E-4</v>
      </c>
    </row>
    <row r="571" spans="5:17" x14ac:dyDescent="0.2">
      <c r="E571" s="537"/>
      <c r="F571" s="537"/>
      <c r="G571" s="536"/>
      <c r="I571" s="536"/>
      <c r="J571" s="536"/>
      <c r="L571" s="551">
        <f>_xll.qlCalendarAdvance(Calendar,L570,"1M","f",,Trigger)</f>
        <v>59631</v>
      </c>
      <c r="M571" s="542">
        <f>_xll.qlCalendarAdvance(Calendar,L571,"3M","f",,Trigger)</f>
        <v>59722</v>
      </c>
      <c r="N571" s="544" t="str">
        <f>_xll.qlMakeDatedOIS(,L571,M571,OvernightIndex,0,,,,EvaluationDate)</f>
        <v>obj_00616#0000</v>
      </c>
      <c r="O571" s="543">
        <f>_xll.qlIndexFixing("euribor6m",_xll.qlInterestRateIndexFixingDate("Euribor6M",L571),TRUE,AllTriggers)</f>
        <v>2.0065710773228367E-2</v>
      </c>
      <c r="P571" s="543">
        <f>_xll.qlOvernightIndexedSwapFairRate(N571,AllTriggers)</f>
        <v>2.0232443883537232E-2</v>
      </c>
      <c r="Q571" s="545">
        <f t="shared" si="12"/>
        <v>-1.6673311030886498E-4</v>
      </c>
    </row>
    <row r="572" spans="5:17" x14ac:dyDescent="0.2">
      <c r="E572" s="537"/>
      <c r="F572" s="537"/>
      <c r="G572" s="536"/>
      <c r="I572" s="536"/>
      <c r="J572" s="536"/>
      <c r="L572" s="551">
        <f>_xll.qlCalendarAdvance(Calendar,L571,"1M","f",,Trigger)</f>
        <v>59663</v>
      </c>
      <c r="M572" s="542">
        <f>_xll.qlCalendarAdvance(Calendar,L572,"3M","f",,Trigger)</f>
        <v>59755</v>
      </c>
      <c r="N572" s="544" t="str">
        <f>_xll.qlMakeDatedOIS(,L572,M572,OvernightIndex,0,,,,EvaluationDate)</f>
        <v>obj_00617#0000</v>
      </c>
      <c r="O572" s="543">
        <f>_xll.qlIndexFixing("euribor6m",_xll.qlInterestRateIndexFixingDate("Euribor6M",L572),TRUE,AllTriggers)</f>
        <v>2.0071255480401142E-2</v>
      </c>
      <c r="P572" s="543">
        <f>_xll.qlOvernightIndexedSwapFairRate(N572,AllTriggers)</f>
        <v>2.0233011471527049E-2</v>
      </c>
      <c r="Q572" s="545">
        <f t="shared" si="12"/>
        <v>-1.6175599112590658E-4</v>
      </c>
    </row>
    <row r="573" spans="5:17" x14ac:dyDescent="0.2">
      <c r="E573" s="537"/>
      <c r="F573" s="537"/>
      <c r="G573" s="536"/>
      <c r="I573" s="536"/>
      <c r="J573" s="536"/>
      <c r="L573" s="551">
        <f>_xll.qlCalendarAdvance(Calendar,L572,"1M","f",,Trigger)</f>
        <v>59694</v>
      </c>
      <c r="M573" s="542">
        <f>_xll.qlCalendarAdvance(Calendar,L573,"3M","f",,Trigger)</f>
        <v>59786</v>
      </c>
      <c r="N573" s="544" t="str">
        <f>_xll.qlMakeDatedOIS(,L573,M573,OvernightIndex,0,,,,EvaluationDate)</f>
        <v>obj_00618#0000</v>
      </c>
      <c r="O573" s="543">
        <f>_xll.qlIndexFixing("euribor6m",_xll.qlInterestRateIndexFixingDate("Euribor6M",L573),TRUE,AllTriggers)</f>
        <v>2.0075776405988444E-2</v>
      </c>
      <c r="P573" s="543">
        <f>_xll.qlOvernightIndexedSwapFairRate(N573,AllTriggers)</f>
        <v>2.0233011471527045E-2</v>
      </c>
      <c r="Q573" s="545">
        <f t="shared" si="12"/>
        <v>-1.5723506553860095E-4</v>
      </c>
    </row>
    <row r="574" spans="5:17" x14ac:dyDescent="0.2">
      <c r="E574" s="537"/>
      <c r="F574" s="537"/>
      <c r="G574" s="536"/>
      <c r="I574" s="536"/>
      <c r="J574" s="536"/>
      <c r="L574" s="551">
        <f>_xll.qlCalendarAdvance(Calendar,L573,"1M","f",,Trigger)</f>
        <v>59726</v>
      </c>
      <c r="M574" s="542">
        <f>_xll.qlCalendarAdvance(Calendar,L574,"3M","f",,Trigger)</f>
        <v>59818</v>
      </c>
      <c r="N574" s="544" t="str">
        <f>_xll.qlMakeDatedOIS(,L574,M574,OvernightIndex,0,,,,EvaluationDate)</f>
        <v>obj_00619#0000</v>
      </c>
      <c r="O574" s="543">
        <f>_xll.qlIndexFixing("euribor6m",_xll.qlInterestRateIndexFixingDate("Euribor6M",L574),TRUE,AllTriggers)</f>
        <v>2.0082197651684983E-2</v>
      </c>
      <c r="P574" s="543">
        <f>_xll.qlOvernightIndexedSwapFairRate(N574,AllTriggers)</f>
        <v>2.0233011471527049E-2</v>
      </c>
      <c r="Q574" s="545">
        <f t="shared" si="12"/>
        <v>-1.5081381984206541E-4</v>
      </c>
    </row>
    <row r="575" spans="5:17" x14ac:dyDescent="0.2">
      <c r="E575" s="537"/>
      <c r="F575" s="537"/>
      <c r="G575" s="536"/>
      <c r="I575" s="536"/>
      <c r="J575" s="536"/>
      <c r="L575" s="551">
        <f>_xll.qlCalendarAdvance(Calendar,L574,"1M","f",,Trigger)</f>
        <v>59757</v>
      </c>
      <c r="M575" s="542">
        <f>_xll.qlCalendarAdvance(Calendar,L575,"3M","f",,Trigger)</f>
        <v>59849</v>
      </c>
      <c r="N575" s="544" t="str">
        <f>_xll.qlMakeDatedOIS(,L575,M575,OvernightIndex,0,,,,EvaluationDate)</f>
        <v>obj_0061a#0000</v>
      </c>
      <c r="O575" s="543">
        <f>_xll.qlIndexFixing("euribor6m",_xll.qlInterestRateIndexFixingDate("Euribor6M",L575),TRUE,AllTriggers)</f>
        <v>2.0089536259421219E-2</v>
      </c>
      <c r="P575" s="543">
        <f>_xll.qlOvernightIndexedSwapFairRate(N575,AllTriggers)</f>
        <v>2.0233011471527045E-2</v>
      </c>
      <c r="Q575" s="545">
        <f t="shared" si="12"/>
        <v>-1.4347521210582651E-4</v>
      </c>
    </row>
    <row r="576" spans="5:17" x14ac:dyDescent="0.2">
      <c r="E576" s="537"/>
      <c r="F576" s="537"/>
      <c r="G576" s="536"/>
      <c r="I576" s="536"/>
      <c r="J576" s="536"/>
      <c r="L576" s="551">
        <f>_xll.qlCalendarAdvance(Calendar,L575,"1M","f",,Trigger)</f>
        <v>59789</v>
      </c>
      <c r="M576" s="542">
        <f>_xll.qlCalendarAdvance(Calendar,L576,"3M","f",,Trigger)</f>
        <v>59880</v>
      </c>
      <c r="N576" s="544" t="str">
        <f>_xll.qlMakeDatedOIS(,L576,M576,OvernightIndex,0,,,,EvaluationDate)</f>
        <v>obj_0061b#0000</v>
      </c>
      <c r="O576" s="543">
        <f>_xll.qlIndexFixing("euribor6m",_xll.qlInterestRateIndexFixingDate("Euribor6M",L576),TRUE,AllTriggers)</f>
        <v>2.0093493161822639E-2</v>
      </c>
      <c r="P576" s="543">
        <f>_xll.qlOvernightIndexedSwapFairRate(N576,AllTriggers)</f>
        <v>2.0232443883537229E-2</v>
      </c>
      <c r="Q576" s="545">
        <f t="shared" si="12"/>
        <v>-1.3895072171458966E-4</v>
      </c>
    </row>
    <row r="577" spans="5:17" x14ac:dyDescent="0.2">
      <c r="E577" s="537"/>
      <c r="F577" s="537"/>
      <c r="G577" s="536"/>
      <c r="I577" s="536"/>
      <c r="J577" s="536"/>
      <c r="L577" s="551">
        <f>_xll.qlCalendarAdvance(Calendar,L576,"1M","f",,Trigger)</f>
        <v>59819</v>
      </c>
      <c r="M577" s="542">
        <f>_xll.qlCalendarAdvance(Calendar,L577,"3M","f",,Trigger)</f>
        <v>59911</v>
      </c>
      <c r="N577" s="544" t="str">
        <f>_xll.qlMakeDatedOIS(,L577,M577,OvernightIndex,0,,,,EvaluationDate)</f>
        <v>obj_0061c#0000</v>
      </c>
      <c r="O577" s="543">
        <f>_xll.qlIndexFixing("euribor6m",_xll.qlInterestRateIndexFixingDate("Euribor6M",L577),TRUE,AllTriggers)</f>
        <v>2.0100774661351878E-2</v>
      </c>
      <c r="P577" s="543">
        <f>_xll.qlOvernightIndexedSwapFairRate(N577,AllTriggers)</f>
        <v>2.0233011471527045E-2</v>
      </c>
      <c r="Q577" s="545">
        <f t="shared" si="12"/>
        <v>-1.3223681017516739E-4</v>
      </c>
    </row>
    <row r="578" spans="5:17" x14ac:dyDescent="0.2">
      <c r="L578" s="551">
        <f>_xll.qlCalendarAdvance(Calendar,L577,"1M","f",,Trigger)</f>
        <v>59852</v>
      </c>
      <c r="M578" s="542">
        <f>_xll.qlCalendarAdvance(Calendar,L578,"3M","f",,Trigger)</f>
        <v>59944</v>
      </c>
      <c r="N578" s="544" t="str">
        <f>_xll.qlMakeDatedOIS(,L578,M578,OvernightIndex,0,,,,EvaluationDate)</f>
        <v>obj_0061d#0000</v>
      </c>
      <c r="O578" s="543">
        <f>_xll.qlIndexFixing("euribor6m",_xll.qlInterestRateIndexFixingDate("Euribor6M",L578),TRUE,AllTriggers)</f>
        <v>2.0107802972642006E-2</v>
      </c>
      <c r="P578" s="543">
        <f>_xll.qlOvernightIndexedSwapFairRate(N578,AllTriggers)</f>
        <v>2.0233011471527049E-2</v>
      </c>
      <c r="Q578" s="545">
        <f t="shared" si="12"/>
        <v>-1.2520849888504257E-4</v>
      </c>
    </row>
    <row r="579" spans="5:17" x14ac:dyDescent="0.2">
      <c r="L579" s="551">
        <f>_xll.qlCalendarAdvance(Calendar,L578,"1M","f",,Trigger)</f>
        <v>59882</v>
      </c>
      <c r="M579" s="542">
        <f>_xll.qlCalendarAdvance(Calendar,L579,"3M","f",,Trigger)</f>
        <v>59973</v>
      </c>
      <c r="N579" s="544" t="str">
        <f>_xll.qlMakeDatedOIS(,L579,M579,OvernightIndex,0,,,,EvaluationDate)</f>
        <v>obj_0061e#0000</v>
      </c>
      <c r="O579" s="543">
        <f>_xll.qlIndexFixing("euribor6m",_xll.qlInterestRateIndexFixingDate("Euribor6M",L579),TRUE,AllTriggers)</f>
        <v>2.011590733398904E-2</v>
      </c>
      <c r="P579" s="543">
        <f>_xll.qlOvernightIndexedSwapFairRate(N579,AllTriggers)</f>
        <v>2.0232443883537232E-2</v>
      </c>
      <c r="Q579" s="545">
        <f t="shared" ref="Q579:Q585" si="13">O579-P579</f>
        <v>-1.1653654954819209E-4</v>
      </c>
    </row>
    <row r="580" spans="5:17" x14ac:dyDescent="0.2">
      <c r="L580" s="551">
        <f>_xll.qlCalendarAdvance(Calendar,L579,"1M","f",,Trigger)</f>
        <v>59915</v>
      </c>
      <c r="M580" s="542">
        <f>_xll.qlCalendarAdvance(Calendar,L580,"3M","f",,Trigger)</f>
        <v>60006</v>
      </c>
      <c r="N580" s="544" t="str">
        <f>_xll.qlMakeDatedOIS(,L580,M580,OvernightIndex,0,,,,EvaluationDate)</f>
        <v>obj_0061f#0000</v>
      </c>
      <c r="O580" s="543">
        <f>_xll.qlIndexFixing("euribor6m",_xll.qlInterestRateIndexFixingDate("Euribor6M",L580),TRUE,AllTriggers)</f>
        <v>2.0123810738077844E-2</v>
      </c>
      <c r="P580" s="543">
        <f>_xll.qlOvernightIndexedSwapFairRate(N580,AllTriggers)</f>
        <v>2.0232443883536354E-2</v>
      </c>
      <c r="Q580" s="545">
        <f t="shared" si="13"/>
        <v>-1.0863314545851016E-4</v>
      </c>
    </row>
    <row r="581" spans="5:17" ht="12" thickBot="1" x14ac:dyDescent="0.25">
      <c r="L581" s="552">
        <f>_xll.qlCalendarAdvance(Calendar,L580,"1M","f",,Trigger)</f>
        <v>59946</v>
      </c>
      <c r="M581" s="547">
        <f>_xll.qlCalendarAdvance(Calendar,L581,"3M","f",,Trigger)</f>
        <v>60036</v>
      </c>
      <c r="N581" s="544" t="str">
        <f>_xll.qlMakeDatedOIS(,L581,M581,OvernightIndex,0,,,,EvaluationDate)</f>
        <v>obj_00620#0000</v>
      </c>
      <c r="O581" s="543">
        <f>_xll.qlIndexFixing("euribor6m",_xll.qlInterestRateIndexFixingDate("Euribor6M",L581),TRUE,AllTriggers)</f>
        <v>2.0132310897939536E-2</v>
      </c>
      <c r="P581" s="548">
        <f>_xll.qlOvernightIndexedSwapFairRate(N581,AllTriggers)</f>
        <v>2.023187631676748E-2</v>
      </c>
      <c r="Q581" s="550">
        <f t="shared" si="13"/>
        <v>-9.9565418827943925E-5</v>
      </c>
    </row>
    <row r="582" spans="5:17" x14ac:dyDescent="0.2">
      <c r="L582">
        <f>_xll.qlCalendarAdvance(Calendar,L581,"1M","f",,Trigger)</f>
        <v>59975</v>
      </c>
      <c r="M582">
        <f>_xll.qlCalendarAdvance(Calendar,L582,"3M","f",,Trigger)</f>
        <v>60069</v>
      </c>
      <c r="N582" s="544" t="str">
        <f>_xll.qlMakeDatedOIS(,L582,M582,OvernightIndex,0,,,,EvaluationDate)</f>
        <v>obj_00621#0000</v>
      </c>
      <c r="O582" s="543">
        <f>_xll.qlIndexFixing("euribor6m",_xll.qlInterestRateIndexFixingDate("Euribor6M",L582),TRUE,AllTriggers)</f>
        <v>2.0142779009055683E-2</v>
      </c>
      <c r="P582">
        <f>_xll.qlOvernightIndexedSwapFairRate(N582,AllTriggers)</f>
        <v>2.0234146711174055E-2</v>
      </c>
      <c r="Q582">
        <f t="shared" si="13"/>
        <v>-9.1367702118372307E-5</v>
      </c>
    </row>
    <row r="583" spans="5:17" x14ac:dyDescent="0.2">
      <c r="L583">
        <f>_xll.qlCalendarAdvance(Calendar,L582,"1M","f",,Trigger)</f>
        <v>60006</v>
      </c>
      <c r="M583">
        <f>_xll.qlCalendarAdvance(Calendar,L583,"3M","f",,Trigger)</f>
        <v>60097</v>
      </c>
      <c r="N583" s="544" t="str">
        <f>_xll.qlMakeDatedOIS(,L583,M583,OvernightIndex,0,,,,EvaluationDate)</f>
        <v>obj_00622#0000</v>
      </c>
      <c r="O583" s="543">
        <f>_xll.qlIndexFixing("euribor6m",_xll.qlInterestRateIndexFixingDate("Euribor6M",L583),TRUE,AllTriggers)</f>
        <v>2.0150624630796903E-2</v>
      </c>
      <c r="P583">
        <f>_xll.qlOvernightIndexedSwapFairRate(N583,AllTriggers)</f>
        <v>2.0232443883537232E-2</v>
      </c>
      <c r="Q583">
        <f t="shared" si="13"/>
        <v>-8.1819252740329002E-5</v>
      </c>
    </row>
    <row r="584" spans="5:17" x14ac:dyDescent="0.2">
      <c r="L584">
        <f>_xll.qlCalendarAdvance(Calendar,L583,"1M","f",,Trigger)</f>
        <v>60036</v>
      </c>
      <c r="M584">
        <f>_xll.qlCalendarAdvance(Calendar,L584,"3M","f",,Trigger)</f>
        <v>60128</v>
      </c>
      <c r="N584" s="544" t="str">
        <f>_xll.qlMakeDatedOIS(,L584,M584,OvernightIndex,0,,,,EvaluationDate)</f>
        <v>obj_00623#0000</v>
      </c>
      <c r="O584" s="543">
        <f>_xll.qlIndexFixing("euribor6m",_xll.qlInterestRateIndexFixingDate("Euribor6M",L584),TRUE,AllTriggers)</f>
        <v>2.0160615092889845E-2</v>
      </c>
      <c r="P584">
        <f>_xll.qlOvernightIndexedSwapFairRate(N584,AllTriggers)</f>
        <v>2.0233011471527045E-2</v>
      </c>
      <c r="Q584">
        <f t="shared" si="13"/>
        <v>-7.2396378637200332E-5</v>
      </c>
    </row>
    <row r="585" spans="5:17" x14ac:dyDescent="0.2">
      <c r="L585">
        <f>_xll.qlCalendarAdvance(Calendar,L584,"1M","f",,Trigger)</f>
        <v>60069</v>
      </c>
      <c r="M585">
        <f>_xll.qlCalendarAdvance(Calendar,L585,"3M","f",,Trigger)</f>
        <v>60161</v>
      </c>
      <c r="N585" s="544" t="str">
        <f>_xll.qlMakeDatedOIS(,L585,M585,OvernightIndex,0,,,,EvaluationDate)</f>
        <v>obj_00624#0000</v>
      </c>
      <c r="O585" s="543">
        <f>_xll.qlIndexFixing("euribor6m",_xll.qlInterestRateIndexFixingDate("Euribor6M",L585),TRUE,AllTriggers)</f>
        <v>2.0170325118129735E-2</v>
      </c>
      <c r="P585">
        <f>_xll.qlOvernightIndexedSwapFairRate(N585,AllTriggers)</f>
        <v>2.0246786608406037E-2</v>
      </c>
      <c r="Q585">
        <f t="shared" si="13"/>
        <v>-7.6461490276302085E-5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58</vt:i4>
      </vt:variant>
    </vt:vector>
  </HeadingPairs>
  <TitlesOfParts>
    <vt:vector size="68" baseType="lpstr">
      <vt:lpstr>General Settings</vt:lpstr>
      <vt:lpstr>SynthDepo</vt:lpstr>
      <vt:lpstr>RateHelpersFra</vt:lpstr>
      <vt:lpstr>Contribution</vt:lpstr>
      <vt:lpstr>SynthFra</vt:lpstr>
      <vt:lpstr>FRACharts</vt:lpstr>
      <vt:lpstr>3M Depo Charts</vt:lpstr>
      <vt:lpstr>6M Depo Charts</vt:lpstr>
      <vt:lpstr>basis 3M</vt:lpstr>
      <vt:lpstr>basis 6M 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'6M Depo Charts'!DayCounter3M</vt:lpstr>
      <vt:lpstr>DayCounter3M</vt:lpstr>
      <vt:lpstr>'6M Depo Charts'!DayCounterOIS</vt:lpstr>
      <vt:lpstr>DayCounterOIS</vt:lpstr>
      <vt:lpstr>'6M Depo Charts'!DayCounterON</vt:lpstr>
      <vt:lpstr>DayCounterON</vt:lpstr>
      <vt:lpstr>Discounting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2014-09-03T13:22:03Z</dcterms:modified>
</cp:coreProperties>
</file>