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2035" windowHeight="12075"/>
  </bookViews>
  <sheets>
    <sheet name="NPV" sheetId="1" r:id="rId1"/>
    <sheet name="Calibration_HW" sheetId="2" r:id="rId2"/>
  </sheets>
  <definedNames>
    <definedName name="Trigger" localSheetId="0">NPV!$C$4</definedName>
  </definedNames>
  <calcPr calcId="145621"/>
</workbook>
</file>

<file path=xl/calcChain.xml><?xml version="1.0" encoding="utf-8"?>
<calcChain xmlns="http://schemas.openxmlformats.org/spreadsheetml/2006/main">
  <c r="L7" i="2" l="1"/>
  <c r="L6" i="2"/>
  <c r="L5" i="2"/>
  <c r="L4" i="2"/>
  <c r="L3" i="2"/>
  <c r="H7" i="2"/>
  <c r="I7" i="2" s="1"/>
  <c r="J7" i="2" s="1"/>
  <c r="H6" i="2"/>
  <c r="I6" i="2" s="1"/>
  <c r="J6" i="2" s="1"/>
  <c r="H5" i="2"/>
  <c r="M5" i="2" s="1"/>
  <c r="H4" i="2"/>
  <c r="M4" i="2" s="1"/>
  <c r="H3" i="2"/>
  <c r="M3" i="2" s="1"/>
  <c r="P4" i="2"/>
  <c r="B3" i="2"/>
  <c r="O6" i="2"/>
  <c r="C26" i="1"/>
  <c r="O5" i="2"/>
  <c r="C20" i="1"/>
  <c r="O3" i="2"/>
  <c r="P5" i="2"/>
  <c r="N4" i="2"/>
  <c r="K4" i="2"/>
  <c r="C21" i="1"/>
  <c r="P6" i="2"/>
  <c r="K6" i="2"/>
  <c r="K5" i="2"/>
  <c r="C10" i="1"/>
  <c r="C11" i="1"/>
  <c r="B1" i="2"/>
  <c r="N6" i="2"/>
  <c r="C22" i="1"/>
  <c r="N7" i="2"/>
  <c r="P3" i="2"/>
  <c r="K7" i="2"/>
  <c r="O7" i="2"/>
  <c r="C24" i="1"/>
  <c r="P7" i="2"/>
  <c r="C27" i="1"/>
  <c r="C28" i="1"/>
  <c r="B2" i="2"/>
  <c r="D26" i="1" a="1"/>
  <c r="N3" i="2"/>
  <c r="C25" i="1"/>
  <c r="C29" i="1"/>
  <c r="N5" i="2"/>
  <c r="K3" i="2"/>
  <c r="C8" i="1"/>
  <c r="O4" i="2"/>
  <c r="C23" i="1"/>
  <c r="D30" i="1" l="1"/>
  <c r="D31" i="1"/>
  <c r="D27" i="1"/>
  <c r="D26" i="1"/>
  <c r="D28" i="1"/>
  <c r="D29" i="1"/>
  <c r="I3" i="2"/>
  <c r="J3" i="2" s="1"/>
  <c r="I4" i="2"/>
  <c r="J4" i="2" s="1"/>
  <c r="M6" i="2"/>
  <c r="M7" i="2"/>
  <c r="I5" i="2"/>
  <c r="J5" i="2" s="1"/>
  <c r="C2" i="1"/>
  <c r="C32" i="1"/>
  <c r="C12" i="1"/>
  <c r="C30" i="1" l="1"/>
  <c r="C33" i="1"/>
  <c r="C35" i="1"/>
  <c r="C31" i="1" l="1"/>
  <c r="Q6" i="2"/>
  <c r="C39" i="1"/>
  <c r="C37" i="1"/>
  <c r="R4" i="2"/>
  <c r="Q7" i="2"/>
  <c r="C38" i="1"/>
  <c r="R3" i="2"/>
  <c r="R7" i="2"/>
  <c r="Q4" i="2"/>
  <c r="B4" i="2"/>
  <c r="R6" i="2"/>
  <c r="Q3" i="2"/>
  <c r="Q5" i="2"/>
  <c r="R5" i="2"/>
  <c r="C34" i="1"/>
  <c r="C36" i="1"/>
  <c r="S7" i="2" l="1"/>
  <c r="S3" i="2"/>
  <c r="S6" i="2"/>
  <c r="S5" i="2"/>
  <c r="S4" i="2"/>
</calcChain>
</file>

<file path=xl/sharedStrings.xml><?xml version="1.0" encoding="utf-8"?>
<sst xmlns="http://schemas.openxmlformats.org/spreadsheetml/2006/main" count="65" uniqueCount="63">
  <si>
    <t>today's date</t>
  </si>
  <si>
    <t>calendar</t>
  </si>
  <si>
    <t>TARGET</t>
  </si>
  <si>
    <t>settlement date</t>
  </si>
  <si>
    <t>set evaluation date</t>
  </si>
  <si>
    <t>flatRate</t>
  </si>
  <si>
    <t>rhTermStructure</t>
  </si>
  <si>
    <t>fixedLegFrequency</t>
  </si>
  <si>
    <t>Annual</t>
  </si>
  <si>
    <t>fixedLegConvention</t>
  </si>
  <si>
    <t>Unadjusted</t>
  </si>
  <si>
    <t>floatingLegConvention</t>
  </si>
  <si>
    <t>fixedLegDayCounter</t>
  </si>
  <si>
    <t>floatingLegFrequency</t>
  </si>
  <si>
    <t>Semiannual</t>
  </si>
  <si>
    <t>type</t>
  </si>
  <si>
    <t>Payer</t>
  </si>
  <si>
    <t>dummyFixedRate</t>
  </si>
  <si>
    <t>indexSixMonths</t>
  </si>
  <si>
    <t>startDate</t>
  </si>
  <si>
    <t>Modified Following</t>
  </si>
  <si>
    <t>maturity</t>
  </si>
  <si>
    <t>fixedSchedule</t>
  </si>
  <si>
    <t>floatSchedule</t>
  </si>
  <si>
    <t>swap</t>
  </si>
  <si>
    <t>indexSixMonths-&gt;dayCounter()</t>
  </si>
  <si>
    <t>30/360 (Eurobond Basis)</t>
  </si>
  <si>
    <t>pricing engine</t>
  </si>
  <si>
    <t>setPricingEngine</t>
  </si>
  <si>
    <t>fixedATMRate</t>
  </si>
  <si>
    <t>fixedOTMRate</t>
  </si>
  <si>
    <t>fixedITMRate</t>
  </si>
  <si>
    <t>atmSwap</t>
  </si>
  <si>
    <t>otmSwap</t>
  </si>
  <si>
    <t>itmSwap</t>
  </si>
  <si>
    <t>i</t>
  </si>
  <si>
    <t>j</t>
  </si>
  <si>
    <t>k</t>
  </si>
  <si>
    <t>vol</t>
  </si>
  <si>
    <t>ql version</t>
  </si>
  <si>
    <t>swaptions</t>
  </si>
  <si>
    <t>modelHW</t>
  </si>
  <si>
    <t>set</t>
  </si>
  <si>
    <t>om</t>
  </si>
  <si>
    <t>EndCriteria</t>
  </si>
  <si>
    <t>calibrate</t>
  </si>
  <si>
    <t>npv</t>
  </si>
  <si>
    <t>swaption</t>
  </si>
  <si>
    <t>vols</t>
  </si>
  <si>
    <t>maturities</t>
  </si>
  <si>
    <t>period</t>
  </si>
  <si>
    <t>implied</t>
  </si>
  <si>
    <t>quote</t>
  </si>
  <si>
    <t>engines</t>
  </si>
  <si>
    <t>diff</t>
  </si>
  <si>
    <t>bermudanExercise</t>
  </si>
  <si>
    <t>accrual</t>
  </si>
  <si>
    <t>start</t>
  </si>
  <si>
    <t>dates</t>
  </si>
  <si>
    <t>engine</t>
  </si>
  <si>
    <t>set pricing engine</t>
  </si>
  <si>
    <t>NPV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</si>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</sst>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dd\-mmm\-yyyy"/>
    <numFmt numFmtId="165" formatCode="_(* #,##0.0000_);_(* \(#,##0.0000\);_(* &quot;-&quot;??_);_(@_)"/>
    <numFmt numFmtId="166" formatCode="_(* #,##0.0000000_);_(* \(#,##0.0000000\);_(* &quot;-&quot;??_);_(@_)"/>
    <numFmt numFmtId="167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43" fontId="0" fillId="0" borderId="0" xfId="1" applyFont="1"/>
    <xf numFmtId="165" fontId="0" fillId="0" borderId="0" xfId="1" applyNumberFormat="1" applyFont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166" fontId="0" fillId="0" borderId="0" xfId="1" applyNumberFormat="1" applyFont="1"/>
    <xf numFmtId="166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39"/>
  <sheetViews>
    <sheetView tabSelected="1" workbookViewId="0"/>
  </sheetViews>
  <sheetFormatPr defaultRowHeight="15" x14ac:dyDescent="0.25"/>
  <cols>
    <col min="2" max="2" width="29.28515625" bestFit="1" customWidth="1"/>
    <col min="3" max="3" width="22.7109375" customWidth="1"/>
    <col min="4" max="4" width="11.7109375" bestFit="1" customWidth="1"/>
  </cols>
  <sheetData>
    <row r="2" spans="2:3" x14ac:dyDescent="0.25">
      <c r="B2" t="s">
        <v>39</v>
      </c>
      <c r="C2" t="e">
        <f ca="1">_xll.qlVersion()</f>
        <v>#NAME?</v>
      </c>
    </row>
    <row r="4" spans="2:3" x14ac:dyDescent="0.25">
      <c r="B4" t="s">
        <v>62</v>
      </c>
      <c r="C4" s="1">
        <v>42309.589004629626</v>
      </c>
    </row>
    <row r="5" spans="2:3" x14ac:dyDescent="0.25">
      <c r="B5" t="s">
        <v>0</v>
      </c>
      <c r="C5" s="1">
        <v>37302</v>
      </c>
    </row>
    <row r="6" spans="2:3" x14ac:dyDescent="0.25">
      <c r="B6" t="s">
        <v>1</v>
      </c>
      <c r="C6" t="s">
        <v>2</v>
      </c>
    </row>
    <row r="7" spans="2:3" x14ac:dyDescent="0.25">
      <c r="B7" t="s">
        <v>3</v>
      </c>
      <c r="C7" s="1">
        <v>37306</v>
      </c>
    </row>
    <row r="8" spans="2:3" x14ac:dyDescent="0.25">
      <c r="B8" t="s">
        <v>4</v>
      </c>
      <c r="C8" s="4" t="e">
        <f ca="1">_xll.qlSettingsSetEvaluationDate(C5,Trigger)</f>
        <v>#NAME?</v>
      </c>
    </row>
    <row r="9" spans="2:3" x14ac:dyDescent="0.25">
      <c r="C9" s="4">
        <v>4.8758250000000003E-2</v>
      </c>
    </row>
    <row r="10" spans="2:3" x14ac:dyDescent="0.25">
      <c r="B10" t="s">
        <v>5</v>
      </c>
      <c r="C10" t="e">
        <f ca="1">_xll.qlSimpleQuote(B10,C9,,C8)</f>
        <v>#NAME?</v>
      </c>
    </row>
    <row r="11" spans="2:3" x14ac:dyDescent="0.25">
      <c r="C11" t="e">
        <f ca="1">_xll.qlFlatForward(,C7,C9,"Actual/365 (Fixed)")</f>
        <v>#NAME?</v>
      </c>
    </row>
    <row r="12" spans="2:3" x14ac:dyDescent="0.25">
      <c r="B12" t="s">
        <v>6</v>
      </c>
      <c r="C12" t="e">
        <f ca="1">_xll.qlRelinkableHandleYieldTermStructure(B12,C11)</f>
        <v>#NAME?</v>
      </c>
    </row>
    <row r="13" spans="2:3" x14ac:dyDescent="0.25">
      <c r="B13" t="s">
        <v>7</v>
      </c>
      <c r="C13" t="s">
        <v>8</v>
      </c>
    </row>
    <row r="14" spans="2:3" x14ac:dyDescent="0.25">
      <c r="B14" t="s">
        <v>9</v>
      </c>
      <c r="C14" t="s">
        <v>10</v>
      </c>
    </row>
    <row r="15" spans="2:3" x14ac:dyDescent="0.25">
      <c r="B15" t="s">
        <v>11</v>
      </c>
      <c r="C15" t="s">
        <v>20</v>
      </c>
    </row>
    <row r="16" spans="2:3" x14ac:dyDescent="0.25">
      <c r="B16" t="s">
        <v>12</v>
      </c>
      <c r="C16" t="s">
        <v>26</v>
      </c>
    </row>
    <row r="17" spans="2:4" x14ac:dyDescent="0.25">
      <c r="B17" t="s">
        <v>13</v>
      </c>
      <c r="C17" t="s">
        <v>14</v>
      </c>
    </row>
    <row r="18" spans="2:4" x14ac:dyDescent="0.25">
      <c r="B18" t="s">
        <v>15</v>
      </c>
      <c r="C18" t="s">
        <v>16</v>
      </c>
    </row>
    <row r="19" spans="2:4" x14ac:dyDescent="0.25">
      <c r="B19" t="s">
        <v>17</v>
      </c>
      <c r="C19" s="2">
        <v>0.03</v>
      </c>
    </row>
    <row r="20" spans="2:4" x14ac:dyDescent="0.25">
      <c r="B20" t="s">
        <v>18</v>
      </c>
      <c r="C20" t="e">
        <f ca="1">_xll.qlEuribor(B20,"6M",C12)</f>
        <v>#NAME?</v>
      </c>
    </row>
    <row r="21" spans="2:4" x14ac:dyDescent="0.25">
      <c r="B21" t="s">
        <v>25</v>
      </c>
      <c r="C21" t="e">
        <f ca="1">_xll.qlInterestRateIndexDayCounter(C20)</f>
        <v>#NAME?</v>
      </c>
    </row>
    <row r="22" spans="2:4" x14ac:dyDescent="0.25">
      <c r="B22" t="s">
        <v>19</v>
      </c>
      <c r="C22" s="1" t="e">
        <f ca="1">_xll.qlCalendarAdvance(C6,C7,"1Y",C15,,C8)</f>
        <v>#NAME?</v>
      </c>
    </row>
    <row r="23" spans="2:4" x14ac:dyDescent="0.25">
      <c r="B23" t="s">
        <v>21</v>
      </c>
      <c r="C23" s="1" t="e">
        <f ca="1">_xll.qlCalendarAdvance(C6,C22,"5Y",C15)</f>
        <v>#NAME?</v>
      </c>
      <c r="D23" t="s">
        <v>56</v>
      </c>
    </row>
    <row r="24" spans="2:4" x14ac:dyDescent="0.25">
      <c r="B24" t="s">
        <v>22</v>
      </c>
      <c r="C24" t="e">
        <f ca="1">_xll.qlSchedule(B24,C22,C23,"1Y",C6,C14,C14,"Forward")</f>
        <v>#NAME?</v>
      </c>
      <c r="D24" t="s">
        <v>57</v>
      </c>
    </row>
    <row r="25" spans="2:4" x14ac:dyDescent="0.25">
      <c r="B25" t="s">
        <v>23</v>
      </c>
      <c r="C25" t="e">
        <f ca="1">_xll.qlSchedule(B25,C22,C23,"6M",C6,C15,C15,"Forward")</f>
        <v>#NAME?</v>
      </c>
      <c r="D25" t="s">
        <v>58</v>
      </c>
    </row>
    <row r="26" spans="2:4" x14ac:dyDescent="0.25">
      <c r="B26" t="s">
        <v>24</v>
      </c>
      <c r="C26" t="e">
        <f ca="1">_xll.qlVanillaSwap(B26,C18,1000,C24,C19,C16,C25,C20,0,C21)</f>
        <v>#NAME?</v>
      </c>
      <c r="D26" s="1" t="e">
        <f t="array" aca="1" ref="D26:D31" ca="1">_xll.qlTemp1(C26)</f>
        <v>#NAME?</v>
      </c>
    </row>
    <row r="27" spans="2:4" x14ac:dyDescent="0.25">
      <c r="B27" t="s">
        <v>27</v>
      </c>
      <c r="C27" t="e">
        <f ca="1">_xll.qlDiscountingSwapEngine(,C12,,,,,C26)</f>
        <v>#NAME?</v>
      </c>
      <c r="D27" s="1" t="e">
        <f ca="1"/>
        <v>#NAME?</v>
      </c>
    </row>
    <row r="28" spans="2:4" x14ac:dyDescent="0.25">
      <c r="B28" t="s">
        <v>28</v>
      </c>
      <c r="C28" t="e">
        <f ca="1">_xll.qlInstrumentSetPricingEngine(C26,C27)</f>
        <v>#NAME?</v>
      </c>
      <c r="D28" s="1" t="e">
        <f ca="1"/>
        <v>#NAME?</v>
      </c>
    </row>
    <row r="29" spans="2:4" x14ac:dyDescent="0.25">
      <c r="B29" t="s">
        <v>29</v>
      </c>
      <c r="C29" t="e">
        <f ca="1">_xll.qlVanillaSwapFairRate(C26,C28)</f>
        <v>#NAME?</v>
      </c>
      <c r="D29" s="1" t="e">
        <f ca="1"/>
        <v>#NAME?</v>
      </c>
    </row>
    <row r="30" spans="2:4" x14ac:dyDescent="0.25">
      <c r="B30" t="s">
        <v>30</v>
      </c>
      <c r="C30" t="e">
        <f ca="1">C29*1.2</f>
        <v>#NAME?</v>
      </c>
      <c r="D30" s="1" t="e">
        <f ca="1"/>
        <v>#NAME?</v>
      </c>
    </row>
    <row r="31" spans="2:4" x14ac:dyDescent="0.25">
      <c r="B31" t="s">
        <v>31</v>
      </c>
      <c r="C31" t="e">
        <f ca="1">C30*0.8</f>
        <v>#NAME?</v>
      </c>
      <c r="D31" s="1" t="e">
        <f ca="1"/>
        <v>#NAME?</v>
      </c>
    </row>
    <row r="32" spans="2:4" x14ac:dyDescent="0.25">
      <c r="B32" t="s">
        <v>32</v>
      </c>
      <c r="C32" t="e">
        <f ca="1">_xll.qlVanillaSwap(B32,C18,1000,C24,C29,C16,C25,C20,0,C21)</f>
        <v>#NAME?</v>
      </c>
    </row>
    <row r="33" spans="2:3" x14ac:dyDescent="0.25">
      <c r="B33" t="s">
        <v>33</v>
      </c>
      <c r="C33" t="e">
        <f ca="1">_xll.qlVanillaSwap(B33,C18,1000,C24,C30,C16,C25,C20,0,C21)</f>
        <v>#NAME?</v>
      </c>
    </row>
    <row r="34" spans="2:3" x14ac:dyDescent="0.25">
      <c r="B34" t="s">
        <v>34</v>
      </c>
      <c r="C34" t="e">
        <f ca="1">_xll.qlVanillaSwap(B34,C18,1000,C24,C31,C16,C25,C20,0,C21)</f>
        <v>#NAME?</v>
      </c>
    </row>
    <row r="35" spans="2:3" x14ac:dyDescent="0.25">
      <c r="B35" t="s">
        <v>55</v>
      </c>
      <c r="C35" t="e">
        <f ca="1">_xll.qlBermudanExercise(B35,D26:D30)</f>
        <v>#NAME?</v>
      </c>
    </row>
    <row r="36" spans="2:3" x14ac:dyDescent="0.25">
      <c r="B36" t="s">
        <v>47</v>
      </c>
      <c r="C36" t="e">
        <f ca="1">_xll.qlSwaption(,C32,C35)</f>
        <v>#NAME?</v>
      </c>
    </row>
    <row r="37" spans="2:3" x14ac:dyDescent="0.25">
      <c r="B37" t="s">
        <v>59</v>
      </c>
      <c r="C37" t="e">
        <f ca="1">_xll.qlTreeSwaptionEngine(,Calibration_HW!B1,50,,Calibration_HW!B4)</f>
        <v>#NAME?</v>
      </c>
    </row>
    <row r="38" spans="2:3" x14ac:dyDescent="0.25">
      <c r="B38" t="s">
        <v>60</v>
      </c>
      <c r="C38" t="e">
        <f ca="1">_xll.qlInstrumentSetPricingEngine(C36,C37)</f>
        <v>#NAME?</v>
      </c>
    </row>
    <row r="39" spans="2:3" x14ac:dyDescent="0.25">
      <c r="B39" t="s">
        <v>61</v>
      </c>
      <c r="C39" s="9" t="e">
        <f ca="1">_xll.qlInstrumentNPV(C36,C38)</f>
        <v>#NAME?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7"/>
  <sheetViews>
    <sheetView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15" bestFit="1" customWidth="1"/>
    <col min="4" max="4" width="3" bestFit="1" customWidth="1"/>
    <col min="5" max="5" width="9.140625" bestFit="1" customWidth="1"/>
    <col min="7" max="8" width="2" bestFit="1" customWidth="1"/>
    <col min="9" max="9" width="3" bestFit="1" customWidth="1"/>
    <col min="10" max="10" width="11" bestFit="1" customWidth="1"/>
    <col min="11" max="11" width="15.140625" bestFit="1" customWidth="1"/>
    <col min="12" max="12" width="10.140625" bestFit="1" customWidth="1"/>
    <col min="14" max="14" width="15.140625" bestFit="1" customWidth="1"/>
    <col min="15" max="15" width="15" bestFit="1" customWidth="1"/>
    <col min="18" max="18" width="11" bestFit="1" customWidth="1"/>
    <col min="19" max="19" width="11.7109375" bestFit="1" customWidth="1"/>
  </cols>
  <sheetData>
    <row r="1" spans="1:19" s="6" customFormat="1" x14ac:dyDescent="0.25">
      <c r="A1" t="s">
        <v>41</v>
      </c>
      <c r="B1" t="e">
        <f ca="1">_xll.qlHullWhite(A1,NPV!C12)</f>
        <v>#NAME?</v>
      </c>
      <c r="D1" s="5"/>
      <c r="E1" s="5" t="s">
        <v>47</v>
      </c>
      <c r="F1" s="5"/>
      <c r="G1" s="5"/>
      <c r="H1" s="5"/>
      <c r="I1" s="5"/>
      <c r="J1" s="5"/>
      <c r="K1" s="5"/>
      <c r="L1" s="5" t="s">
        <v>47</v>
      </c>
      <c r="M1" s="5"/>
      <c r="N1" s="5"/>
      <c r="O1" s="5"/>
      <c r="P1" s="5"/>
      <c r="Q1" s="5"/>
      <c r="R1" s="5"/>
      <c r="S1" s="5"/>
    </row>
    <row r="2" spans="1:19" s="6" customFormat="1" x14ac:dyDescent="0.25">
      <c r="A2" t="s">
        <v>43</v>
      </c>
      <c r="B2" t="e">
        <f ca="1">_xll.qlLevenbergMarquardt(A2)</f>
        <v>#NAME?</v>
      </c>
      <c r="D2" s="5"/>
      <c r="E2" s="5" t="s">
        <v>48</v>
      </c>
      <c r="F2" s="5"/>
      <c r="G2" s="5" t="s">
        <v>35</v>
      </c>
      <c r="H2" s="5" t="s">
        <v>36</v>
      </c>
      <c r="I2" s="5" t="s">
        <v>37</v>
      </c>
      <c r="J2" s="5" t="s">
        <v>52</v>
      </c>
      <c r="K2" s="5" t="s">
        <v>38</v>
      </c>
      <c r="L2" s="5" t="s">
        <v>49</v>
      </c>
      <c r="M2" s="5" t="s">
        <v>50</v>
      </c>
      <c r="N2" s="5" t="s">
        <v>40</v>
      </c>
      <c r="O2" s="5" t="s">
        <v>53</v>
      </c>
      <c r="P2" s="5" t="s">
        <v>42</v>
      </c>
      <c r="Q2" s="5" t="s">
        <v>46</v>
      </c>
      <c r="R2" s="5" t="s">
        <v>51</v>
      </c>
      <c r="S2" s="5" t="s">
        <v>54</v>
      </c>
    </row>
    <row r="3" spans="1:19" x14ac:dyDescent="0.25">
      <c r="A3" t="s">
        <v>44</v>
      </c>
      <c r="B3" t="e">
        <f ca="1">_xll.qlEndCriteria(,400,100,0.00000001,0.00000001,0.00000001)</f>
        <v>#NAME?</v>
      </c>
      <c r="D3">
        <v>0</v>
      </c>
      <c r="E3" s="3">
        <v>0.14899999999999999</v>
      </c>
      <c r="G3">
        <v>0</v>
      </c>
      <c r="H3">
        <f>5-G3-1</f>
        <v>4</v>
      </c>
      <c r="I3">
        <f>G3*5+H3</f>
        <v>4</v>
      </c>
      <c r="J3" s="7">
        <f>INDEX($E$3:$E$27,I3+1)</f>
        <v>0.1148</v>
      </c>
      <c r="K3" t="e">
        <f ca="1">_xll.qlSimpleQuote(,J3)</f>
        <v>#NAME?</v>
      </c>
      <c r="L3" t="str">
        <f t="shared" ref="L3:M7" si="0">(G3+1)&amp;"Y"</f>
        <v>1Y</v>
      </c>
      <c r="M3" t="str">
        <f t="shared" si="0"/>
        <v>5Y</v>
      </c>
      <c r="N3" t="e">
        <f ca="1">_xll.qlSwaptionHelper(,L3,M3,K3,NPV!$C$20,"6M",NPV!$C$21,NPV!$C$21,NPV!$C$12)</f>
        <v>#NAME?</v>
      </c>
      <c r="O3" t="e">
        <f ca="1">_xll.qlJamshidianSwaptionEngine(,Calibration_HW!$B$1)</f>
        <v>#NAME?</v>
      </c>
      <c r="P3" t="e">
        <f ca="1">_xll.qlCalibrationHelperSetPricingEngine(N3,O3)</f>
        <v>#NAME?</v>
      </c>
      <c r="Q3" s="3" t="e">
        <f ca="1">_xll.qlSwaptionHelperModelValue(N3,$B$4)</f>
        <v>#NAME?</v>
      </c>
      <c r="R3" s="7" t="e">
        <f ca="1">_xll.qlCalibrationHelperImpliedVolatility(N3,Q3,0.0001,1000,0.05,0.5)</f>
        <v>#NAME?</v>
      </c>
      <c r="S3" s="8" t="e">
        <f ca="1">R3-J3</f>
        <v>#NAME?</v>
      </c>
    </row>
    <row r="4" spans="1:19" x14ac:dyDescent="0.25">
      <c r="A4" t="s">
        <v>45</v>
      </c>
      <c r="B4" t="e">
        <f ca="1">_xll.qlCalibratedModelCalibrate(B1,N3:N7,B2,B3,_xll.ohTrigger(P3:P7))</f>
        <v>#NAME?</v>
      </c>
      <c r="D4">
        <v>1</v>
      </c>
      <c r="E4" s="3">
        <v>0.13400000000000001</v>
      </c>
      <c r="G4">
        <v>1</v>
      </c>
      <c r="H4">
        <f t="shared" ref="H4:H7" si="1">5-G4-1</f>
        <v>3</v>
      </c>
      <c r="I4">
        <f t="shared" ref="I4:I7" si="2">G4*5+H4</f>
        <v>8</v>
      </c>
      <c r="J4" s="7">
        <f t="shared" ref="J4:J7" si="3">INDEX($E$3:$E$27,I4+1)</f>
        <v>0.1108</v>
      </c>
      <c r="K4" t="e">
        <f ca="1">_xll.qlSimpleQuote(,J4)</f>
        <v>#NAME?</v>
      </c>
      <c r="L4" t="str">
        <f t="shared" si="0"/>
        <v>2Y</v>
      </c>
      <c r="M4" t="str">
        <f t="shared" si="0"/>
        <v>4Y</v>
      </c>
      <c r="N4" t="e">
        <f ca="1">_xll.qlSwaptionHelper(,L4,M4,K4,NPV!$C$20,"6M",NPV!$C$21,NPV!$C$21,NPV!$C$12)</f>
        <v>#NAME?</v>
      </c>
      <c r="O4" t="e">
        <f ca="1">_xll.qlJamshidianSwaptionEngine(,Calibration_HW!$B$1)</f>
        <v>#NAME?</v>
      </c>
      <c r="P4" t="e">
        <f ca="1">_xll.qlCalibrationHelperSetPricingEngine(N4,O4)</f>
        <v>#NAME?</v>
      </c>
      <c r="Q4" s="3" t="e">
        <f ca="1">_xll.qlSwaptionHelperModelValue(N4,$B$4)</f>
        <v>#NAME?</v>
      </c>
      <c r="R4" s="7" t="e">
        <f ca="1">_xll.qlCalibrationHelperImpliedVolatility(N4,Q4,0.0001,1000,0.05,0.5)</f>
        <v>#NAME?</v>
      </c>
      <c r="S4" s="8" t="e">
        <f t="shared" ref="S4:S7" ca="1" si="4">R4-J4</f>
        <v>#NAME?</v>
      </c>
    </row>
    <row r="5" spans="1:19" x14ac:dyDescent="0.25">
      <c r="D5">
        <v>2</v>
      </c>
      <c r="E5" s="3">
        <v>0.12280000000000001</v>
      </c>
      <c r="G5">
        <v>2</v>
      </c>
      <c r="H5">
        <f t="shared" si="1"/>
        <v>2</v>
      </c>
      <c r="I5">
        <f t="shared" si="2"/>
        <v>12</v>
      </c>
      <c r="J5" s="7">
        <f t="shared" si="3"/>
        <v>0.107</v>
      </c>
      <c r="K5" t="e">
        <f ca="1">_xll.qlSimpleQuote(,J5)</f>
        <v>#NAME?</v>
      </c>
      <c r="L5" t="str">
        <f t="shared" si="0"/>
        <v>3Y</v>
      </c>
      <c r="M5" t="str">
        <f t="shared" si="0"/>
        <v>3Y</v>
      </c>
      <c r="N5" t="e">
        <f ca="1">_xll.qlSwaptionHelper(,L5,M5,K5,NPV!$C$20,"6M",NPV!$C$21,NPV!$C$21,NPV!$C$12)</f>
        <v>#NAME?</v>
      </c>
      <c r="O5" t="e">
        <f ca="1">_xll.qlJamshidianSwaptionEngine(,Calibration_HW!$B$1)</f>
        <v>#NAME?</v>
      </c>
      <c r="P5" t="e">
        <f ca="1">_xll.qlCalibrationHelperSetPricingEngine(N5,O5)</f>
        <v>#NAME?</v>
      </c>
      <c r="Q5" s="3" t="e">
        <f ca="1">_xll.qlSwaptionHelperModelValue(N5,$B$4)</f>
        <v>#NAME?</v>
      </c>
      <c r="R5" s="7" t="e">
        <f ca="1">_xll.qlCalibrationHelperImpliedVolatility(N5,Q5,0.0001,1000,0.05,0.5)</f>
        <v>#NAME?</v>
      </c>
      <c r="S5" s="8" t="e">
        <f t="shared" ca="1" si="4"/>
        <v>#NAME?</v>
      </c>
    </row>
    <row r="6" spans="1:19" x14ac:dyDescent="0.25">
      <c r="D6">
        <v>3</v>
      </c>
      <c r="E6" s="3">
        <v>0.11890000000000001</v>
      </c>
      <c r="G6">
        <v>3</v>
      </c>
      <c r="H6">
        <f t="shared" si="1"/>
        <v>1</v>
      </c>
      <c r="I6">
        <f t="shared" si="2"/>
        <v>16</v>
      </c>
      <c r="J6" s="7">
        <f t="shared" si="3"/>
        <v>0.1021</v>
      </c>
      <c r="K6" t="e">
        <f ca="1">_xll.qlSimpleQuote(,J6)</f>
        <v>#NAME?</v>
      </c>
      <c r="L6" t="str">
        <f t="shared" si="0"/>
        <v>4Y</v>
      </c>
      <c r="M6" t="str">
        <f t="shared" si="0"/>
        <v>2Y</v>
      </c>
      <c r="N6" t="e">
        <f ca="1">_xll.qlSwaptionHelper(,L6,M6,K6,NPV!$C$20,"6M",NPV!$C$21,NPV!$C$21,NPV!$C$12)</f>
        <v>#NAME?</v>
      </c>
      <c r="O6" t="e">
        <f ca="1">_xll.qlJamshidianSwaptionEngine(,Calibration_HW!$B$1)</f>
        <v>#NAME?</v>
      </c>
      <c r="P6" t="e">
        <f ca="1">_xll.qlCalibrationHelperSetPricingEngine(N6,O6)</f>
        <v>#NAME?</v>
      </c>
      <c r="Q6" s="3" t="e">
        <f ca="1">_xll.qlSwaptionHelperModelValue(N6,$B$4)</f>
        <v>#NAME?</v>
      </c>
      <c r="R6" s="7" t="e">
        <f ca="1">_xll.qlCalibrationHelperImpliedVolatility(N6,Q6,0.0001,1000,0.05,0.5)</f>
        <v>#NAME?</v>
      </c>
      <c r="S6" s="8" t="e">
        <f t="shared" ca="1" si="4"/>
        <v>#NAME?</v>
      </c>
    </row>
    <row r="7" spans="1:19" x14ac:dyDescent="0.25">
      <c r="D7">
        <v>4</v>
      </c>
      <c r="E7" s="3">
        <v>0.1148</v>
      </c>
      <c r="G7">
        <v>4</v>
      </c>
      <c r="H7">
        <f t="shared" si="1"/>
        <v>0</v>
      </c>
      <c r="I7">
        <f t="shared" si="2"/>
        <v>20</v>
      </c>
      <c r="J7" s="7">
        <f t="shared" si="3"/>
        <v>0.1</v>
      </c>
      <c r="K7" t="e">
        <f ca="1">_xll.qlSimpleQuote(,J7)</f>
        <v>#NAME?</v>
      </c>
      <c r="L7" t="str">
        <f t="shared" si="0"/>
        <v>5Y</v>
      </c>
      <c r="M7" t="str">
        <f t="shared" si="0"/>
        <v>1Y</v>
      </c>
      <c r="N7" t="e">
        <f ca="1">_xll.qlSwaptionHelper(,L7,M7,K7,NPV!$C$20,"6M",NPV!$C$21,NPV!$C$21,NPV!$C$12)</f>
        <v>#NAME?</v>
      </c>
      <c r="O7" t="e">
        <f ca="1">_xll.qlJamshidianSwaptionEngine(,Calibration_HW!$B$1)</f>
        <v>#NAME?</v>
      </c>
      <c r="P7" t="e">
        <f ca="1">_xll.qlCalibrationHelperSetPricingEngine(N7,O7)</f>
        <v>#NAME?</v>
      </c>
      <c r="Q7" s="3" t="e">
        <f ca="1">_xll.qlSwaptionHelperModelValue(N7,$B$4)</f>
        <v>#NAME?</v>
      </c>
      <c r="R7" s="7" t="e">
        <f ca="1">_xll.qlCalibrationHelperImpliedVolatility(N7,Q7,0.0001,1000,0.05,0.5)</f>
        <v>#NAME?</v>
      </c>
      <c r="S7" s="8" t="e">
        <f t="shared" ca="1" si="4"/>
        <v>#NAME?</v>
      </c>
    </row>
    <row r="8" spans="1:19" x14ac:dyDescent="0.25">
      <c r="D8">
        <v>5</v>
      </c>
      <c r="E8" s="3">
        <v>0.129</v>
      </c>
    </row>
    <row r="9" spans="1:19" x14ac:dyDescent="0.25">
      <c r="D9">
        <v>6</v>
      </c>
      <c r="E9" s="3">
        <v>0.1201</v>
      </c>
    </row>
    <row r="10" spans="1:19" x14ac:dyDescent="0.25">
      <c r="D10">
        <v>7</v>
      </c>
      <c r="E10" s="3">
        <v>0.11459999999999999</v>
      </c>
    </row>
    <row r="11" spans="1:19" x14ac:dyDescent="0.25">
      <c r="D11">
        <v>8</v>
      </c>
      <c r="E11" s="3">
        <v>0.1108</v>
      </c>
    </row>
    <row r="12" spans="1:19" x14ac:dyDescent="0.25">
      <c r="D12">
        <v>9</v>
      </c>
      <c r="E12" s="3">
        <v>0.104</v>
      </c>
    </row>
    <row r="13" spans="1:19" x14ac:dyDescent="0.25">
      <c r="D13">
        <v>10</v>
      </c>
      <c r="E13" s="3">
        <v>0.1149</v>
      </c>
    </row>
    <row r="14" spans="1:19" x14ac:dyDescent="0.25">
      <c r="D14">
        <v>11</v>
      </c>
      <c r="E14" s="3">
        <v>0.11119999999999999</v>
      </c>
    </row>
    <row r="15" spans="1:19" x14ac:dyDescent="0.25">
      <c r="D15">
        <v>12</v>
      </c>
      <c r="E15" s="3">
        <v>0.107</v>
      </c>
    </row>
    <row r="16" spans="1:19" x14ac:dyDescent="0.25">
      <c r="D16">
        <v>13</v>
      </c>
      <c r="E16" s="3">
        <v>0.10100000000000001</v>
      </c>
    </row>
    <row r="17" spans="4:5" x14ac:dyDescent="0.25">
      <c r="D17">
        <v>14</v>
      </c>
      <c r="E17" s="3">
        <v>9.5699999999999993E-2</v>
      </c>
    </row>
    <row r="18" spans="4:5" x14ac:dyDescent="0.25">
      <c r="D18">
        <v>15</v>
      </c>
      <c r="E18" s="3">
        <v>0.1047</v>
      </c>
    </row>
    <row r="19" spans="4:5" x14ac:dyDescent="0.25">
      <c r="D19">
        <v>16</v>
      </c>
      <c r="E19" s="3">
        <v>0.1021</v>
      </c>
    </row>
    <row r="20" spans="4:5" x14ac:dyDescent="0.25">
      <c r="D20">
        <v>17</v>
      </c>
      <c r="E20" s="3">
        <v>9.8000000000000004E-2</v>
      </c>
    </row>
    <row r="21" spans="4:5" x14ac:dyDescent="0.25">
      <c r="D21">
        <v>18</v>
      </c>
      <c r="E21" s="3">
        <v>9.5100000000000004E-2</v>
      </c>
    </row>
    <row r="22" spans="4:5" x14ac:dyDescent="0.25">
      <c r="D22">
        <v>19</v>
      </c>
      <c r="E22" s="3">
        <v>0.127</v>
      </c>
    </row>
    <row r="23" spans="4:5" x14ac:dyDescent="0.25">
      <c r="D23">
        <v>20</v>
      </c>
      <c r="E23" s="3">
        <v>0.1</v>
      </c>
    </row>
    <row r="24" spans="4:5" x14ac:dyDescent="0.25">
      <c r="D24">
        <v>21</v>
      </c>
      <c r="E24" s="3">
        <v>9.5000000000000001E-2</v>
      </c>
    </row>
    <row r="25" spans="4:5" x14ac:dyDescent="0.25">
      <c r="D25">
        <v>22</v>
      </c>
      <c r="E25" s="3">
        <v>0.09</v>
      </c>
    </row>
    <row r="26" spans="4:5" x14ac:dyDescent="0.25">
      <c r="D26">
        <v>23</v>
      </c>
      <c r="E26" s="3">
        <v>0.123</v>
      </c>
    </row>
    <row r="27" spans="4:5" x14ac:dyDescent="0.25">
      <c r="D27">
        <v>24</v>
      </c>
      <c r="E27" s="3">
        <v>0.11600000000000001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NPV</vt:lpstr>
      <vt:lpstr>Calibration_HW</vt:lpstr>
      <vt:lpstr>NPV!Trigger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2015-09-08T15:46:20Z</dcterms:created>
  <dcterms:modified xsi:type="dcterms:W3CDTF">2015-11-02T14:29:44Z</dcterms:modified>
</cp:coreProperties>
</file>