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786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  <sheet name="MxQuotes" sheetId="64" r:id="rId27"/>
    <sheet name="Swap3M_Mx" sheetId="65" r:id="rId28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 localSheetId="27">Swap3M_Mx!#REF!</definedName>
    <definedName name="Contributor">Swap3M!$S$2</definedName>
    <definedName name="ContributorFRA">FRA!$N$4</definedName>
    <definedName name="Contributors">'General Settings'!$C$11:$C$19</definedName>
    <definedName name="ContributorTable" localSheetId="8">Deposits!$S$5:$W$13</definedName>
    <definedName name="ContributorTable">'General Settings'!$C$11:$D$19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27">Swap3M_Mx!$V$3:$X$7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27">Swap3M_Mx!$K$3:$K$40</definedName>
    <definedName name="Instruments" localSheetId="18">Swap6M!$R$5:$R$42</definedName>
    <definedName name="Instruments" localSheetId="15">Swaps1M!$N$5:$N$18</definedName>
    <definedName name="Instruments" localSheetId="16">SwapsIMMDated!$L$5:$L$11</definedName>
    <definedName name="InterpolationType">'General Settings'!$D$8</definedName>
    <definedName name="LastFixingsTrigger">'General Settings'!$D$7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26">MxQuotes!$Q$4:$Q$22</definedName>
    <definedName name="Quote" localSheetId="14">OIS!$X$5:$X$58</definedName>
    <definedName name="Quote" localSheetId="17">Swap3M!$AB$5:$AB$42</definedName>
    <definedName name="Quote" localSheetId="27">Swap3M_Mx!$R$3:$R$40</definedName>
    <definedName name="Quote" localSheetId="15">Swaps1M!$X$5:$X$18</definedName>
    <definedName name="Quote">MxQuotes!$Q$4:$Q$21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26">MxQuotes!$M$4:$M$22</definedName>
    <definedName name="QuoteLive" localSheetId="14">OIS!$T$5:$T$58</definedName>
    <definedName name="QuoteLive" localSheetId="17">Swap3M!$X$5:$X$42</definedName>
    <definedName name="QuoteLive" localSheetId="27">Swap3M_Mx!$N$3:$N$40</definedName>
    <definedName name="QuoteLive" localSheetId="18">Swap6M!$X$5:$X$42</definedName>
    <definedName name="QuoteLive" localSheetId="15">Swaps1M!$T$5:$T$18</definedName>
    <definedName name="QuoteLive" localSheetId="16">SwapsIMMDated!$R$5:$R$11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26">MxQuotes!$O$4:$O$22</definedName>
    <definedName name="QuoteStatic" localSheetId="14">OIS!$V$5:$V$58</definedName>
    <definedName name="QuoteStatic" localSheetId="17">Swap3M!$Z$5:$Z$42</definedName>
    <definedName name="QuoteStatic" localSheetId="27">Swap3M_Mx!$P$3:$P$40</definedName>
    <definedName name="QuoteStatic" localSheetId="18">Swap6M!$Z$5:$Z$42</definedName>
    <definedName name="QuoteStatic" localSheetId="15">Swaps1M!$V$5:$V$18</definedName>
    <definedName name="QuoteStatic" localSheetId="16">SwapsIMMDated!$T$5:$T$11</definedName>
    <definedName name="QuoteStatic">MxQuotes!$O$4:$O$21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 localSheetId="27">Swap3M_Mx!$R$10</definedName>
    <definedName name="Swap3M4Y">Swap3M!$AB$12</definedName>
    <definedName name="Swap6M4Y">Swap6M!$AB$12</definedName>
    <definedName name="SwapMainSetConventions" localSheetId="27">Swap3M_Mx!#REF!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R5" i="24" l="1"/>
  <c r="R6" i="24"/>
  <c r="R7" i="24"/>
  <c r="R8" i="24"/>
  <c r="R9" i="24"/>
  <c r="R10" i="24"/>
  <c r="R11" i="24"/>
  <c r="R3" i="65" l="1" a="1"/>
  <c r="Q4" i="64" a="1"/>
  <c r="P5" i="55" a="1"/>
  <c r="AB5" i="25" a="1"/>
  <c r="X5" i="23" a="1"/>
  <c r="X5" i="22" a="1"/>
  <c r="Y6" i="18" a="1"/>
  <c r="Y6" i="17" a="1"/>
  <c r="W7" i="16" a="1"/>
  <c r="O5" i="15" a="1"/>
  <c r="O11" i="15"/>
  <c r="O12" i="15"/>
  <c r="AB5" i="13" a="1"/>
  <c r="AB11" i="13" s="1"/>
  <c r="AB5" i="13"/>
  <c r="AB6" i="13"/>
  <c r="AB7" i="13"/>
  <c r="AB8" i="13"/>
  <c r="AB9" i="13"/>
  <c r="AB10" i="13"/>
  <c r="AB12" i="13"/>
  <c r="AB13" i="13"/>
  <c r="AB14" i="13"/>
  <c r="AB15" i="13"/>
  <c r="AB16" i="13"/>
  <c r="AB17" i="13"/>
  <c r="AB18" i="13"/>
  <c r="AB20" i="13"/>
  <c r="AB21" i="13"/>
  <c r="AB22" i="13"/>
  <c r="AB23" i="13"/>
  <c r="AB24" i="13"/>
  <c r="AB25" i="13"/>
  <c r="AB26" i="13"/>
  <c r="AB28" i="13"/>
  <c r="AB29" i="13"/>
  <c r="AB30" i="13"/>
  <c r="AB31" i="13"/>
  <c r="AB32" i="13"/>
  <c r="AB33" i="13"/>
  <c r="AB34" i="13"/>
  <c r="AB36" i="13"/>
  <c r="AB37" i="13"/>
  <c r="AB38" i="13"/>
  <c r="AB39" i="13"/>
  <c r="AB40" i="13"/>
  <c r="AB41" i="13"/>
  <c r="AB42" i="13"/>
  <c r="AB5" i="12" a="1"/>
  <c r="AB5" i="11" a="1"/>
  <c r="O14" i="15" l="1"/>
  <c r="O22" i="15"/>
  <c r="O15" i="15"/>
  <c r="O8" i="15"/>
  <c r="O16" i="15"/>
  <c r="O9" i="15"/>
  <c r="O17" i="15"/>
  <c r="O10" i="15"/>
  <c r="O18" i="15"/>
  <c r="O21" i="15"/>
  <c r="O20" i="15"/>
  <c r="O19" i="15"/>
  <c r="O13" i="15"/>
  <c r="AB35" i="13"/>
  <c r="AB27" i="13"/>
  <c r="AB19" i="13"/>
  <c r="D6" i="24"/>
  <c r="D7" i="24"/>
  <c r="D8" i="24"/>
  <c r="D9" i="24"/>
  <c r="D10" i="24"/>
  <c r="D11" i="24"/>
  <c r="D5" i="24"/>
  <c r="L6" i="24"/>
  <c r="L7" i="24"/>
  <c r="L8" i="24"/>
  <c r="L9" i="24"/>
  <c r="L10" i="24"/>
  <c r="L11" i="24"/>
  <c r="L5" i="24"/>
  <c r="E11" i="24"/>
  <c r="E5" i="24"/>
  <c r="E7" i="24"/>
  <c r="E6" i="24"/>
  <c r="E9" i="24"/>
  <c r="E10" i="24"/>
  <c r="E8" i="24"/>
  <c r="F19" i="6"/>
  <c r="N22" i="6"/>
  <c r="K17" i="6"/>
  <c r="K22" i="6"/>
  <c r="N17" i="6"/>
  <c r="O5" i="23" l="1" a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H5" i="20"/>
  <c r="S5" i="13" a="1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5" i="12" a="1"/>
  <c r="S29" i="12" s="1"/>
  <c r="S5" i="11" a="1"/>
  <c r="S5" i="11" s="1"/>
  <c r="S12" i="11"/>
  <c r="S20" i="11"/>
  <c r="S28" i="11"/>
  <c r="S36" i="11"/>
  <c r="S2" i="13"/>
  <c r="S2" i="12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5" i="13"/>
  <c r="S36" i="12" l="1"/>
  <c r="S35" i="12"/>
  <c r="S18" i="12"/>
  <c r="S25" i="12"/>
  <c r="S9" i="12"/>
  <c r="S33" i="12"/>
  <c r="S23" i="12"/>
  <c r="S38" i="12"/>
  <c r="S28" i="12"/>
  <c r="S20" i="12"/>
  <c r="S12" i="12"/>
  <c r="S27" i="12"/>
  <c r="S19" i="12"/>
  <c r="S11" i="12"/>
  <c r="S26" i="12"/>
  <c r="S10" i="12"/>
  <c r="S34" i="12"/>
  <c r="S17" i="12"/>
  <c r="S42" i="12"/>
  <c r="S24" i="12"/>
  <c r="S16" i="12"/>
  <c r="S8" i="12"/>
  <c r="S41" i="12"/>
  <c r="S32" i="12"/>
  <c r="S15" i="12"/>
  <c r="S7" i="12"/>
  <c r="S40" i="12"/>
  <c r="S31" i="12"/>
  <c r="S22" i="12"/>
  <c r="S14" i="12"/>
  <c r="S6" i="12"/>
  <c r="S39" i="12"/>
  <c r="S30" i="12"/>
  <c r="S21" i="12"/>
  <c r="S13" i="12"/>
  <c r="S5" i="12"/>
  <c r="S37" i="12"/>
  <c r="S35" i="11"/>
  <c r="S27" i="11"/>
  <c r="S19" i="11"/>
  <c r="S11" i="11"/>
  <c r="S42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8" i="11"/>
  <c r="S30" i="11"/>
  <c r="S22" i="11"/>
  <c r="S14" i="11"/>
  <c r="S6" i="11"/>
  <c r="S37" i="11"/>
  <c r="S29" i="11"/>
  <c r="S21" i="11"/>
  <c r="S13" i="11"/>
  <c r="C22" i="64" l="1"/>
  <c r="M19" i="64"/>
  <c r="Q19" i="64" s="1"/>
  <c r="M20" i="64"/>
  <c r="Q20" i="64" s="1"/>
  <c r="M21" i="64"/>
  <c r="Q21" i="64" s="1"/>
  <c r="M22" i="64"/>
  <c r="Q22" i="64" s="1"/>
  <c r="D22" i="64"/>
  <c r="R22" i="64"/>
  <c r="N4" i="65" l="1"/>
  <c r="R4" i="65" s="1"/>
  <c r="N5" i="65"/>
  <c r="R5" i="65" s="1"/>
  <c r="N6" i="65"/>
  <c r="R6" i="65" s="1"/>
  <c r="N7" i="65"/>
  <c r="R7" i="65" s="1"/>
  <c r="N8" i="65"/>
  <c r="R8" i="65" s="1"/>
  <c r="N9" i="65"/>
  <c r="R9" i="65" s="1"/>
  <c r="N10" i="65"/>
  <c r="R10" i="65" s="1"/>
  <c r="N11" i="65"/>
  <c r="R11" i="65" s="1"/>
  <c r="N12" i="65"/>
  <c r="R12" i="65" s="1"/>
  <c r="N13" i="65"/>
  <c r="R13" i="65" s="1"/>
  <c r="N14" i="65"/>
  <c r="R14" i="65" s="1"/>
  <c r="N15" i="65"/>
  <c r="R15" i="65" s="1"/>
  <c r="N16" i="65"/>
  <c r="R16" i="65" s="1"/>
  <c r="N17" i="65"/>
  <c r="R17" i="65" s="1"/>
  <c r="N18" i="65"/>
  <c r="R18" i="65" s="1"/>
  <c r="N19" i="65"/>
  <c r="R19" i="65" s="1"/>
  <c r="N20" i="65"/>
  <c r="R20" i="65" s="1"/>
  <c r="N21" i="65"/>
  <c r="R21" i="65" s="1"/>
  <c r="N22" i="65"/>
  <c r="R22" i="65" s="1"/>
  <c r="N23" i="65"/>
  <c r="R23" i="65" s="1"/>
  <c r="N24" i="65"/>
  <c r="R24" i="65" s="1"/>
  <c r="N25" i="65"/>
  <c r="R25" i="65" s="1"/>
  <c r="N26" i="65"/>
  <c r="R26" i="65" s="1"/>
  <c r="N27" i="65"/>
  <c r="R27" i="65" s="1"/>
  <c r="N28" i="65"/>
  <c r="R28" i="65" s="1"/>
  <c r="N29" i="65"/>
  <c r="R29" i="65" s="1"/>
  <c r="N30" i="65"/>
  <c r="R30" i="65" s="1"/>
  <c r="N31" i="65"/>
  <c r="R31" i="65" s="1"/>
  <c r="N32" i="65"/>
  <c r="R32" i="65" s="1"/>
  <c r="N33" i="65"/>
  <c r="R33" i="65" s="1"/>
  <c r="N34" i="65"/>
  <c r="R34" i="65" s="1"/>
  <c r="N35" i="65"/>
  <c r="R35" i="65" s="1"/>
  <c r="N36" i="65"/>
  <c r="R36" i="65" s="1"/>
  <c r="N37" i="65"/>
  <c r="R37" i="65" s="1"/>
  <c r="N38" i="65"/>
  <c r="R38" i="65" s="1"/>
  <c r="N39" i="65"/>
  <c r="R39" i="65" s="1"/>
  <c r="N40" i="65"/>
  <c r="R40" i="65" s="1"/>
  <c r="N3" i="65"/>
  <c r="R3" i="65" s="1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3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E3" i="65"/>
  <c r="D7" i="65"/>
  <c r="D17" i="65"/>
  <c r="D18" i="65"/>
  <c r="D38" i="65"/>
  <c r="D6" i="65"/>
  <c r="D37" i="65"/>
  <c r="D8" i="65"/>
  <c r="D14" i="65"/>
  <c r="D40" i="65"/>
  <c r="D22" i="65"/>
  <c r="D15" i="65"/>
  <c r="D13" i="65"/>
  <c r="D5" i="65"/>
  <c r="D27" i="65"/>
  <c r="E40" i="65"/>
  <c r="D10" i="65"/>
  <c r="D33" i="65"/>
  <c r="D11" i="65"/>
  <c r="D24" i="65"/>
  <c r="D19" i="65"/>
  <c r="D26" i="65"/>
  <c r="D36" i="65"/>
  <c r="D32" i="65"/>
  <c r="D39" i="65"/>
  <c r="D21" i="65"/>
  <c r="D9" i="65"/>
  <c r="D35" i="65"/>
  <c r="D29" i="65"/>
  <c r="D31" i="65"/>
  <c r="D16" i="65"/>
  <c r="D12" i="65"/>
  <c r="D34" i="65"/>
  <c r="D28" i="65"/>
  <c r="D30" i="65"/>
  <c r="E22" i="64"/>
  <c r="D23" i="65"/>
  <c r="D25" i="65"/>
  <c r="D20" i="65"/>
  <c r="D4" i="65"/>
  <c r="E4" i="65" s="1"/>
  <c r="S34" i="65"/>
  <c r="S5" i="65"/>
  <c r="S36" i="65"/>
  <c r="S3" i="65"/>
  <c r="S29" i="65"/>
  <c r="S12" i="65"/>
  <c r="S14" i="65"/>
  <c r="S35" i="65"/>
  <c r="S28" i="65"/>
  <c r="S31" i="65"/>
  <c r="S38" i="65"/>
  <c r="S22" i="65"/>
  <c r="S4" i="65"/>
  <c r="S27" i="65"/>
  <c r="S18" i="65"/>
  <c r="S39" i="65"/>
  <c r="S19" i="65"/>
  <c r="S24" i="65"/>
  <c r="S16" i="65"/>
  <c r="S23" i="65"/>
  <c r="S13" i="65"/>
  <c r="S26" i="65"/>
  <c r="S11" i="65"/>
  <c r="S25" i="65"/>
  <c r="S20" i="65"/>
  <c r="S10" i="65"/>
  <c r="S40" i="65"/>
  <c r="S37" i="65"/>
  <c r="S33" i="65"/>
  <c r="S9" i="65"/>
  <c r="S30" i="65"/>
  <c r="S21" i="65"/>
  <c r="S15" i="65"/>
  <c r="S7" i="65"/>
  <c r="S6" i="65"/>
  <c r="S8" i="65"/>
  <c r="S32" i="65"/>
  <c r="S17" i="65"/>
  <c r="K2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35" i="65"/>
  <c r="E9" i="65"/>
  <c r="E25" i="65"/>
  <c r="E26" i="65"/>
  <c r="E37" i="65"/>
  <c r="E10" i="65"/>
  <c r="E8" i="65"/>
  <c r="E12" i="65"/>
  <c r="E36" i="65"/>
  <c r="E11" i="65"/>
  <c r="E15" i="65"/>
  <c r="E18" i="65"/>
  <c r="E5" i="65"/>
  <c r="E24" i="65"/>
  <c r="E22" i="65"/>
  <c r="E23" i="65"/>
  <c r="E34" i="65"/>
  <c r="E28" i="65"/>
  <c r="E6" i="65"/>
  <c r="E20" i="65"/>
  <c r="E39" i="65"/>
  <c r="E17" i="65"/>
  <c r="E7" i="65"/>
  <c r="E30" i="65"/>
  <c r="E31" i="65"/>
  <c r="E38" i="65"/>
  <c r="E13" i="65"/>
  <c r="E29" i="65"/>
  <c r="E19" i="65"/>
  <c r="E14" i="65"/>
  <c r="E16" i="65"/>
  <c r="E32" i="65"/>
  <c r="E21" i="65"/>
  <c r="E33" i="65"/>
  <c r="E27" i="65"/>
  <c r="K6" i="15" l="1"/>
  <c r="O6" i="15" s="1"/>
  <c r="K7" i="15"/>
  <c r="O7" i="15" s="1"/>
  <c r="K5" i="15"/>
  <c r="O5" i="15" s="1"/>
  <c r="X28" i="15"/>
  <c r="X29" i="15"/>
  <c r="X30" i="1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D5" i="64"/>
  <c r="D13" i="64"/>
  <c r="D19" i="64"/>
  <c r="D8" i="64"/>
  <c r="D15" i="64"/>
  <c r="D17" i="64"/>
  <c r="D20" i="64"/>
  <c r="D11" i="64"/>
  <c r="E3" i="64"/>
  <c r="D14" i="64"/>
  <c r="E14" i="64" s="1"/>
  <c r="D7" i="64"/>
  <c r="D21" i="64"/>
  <c r="D6" i="64"/>
  <c r="D4" i="64"/>
  <c r="D9" i="64"/>
  <c r="D12" i="64"/>
  <c r="D16" i="64"/>
  <c r="D10" i="64"/>
  <c r="D18" i="64"/>
  <c r="E7" i="64"/>
  <c r="R21" i="64"/>
  <c r="R7" i="64"/>
  <c r="R6" i="64"/>
  <c r="R5" i="64"/>
  <c r="R16" i="64"/>
  <c r="R8" i="64"/>
  <c r="R12" i="64"/>
  <c r="R18" i="64"/>
  <c r="R17" i="64"/>
  <c r="R15" i="64"/>
  <c r="R4" i="64"/>
  <c r="R19" i="64"/>
  <c r="R9" i="64"/>
  <c r="R14" i="64"/>
  <c r="R11" i="64"/>
  <c r="R13" i="64"/>
  <c r="R10" i="64"/>
  <c r="R20" i="64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31" i="16"/>
  <c r="S25" i="16"/>
  <c r="S23" i="16"/>
  <c r="S22" i="16"/>
  <c r="S28" i="16"/>
  <c r="S32" i="16"/>
  <c r="S30" i="16"/>
  <c r="S26" i="16"/>
  <c r="S29" i="16"/>
  <c r="S24" i="16"/>
  <c r="S27" i="16"/>
  <c r="E8" i="64"/>
  <c r="U11" i="18"/>
  <c r="U43" i="18"/>
  <c r="E31" i="16"/>
  <c r="U44" i="18"/>
  <c r="U27" i="18"/>
  <c r="U38" i="18"/>
  <c r="U23" i="18"/>
  <c r="E21" i="64"/>
  <c r="U34" i="18"/>
  <c r="U45" i="18"/>
  <c r="E30" i="16"/>
  <c r="E22" i="16"/>
  <c r="U10" i="18"/>
  <c r="U28" i="18"/>
  <c r="E11" i="64"/>
  <c r="E18" i="64"/>
  <c r="U35" i="18"/>
  <c r="E4" i="64"/>
  <c r="U16" i="18"/>
  <c r="U15" i="18"/>
  <c r="E5" i="64"/>
  <c r="E23" i="16"/>
  <c r="U18" i="18"/>
  <c r="U33" i="18"/>
  <c r="U42" i="18"/>
  <c r="E6" i="64"/>
  <c r="E16" i="64"/>
  <c r="U17" i="18"/>
  <c r="E17" i="64"/>
  <c r="U6" i="18"/>
  <c r="E15" i="64"/>
  <c r="U25" i="18"/>
  <c r="U14" i="18"/>
  <c r="U7" i="18"/>
  <c r="U30" i="18"/>
  <c r="E12" i="64"/>
  <c r="E19" i="64"/>
  <c r="U9" i="18"/>
  <c r="U31" i="18"/>
  <c r="E29" i="16"/>
  <c r="E9" i="64"/>
  <c r="E13" i="64"/>
  <c r="I32" i="56"/>
  <c r="U47" i="18"/>
  <c r="E27" i="16"/>
  <c r="U24" i="18"/>
  <c r="U21" i="18"/>
  <c r="E10" i="64"/>
  <c r="U12" i="18"/>
  <c r="U37" i="18"/>
  <c r="E25" i="16"/>
  <c r="U13" i="18"/>
  <c r="U46" i="18"/>
  <c r="U41" i="18"/>
  <c r="U22" i="18"/>
  <c r="U32" i="18"/>
  <c r="U26" i="18"/>
  <c r="E26" i="16"/>
  <c r="U39" i="18"/>
  <c r="E24" i="16"/>
  <c r="E32" i="16"/>
  <c r="U29" i="18"/>
  <c r="U36" i="18"/>
  <c r="U8" i="18"/>
  <c r="E28" i="16"/>
  <c r="E20" i="64"/>
  <c r="U20" i="18"/>
  <c r="U40" i="18"/>
  <c r="U19" i="18"/>
  <c r="W27" i="16" l="1"/>
  <c r="W24" i="16"/>
  <c r="W29" i="16"/>
  <c r="W26" i="16"/>
  <c r="W30" i="16"/>
  <c r="W32" i="16"/>
  <c r="W28" i="16"/>
  <c r="W22" i="16"/>
  <c r="W23" i="16"/>
  <c r="W25" i="16"/>
  <c r="W31" i="16"/>
  <c r="Y19" i="18"/>
  <c r="Y40" i="18"/>
  <c r="Y20" i="18"/>
  <c r="Y8" i="18"/>
  <c r="Y36" i="18"/>
  <c r="Y29" i="18"/>
  <c r="Y39" i="18"/>
  <c r="Y26" i="18"/>
  <c r="Y32" i="18"/>
  <c r="Y22" i="18"/>
  <c r="Y41" i="18"/>
  <c r="Y46" i="18"/>
  <c r="Y13" i="18"/>
  <c r="Y37" i="18"/>
  <c r="Y12" i="18"/>
  <c r="Y21" i="18"/>
  <c r="Y24" i="18"/>
  <c r="Y47" i="18"/>
  <c r="Y31" i="18"/>
  <c r="Y9" i="18"/>
  <c r="Y30" i="18"/>
  <c r="Y7" i="18"/>
  <c r="Y14" i="18"/>
  <c r="Y25" i="18"/>
  <c r="Y6" i="18"/>
  <c r="Y17" i="18"/>
  <c r="Y42" i="18"/>
  <c r="Y33" i="18"/>
  <c r="Y18" i="18"/>
  <c r="Y15" i="18"/>
  <c r="Y16" i="18"/>
  <c r="Y35" i="18"/>
  <c r="Y28" i="18"/>
  <c r="Y10" i="18"/>
  <c r="Y45" i="18"/>
  <c r="Y34" i="18"/>
  <c r="Y23" i="18"/>
  <c r="Y38" i="18"/>
  <c r="Y27" i="18"/>
  <c r="Y44" i="18"/>
  <c r="Y43" i="18"/>
  <c r="Y11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7" i="16"/>
  <c r="S20" i="16"/>
  <c r="S18" i="16"/>
  <c r="S19" i="16"/>
  <c r="S16" i="16"/>
  <c r="F31" i="16"/>
  <c r="F22" i="16"/>
  <c r="E19" i="16"/>
  <c r="F25" i="16"/>
  <c r="F28" i="16"/>
  <c r="F24" i="16"/>
  <c r="F27" i="16"/>
  <c r="F32" i="16"/>
  <c r="F26" i="16"/>
  <c r="F23" i="16"/>
  <c r="F29" i="16"/>
  <c r="F30" i="16"/>
  <c r="X26" i="16"/>
  <c r="X31" i="16"/>
  <c r="X28" i="16"/>
  <c r="X24" i="16"/>
  <c r="X27" i="16"/>
  <c r="X29" i="16"/>
  <c r="X30" i="16"/>
  <c r="X25" i="16"/>
  <c r="X23" i="16"/>
  <c r="X22" i="16"/>
  <c r="X32" i="16"/>
  <c r="W16" i="16" l="1"/>
  <c r="W19" i="16"/>
  <c r="W18" i="16"/>
  <c r="W20" i="16"/>
  <c r="W17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E7" i="6"/>
  <c r="D8" i="6"/>
  <c r="D11" i="6"/>
  <c r="D12" i="6"/>
  <c r="D10" i="6"/>
  <c r="E9" i="6"/>
  <c r="D6" i="6"/>
  <c r="D13" i="6"/>
  <c r="I12" i="56" l="1"/>
  <c r="E10" i="6"/>
  <c r="G8" i="6"/>
  <c r="F27" i="63"/>
  <c r="F24" i="63"/>
  <c r="F50" i="63"/>
  <c r="F67" i="63"/>
  <c r="F57" i="63"/>
  <c r="F66" i="63"/>
  <c r="F52" i="63"/>
  <c r="F20" i="63"/>
  <c r="F35" i="63"/>
  <c r="F43" i="63"/>
  <c r="F29" i="63"/>
  <c r="F37" i="63"/>
  <c r="F44" i="63"/>
  <c r="L22" i="6"/>
  <c r="F49" i="63"/>
  <c r="F28" i="63"/>
  <c r="F40" i="63"/>
  <c r="F58" i="63"/>
  <c r="F7" i="6"/>
  <c r="F45" i="63"/>
  <c r="F47" i="63"/>
  <c r="F65" i="63"/>
  <c r="F48" i="63"/>
  <c r="F56" i="63"/>
  <c r="F53" i="63"/>
  <c r="G6" i="6"/>
  <c r="F55" i="63"/>
  <c r="G11" i="6"/>
  <c r="F17" i="63"/>
  <c r="F64" i="63"/>
  <c r="F34" i="63"/>
  <c r="F11" i="63"/>
  <c r="F46" i="63"/>
  <c r="F61" i="63"/>
  <c r="F63" i="63"/>
  <c r="G12" i="6"/>
  <c r="H7" i="6"/>
  <c r="H9" i="6"/>
  <c r="F10" i="63"/>
  <c r="F41" i="63"/>
  <c r="F33" i="63"/>
  <c r="F68" i="63"/>
  <c r="E11" i="6"/>
  <c r="F59" i="63"/>
  <c r="F39" i="63"/>
  <c r="F9" i="6"/>
  <c r="F13" i="63"/>
  <c r="F25" i="63"/>
  <c r="F51" i="63"/>
  <c r="F9" i="63"/>
  <c r="F22" i="63"/>
  <c r="F26" i="63"/>
  <c r="F42" i="63"/>
  <c r="G10" i="6"/>
  <c r="F14" i="63"/>
  <c r="F30" i="63"/>
  <c r="F31" i="63"/>
  <c r="F21" i="63"/>
  <c r="F15" i="63"/>
  <c r="F60" i="63"/>
  <c r="F54" i="63"/>
  <c r="E6" i="6"/>
  <c r="F36" i="63"/>
  <c r="E12" i="6"/>
  <c r="G13" i="6"/>
  <c r="F12" i="63"/>
  <c r="F16" i="63"/>
  <c r="E8" i="6"/>
  <c r="F32" i="63"/>
  <c r="F18" i="63"/>
  <c r="F62" i="63"/>
  <c r="F38" i="63"/>
  <c r="F23" i="63"/>
  <c r="F19" i="63"/>
  <c r="AM2" i="17" l="1"/>
  <c r="AM3" i="17"/>
  <c r="AM4" i="17"/>
  <c r="AM6" i="17"/>
  <c r="L17" i="6"/>
  <c r="G24" i="63"/>
  <c r="G14" i="63"/>
  <c r="G16" i="63"/>
  <c r="O22" i="6"/>
  <c r="G52" i="63"/>
  <c r="G9" i="63"/>
  <c r="AK7" i="17" a="1"/>
  <c r="O17" i="6"/>
  <c r="H11" i="6"/>
  <c r="F6" i="6"/>
  <c r="G20" i="63"/>
  <c r="G10" i="63"/>
  <c r="G11" i="63"/>
  <c r="F11" i="6"/>
  <c r="G19" i="63"/>
  <c r="G18" i="63"/>
  <c r="F8" i="6"/>
  <c r="G60" i="63"/>
  <c r="G28" i="63"/>
  <c r="G12" i="63"/>
  <c r="H8" i="6"/>
  <c r="H12" i="6"/>
  <c r="H6" i="6"/>
  <c r="F12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56" i="63"/>
  <c r="G32" i="63"/>
  <c r="G15" i="63"/>
  <c r="G22" i="63"/>
  <c r="G13" i="63"/>
  <c r="G23" i="63"/>
  <c r="G64" i="63"/>
  <c r="AL8" i="17" l="1"/>
  <c r="AL7" i="17"/>
  <c r="AM7" i="17"/>
  <c r="AL9" i="17"/>
  <c r="AM9" i="17"/>
  <c r="AL10" i="17"/>
  <c r="AM10" i="17"/>
  <c r="AL11" i="17"/>
  <c r="AN10" i="17"/>
  <c r="AN9" i="17"/>
  <c r="AN7" i="17"/>
  <c r="AN8" i="17"/>
  <c r="G26" i="63"/>
  <c r="G17" i="63"/>
  <c r="G27" i="63"/>
  <c r="G36" i="63"/>
  <c r="G68" i="63"/>
  <c r="AM11" i="17" l="1"/>
  <c r="AL12" i="17"/>
  <c r="AM12" i="17"/>
  <c r="AL13" i="17"/>
  <c r="G31" i="63"/>
  <c r="G30" i="63"/>
  <c r="AN11" i="17"/>
  <c r="G21" i="63"/>
  <c r="AN12" i="17"/>
  <c r="G40" i="63"/>
  <c r="AO9" i="17"/>
  <c r="AO10" i="17"/>
  <c r="AO7" i="17"/>
  <c r="AO8" i="17"/>
  <c r="AM13" i="17" l="1"/>
  <c r="AL14" i="17"/>
  <c r="AM14" i="17"/>
  <c r="AL15" i="17"/>
  <c r="G25" i="63"/>
  <c r="G34" i="63"/>
  <c r="G35" i="63"/>
  <c r="AN13" i="17"/>
  <c r="G44" i="63"/>
  <c r="AN14" i="17"/>
  <c r="AO12" i="17"/>
  <c r="AO11" i="17"/>
  <c r="AM15" i="17" l="1"/>
  <c r="AL16" i="17"/>
  <c r="AM16" i="17"/>
  <c r="AL17" i="17"/>
  <c r="AM17" i="17"/>
  <c r="AL18" i="17"/>
  <c r="G48" i="63"/>
  <c r="AN17" i="17"/>
  <c r="AN16" i="17"/>
  <c r="AN15" i="17"/>
  <c r="G39" i="63"/>
  <c r="G38" i="63"/>
  <c r="G29" i="63"/>
  <c r="AO14" i="17"/>
  <c r="AO13" i="17"/>
  <c r="AM18" i="17" l="1"/>
  <c r="AL5" i="18"/>
  <c r="G33" i="63"/>
  <c r="AK6" i="18" a="1"/>
  <c r="D6" i="17" a="1"/>
  <c r="G43" i="63"/>
  <c r="G42" i="63"/>
  <c r="AN18" i="17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47" i="63"/>
  <c r="G46" i="63"/>
  <c r="G37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58" i="63"/>
  <c r="G49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6" i="63"/>
  <c r="G67" i="63"/>
  <c r="G57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T8" i="8"/>
  <c r="W8" i="8"/>
  <c r="V8" i="8" l="1"/>
  <c r="X8" i="8" s="1"/>
  <c r="U9" i="8"/>
  <c r="V9" i="8" s="1"/>
  <c r="X9" i="8" s="1"/>
  <c r="M10" i="8"/>
  <c r="P10" i="8"/>
  <c r="Q10" i="8" s="1"/>
  <c r="S10" i="8"/>
  <c r="U7" i="8"/>
  <c r="T10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21" i="8"/>
  <c r="T18" i="8"/>
  <c r="W13" i="8"/>
  <c r="T19" i="8"/>
  <c r="W18" i="8"/>
  <c r="T14" i="8"/>
  <c r="T16" i="8"/>
  <c r="W12" i="8"/>
  <c r="T13" i="8"/>
  <c r="T20" i="8"/>
  <c r="T15" i="8"/>
  <c r="W16" i="8"/>
  <c r="W11" i="8"/>
  <c r="W10" i="8"/>
  <c r="W20" i="8"/>
  <c r="T12" i="8"/>
  <c r="W14" i="8"/>
  <c r="T7" i="7"/>
  <c r="W21" i="8"/>
  <c r="T11" i="8"/>
  <c r="W17" i="8"/>
  <c r="W15" i="8"/>
  <c r="T17" i="8"/>
  <c r="W7" i="8"/>
  <c r="W19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Q8" i="7"/>
  <c r="U7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21" i="7"/>
  <c r="T12" i="7"/>
  <c r="U8" i="7"/>
  <c r="T14" i="7"/>
  <c r="T15" i="7"/>
  <c r="W17" i="7"/>
  <c r="T17" i="7"/>
  <c r="T10" i="7"/>
  <c r="T11" i="7"/>
  <c r="Q9" i="7"/>
  <c r="T16" i="7"/>
  <c r="X5" i="26"/>
  <c r="W7" i="7"/>
  <c r="T20" i="7"/>
  <c r="T18" i="7"/>
  <c r="T13" i="7"/>
  <c r="W20" i="7"/>
  <c r="T19" i="7"/>
  <c r="M6" i="7"/>
  <c r="V8" i="7" l="1"/>
  <c r="X8" i="7" s="1"/>
  <c r="V20" i="7"/>
  <c r="X20" i="7" s="1"/>
  <c r="V17" i="7"/>
  <c r="X17" i="7" s="1"/>
  <c r="R5" i="26"/>
  <c r="AJ5" i="26"/>
  <c r="P6" i="26"/>
  <c r="Q6" i="26"/>
  <c r="Q13" i="7"/>
  <c r="Q16" i="7"/>
  <c r="Q18" i="7"/>
  <c r="Q19" i="7"/>
  <c r="W8" i="7"/>
  <c r="Q21" i="7"/>
  <c r="Q15" i="7"/>
  <c r="X6" i="26"/>
  <c r="Q11" i="7"/>
  <c r="Q14" i="7"/>
  <c r="Q12" i="7"/>
  <c r="U9" i="7"/>
  <c r="Q10" i="7"/>
  <c r="V9" i="7" l="1"/>
  <c r="X9" i="7" s="1"/>
  <c r="R6" i="26"/>
  <c r="AJ6" i="26"/>
  <c r="P7" i="26"/>
  <c r="Q7" i="26"/>
  <c r="U14" i="7"/>
  <c r="U12" i="7"/>
  <c r="U18" i="7"/>
  <c r="U15" i="7"/>
  <c r="U21" i="7"/>
  <c r="X7" i="26"/>
  <c r="U16" i="7"/>
  <c r="W9" i="7"/>
  <c r="U11" i="7"/>
  <c r="U10" i="7"/>
  <c r="U19" i="7"/>
  <c r="U13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8" i="7"/>
  <c r="W19" i="7"/>
  <c r="W16" i="7"/>
  <c r="W21" i="7"/>
  <c r="W14" i="7"/>
  <c r="W13" i="7"/>
  <c r="W10" i="7"/>
  <c r="W12" i="7"/>
  <c r="X8" i="26"/>
  <c r="W15" i="7"/>
  <c r="W11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2" i="17"/>
  <c r="U7" i="17"/>
  <c r="U14" i="17"/>
  <c r="U6" i="17"/>
  <c r="U16" i="17"/>
  <c r="U17" i="17"/>
  <c r="U11" i="17"/>
  <c r="U13" i="17"/>
  <c r="U8" i="17"/>
  <c r="U9" i="17"/>
  <c r="U10" i="17"/>
  <c r="U15" i="17"/>
  <c r="N6" i="17" a="1"/>
  <c r="Y15" i="17" l="1"/>
  <c r="Y10" i="17"/>
  <c r="Y9" i="17"/>
  <c r="Y8" i="17"/>
  <c r="Y13" i="17"/>
  <c r="Y11" i="17"/>
  <c r="Y17" i="17"/>
  <c r="Y16" i="17"/>
  <c r="Y6" i="17"/>
  <c r="Y14" i="17"/>
  <c r="Y7" i="17"/>
  <c r="Y12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T18" i="23"/>
  <c r="Y17" i="23"/>
  <c r="X18" i="23" l="1"/>
  <c r="Y18" i="23"/>
  <c r="M5" i="24" l="1" a="1"/>
  <c r="M11" i="24" l="1"/>
  <c r="M9" i="24"/>
  <c r="M5" i="24"/>
  <c r="M10" i="24"/>
  <c r="M6" i="24"/>
  <c r="M7" i="24"/>
  <c r="M8" i="24"/>
  <c r="V5" i="24" a="1"/>
  <c r="V11" i="24" s="1"/>
  <c r="V5" i="24" l="1"/>
  <c r="V6" i="24"/>
  <c r="V7" i="24"/>
  <c r="V8" i="24"/>
  <c r="V9" i="24"/>
  <c r="V10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W42" i="11"/>
  <c r="P5" i="12" a="1"/>
  <c r="P5" i="12" s="1"/>
  <c r="Q5" i="12" a="1"/>
  <c r="Q5" i="12" s="1"/>
  <c r="V5" i="12"/>
  <c r="R5" i="12" l="1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Q42" i="12"/>
  <c r="V42" i="12"/>
  <c r="R42" i="12" l="1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V42" i="13"/>
  <c r="W42" i="13" l="1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9" i="6"/>
  <c r="Q12" i="6"/>
  <c r="Q8" i="6"/>
  <c r="R6" i="6"/>
  <c r="Q11" i="6"/>
  <c r="O7" i="6"/>
  <c r="K5" i="6"/>
  <c r="S6" i="6" l="1"/>
  <c r="U6" i="6" s="1"/>
  <c r="I13" i="56"/>
  <c r="AO6" i="17"/>
  <c r="I14" i="56"/>
  <c r="O8" i="6"/>
  <c r="O11" i="6"/>
  <c r="O9" i="6"/>
  <c r="R7" i="6"/>
  <c r="O12" i="6"/>
  <c r="T6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8" i="6"/>
  <c r="T7" i="6"/>
  <c r="R11" i="6"/>
  <c r="R9" i="6"/>
  <c r="R12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9" i="61"/>
  <c r="N11" i="62"/>
  <c r="N20" i="61"/>
  <c r="N15" i="61"/>
  <c r="S17" i="62"/>
  <c r="K12" i="62"/>
  <c r="N9" i="62"/>
  <c r="K8" i="61"/>
  <c r="N17" i="62"/>
  <c r="N6" i="61"/>
  <c r="K11" i="62"/>
  <c r="S16" i="62"/>
  <c r="N14" i="61"/>
  <c r="K9" i="62"/>
  <c r="N17" i="61"/>
  <c r="N16" i="61"/>
  <c r="N12" i="61"/>
  <c r="K17" i="62"/>
  <c r="K15" i="62"/>
  <c r="S15" i="62"/>
  <c r="S21" i="62"/>
  <c r="N10" i="62"/>
  <c r="S13" i="62"/>
  <c r="S14" i="62"/>
  <c r="N7" i="61"/>
  <c r="N8" i="61"/>
  <c r="S19" i="62"/>
  <c r="K15" i="61"/>
  <c r="N15" i="62"/>
  <c r="K18" i="62"/>
  <c r="N21" i="62"/>
  <c r="K20" i="62"/>
  <c r="K9" i="61"/>
  <c r="N12" i="62"/>
  <c r="K16" i="62"/>
  <c r="K14" i="62"/>
  <c r="S9" i="62"/>
  <c r="K13" i="61"/>
  <c r="K20" i="61"/>
  <c r="K8" i="62"/>
  <c r="S12" i="62"/>
  <c r="K13" i="62"/>
  <c r="K4" i="61"/>
  <c r="N18" i="62"/>
  <c r="S4" i="62"/>
  <c r="K19" i="62"/>
  <c r="N14" i="62"/>
  <c r="N13" i="61"/>
  <c r="S8" i="62"/>
  <c r="N20" i="62"/>
  <c r="N19" i="62"/>
  <c r="K19" i="61"/>
  <c r="K10" i="62"/>
  <c r="N11" i="61"/>
  <c r="N5" i="61"/>
  <c r="S11" i="62"/>
  <c r="N4" i="61"/>
  <c r="N4" i="62"/>
  <c r="K14" i="61"/>
  <c r="K4" i="62"/>
  <c r="K5" i="61"/>
  <c r="K5" i="62"/>
  <c r="K7" i="62"/>
  <c r="K17" i="61"/>
  <c r="N21" i="61"/>
  <c r="N18" i="61"/>
  <c r="S18" i="62"/>
  <c r="K11" i="61"/>
  <c r="N16" i="62"/>
  <c r="S20" i="62"/>
  <c r="K6" i="61"/>
  <c r="K18" i="61"/>
  <c r="K21" i="61"/>
  <c r="K16" i="61"/>
  <c r="K10" i="61"/>
  <c r="S10" i="62"/>
  <c r="N7" i="62"/>
  <c r="K12" i="61"/>
  <c r="K21" i="62"/>
  <c r="N13" i="62"/>
  <c r="K7" i="61"/>
  <c r="N10" i="61"/>
  <c r="S7" i="62"/>
  <c r="N5" i="62"/>
  <c r="N8" i="62"/>
  <c r="N19" i="61"/>
  <c r="T12" i="6"/>
  <c r="T8" i="6"/>
  <c r="T9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N7" i="60"/>
  <c r="K15" i="60"/>
  <c r="N16" i="60"/>
  <c r="K12" i="60"/>
  <c r="K11" i="60"/>
  <c r="N6" i="60"/>
  <c r="N17" i="60"/>
  <c r="K4" i="60"/>
  <c r="N14" i="60"/>
  <c r="N9" i="60"/>
  <c r="K9" i="60"/>
  <c r="K6" i="60"/>
  <c r="N8" i="60"/>
  <c r="K14" i="60"/>
  <c r="K8" i="60"/>
  <c r="K5" i="60"/>
  <c r="K7" i="60"/>
  <c r="N11" i="60"/>
  <c r="N13" i="60"/>
  <c r="N18" i="60"/>
  <c r="K13" i="60"/>
  <c r="K17" i="60"/>
  <c r="N10" i="60"/>
  <c r="N12" i="60"/>
  <c r="N4" i="60"/>
  <c r="K18" i="60"/>
  <c r="K10" i="60"/>
  <c r="N15" i="60"/>
  <c r="K16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10" i="55"/>
  <c r="K5" i="55"/>
  <c r="K8" i="55"/>
  <c r="K6" i="55"/>
  <c r="K7" i="55"/>
  <c r="B1" i="56"/>
  <c r="P7" i="55" l="1"/>
  <c r="P6" i="55"/>
  <c r="P8" i="55"/>
  <c r="P5" i="55"/>
  <c r="P10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D4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1" i="23"/>
  <c r="F16" i="22"/>
  <c r="F21" i="22"/>
  <c r="F58" i="22"/>
  <c r="F8" i="23"/>
  <c r="F13" i="22"/>
  <c r="F56" i="22"/>
  <c r="F47" i="22"/>
  <c r="F28" i="22"/>
  <c r="F12" i="22"/>
  <c r="F31" i="22"/>
  <c r="F25" i="22"/>
  <c r="F32" i="22"/>
  <c r="F24" i="22"/>
  <c r="F23" i="22"/>
  <c r="F7" i="22"/>
  <c r="F10" i="22"/>
  <c r="F11" i="22"/>
  <c r="F5" i="23"/>
  <c r="F6" i="22"/>
  <c r="F40" i="22"/>
  <c r="F44" i="22"/>
  <c r="F39" i="22"/>
  <c r="F6" i="23"/>
  <c r="D60" i="22"/>
  <c r="F10" i="23"/>
  <c r="F20" i="22"/>
  <c r="F26" i="22"/>
  <c r="F45" i="22"/>
  <c r="F54" i="22"/>
  <c r="F51" i="22"/>
  <c r="F50" i="22"/>
  <c r="F46" i="22"/>
  <c r="F57" i="22"/>
  <c r="F15" i="23"/>
  <c r="F27" i="22"/>
  <c r="F49" i="22"/>
  <c r="F15" i="22"/>
  <c r="F18" i="22"/>
  <c r="F29" i="22"/>
  <c r="F19" i="22"/>
  <c r="F14" i="23"/>
  <c r="F42" i="22"/>
  <c r="E3" i="28"/>
  <c r="F41" i="22"/>
  <c r="F55" i="22"/>
  <c r="F38" i="22"/>
  <c r="F33" i="22"/>
  <c r="F17" i="22"/>
  <c r="F13" i="23"/>
  <c r="F8" i="22"/>
  <c r="F53" i="22"/>
  <c r="F12" i="23"/>
  <c r="F9" i="22"/>
  <c r="F36" i="22"/>
  <c r="E2" i="28"/>
  <c r="E4" i="28"/>
  <c r="F22" i="22"/>
  <c r="F35" i="22"/>
  <c r="F34" i="22"/>
  <c r="F5" i="22"/>
  <c r="F7" i="23"/>
  <c r="F43" i="22"/>
  <c r="F48" i="22"/>
  <c r="F9" i="23"/>
  <c r="F14" i="22"/>
  <c r="F52" i="22"/>
  <c r="F30" i="22"/>
  <c r="F37" i="22"/>
  <c r="Y6" i="22"/>
  <c r="Y7" i="22"/>
  <c r="Y5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F19" i="26"/>
  <c r="F19" i="25"/>
  <c r="G47" i="22"/>
  <c r="G11" i="22"/>
  <c r="G16" i="22"/>
  <c r="F60" i="22"/>
  <c r="G6" i="23"/>
  <c r="F29" i="25"/>
  <c r="G42" i="22"/>
  <c r="G35" i="22"/>
  <c r="D61" i="22"/>
  <c r="G32" i="22"/>
  <c r="G37" i="22"/>
  <c r="G53" i="22"/>
  <c r="G8" i="22"/>
  <c r="F7" i="24"/>
  <c r="F5" i="24"/>
  <c r="F10" i="24"/>
  <c r="F8" i="26"/>
  <c r="G30" i="22"/>
  <c r="G19" i="22"/>
  <c r="F29" i="26"/>
  <c r="G22" i="22"/>
  <c r="G56" i="22"/>
  <c r="F6" i="24"/>
  <c r="F13" i="25"/>
  <c r="F16" i="25"/>
  <c r="G46" i="22"/>
  <c r="G38" i="22"/>
  <c r="F37" i="25"/>
  <c r="G40" i="22"/>
  <c r="G14" i="22"/>
  <c r="G10" i="22"/>
  <c r="G13" i="22"/>
  <c r="G15" i="23"/>
  <c r="F27" i="26"/>
  <c r="G43" i="22"/>
  <c r="G12" i="23"/>
  <c r="F11" i="26"/>
  <c r="G48" i="22"/>
  <c r="G58" i="22"/>
  <c r="G18" i="22"/>
  <c r="G15" i="22"/>
  <c r="G44" i="22"/>
  <c r="G27" i="22"/>
  <c r="G54" i="22"/>
  <c r="G21" i="22"/>
  <c r="G12" i="22"/>
  <c r="G31" i="22"/>
  <c r="F11" i="25"/>
  <c r="F40" i="26"/>
  <c r="G9" i="22"/>
  <c r="G49" i="22"/>
  <c r="G17" i="22"/>
  <c r="F24" i="25"/>
  <c r="G57" i="22"/>
  <c r="G39" i="22"/>
  <c r="G9" i="23"/>
  <c r="F21" i="25"/>
  <c r="G36" i="22"/>
  <c r="G6" i="22"/>
  <c r="G8" i="23"/>
  <c r="G7" i="23"/>
  <c r="G5" i="22"/>
  <c r="W9" i="24"/>
  <c r="G33" i="22"/>
  <c r="G25" i="22"/>
  <c r="G14" i="23"/>
  <c r="G10" i="23"/>
  <c r="G52" i="22"/>
  <c r="G24" i="22"/>
  <c r="F8" i="24"/>
  <c r="G11" i="23"/>
  <c r="W7" i="24"/>
  <c r="G13" i="23"/>
  <c r="F35" i="26"/>
  <c r="W6" i="24"/>
  <c r="F16" i="26"/>
  <c r="G20" i="22"/>
  <c r="W8" i="24"/>
  <c r="F8" i="25"/>
  <c r="G34" i="22"/>
  <c r="G51" i="22"/>
  <c r="F24" i="26"/>
  <c r="W5" i="24"/>
  <c r="G26" i="22"/>
  <c r="G28" i="22"/>
  <c r="G55" i="22"/>
  <c r="W10" i="24"/>
  <c r="G45" i="22"/>
  <c r="G29" i="22"/>
  <c r="W11" i="24"/>
  <c r="G23" i="22"/>
  <c r="G7" i="22"/>
  <c r="F32" i="26"/>
  <c r="G5" i="23"/>
  <c r="G41" i="22"/>
  <c r="F12" i="25"/>
  <c r="G50" i="22"/>
  <c r="F9" i="24"/>
  <c r="Y22" i="22"/>
  <c r="Y21" i="22"/>
  <c r="Y52" i="22"/>
  <c r="Y48" i="22"/>
  <c r="Y7" i="23"/>
  <c r="Y13" i="23"/>
  <c r="Y34" i="22"/>
  <c r="Y16" i="22"/>
  <c r="Y14" i="22"/>
  <c r="Y37" i="22"/>
  <c r="Y39" i="22"/>
  <c r="Y9" i="22"/>
  <c r="Y13" i="22"/>
  <c r="Y36" i="22"/>
  <c r="Y9" i="23"/>
  <c r="Y56" i="22"/>
  <c r="Y10" i="23"/>
  <c r="Y55" i="22"/>
  <c r="Y32" i="22"/>
  <c r="Y28" i="22"/>
  <c r="Y54" i="22"/>
  <c r="Y40" i="22"/>
  <c r="Y29" i="22"/>
  <c r="Y15" i="23"/>
  <c r="Y38" i="22"/>
  <c r="Y8" i="23"/>
  <c r="Y50" i="22"/>
  <c r="Y42" i="22"/>
  <c r="Y47" i="22"/>
  <c r="Y35" i="22"/>
  <c r="Y53" i="22"/>
  <c r="Y18" i="22"/>
  <c r="Y33" i="22"/>
  <c r="Y31" i="22"/>
  <c r="Y43" i="22"/>
  <c r="Y12" i="23"/>
  <c r="Y26" i="22"/>
  <c r="Y49" i="22"/>
  <c r="Y30" i="22"/>
  <c r="Y25" i="22"/>
  <c r="Y17" i="22"/>
  <c r="Y12" i="22"/>
  <c r="Y20" i="22"/>
  <c r="Y11" i="22"/>
  <c r="Y23" i="22"/>
  <c r="Y14" i="23"/>
  <c r="Y44" i="22"/>
  <c r="Y57" i="22"/>
  <c r="Y27" i="22"/>
  <c r="Y51" i="22"/>
  <c r="Y6" i="23"/>
  <c r="Y45" i="22"/>
  <c r="Y24" i="22"/>
  <c r="Y19" i="22"/>
  <c r="Y41" i="22"/>
  <c r="Y46" i="22"/>
  <c r="Y5" i="23"/>
  <c r="Y58" i="22"/>
  <c r="Y15" i="22"/>
  <c r="Y10" i="22"/>
  <c r="Y11" i="23"/>
  <c r="F11" i="24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24" i="26"/>
  <c r="G37" i="25"/>
  <c r="G16" i="25"/>
  <c r="AC8" i="26"/>
  <c r="F41" i="25"/>
  <c r="F31" i="26"/>
  <c r="F25" i="25"/>
  <c r="AC29" i="26"/>
  <c r="AC16" i="26"/>
  <c r="G19" i="26"/>
  <c r="F61" i="22"/>
  <c r="F40" i="25"/>
  <c r="F34" i="25"/>
  <c r="F33" i="26"/>
  <c r="F33" i="25"/>
  <c r="F30" i="25"/>
  <c r="G60" i="22"/>
  <c r="G11" i="26"/>
  <c r="F38" i="26"/>
  <c r="F42" i="25"/>
  <c r="F7" i="26"/>
  <c r="F25" i="26"/>
  <c r="F20" i="25"/>
  <c r="F7" i="25"/>
  <c r="F34" i="26"/>
  <c r="F36" i="26"/>
  <c r="F14" i="25"/>
  <c r="F9" i="26"/>
  <c r="F42" i="26"/>
  <c r="F35" i="25"/>
  <c r="F28" i="25"/>
  <c r="AC19" i="26"/>
  <c r="AC11" i="26"/>
  <c r="F41" i="26"/>
  <c r="F18" i="25"/>
  <c r="F23" i="25"/>
  <c r="F36" i="25"/>
  <c r="F27" i="25"/>
  <c r="G29" i="25"/>
  <c r="G27" i="26"/>
  <c r="D62" i="22"/>
  <c r="G16" i="26"/>
  <c r="G29" i="26"/>
  <c r="G12" i="25"/>
  <c r="F22" i="25"/>
  <c r="F39" i="25"/>
  <c r="F10" i="26"/>
  <c r="F14" i="26"/>
  <c r="AC27" i="26"/>
  <c r="G21" i="25"/>
  <c r="F15" i="26"/>
  <c r="F9" i="25"/>
  <c r="F37" i="26"/>
  <c r="G13" i="25"/>
  <c r="F6" i="25"/>
  <c r="F15" i="25"/>
  <c r="G8" i="26"/>
  <c r="F30" i="26"/>
  <c r="F31" i="25"/>
  <c r="G24" i="25"/>
  <c r="F17" i="26"/>
  <c r="F32" i="25"/>
  <c r="F22" i="26"/>
  <c r="AC35" i="26"/>
  <c r="G11" i="25"/>
  <c r="G8" i="25"/>
  <c r="G40" i="26"/>
  <c r="F38" i="25"/>
  <c r="F13" i="26"/>
  <c r="AC40" i="26"/>
  <c r="F12" i="26"/>
  <c r="F21" i="26"/>
  <c r="F17" i="25"/>
  <c r="G19" i="25"/>
  <c r="F6" i="26"/>
  <c r="G32" i="26"/>
  <c r="F20" i="26"/>
  <c r="G24" i="26"/>
  <c r="F26" i="25"/>
  <c r="F18" i="26"/>
  <c r="F23" i="26"/>
  <c r="G35" i="26"/>
  <c r="F28" i="26"/>
  <c r="F10" i="25"/>
  <c r="AC32" i="26"/>
  <c r="F26" i="26"/>
  <c r="F39" i="26"/>
  <c r="AC11" i="25"/>
  <c r="AC13" i="25"/>
  <c r="AC16" i="25"/>
  <c r="AC21" i="25"/>
  <c r="AC8" i="25"/>
  <c r="AC37" i="25"/>
  <c r="AC24" i="25"/>
  <c r="AC29" i="25"/>
  <c r="AC12" i="25"/>
  <c r="AC19" i="25"/>
  <c r="E62" i="22" l="1"/>
  <c r="G35" i="25"/>
  <c r="G6" i="26"/>
  <c r="AC12" i="26"/>
  <c r="G7" i="25"/>
  <c r="G25" i="26"/>
  <c r="G34" i="25"/>
  <c r="AC10" i="26"/>
  <c r="F62" i="22"/>
  <c r="G15" i="25"/>
  <c r="G42" i="25"/>
  <c r="AC26" i="26"/>
  <c r="AC14" i="26"/>
  <c r="G9" i="26"/>
  <c r="G27" i="25"/>
  <c r="G7" i="26"/>
  <c r="G38" i="26"/>
  <c r="G42" i="26"/>
  <c r="G33" i="26"/>
  <c r="G28" i="25"/>
  <c r="G20" i="25"/>
  <c r="G20" i="26"/>
  <c r="AC23" i="26"/>
  <c r="G30" i="26"/>
  <c r="AC25" i="26"/>
  <c r="G10" i="26"/>
  <c r="G23" i="25"/>
  <c r="G31" i="26"/>
  <c r="G26" i="25"/>
  <c r="AC36" i="26"/>
  <c r="G26" i="26"/>
  <c r="G22" i="25"/>
  <c r="G10" i="25"/>
  <c r="AC22" i="26"/>
  <c r="AC18" i="26"/>
  <c r="D63" i="22"/>
  <c r="G61" i="22"/>
  <c r="G12" i="26"/>
  <c r="AC31" i="26"/>
  <c r="G40" i="25"/>
  <c r="G41" i="25"/>
  <c r="G41" i="26"/>
  <c r="AC39" i="26"/>
  <c r="G30" i="25"/>
  <c r="AC13" i="26"/>
  <c r="G9" i="25"/>
  <c r="G21" i="26"/>
  <c r="G17" i="25"/>
  <c r="G23" i="26"/>
  <c r="G14" i="25"/>
  <c r="G34" i="26"/>
  <c r="G36" i="25"/>
  <c r="AC38" i="26"/>
  <c r="G39" i="25"/>
  <c r="AC20" i="26"/>
  <c r="AC9" i="26"/>
  <c r="AC41" i="26"/>
  <c r="G32" i="25"/>
  <c r="AC37" i="26"/>
  <c r="G36" i="26"/>
  <c r="AC28" i="26"/>
  <c r="AC7" i="26"/>
  <c r="G18" i="26"/>
  <c r="AC6" i="26"/>
  <c r="G18" i="25"/>
  <c r="G22" i="26"/>
  <c r="G14" i="26"/>
  <c r="AC21" i="26"/>
  <c r="G13" i="26"/>
  <c r="AC15" i="26"/>
  <c r="G33" i="25"/>
  <c r="G17" i="26"/>
  <c r="G38" i="25"/>
  <c r="AC17" i="26"/>
  <c r="G25" i="25"/>
  <c r="G39" i="26"/>
  <c r="AC30" i="26"/>
  <c r="AC42" i="26"/>
  <c r="G15" i="26"/>
  <c r="G6" i="25"/>
  <c r="AC33" i="26"/>
  <c r="G31" i="25"/>
  <c r="AC34" i="26"/>
  <c r="G28" i="26"/>
  <c r="G37" i="26"/>
  <c r="AC41" i="25"/>
  <c r="AC6" i="25"/>
  <c r="AC9" i="25"/>
  <c r="AC31" i="25"/>
  <c r="AC33" i="25"/>
  <c r="AC23" i="25"/>
  <c r="AC38" i="25"/>
  <c r="AC17" i="25"/>
  <c r="AC25" i="25"/>
  <c r="AC36" i="25"/>
  <c r="AC10" i="25"/>
  <c r="AC42" i="25"/>
  <c r="AC15" i="25"/>
  <c r="AC7" i="25"/>
  <c r="AC30" i="25"/>
  <c r="AC32" i="25"/>
  <c r="AC14" i="25"/>
  <c r="AC18" i="25"/>
  <c r="AC35" i="25"/>
  <c r="AC20" i="25"/>
  <c r="AC22" i="25"/>
  <c r="AC26" i="25"/>
  <c r="AC39" i="25"/>
  <c r="AC34" i="25"/>
  <c r="AC27" i="25"/>
  <c r="AC40" i="25"/>
  <c r="AC28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8" i="22"/>
  <c r="G69" i="22"/>
  <c r="E70" i="22" l="1"/>
  <c r="D71" i="22"/>
  <c r="F70" i="22"/>
  <c r="G70" i="22"/>
  <c r="E71" i="22" l="1"/>
  <c r="D72" i="22"/>
  <c r="F71" i="22"/>
  <c r="G71" i="22" s="1"/>
  <c r="E72" i="22" l="1"/>
  <c r="D73" i="22"/>
  <c r="F72" i="22"/>
  <c r="E73" i="22" l="1"/>
  <c r="G72" i="22"/>
  <c r="D74" i="22"/>
  <c r="F73" i="22"/>
  <c r="E74" i="22" l="1"/>
  <c r="G73" i="22"/>
  <c r="D75" i="22"/>
  <c r="F74" i="22"/>
  <c r="E75" i="22" l="1"/>
  <c r="G74" i="22"/>
  <c r="D76" i="22"/>
  <c r="F75" i="22"/>
  <c r="D77" i="22"/>
  <c r="G75" i="22"/>
  <c r="E76" i="22" l="1"/>
  <c r="E77" i="22"/>
  <c r="D78" i="22"/>
  <c r="F76" i="22"/>
  <c r="F77" i="22"/>
  <c r="G76" i="22"/>
  <c r="G77" i="22"/>
  <c r="E78" i="22" l="1"/>
  <c r="D79" i="22"/>
  <c r="F78" i="22"/>
  <c r="G78" i="22"/>
  <c r="E79" i="22" l="1"/>
  <c r="F4" i="23"/>
  <c r="E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18" i="16"/>
  <c r="D16" i="15"/>
  <c r="D9" i="15"/>
  <c r="E20" i="16"/>
  <c r="E7" i="16"/>
  <c r="D21" i="15"/>
  <c r="C6" i="20"/>
  <c r="E12" i="16"/>
  <c r="E15" i="16"/>
  <c r="D11" i="15"/>
  <c r="D15" i="15"/>
  <c r="E5" i="16"/>
  <c r="E8" i="16"/>
  <c r="E21" i="16"/>
  <c r="D19" i="15"/>
  <c r="D5" i="15"/>
  <c r="D81" i="22"/>
  <c r="D7" i="15"/>
  <c r="G5" i="25"/>
  <c r="D18" i="15"/>
  <c r="E3" i="16"/>
  <c r="D8" i="15"/>
  <c r="G4" i="23"/>
  <c r="D17" i="15"/>
  <c r="D12" i="15"/>
  <c r="AC5" i="26"/>
  <c r="F4" i="24"/>
  <c r="D20" i="15"/>
  <c r="E10" i="16"/>
  <c r="D3" i="19" a="1"/>
  <c r="F80" i="22"/>
  <c r="E13" i="16"/>
  <c r="E6" i="16"/>
  <c r="C5" i="20"/>
  <c r="D13" i="15"/>
  <c r="G5" i="26"/>
  <c r="E16" i="16"/>
  <c r="E33" i="16"/>
  <c r="E4" i="16"/>
  <c r="E9" i="16"/>
  <c r="D14" i="15"/>
  <c r="E17" i="16"/>
  <c r="D10" i="15"/>
  <c r="D6" i="15"/>
  <c r="D22" i="15"/>
  <c r="E14" i="16"/>
  <c r="E11" i="16"/>
  <c r="X18" i="16"/>
  <c r="AC5" i="25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122" i="19"/>
  <c r="F45" i="19"/>
  <c r="F30" i="19"/>
  <c r="F5" i="19"/>
  <c r="F117" i="19"/>
  <c r="F98" i="19"/>
  <c r="F79" i="19"/>
  <c r="F24" i="19"/>
  <c r="F17" i="19"/>
  <c r="F7" i="18"/>
  <c r="F13" i="18"/>
  <c r="E15" i="15"/>
  <c r="F58" i="19"/>
  <c r="F118" i="19"/>
  <c r="F89" i="19"/>
  <c r="F81" i="22"/>
  <c r="F52" i="19"/>
  <c r="F115" i="19"/>
  <c r="G80" i="22"/>
  <c r="F46" i="18"/>
  <c r="F37" i="18"/>
  <c r="F3" i="16"/>
  <c r="F36" i="19"/>
  <c r="F19" i="18"/>
  <c r="F107" i="19"/>
  <c r="F106" i="19"/>
  <c r="F90" i="19"/>
  <c r="F33" i="16"/>
  <c r="F16" i="17"/>
  <c r="F110" i="19"/>
  <c r="F44" i="19"/>
  <c r="F46" i="19"/>
  <c r="F14" i="16"/>
  <c r="F23" i="19"/>
  <c r="F31" i="18"/>
  <c r="F15" i="17"/>
  <c r="F28" i="18"/>
  <c r="E10" i="15"/>
  <c r="F114" i="19"/>
  <c r="F11" i="16"/>
  <c r="E8" i="15"/>
  <c r="F74" i="19"/>
  <c r="F8" i="19"/>
  <c r="F19" i="19"/>
  <c r="F47" i="18"/>
  <c r="E19" i="15"/>
  <c r="F34" i="19"/>
  <c r="F39" i="18"/>
  <c r="F43" i="19"/>
  <c r="F9" i="18"/>
  <c r="F17" i="18"/>
  <c r="F108" i="19"/>
  <c r="F109" i="19"/>
  <c r="F18" i="19"/>
  <c r="F10" i="19"/>
  <c r="F103" i="19"/>
  <c r="F32" i="19"/>
  <c r="E6" i="15"/>
  <c r="F68" i="19"/>
  <c r="E21" i="15"/>
  <c r="E11" i="15"/>
  <c r="F40" i="19"/>
  <c r="F17" i="16"/>
  <c r="F9" i="19"/>
  <c r="F67" i="19"/>
  <c r="E12" i="15"/>
  <c r="F60" i="19"/>
  <c r="F16" i="18"/>
  <c r="E13" i="15"/>
  <c r="F22" i="19"/>
  <c r="F15" i="16"/>
  <c r="F69" i="19"/>
  <c r="F21" i="16"/>
  <c r="F16" i="16"/>
  <c r="F8" i="18"/>
  <c r="F102" i="19"/>
  <c r="F119" i="19"/>
  <c r="F7" i="16"/>
  <c r="F78" i="19"/>
  <c r="F59" i="19"/>
  <c r="F47" i="19"/>
  <c r="F21" i="19"/>
  <c r="F85" i="19"/>
  <c r="F66" i="19"/>
  <c r="F11" i="17"/>
  <c r="F116" i="19"/>
  <c r="F14" i="19"/>
  <c r="F25" i="19"/>
  <c r="F21" i="18"/>
  <c r="F112" i="19"/>
  <c r="F12" i="17"/>
  <c r="F33" i="19"/>
  <c r="F13" i="17"/>
  <c r="F101" i="19"/>
  <c r="F92" i="19"/>
  <c r="F22" i="18"/>
  <c r="F27" i="18"/>
  <c r="F15" i="18"/>
  <c r="F4" i="19"/>
  <c r="E14" i="15"/>
  <c r="F82" i="19"/>
  <c r="F27" i="19"/>
  <c r="F7" i="17"/>
  <c r="F36" i="18"/>
  <c r="F81" i="19"/>
  <c r="E22" i="15"/>
  <c r="D5" i="20"/>
  <c r="F84" i="19"/>
  <c r="F97" i="19"/>
  <c r="F14" i="17"/>
  <c r="F26" i="19"/>
  <c r="F28" i="19"/>
  <c r="F105" i="19"/>
  <c r="F93" i="19"/>
  <c r="F14" i="18"/>
  <c r="F86" i="19"/>
  <c r="F10" i="16"/>
  <c r="F25" i="18"/>
  <c r="F34" i="18"/>
  <c r="F88" i="19"/>
  <c r="F48" i="19"/>
  <c r="F70" i="19"/>
  <c r="F10" i="17"/>
  <c r="F62" i="19"/>
  <c r="F73" i="19"/>
  <c r="F75" i="19"/>
  <c r="F13" i="19"/>
  <c r="F35" i="19"/>
  <c r="F5" i="16"/>
  <c r="F26" i="18"/>
  <c r="F80" i="19"/>
  <c r="F96" i="19"/>
  <c r="F24" i="18"/>
  <c r="F111" i="19"/>
  <c r="F30" i="18"/>
  <c r="F13" i="16"/>
  <c r="F95" i="19"/>
  <c r="F37" i="19"/>
  <c r="F100" i="19"/>
  <c r="F38" i="18"/>
  <c r="F91" i="19"/>
  <c r="F12" i="18"/>
  <c r="F51" i="19"/>
  <c r="F99" i="19"/>
  <c r="F11" i="19"/>
  <c r="F71" i="19"/>
  <c r="F3" i="19"/>
  <c r="F49" i="19"/>
  <c r="F12" i="19"/>
  <c r="E5" i="15"/>
  <c r="E7" i="15"/>
  <c r="F61" i="19"/>
  <c r="F12" i="16"/>
  <c r="F32" i="18"/>
  <c r="F29" i="18"/>
  <c r="F6" i="16"/>
  <c r="F31" i="19"/>
  <c r="F6" i="18"/>
  <c r="F45" i="18"/>
  <c r="F29" i="19"/>
  <c r="F39" i="19"/>
  <c r="F72" i="19"/>
  <c r="F41" i="19"/>
  <c r="E18" i="15"/>
  <c r="F20" i="19"/>
  <c r="F104" i="19"/>
  <c r="F56" i="19"/>
  <c r="F17" i="17"/>
  <c r="F8" i="17"/>
  <c r="F42" i="19"/>
  <c r="F8" i="16"/>
  <c r="E20" i="15"/>
  <c r="F50" i="19"/>
  <c r="F42" i="18"/>
  <c r="F6" i="17"/>
  <c r="F121" i="19"/>
  <c r="F113" i="19"/>
  <c r="F38" i="19"/>
  <c r="F63" i="19"/>
  <c r="F64" i="19"/>
  <c r="F54" i="19"/>
  <c r="F87" i="19"/>
  <c r="F11" i="18"/>
  <c r="F65" i="19"/>
  <c r="E17" i="15"/>
  <c r="F9" i="17"/>
  <c r="F18" i="16"/>
  <c r="F94" i="19"/>
  <c r="F41" i="18"/>
  <c r="F7" i="19"/>
  <c r="F53" i="19"/>
  <c r="F4" i="16"/>
  <c r="F35" i="18"/>
  <c r="F57" i="19"/>
  <c r="F40" i="18"/>
  <c r="F6" i="19"/>
  <c r="F43" i="18"/>
  <c r="F23" i="18"/>
  <c r="F44" i="18"/>
  <c r="F33" i="18"/>
  <c r="F120" i="19"/>
  <c r="F18" i="18"/>
  <c r="F10" i="18"/>
  <c r="F55" i="19"/>
  <c r="F16" i="19"/>
  <c r="E9" i="15"/>
  <c r="F9" i="16"/>
  <c r="D82" i="22"/>
  <c r="E16" i="15"/>
  <c r="F20" i="16"/>
  <c r="F76" i="19"/>
  <c r="F83" i="19"/>
  <c r="F77" i="19"/>
  <c r="D6" i="20"/>
  <c r="F15" i="19"/>
  <c r="F20" i="18"/>
  <c r="P13" i="15"/>
  <c r="P18" i="15"/>
  <c r="X11" i="16"/>
  <c r="Z17" i="17"/>
  <c r="X8" i="16"/>
  <c r="Z13" i="17"/>
  <c r="P19" i="15"/>
  <c r="Z12" i="17"/>
  <c r="X13" i="16"/>
  <c r="P11" i="15"/>
  <c r="P17" i="15"/>
  <c r="P5" i="15"/>
  <c r="Z10" i="17"/>
  <c r="P10" i="15"/>
  <c r="Z11" i="17"/>
  <c r="Z7" i="17"/>
  <c r="P22" i="15"/>
  <c r="X16" i="16"/>
  <c r="X14" i="16"/>
  <c r="Z9" i="17"/>
  <c r="P14" i="15"/>
  <c r="P9" i="15"/>
  <c r="Z16" i="17"/>
  <c r="X21" i="16"/>
  <c r="P12" i="15"/>
  <c r="P8" i="15"/>
  <c r="Z8" i="17"/>
  <c r="P21" i="15"/>
  <c r="X10" i="16"/>
  <c r="Z6" i="17"/>
  <c r="P6" i="15"/>
  <c r="P16" i="15"/>
  <c r="Q5" i="20"/>
  <c r="X17" i="16"/>
  <c r="X7" i="16"/>
  <c r="X20" i="16"/>
  <c r="Z15" i="17"/>
  <c r="X12" i="16"/>
  <c r="P20" i="15"/>
  <c r="Q6" i="20"/>
  <c r="X9" i="16"/>
  <c r="P7" i="15"/>
  <c r="X15" i="16"/>
  <c r="P15" i="15"/>
  <c r="Z14" i="17"/>
  <c r="X33" i="16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3" i="19"/>
  <c r="G101" i="19"/>
  <c r="G39" i="19"/>
  <c r="G14" i="19"/>
  <c r="G99" i="19"/>
  <c r="G65" i="19"/>
  <c r="G9" i="17"/>
  <c r="G75" i="19"/>
  <c r="G31" i="18"/>
  <c r="G4" i="19"/>
  <c r="G9" i="18"/>
  <c r="G113" i="19"/>
  <c r="G35" i="18"/>
  <c r="G77" i="19"/>
  <c r="G33" i="18"/>
  <c r="G89" i="19"/>
  <c r="G81" i="19"/>
  <c r="G42" i="18"/>
  <c r="G21" i="19"/>
  <c r="G90" i="19"/>
  <c r="D4" i="20"/>
  <c r="G10" i="19"/>
  <c r="G26" i="19"/>
  <c r="G52" i="19"/>
  <c r="G35" i="19"/>
  <c r="G100" i="19"/>
  <c r="G24" i="19"/>
  <c r="G32" i="18"/>
  <c r="G19" i="19"/>
  <c r="G26" i="18"/>
  <c r="G28" i="18"/>
  <c r="G88" i="19"/>
  <c r="G36" i="19"/>
  <c r="E4" i="15"/>
  <c r="G85" i="19"/>
  <c r="G47" i="18"/>
  <c r="G44" i="19"/>
  <c r="G7" i="17"/>
  <c r="G83" i="19"/>
  <c r="G54" i="19"/>
  <c r="G12" i="19"/>
  <c r="G17" i="17"/>
  <c r="G107" i="19"/>
  <c r="G86" i="19"/>
  <c r="G102" i="19"/>
  <c r="G104" i="19"/>
  <c r="G72" i="19"/>
  <c r="G28" i="19"/>
  <c r="G71" i="19"/>
  <c r="G7" i="19"/>
  <c r="G23" i="19"/>
  <c r="G119" i="19"/>
  <c r="G60" i="19"/>
  <c r="G2" i="19"/>
  <c r="G15" i="19"/>
  <c r="G25" i="18"/>
  <c r="D83" i="22"/>
  <c r="G55" i="19"/>
  <c r="G33" i="19"/>
  <c r="G11" i="19"/>
  <c r="G41" i="18"/>
  <c r="G13" i="17"/>
  <c r="G46" i="19"/>
  <c r="G27" i="18"/>
  <c r="G112" i="19"/>
  <c r="G16" i="18"/>
  <c r="G48" i="19"/>
  <c r="G23" i="18"/>
  <c r="G5" i="18"/>
  <c r="G78" i="19"/>
  <c r="G109" i="19"/>
  <c r="G63" i="19"/>
  <c r="G6" i="19"/>
  <c r="G111" i="19"/>
  <c r="G57" i="19"/>
  <c r="F82" i="22"/>
  <c r="G120" i="19"/>
  <c r="G56" i="19"/>
  <c r="G38" i="19"/>
  <c r="G13" i="18"/>
  <c r="G32" i="19"/>
  <c r="G92" i="19"/>
  <c r="G116" i="19"/>
  <c r="G97" i="19"/>
  <c r="G18" i="19"/>
  <c r="G36" i="18"/>
  <c r="G24" i="18"/>
  <c r="G15" i="18"/>
  <c r="G34" i="19"/>
  <c r="G16" i="17"/>
  <c r="G14" i="18"/>
  <c r="G31" i="19"/>
  <c r="G29" i="19"/>
  <c r="G12" i="17"/>
  <c r="F2" i="16"/>
  <c r="G22" i="18"/>
  <c r="G21" i="18"/>
  <c r="G84" i="19"/>
  <c r="G20" i="18"/>
  <c r="G50" i="19"/>
  <c r="G114" i="19"/>
  <c r="G73" i="19"/>
  <c r="G87" i="19"/>
  <c r="G110" i="19"/>
  <c r="G13" i="19"/>
  <c r="G6" i="17"/>
  <c r="G45" i="19"/>
  <c r="G11" i="18"/>
  <c r="G43" i="19"/>
  <c r="G44" i="18"/>
  <c r="G17" i="18"/>
  <c r="G121" i="19"/>
  <c r="G105" i="19"/>
  <c r="G16" i="19"/>
  <c r="G64" i="19"/>
  <c r="G11" i="17"/>
  <c r="G68" i="19"/>
  <c r="G106" i="19"/>
  <c r="G37" i="18"/>
  <c r="G8" i="17"/>
  <c r="G18" i="18"/>
  <c r="G29" i="18"/>
  <c r="G47" i="19"/>
  <c r="G82" i="19"/>
  <c r="G8" i="18"/>
  <c r="G74" i="19"/>
  <c r="G103" i="19"/>
  <c r="G19" i="18"/>
  <c r="G46" i="18"/>
  <c r="G43" i="18"/>
  <c r="G38" i="18"/>
  <c r="G51" i="19"/>
  <c r="G117" i="19"/>
  <c r="G118" i="19"/>
  <c r="G30" i="18"/>
  <c r="G5" i="19"/>
  <c r="G62" i="19"/>
  <c r="G34" i="18"/>
  <c r="G49" i="19"/>
  <c r="G30" i="19"/>
  <c r="G42" i="19"/>
  <c r="G96" i="19"/>
  <c r="G10" i="17"/>
  <c r="G91" i="19"/>
  <c r="G81" i="22"/>
  <c r="G9" i="19"/>
  <c r="G95" i="19"/>
  <c r="G14" i="17"/>
  <c r="G69" i="19"/>
  <c r="G122" i="19"/>
  <c r="G67" i="19"/>
  <c r="G94" i="19"/>
  <c r="G25" i="19"/>
  <c r="G80" i="19"/>
  <c r="G45" i="18"/>
  <c r="G20" i="19"/>
  <c r="G79" i="19"/>
  <c r="G53" i="19"/>
  <c r="G98" i="19"/>
  <c r="G40" i="18"/>
  <c r="G7" i="18"/>
  <c r="G22" i="19"/>
  <c r="G37" i="19"/>
  <c r="G41" i="19"/>
  <c r="G17" i="19"/>
  <c r="G39" i="18"/>
  <c r="G8" i="19"/>
  <c r="G6" i="18"/>
  <c r="G12" i="18"/>
  <c r="G5" i="17"/>
  <c r="G61" i="19"/>
  <c r="G40" i="19"/>
  <c r="G70" i="19"/>
  <c r="G115" i="19"/>
  <c r="G10" i="18"/>
  <c r="G59" i="19"/>
  <c r="G15" i="17"/>
  <c r="G76" i="19"/>
  <c r="G58" i="19"/>
  <c r="G66" i="19"/>
  <c r="G93" i="19"/>
  <c r="G27" i="19"/>
  <c r="G108" i="19"/>
  <c r="Z32" i="18"/>
  <c r="Z25" i="18"/>
  <c r="Z44" i="18"/>
  <c r="Z13" i="18"/>
  <c r="Q3" i="20"/>
  <c r="Z43" i="18"/>
  <c r="Z21" i="18"/>
  <c r="Z40" i="18"/>
  <c r="Z16" i="18"/>
  <c r="Z33" i="18"/>
  <c r="Z7" i="18"/>
  <c r="Z42" i="18"/>
  <c r="Z15" i="18"/>
  <c r="Z22" i="18"/>
  <c r="Z14" i="18"/>
  <c r="Z38" i="18"/>
  <c r="Z34" i="18"/>
  <c r="Z17" i="18"/>
  <c r="Z31" i="18"/>
  <c r="Z11" i="18"/>
  <c r="Z28" i="18"/>
  <c r="Z6" i="18"/>
  <c r="Z39" i="18"/>
  <c r="Z26" i="18"/>
  <c r="Z47" i="18"/>
  <c r="Z9" i="18"/>
  <c r="Z29" i="18"/>
  <c r="Z12" i="18"/>
  <c r="Z41" i="18"/>
  <c r="Z24" i="18"/>
  <c r="Z23" i="18"/>
  <c r="Z18" i="18"/>
  <c r="Z35" i="18"/>
  <c r="Z45" i="18"/>
  <c r="Z46" i="18"/>
  <c r="Z36" i="18"/>
  <c r="Z10" i="18"/>
  <c r="Z8" i="18"/>
  <c r="Z37" i="18"/>
  <c r="Z19" i="18"/>
  <c r="Z30" i="18"/>
  <c r="Z27" i="18"/>
  <c r="Z20" i="18"/>
  <c r="E83" i="22" l="1"/>
  <c r="E5" i="13"/>
  <c r="E5" i="11"/>
  <c r="E5" i="12"/>
  <c r="C6" i="13"/>
  <c r="C6" i="12"/>
  <c r="C6" i="11"/>
  <c r="D84" i="22"/>
  <c r="F5" i="12"/>
  <c r="F83" i="22"/>
  <c r="F5" i="11"/>
  <c r="F5" i="13"/>
  <c r="G82" i="22"/>
  <c r="G83" i="22"/>
  <c r="E84" i="22" l="1"/>
  <c r="C7" i="13"/>
  <c r="E6" i="13"/>
  <c r="E4" i="12"/>
  <c r="C7" i="12"/>
  <c r="E6" i="12"/>
  <c r="E4" i="11"/>
  <c r="C7" i="11"/>
  <c r="E6" i="11"/>
  <c r="F6" i="12"/>
  <c r="F6" i="11"/>
  <c r="G5" i="12"/>
  <c r="D85" i="22"/>
  <c r="G5" i="13"/>
  <c r="F6" i="13"/>
  <c r="G5" i="11"/>
  <c r="F84" i="22"/>
  <c r="G84" i="22"/>
  <c r="E85" i="22" l="1"/>
  <c r="C8" i="13"/>
  <c r="E7" i="13"/>
  <c r="E7" i="12"/>
  <c r="C8" i="12"/>
  <c r="E7" i="11"/>
  <c r="C8" i="11"/>
  <c r="F7" i="12"/>
  <c r="G6" i="11"/>
  <c r="G6" i="12"/>
  <c r="D86" i="22"/>
  <c r="F85" i="22"/>
  <c r="F7" i="11"/>
  <c r="F7" i="13"/>
  <c r="G6" i="13"/>
  <c r="G85" i="22"/>
  <c r="E86" i="22" l="1"/>
  <c r="E8" i="13"/>
  <c r="C9" i="13"/>
  <c r="C9" i="12"/>
  <c r="E8" i="12"/>
  <c r="E8" i="11"/>
  <c r="C9" i="11"/>
  <c r="G7" i="11"/>
  <c r="F8" i="11"/>
  <c r="F8" i="12"/>
  <c r="G7" i="13"/>
  <c r="F8" i="13"/>
  <c r="F86" i="22"/>
  <c r="D87" i="22"/>
  <c r="G7" i="12"/>
  <c r="G86" i="22"/>
  <c r="E87" i="22" l="1"/>
  <c r="E4" i="13"/>
  <c r="C10" i="13"/>
  <c r="E9" i="13"/>
  <c r="E9" i="12"/>
  <c r="C10" i="12"/>
  <c r="C10" i="11"/>
  <c r="E9" i="11"/>
  <c r="F9" i="13"/>
  <c r="D88" i="22"/>
  <c r="G8" i="12"/>
  <c r="F9" i="12"/>
  <c r="G8" i="13"/>
  <c r="F9" i="11"/>
  <c r="F87" i="22"/>
  <c r="G8" i="11"/>
  <c r="G87" i="22"/>
  <c r="E88" i="22" l="1"/>
  <c r="E10" i="13"/>
  <c r="C11" i="13"/>
  <c r="E10" i="12"/>
  <c r="C11" i="12"/>
  <c r="E10" i="11"/>
  <c r="C11" i="11"/>
  <c r="G9" i="13"/>
  <c r="G9" i="11"/>
  <c r="F10" i="12"/>
  <c r="F10" i="11"/>
  <c r="D89" i="22"/>
  <c r="F10" i="13"/>
  <c r="F88" i="22"/>
  <c r="G9" i="12"/>
  <c r="G88" i="22"/>
  <c r="E89" i="22" l="1"/>
  <c r="E11" i="13"/>
  <c r="C12" i="13"/>
  <c r="E11" i="12"/>
  <c r="C12" i="12"/>
  <c r="C12" i="11"/>
  <c r="E11" i="11"/>
  <c r="F11" i="13"/>
  <c r="G10" i="11"/>
  <c r="F11" i="12"/>
  <c r="F89" i="22"/>
  <c r="F11" i="11"/>
  <c r="D90" i="22"/>
  <c r="G10" i="13"/>
  <c r="G10" i="12"/>
  <c r="G89" i="22"/>
  <c r="E90" i="22" l="1"/>
  <c r="E12" i="13"/>
  <c r="C13" i="13"/>
  <c r="E12" i="12"/>
  <c r="C13" i="12"/>
  <c r="E12" i="11"/>
  <c r="C13" i="11"/>
  <c r="D91" i="22"/>
  <c r="F12" i="13"/>
  <c r="F12" i="12"/>
  <c r="F90" i="22"/>
  <c r="G11" i="11"/>
  <c r="F12" i="11"/>
  <c r="G11" i="13"/>
  <c r="G11" i="12"/>
  <c r="G90" i="22"/>
  <c r="E91" i="22" l="1"/>
  <c r="E13" i="13"/>
  <c r="C14" i="13"/>
  <c r="E13" i="12"/>
  <c r="C14" i="12"/>
  <c r="E13" i="11"/>
  <c r="C14" i="11"/>
  <c r="F4" i="22"/>
  <c r="D92" i="22"/>
  <c r="G12" i="11"/>
  <c r="F13" i="13"/>
  <c r="F91" i="22"/>
  <c r="D93" i="22"/>
  <c r="G12" i="13"/>
  <c r="F13" i="11"/>
  <c r="G12" i="12"/>
  <c r="F13" i="12"/>
  <c r="G91" i="22"/>
  <c r="E92" i="22" l="1"/>
  <c r="E93" i="22"/>
  <c r="C15" i="13"/>
  <c r="E14" i="13"/>
  <c r="C15" i="12"/>
  <c r="E14" i="12"/>
  <c r="C15" i="11"/>
  <c r="E14" i="11"/>
  <c r="D94" i="22"/>
  <c r="F93" i="22"/>
  <c r="F92" i="22"/>
  <c r="G13" i="11"/>
  <c r="F14" i="12"/>
  <c r="F14" i="13"/>
  <c r="G13" i="13"/>
  <c r="G4" i="22"/>
  <c r="F14" i="11"/>
  <c r="G13" i="12"/>
  <c r="G93" i="22"/>
  <c r="G92" i="22"/>
  <c r="E94" i="22" l="1"/>
  <c r="C16" i="13"/>
  <c r="E15" i="13"/>
  <c r="E15" i="12"/>
  <c r="C16" i="12"/>
  <c r="E15" i="11"/>
  <c r="C16" i="11"/>
  <c r="D95" i="22"/>
  <c r="G14" i="13"/>
  <c r="G14" i="11"/>
  <c r="F15" i="12"/>
  <c r="G14" i="12"/>
  <c r="F15" i="11"/>
  <c r="F94" i="22"/>
  <c r="F15" i="13"/>
  <c r="G94" i="22"/>
  <c r="E95" i="22" l="1"/>
  <c r="E16" i="13"/>
  <c r="C17" i="13"/>
  <c r="C17" i="12"/>
  <c r="E16" i="12"/>
  <c r="E16" i="11"/>
  <c r="C17" i="11"/>
  <c r="F95" i="22"/>
  <c r="G15" i="12"/>
  <c r="F16" i="13"/>
  <c r="F16" i="11"/>
  <c r="G15" i="11"/>
  <c r="F16" i="12"/>
  <c r="G15" i="13"/>
  <c r="G95" i="22"/>
  <c r="E17" i="13" l="1"/>
  <c r="C18" i="13"/>
  <c r="C18" i="12"/>
  <c r="E17" i="12"/>
  <c r="C18" i="11"/>
  <c r="E17" i="11"/>
  <c r="G16" i="13"/>
  <c r="F17" i="12"/>
  <c r="F17" i="11"/>
  <c r="F17" i="13"/>
  <c r="G16" i="12"/>
  <c r="G16" i="11"/>
  <c r="C19" i="13" l="1"/>
  <c r="E18" i="13"/>
  <c r="E18" i="12"/>
  <c r="C19" i="12"/>
  <c r="E18" i="11"/>
  <c r="C19" i="11"/>
  <c r="G17" i="11"/>
  <c r="G17" i="13"/>
  <c r="F18" i="13"/>
  <c r="G17" i="12"/>
  <c r="F18" i="11"/>
  <c r="F18" i="12"/>
  <c r="E19" i="13" l="1"/>
  <c r="C20" i="13"/>
  <c r="C20" i="12"/>
  <c r="E19" i="12"/>
  <c r="C20" i="11"/>
  <c r="E19" i="11"/>
  <c r="G18" i="13"/>
  <c r="F19" i="12"/>
  <c r="F19" i="11"/>
  <c r="F19" i="13"/>
  <c r="G18" i="11"/>
  <c r="G18" i="12"/>
  <c r="E20" i="13" l="1"/>
  <c r="C21" i="13"/>
  <c r="C21" i="12"/>
  <c r="E20" i="12"/>
  <c r="E20" i="11"/>
  <c r="C21" i="11"/>
  <c r="F20" i="11"/>
  <c r="G19" i="12"/>
  <c r="G19" i="11"/>
  <c r="F20" i="12"/>
  <c r="F20" i="13"/>
  <c r="G19" i="13"/>
  <c r="E21" i="13" l="1"/>
  <c r="C22" i="13"/>
  <c r="E21" i="12"/>
  <c r="C22" i="12"/>
  <c r="E21" i="11"/>
  <c r="C22" i="11"/>
  <c r="G20" i="12"/>
  <c r="G20" i="13"/>
  <c r="F21" i="12"/>
  <c r="F21" i="13"/>
  <c r="G20" i="11"/>
  <c r="F21" i="11"/>
  <c r="C23" i="13" l="1"/>
  <c r="E22" i="13"/>
  <c r="C23" i="12"/>
  <c r="E22" i="12"/>
  <c r="C23" i="11"/>
  <c r="E22" i="11"/>
  <c r="G21" i="12"/>
  <c r="G21" i="11"/>
  <c r="F22" i="12"/>
  <c r="F22" i="13"/>
  <c r="F22" i="11"/>
  <c r="G21" i="13"/>
  <c r="C24" i="13" l="1"/>
  <c r="E23" i="13"/>
  <c r="E23" i="12"/>
  <c r="C24" i="12"/>
  <c r="E23" i="11"/>
  <c r="C24" i="11"/>
  <c r="F23" i="11"/>
  <c r="G22" i="11"/>
  <c r="G22" i="12"/>
  <c r="G22" i="13"/>
  <c r="F23" i="12"/>
  <c r="F23" i="13"/>
  <c r="E24" i="13" l="1"/>
  <c r="C25" i="13"/>
  <c r="E24" i="12"/>
  <c r="C25" i="12"/>
  <c r="E24" i="11"/>
  <c r="C25" i="11"/>
  <c r="F24" i="11"/>
  <c r="G23" i="11"/>
  <c r="F24" i="13"/>
  <c r="G23" i="13"/>
  <c r="G23" i="12"/>
  <c r="F24" i="12"/>
  <c r="E25" i="13" l="1"/>
  <c r="C26" i="13"/>
  <c r="C26" i="12"/>
  <c r="E25" i="12"/>
  <c r="C26" i="11"/>
  <c r="E25" i="11"/>
  <c r="F25" i="13"/>
  <c r="F25" i="11"/>
  <c r="G24" i="11"/>
  <c r="G24" i="12"/>
  <c r="G24" i="13"/>
  <c r="F25" i="12"/>
  <c r="C27" i="13" l="1"/>
  <c r="E26" i="13"/>
  <c r="E26" i="12"/>
  <c r="C27" i="12"/>
  <c r="E26" i="11"/>
  <c r="C27" i="11"/>
  <c r="G25" i="13"/>
  <c r="F26" i="12"/>
  <c r="F26" i="13"/>
  <c r="F26" i="11"/>
  <c r="G25" i="12"/>
  <c r="G25" i="11"/>
  <c r="E27" i="13" l="1"/>
  <c r="C28" i="13"/>
  <c r="C28" i="12"/>
  <c r="E27" i="12"/>
  <c r="C28" i="11"/>
  <c r="E27" i="11"/>
  <c r="F27" i="13"/>
  <c r="G26" i="12"/>
  <c r="F27" i="12"/>
  <c r="F27" i="11"/>
  <c r="G26" i="11"/>
  <c r="G26" i="13"/>
  <c r="C29" i="13" l="1"/>
  <c r="E28" i="13"/>
  <c r="E28" i="12"/>
  <c r="C29" i="12"/>
  <c r="C29" i="11"/>
  <c r="E28" i="11"/>
  <c r="F28" i="13"/>
  <c r="G27" i="11"/>
  <c r="F28" i="11"/>
  <c r="F28" i="12"/>
  <c r="G27" i="12"/>
  <c r="G27" i="13"/>
  <c r="E29" i="13" l="1"/>
  <c r="C30" i="13"/>
  <c r="E29" i="12"/>
  <c r="C30" i="12"/>
  <c r="E29" i="11"/>
  <c r="C30" i="11"/>
  <c r="F29" i="11"/>
  <c r="G28" i="13"/>
  <c r="G28" i="12"/>
  <c r="F29" i="13"/>
  <c r="F29" i="12"/>
  <c r="G28" i="11"/>
  <c r="C31" i="13" l="1"/>
  <c r="E30" i="13"/>
  <c r="C31" i="12"/>
  <c r="E30" i="12"/>
  <c r="C31" i="11"/>
  <c r="E30" i="11"/>
  <c r="G29" i="13"/>
  <c r="F30" i="12"/>
  <c r="G29" i="12"/>
  <c r="G29" i="11"/>
  <c r="F30" i="11"/>
  <c r="F30" i="13"/>
  <c r="C32" i="13" l="1"/>
  <c r="E31" i="13"/>
  <c r="E31" i="12"/>
  <c r="C32" i="12"/>
  <c r="E31" i="11"/>
  <c r="C32" i="11"/>
  <c r="G30" i="12"/>
  <c r="G30" i="11"/>
  <c r="F31" i="11"/>
  <c r="F31" i="13"/>
  <c r="G30" i="13"/>
  <c r="F31" i="12"/>
  <c r="E32" i="13" l="1"/>
  <c r="C33" i="13"/>
  <c r="E32" i="12"/>
  <c r="C33" i="12"/>
  <c r="E32" i="11"/>
  <c r="C33" i="11"/>
  <c r="F32" i="12"/>
  <c r="F32" i="11"/>
  <c r="G31" i="13"/>
  <c r="G31" i="11"/>
  <c r="F32" i="13"/>
  <c r="G31" i="12"/>
  <c r="E33" i="13" l="1"/>
  <c r="C34" i="13"/>
  <c r="C34" i="12"/>
  <c r="E33" i="12"/>
  <c r="C34" i="11"/>
  <c r="E33" i="11"/>
  <c r="F33" i="12"/>
  <c r="F33" i="13"/>
  <c r="G32" i="13"/>
  <c r="F33" i="11"/>
  <c r="G32" i="12"/>
  <c r="G32" i="11"/>
  <c r="C35" i="13" l="1"/>
  <c r="E34" i="13"/>
  <c r="E34" i="12"/>
  <c r="C35" i="12"/>
  <c r="E34" i="11"/>
  <c r="C35" i="11"/>
  <c r="G33" i="12"/>
  <c r="F34" i="13"/>
  <c r="G33" i="11"/>
  <c r="G33" i="13"/>
  <c r="F34" i="11"/>
  <c r="F34" i="12"/>
  <c r="E35" i="13" l="1"/>
  <c r="C36" i="13"/>
  <c r="C36" i="12"/>
  <c r="E35" i="12"/>
  <c r="C36" i="11"/>
  <c r="E35" i="11"/>
  <c r="G34" i="13"/>
  <c r="G34" i="11"/>
  <c r="F35" i="11"/>
  <c r="F35" i="12"/>
  <c r="F35" i="13"/>
  <c r="G34" i="12"/>
  <c r="E36" i="13" l="1"/>
  <c r="C37" i="13"/>
  <c r="E36" i="12"/>
  <c r="C37" i="12"/>
  <c r="E36" i="11"/>
  <c r="C37" i="11"/>
  <c r="F36" i="12"/>
  <c r="F36" i="11"/>
  <c r="G35" i="12"/>
  <c r="G35" i="11"/>
  <c r="F36" i="13"/>
  <c r="G35" i="13"/>
  <c r="E37" i="13" l="1"/>
  <c r="C38" i="13"/>
  <c r="E37" i="12"/>
  <c r="C38" i="12"/>
  <c r="E37" i="11"/>
  <c r="C38" i="11"/>
  <c r="G36" i="12"/>
  <c r="G36" i="11"/>
  <c r="F37" i="13"/>
  <c r="F37" i="12"/>
  <c r="G36" i="13"/>
  <c r="F37" i="11"/>
  <c r="C39" i="13" l="1"/>
  <c r="E38" i="13"/>
  <c r="C39" i="12"/>
  <c r="E38" i="12"/>
  <c r="C39" i="11"/>
  <c r="E38" i="11"/>
  <c r="G37" i="13"/>
  <c r="F38" i="12"/>
  <c r="F38" i="11"/>
  <c r="G37" i="11"/>
  <c r="G37" i="12"/>
  <c r="F38" i="13"/>
  <c r="C40" i="13" l="1"/>
  <c r="E39" i="13"/>
  <c r="C40" i="12"/>
  <c r="E39" i="12"/>
  <c r="E39" i="11"/>
  <c r="C40" i="11"/>
  <c r="G38" i="11"/>
  <c r="F39" i="13"/>
  <c r="F39" i="11"/>
  <c r="G38" i="13"/>
  <c r="G38" i="12"/>
  <c r="F39" i="12"/>
  <c r="E40" i="13" l="1"/>
  <c r="C41" i="13"/>
  <c r="E40" i="12"/>
  <c r="C41" i="12"/>
  <c r="E40" i="11"/>
  <c r="C41" i="11"/>
  <c r="F40" i="13"/>
  <c r="F40" i="12"/>
  <c r="F40" i="11"/>
  <c r="G39" i="11"/>
  <c r="G39" i="13"/>
  <c r="G39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1"/>
  <c r="G40" i="11"/>
  <c r="F42" i="12"/>
  <c r="G40" i="13"/>
  <c r="G40" i="12"/>
  <c r="F42" i="13"/>
  <c r="F41" i="12"/>
  <c r="F42" i="11"/>
  <c r="F41" i="13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63" i="8"/>
  <c r="F48" i="8"/>
  <c r="F60" i="7"/>
  <c r="F28" i="7"/>
  <c r="F15" i="8"/>
  <c r="F46" i="7"/>
  <c r="F66" i="7"/>
  <c r="F49" i="8"/>
  <c r="F48" i="7"/>
  <c r="F33" i="7"/>
  <c r="F19" i="8"/>
  <c r="F55" i="7"/>
  <c r="F64" i="8"/>
  <c r="F11" i="7"/>
  <c r="F50" i="7"/>
  <c r="F41" i="7"/>
  <c r="F20" i="8"/>
  <c r="F23" i="7"/>
  <c r="F28" i="8"/>
  <c r="F47" i="8"/>
  <c r="F19" i="7"/>
  <c r="F21" i="8"/>
  <c r="F49" i="7"/>
  <c r="F47" i="7"/>
  <c r="F58" i="8"/>
  <c r="F55" i="8"/>
  <c r="F60" i="8"/>
  <c r="F38" i="8"/>
  <c r="G42" i="12"/>
  <c r="F13" i="7"/>
  <c r="F43" i="7"/>
  <c r="F63" i="7"/>
  <c r="F31" i="8"/>
  <c r="F22" i="7"/>
  <c r="G41" i="13"/>
  <c r="F59" i="7"/>
  <c r="F27" i="8"/>
  <c r="F43" i="8"/>
  <c r="F35" i="7"/>
  <c r="F7" i="7"/>
  <c r="F37" i="8"/>
  <c r="F62" i="8"/>
  <c r="F41" i="8"/>
  <c r="F42" i="7"/>
  <c r="F26" i="7"/>
  <c r="F52" i="8"/>
  <c r="F53" i="7"/>
  <c r="F40" i="8"/>
  <c r="F17" i="8"/>
  <c r="G42" i="11"/>
  <c r="F44" i="8"/>
  <c r="F61" i="7"/>
  <c r="F53" i="8"/>
  <c r="F57" i="8"/>
  <c r="F34" i="8"/>
  <c r="F46" i="8"/>
  <c r="F36" i="7"/>
  <c r="F30" i="7"/>
  <c r="F35" i="8"/>
  <c r="F65" i="7"/>
  <c r="F33" i="8"/>
  <c r="F21" i="7"/>
  <c r="F9" i="8"/>
  <c r="F25" i="8"/>
  <c r="F12" i="8"/>
  <c r="F9" i="7"/>
  <c r="F39" i="7"/>
  <c r="F14" i="7"/>
  <c r="F16" i="8"/>
  <c r="F56" i="7"/>
  <c r="F30" i="8"/>
  <c r="G4" i="13"/>
  <c r="G42" i="13"/>
  <c r="F15" i="7"/>
  <c r="F22" i="8"/>
  <c r="F45" i="8"/>
  <c r="F32" i="7"/>
  <c r="F40" i="7"/>
  <c r="F17" i="7"/>
  <c r="F18" i="8"/>
  <c r="F8" i="8"/>
  <c r="F39" i="8"/>
  <c r="G41" i="11"/>
  <c r="F37" i="7"/>
  <c r="F62" i="7"/>
  <c r="F58" i="7"/>
  <c r="F57" i="7"/>
  <c r="F54" i="8"/>
  <c r="F34" i="7"/>
  <c r="F32" i="8"/>
  <c r="F16" i="7"/>
  <c r="F42" i="8"/>
  <c r="F66" i="8"/>
  <c r="F23" i="8"/>
  <c r="F65" i="8"/>
  <c r="F24" i="7"/>
  <c r="F12" i="7"/>
  <c r="G4" i="12"/>
  <c r="F25" i="7"/>
  <c r="F64" i="7"/>
  <c r="F13" i="8"/>
  <c r="F26" i="8"/>
  <c r="F56" i="8"/>
  <c r="F51" i="7"/>
  <c r="G41" i="12"/>
  <c r="F45" i="7"/>
  <c r="F24" i="8"/>
  <c r="F11" i="8"/>
  <c r="F36" i="8"/>
  <c r="F61" i="8"/>
  <c r="F10" i="8"/>
  <c r="F27" i="7"/>
  <c r="F54" i="7"/>
  <c r="F59" i="8"/>
  <c r="F51" i="8"/>
  <c r="F8" i="7"/>
  <c r="F20" i="7"/>
  <c r="F18" i="7"/>
  <c r="F50" i="8"/>
  <c r="F14" i="8"/>
  <c r="G4" i="11"/>
  <c r="F38" i="7"/>
  <c r="F44" i="7"/>
  <c r="F31" i="7"/>
  <c r="F29" i="8"/>
  <c r="F7" i="8"/>
  <c r="F10" i="7"/>
  <c r="F52" i="7"/>
  <c r="F29" i="7"/>
  <c r="F6" i="8" l="1"/>
  <c r="F6" i="7"/>
  <c r="S3" i="12"/>
  <c r="S3" i="13"/>
  <c r="G42" i="8"/>
  <c r="G58" i="8"/>
  <c r="G16" i="8"/>
  <c r="G52" i="8"/>
  <c r="G48" i="8"/>
  <c r="G40" i="8"/>
  <c r="G22" i="8"/>
  <c r="G56" i="7"/>
  <c r="G63" i="7"/>
  <c r="G47" i="7"/>
  <c r="G31" i="7"/>
  <c r="G25" i="8"/>
  <c r="G53" i="7"/>
  <c r="G61" i="7"/>
  <c r="G32" i="7"/>
  <c r="G65" i="8"/>
  <c r="G46" i="8"/>
  <c r="G11" i="7"/>
  <c r="G39" i="8"/>
  <c r="G38" i="7"/>
  <c r="G54" i="7"/>
  <c r="G47" i="8"/>
  <c r="G48" i="7"/>
  <c r="G59" i="7"/>
  <c r="G17" i="7"/>
  <c r="G16" i="7"/>
  <c r="G37" i="8"/>
  <c r="G30" i="7"/>
  <c r="G23" i="7"/>
  <c r="G66" i="8"/>
  <c r="I11" i="6"/>
  <c r="G32" i="8"/>
  <c r="G11" i="8"/>
  <c r="G60" i="8"/>
  <c r="G31" i="8"/>
  <c r="G62" i="8"/>
  <c r="G6" i="8"/>
  <c r="G57" i="8"/>
  <c r="G62" i="7"/>
  <c r="G61" i="8"/>
  <c r="G41" i="8"/>
  <c r="G20" i="8"/>
  <c r="G8" i="8"/>
  <c r="G6" i="7"/>
  <c r="G51" i="8"/>
  <c r="G36" i="7"/>
  <c r="G50" i="7"/>
  <c r="G28" i="8"/>
  <c r="G59" i="8"/>
  <c r="G29" i="7"/>
  <c r="G7" i="8"/>
  <c r="G33" i="7"/>
  <c r="G21" i="8"/>
  <c r="G9" i="7"/>
  <c r="G12" i="7"/>
  <c r="G24" i="8"/>
  <c r="G12" i="8"/>
  <c r="I9" i="6"/>
  <c r="G33" i="8"/>
  <c r="G42" i="7"/>
  <c r="G23" i="8"/>
  <c r="G55" i="7"/>
  <c r="G45" i="7"/>
  <c r="G34" i="8"/>
  <c r="G26" i="8"/>
  <c r="I12" i="6"/>
  <c r="G8" i="7"/>
  <c r="G14" i="8"/>
  <c r="G43" i="8"/>
  <c r="G21" i="7"/>
  <c r="G14" i="7"/>
  <c r="G35" i="7"/>
  <c r="G56" i="8"/>
  <c r="G13" i="8"/>
  <c r="G45" i="8"/>
  <c r="G37" i="7"/>
  <c r="G53" i="8"/>
  <c r="G66" i="7"/>
  <c r="G39" i="7"/>
  <c r="G25" i="7"/>
  <c r="G40" i="7"/>
  <c r="G57" i="7"/>
  <c r="G46" i="7"/>
  <c r="G49" i="8"/>
  <c r="G64" i="7"/>
  <c r="G20" i="7"/>
  <c r="G64" i="8"/>
  <c r="G52" i="7"/>
  <c r="G43" i="7"/>
  <c r="G36" i="8"/>
  <c r="G9" i="8"/>
  <c r="G27" i="7"/>
  <c r="G26" i="7"/>
  <c r="G15" i="7"/>
  <c r="G41" i="7"/>
  <c r="G35" i="8"/>
  <c r="G18" i="7"/>
  <c r="G10" i="7"/>
  <c r="G18" i="8"/>
  <c r="G27" i="8"/>
  <c r="G50" i="8"/>
  <c r="G28" i="7"/>
  <c r="I8" i="6"/>
  <c r="G44" i="7"/>
  <c r="G7" i="7"/>
  <c r="G58" i="7"/>
  <c r="G51" i="7"/>
  <c r="G65" i="7"/>
  <c r="G19" i="7"/>
  <c r="G55" i="8"/>
  <c r="G60" i="7"/>
  <c r="G15" i="8"/>
  <c r="G13" i="7"/>
  <c r="G29" i="8"/>
  <c r="G19" i="8"/>
  <c r="G34" i="7"/>
  <c r="G49" i="7"/>
  <c r="G22" i="7"/>
  <c r="G54" i="8"/>
  <c r="I7" i="6"/>
  <c r="G17" i="8"/>
  <c r="I6" i="6"/>
  <c r="G44" i="8"/>
  <c r="G10" i="8"/>
  <c r="G63" i="8"/>
  <c r="G38" i="8"/>
  <c r="G24" i="7"/>
  <c r="G30" i="8"/>
  <c r="Y3" i="22"/>
  <c r="U8" i="6" l="1"/>
  <c r="U7" i="6"/>
  <c r="U9" i="6"/>
  <c r="U11" i="6"/>
  <c r="U12" i="6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39" i="12" l="1"/>
  <c r="AB39" i="12" s="1"/>
  <c r="S3" i="11"/>
  <c r="X40" i="12" l="1"/>
  <c r="AB40" i="12" s="1"/>
  <c r="X5" i="11" a="1"/>
  <c r="X41" i="12" l="1"/>
  <c r="AB41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2" l="1"/>
  <c r="AB42" i="12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W3" i="24"/>
  <c r="M6" i="17" a="1"/>
  <c r="Y3" i="23"/>
  <c r="P3" i="15"/>
  <c r="AC42" i="12"/>
  <c r="X5" i="16"/>
  <c r="AJ15" i="12" l="1"/>
  <c r="AJ17" i="12"/>
  <c r="AJ32" i="12"/>
  <c r="AJ28" i="12"/>
  <c r="AJ21" i="12"/>
  <c r="AJ27" i="12"/>
  <c r="AJ36" i="12"/>
  <c r="AJ9" i="12"/>
  <c r="AJ11" i="12"/>
  <c r="AJ26" i="12"/>
  <c r="AJ40" i="12"/>
  <c r="AJ41" i="12"/>
  <c r="AJ30" i="12"/>
  <c r="AJ38" i="12"/>
  <c r="AJ34" i="12"/>
  <c r="AJ14" i="12"/>
  <c r="AJ24" i="12"/>
  <c r="AJ5" i="12"/>
  <c r="AJ25" i="12"/>
  <c r="AJ42" i="12"/>
  <c r="AJ8" i="12"/>
  <c r="AJ10" i="12"/>
  <c r="AJ19" i="12"/>
  <c r="AJ20" i="12"/>
  <c r="AJ29" i="12"/>
  <c r="X39" i="11"/>
  <c r="AB39" i="11" s="1"/>
  <c r="M7" i="17"/>
  <c r="M6" i="17"/>
  <c r="M8" i="17"/>
  <c r="M9" i="17"/>
  <c r="AC16" i="12"/>
  <c r="AC15" i="13"/>
  <c r="AC10" i="13"/>
  <c r="AC21" i="12"/>
  <c r="AC9" i="13"/>
  <c r="AC14" i="13"/>
  <c r="AC24" i="12"/>
  <c r="AC34" i="12"/>
  <c r="AC18" i="13"/>
  <c r="AC26" i="12"/>
  <c r="AC5" i="13"/>
  <c r="AC31" i="13"/>
  <c r="AC32" i="13"/>
  <c r="AC37" i="13"/>
  <c r="AC11" i="12"/>
  <c r="AC19" i="12"/>
  <c r="AC39" i="13"/>
  <c r="AC23" i="12"/>
  <c r="AC24" i="13"/>
  <c r="AC42" i="13"/>
  <c r="AC27" i="13"/>
  <c r="AC25" i="12"/>
  <c r="AC36" i="13"/>
  <c r="AC30" i="13"/>
  <c r="AC33" i="12"/>
  <c r="AC28" i="13"/>
  <c r="AC22" i="13"/>
  <c r="AC40" i="12"/>
  <c r="AC25" i="13"/>
  <c r="AC12" i="13"/>
  <c r="AC34" i="13"/>
  <c r="AC28" i="12"/>
  <c r="AC21" i="13"/>
  <c r="AC38" i="13"/>
  <c r="AC22" i="12"/>
  <c r="AC26" i="13"/>
  <c r="AC5" i="12"/>
  <c r="AC41" i="12"/>
  <c r="AC27" i="12"/>
  <c r="AC33" i="13"/>
  <c r="AC17" i="13"/>
  <c r="AC8" i="13"/>
  <c r="AC19" i="13"/>
  <c r="AC31" i="12"/>
  <c r="AC41" i="13"/>
  <c r="AC13" i="12"/>
  <c r="AC16" i="13"/>
  <c r="AC30" i="12"/>
  <c r="AC32" i="12"/>
  <c r="AC18" i="12"/>
  <c r="AC11" i="13"/>
  <c r="AC17" i="12"/>
  <c r="AC6" i="12"/>
  <c r="AC7" i="13"/>
  <c r="AC8" i="12"/>
  <c r="AC39" i="12"/>
  <c r="AC35" i="13"/>
  <c r="AC35" i="12"/>
  <c r="AC14" i="12"/>
  <c r="AC13" i="13"/>
  <c r="AC7" i="12"/>
  <c r="AC37" i="12"/>
  <c r="AC40" i="13"/>
  <c r="AC10" i="12"/>
  <c r="AC6" i="13"/>
  <c r="AC29" i="12"/>
  <c r="AC38" i="12"/>
  <c r="AC20" i="12"/>
  <c r="AC36" i="12"/>
  <c r="AC12" i="12"/>
  <c r="AC15" i="12"/>
  <c r="AC9" i="12"/>
  <c r="AC23" i="13"/>
  <c r="AC20" i="13"/>
  <c r="AC29" i="13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38" i="11"/>
  <c r="AC32" i="11"/>
  <c r="AC35" i="11"/>
  <c r="AC10" i="11"/>
  <c r="AC20" i="11"/>
  <c r="AC27" i="11"/>
  <c r="AC18" i="11"/>
  <c r="AC14" i="11"/>
  <c r="AC21" i="11"/>
  <c r="AC13" i="11"/>
  <c r="AC6" i="11"/>
  <c r="AC16" i="11"/>
  <c r="AC41" i="11"/>
  <c r="AC42" i="11"/>
  <c r="AC39" i="11"/>
  <c r="AC17" i="11"/>
  <c r="AC24" i="11"/>
  <c r="AC29" i="11"/>
  <c r="AC12" i="11"/>
  <c r="AC33" i="11"/>
  <c r="AC11" i="11"/>
  <c r="AC9" i="11"/>
  <c r="AC37" i="11"/>
  <c r="AC5" i="11"/>
  <c r="AC22" i="11"/>
  <c r="AC7" i="11"/>
  <c r="AC40" i="11"/>
  <c r="AC34" i="11"/>
  <c r="AC28" i="11"/>
  <c r="AC19" i="11"/>
  <c r="AC30" i="11"/>
  <c r="AC8" i="11"/>
  <c r="AC36" i="11"/>
  <c r="AC31" i="11"/>
  <c r="AC25" i="11"/>
  <c r="AC26" i="11"/>
  <c r="AC15" i="11"/>
  <c r="AC2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Z4" i="18"/>
  <c r="AC3" i="13"/>
  <c r="AN5" i="18"/>
  <c r="AC3" i="12"/>
  <c r="AC3" i="25"/>
  <c r="S4" i="13"/>
  <c r="J4" i="15"/>
  <c r="O4" i="23"/>
  <c r="S4" i="26"/>
  <c r="U27" i="15"/>
  <c r="F4" i="55"/>
  <c r="S4" i="11"/>
  <c r="S4" i="12"/>
  <c r="D3" i="61"/>
  <c r="N6" i="16"/>
  <c r="O5" i="17"/>
  <c r="M4" i="24"/>
  <c r="O5" i="18"/>
  <c r="S4" i="25"/>
  <c r="D3" i="60"/>
  <c r="O4" i="22"/>
  <c r="AM4" i="18" l="1"/>
  <c r="Q10" i="6"/>
  <c r="H10" i="6"/>
  <c r="F10" i="6"/>
  <c r="AM10" i="18"/>
  <c r="AM15" i="18"/>
  <c r="AM28" i="18"/>
  <c r="AM36" i="18"/>
  <c r="AM47" i="18"/>
  <c r="AM8" i="18"/>
  <c r="AM19" i="18"/>
  <c r="AM40" i="18"/>
  <c r="AM21" i="18"/>
  <c r="AM16" i="18"/>
  <c r="AN16" i="18" s="1"/>
  <c r="AM7" i="18"/>
  <c r="R2" i="64"/>
  <c r="AN36" i="18"/>
  <c r="AN47" i="18"/>
  <c r="AN19" i="18"/>
  <c r="AM45" i="18"/>
  <c r="AM11" i="18"/>
  <c r="AN11" i="18" s="1"/>
  <c r="AM12" i="18"/>
  <c r="AM6" i="18"/>
  <c r="AM23" i="18"/>
  <c r="AM39" i="18"/>
  <c r="AM24" i="18"/>
  <c r="AN28" i="18"/>
  <c r="S1" i="65"/>
  <c r="AN7" i="18"/>
  <c r="AN15" i="18"/>
  <c r="AM30" i="18"/>
  <c r="AM29" i="18"/>
  <c r="AM20" i="18"/>
  <c r="AM25" i="18"/>
  <c r="AM43" i="18"/>
  <c r="AM41" i="18"/>
  <c r="AM27" i="18"/>
  <c r="AN43" i="18"/>
  <c r="AM46" i="18"/>
  <c r="AM42" i="18"/>
  <c r="AN42" i="18" s="1"/>
  <c r="AN41" i="18"/>
  <c r="D6" i="56"/>
  <c r="AM26" i="18"/>
  <c r="AN26" i="18" s="1"/>
  <c r="AM37" i="18"/>
  <c r="AM38" i="18"/>
  <c r="AM13" i="18"/>
  <c r="AM18" i="18"/>
  <c r="AM17" i="18"/>
  <c r="AN17" i="18" s="1"/>
  <c r="AM31" i="18"/>
  <c r="AM9" i="18"/>
  <c r="AN40" i="18"/>
  <c r="AM33" i="18"/>
  <c r="AN33" i="18" s="1"/>
  <c r="AM22" i="18"/>
  <c r="AM44" i="18"/>
  <c r="AN44" i="18" s="1"/>
  <c r="AN37" i="18"/>
  <c r="AN31" i="18"/>
  <c r="AN30" i="18"/>
  <c r="AM32" i="18"/>
  <c r="AN32" i="18" s="1"/>
  <c r="AM34" i="18"/>
  <c r="AN34" i="18" s="1"/>
  <c r="AN23" i="18"/>
  <c r="AN6" i="18"/>
  <c r="AM14" i="18"/>
  <c r="AN14" i="18" s="1"/>
  <c r="AN10" i="18"/>
  <c r="AN45" i="18"/>
  <c r="AM35" i="18"/>
  <c r="AN35" i="18" s="1"/>
  <c r="AN27" i="18"/>
  <c r="I10" i="6"/>
  <c r="O10" i="6"/>
  <c r="AN22" i="18"/>
  <c r="AN29" i="18"/>
  <c r="AN9" i="18"/>
  <c r="AN24" i="18"/>
  <c r="AN18" i="18"/>
  <c r="AN39" i="18"/>
  <c r="AN13" i="18"/>
  <c r="AN12" i="18"/>
  <c r="AN38" i="18"/>
  <c r="AN21" i="18"/>
  <c r="AN46" i="18"/>
  <c r="AN8" i="18"/>
  <c r="AN25" i="18"/>
  <c r="AN20" i="18"/>
  <c r="D7" i="56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<sst xmlns="http://schemas.openxmlformats.org/spreadsheetml/2006/main" count="2828" uniqueCount="344">
  <si>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</si>
  <si>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</si>
  <si>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</si>
  <si>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</si>
  <si>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</si>
  <si>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</si>
  <si>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</si>
  <si>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</si>
  <si>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</si>
  <si>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</si>
  <si>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</si>
  <si>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</si>
  <si>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</si>
  <si>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</si>
  <si>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</si>
  <si>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</si>
  <si>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</si>
  <si>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</si>
  <si>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</si>
  <si>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</si>
  <si>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</si>
  <si>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</si>
  <si>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</si>
  <si>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</si>
  <si>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</si>
  <si>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</si>
  <si>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</si>
  <si>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</si>
  <si>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</si>
  <si>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</si>
  <si>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</si>
  <si>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</si>
  <si>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</si>
  <si>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</si>
  <si>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</si>
  <si>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</si>
  <si>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</si>
  <si>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</si>
  <si>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</si>
  <si>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</si>
  <si>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</si>
  <si>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</si>
  <si>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</si>
  <si>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</si>
  <si>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</si>
  <si>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</si>
  <si>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</si>
  <si>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</si>
  <si>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</si>
  <si>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</si>
  <si>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</si>
  <si>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</si>
  <si>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</si>
  <si>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</si>
  <si>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</si>
  <si>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</si>
  <si>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</si>
  <si>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</si>
  <si>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</si>
  <si>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</si>
  <si>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</si>
  <si>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</si>
  <si>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</si>
  <si>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</si>
  <si>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</si>
  <si>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</si>
  <si>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</si>
  <si>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</si>
  <si>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</si>
  <si>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</si>
  <si>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</si>
  <si>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</si>
  <si>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</si>
  <si>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</si>
  <si>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</si>
  <si>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</si>
  <si>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</si>
  <si>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</si>
  <si>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</si>
  <si>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</si>
  <si>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</si>
  <si>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</si>
  <si>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</si>
  <si>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</si>
  <si>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</si>
  <si>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</si>
  <si>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</si>
  <si>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</si>
  <si>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</si>
  <si>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</si>
  <si>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</si>
  <si>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</si>
  <si>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</si>
  <si>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</si>
  <si>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</si>
  <si>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</si>
  <si>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</si>
  <si>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</si>
  <si>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</si>
  <si>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</si>
  <si>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</si>
  <si>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</si>
  <si>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</si>
  <si>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</si>
  <si>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</si>
  <si>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</si>
  <si>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</si>
  <si>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</si>
  <si>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</si>
  <si>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</si>
  <si>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</si>
  <si>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</si>
  <si>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</si>
  <si>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</si>
  <si>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</si>
  <si>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</si>
  <si>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</si>
  <si>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</si>
  <si>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</si>
  <si>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</si>
  <si>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</si>
  <si>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</si>
  <si>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</si>
  <si>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</si>
  <si>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</si>
  <si>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</si>
  <si>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</si>
  <si>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</si>
  <si>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</si>
  <si>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</si>
  <si>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</si>
  <si>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</si>
  <si>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</si>
  <si>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</si>
  <si>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</si>
  <si>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</si>
  <si>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</si>
  <si>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</si>
  <si>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</si>
  <si>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</si>
  <si>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</si>
  <si>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</si>
  <si>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</si>
  <si>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</si>
  <si>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</si>
  <si>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</si>
  <si>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</si>
  <si>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</si>
  <si>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</si>
  <si>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</si>
  <si>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</si>
  <si>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</si>
  <si>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</si>
  <si>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</si>
  <si>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</si>
  <si>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</si>
  <si>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</si>
  <si>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</si>
  <si>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</si>
  <si>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</si>
  <si>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</si>
  <si>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</si>
  <si>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</si>
  <si>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</si>
  <si>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</si>
  <si>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</si>
  <si>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</si>
  <si>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</si>
  <si>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</si>
  <si>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</si>
  <si>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</si>
  <si>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</si>
  <si>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</si>
  <si>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</si>
  <si>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</si>
  <si>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</si>
  <si>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</si>
  <si>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</si>
  <si>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</si>
  <si>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</si>
  <si>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</si>
  <si>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</si>
  <si>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</si>
  <si>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</si>
  <si>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</si>
  <si>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</si>
  <si>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</si>
  <si>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</si>
  <si>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</si>
  <si>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</si>
  <si>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</si>
  <si>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</si>
  <si>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</si>
  <si>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</si>
  <si>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</si>
  <si>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</si>
  <si>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</si>
  <si>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</si>
  <si>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</si>
  <si>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</si>
  <si>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</si>
  <si>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</si>
  <si>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</si>
  <si>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</si>
  <si>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</si>
  <si>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</si>
  <si>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</si>
  <si>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</si>
  <si>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</si>
  <si>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</si>
  <si>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</si>
  <si>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</si>
  <si>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</si>
  <si>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</si>
  <si>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</si>
  <si>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</si>
  <si>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</si>
  <si>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</si>
  <si>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</si>
  <si>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</si>
  <si>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</si>
  <si>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</si>
  <si>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</si>
  <si>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</si>
  <si>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</si>
  <si>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</si>
  <si>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</si>
  <si>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</si>
  <si>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</si>
  <si>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</si>
  <si>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</si>
  <si>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</si>
  <si>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</si>
  <si>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</si>
  <si>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</si>
  <si>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</si>
  <si>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</si>
  <si>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</si>
  <si>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</si>
  <si>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</si>
  <si>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</si>
  <si>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</si>
  <si>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</si>
  <si>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</si>
  <si>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</si>
  <si>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</si>
  <si>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</si>
  <si>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</si>
  <si>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</si>
  <si>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</si>
  <si>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</si>
  <si>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</si>
  <si>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</si>
  <si>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</si>
  <si>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</si>
  <si>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</si>
  <si>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</si>
  <si>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</si>
  <si>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</si>
  <si>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</si>
  <si>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</si>
  <si>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</si>
  <si>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</si>
  <si>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</si>
  <si>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</si>
  <si>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</si>
  <si>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</si>
  <si>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</si>
  <si>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</si>
  <si>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</si>
  <si>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</si>
  <si>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</si>
  <si>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</si>
  <si>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</si>
  <si>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</si>
  <si>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</si>
  <si>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</si>
  <si>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</si>
  <si>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</si>
  <si>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</si>
  <si>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</si>
  <si>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</si>
  <si>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</si>
  <si>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</si>
  <si>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</si>
  <si>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</si>
  <si>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</si>
  <si>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</si>
  <si>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</si>
  <si>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</si>
  <si>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</si>
  <si>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</si>
  <si>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</si>
  <si>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</si>
  <si>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</si>
  <si>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</si>
  <si>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</si>
  <si>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</si>
  <si>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</si>
  <si>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</si>
  <si>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</si>
  <si>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</si>
  <si>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</si>
  <si>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</si>
  <si>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</si>
  <si>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</si>
  <si>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</si>
  <si>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</si>
  <si>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</si>
  <si>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</si>
  <si>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</si>
  <si>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</si>
  <si>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</si>
  <si>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</si>
  <si>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</si>
  <si>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</si>
  <si>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</si>
  <si>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</si>
  <si>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</si>
  <si>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</si>
  <si>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</si>
  <si>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</si>
  <si>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</si>
  <si>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</si>
  <si>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</si>
  <si>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</si>
  <si>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</si>
  <si>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</si>
  <si>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</si>
  <si>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</si>
  <si>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</si>
  <si>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</si>
  <si>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</si>
  <si>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</si>
  <si>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</si>
  <si>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</si>
  <si>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</si>
  <si>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</si>
  <si>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</si>
  <si>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</si>
  <si>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</si>
  <si>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</si>
  <si>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>LAST_QUOTE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</si>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</sst>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62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9" fillId="3" borderId="16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8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7" xfId="4" applyNumberFormat="1" applyFont="1" applyFill="1" applyBorder="1" applyAlignment="1"/>
    <xf numFmtId="169" fontId="5" fillId="0" borderId="5" xfId="4" applyNumberFormat="1" applyFont="1" applyBorder="1"/>
    <xf numFmtId="0" fontId="9" fillId="3" borderId="16" xfId="1" applyFont="1" applyFill="1" applyBorder="1" applyAlignment="1"/>
    <xf numFmtId="2" fontId="5" fillId="13" borderId="20" xfId="4" applyNumberFormat="1" applyFont="1" applyFill="1" applyBorder="1" applyAlignment="1">
      <alignment horizontal="center"/>
    </xf>
    <xf numFmtId="2" fontId="5" fillId="13" borderId="15" xfId="4" applyNumberFormat="1" applyFont="1" applyFill="1" applyBorder="1" applyAlignment="1">
      <alignment horizontal="center"/>
    </xf>
    <xf numFmtId="0" fontId="26" fillId="9" borderId="10" xfId="1" applyFont="1" applyFill="1" applyBorder="1"/>
    <xf numFmtId="0" fontId="26" fillId="9" borderId="9" xfId="1" applyFont="1" applyFill="1" applyBorder="1"/>
    <xf numFmtId="0" fontId="26" fillId="9" borderId="8" xfId="1" applyFont="1" applyFill="1" applyBorder="1"/>
    <xf numFmtId="0" fontId="26" fillId="9" borderId="7" xfId="2" applyFont="1" applyFill="1" applyBorder="1"/>
    <xf numFmtId="0" fontId="26" fillId="9" borderId="0" xfId="2" applyFont="1" applyFill="1" applyBorder="1"/>
    <xf numFmtId="0" fontId="26" fillId="9" borderId="9" xfId="2" applyFont="1" applyFill="1" applyBorder="1"/>
    <xf numFmtId="0" fontId="26" fillId="9" borderId="0" xfId="1" applyFont="1" applyFill="1" applyBorder="1"/>
    <xf numFmtId="177" fontId="26" fillId="9" borderId="10" xfId="12" applyNumberFormat="1" applyFont="1" applyFill="1" applyBorder="1" applyAlignment="1"/>
    <xf numFmtId="0" fontId="26" fillId="9" borderId="11" xfId="1" applyFont="1" applyFill="1" applyBorder="1"/>
    <xf numFmtId="0" fontId="26" fillId="9" borderId="0" xfId="1" applyFont="1" applyFill="1"/>
    <xf numFmtId="0" fontId="26" fillId="9" borderId="4" xfId="1" applyFont="1" applyFill="1" applyBorder="1"/>
    <xf numFmtId="0" fontId="26" fillId="9" borderId="32" xfId="1" applyFont="1" applyFill="1" applyBorder="1"/>
    <xf numFmtId="169" fontId="26" fillId="9" borderId="33" xfId="12" applyNumberFormat="1" applyFont="1" applyFill="1" applyBorder="1" applyAlignment="1"/>
    <xf numFmtId="0" fontId="26" fillId="9" borderId="7" xfId="1" applyFont="1" applyFill="1" applyBorder="1"/>
    <xf numFmtId="0" fontId="26" fillId="4" borderId="5" xfId="1" applyNumberFormat="1" applyFont="1" applyFill="1" applyBorder="1" applyAlignment="1" applyProtection="1"/>
    <xf numFmtId="177" fontId="26" fillId="9" borderId="34" xfId="12" applyNumberFormat="1" applyFont="1" applyFill="1" applyBorder="1" applyAlignment="1">
      <alignment horizontal="center" vertical="center" wrapText="1"/>
    </xf>
    <xf numFmtId="169" fontId="26" fillId="9" borderId="27" xfId="12" applyNumberFormat="1" applyFont="1" applyFill="1" applyBorder="1" applyAlignment="1">
      <alignment horizontal="center" vertical="center" wrapText="1"/>
    </xf>
    <xf numFmtId="177" fontId="26" fillId="9" borderId="35" xfId="12" applyNumberFormat="1" applyFont="1" applyFill="1" applyBorder="1" applyAlignment="1">
      <alignment horizontal="center" vertical="center"/>
    </xf>
    <xf numFmtId="169" fontId="26" fillId="9" borderId="36" xfId="12" applyNumberFormat="1" applyFont="1" applyFill="1" applyBorder="1" applyAlignment="1">
      <alignment vertical="center"/>
    </xf>
    <xf numFmtId="0" fontId="26" fillId="9" borderId="3" xfId="2" applyFont="1" applyFill="1" applyBorder="1"/>
    <xf numFmtId="0" fontId="26" fillId="9" borderId="2" xfId="2" applyFont="1" applyFill="1" applyBorder="1"/>
    <xf numFmtId="0" fontId="26" fillId="9" borderId="2" xfId="1" applyFont="1" applyFill="1" applyBorder="1"/>
    <xf numFmtId="0" fontId="26" fillId="9" borderId="1" xfId="1" applyFont="1" applyFill="1" applyBorder="1"/>
    <xf numFmtId="0" fontId="9" fillId="9" borderId="16" xfId="1" applyFont="1" applyFill="1" applyBorder="1" applyAlignment="1">
      <alignment horizontal="center" vertical="center" wrapText="1"/>
    </xf>
    <xf numFmtId="0" fontId="5" fillId="9" borderId="0" xfId="1" applyFont="1" applyFill="1" applyBorder="1" applyAlignment="1">
      <alignment horizontal="center"/>
    </xf>
    <xf numFmtId="169" fontId="9" fillId="9" borderId="5" xfId="4" applyNumberFormat="1" applyFont="1" applyFill="1" applyBorder="1" applyAlignment="1">
      <alignment horizontal="center" vertical="center" wrapText="1"/>
    </xf>
    <xf numFmtId="0" fontId="9" fillId="9" borderId="6" xfId="1" applyFont="1" applyFill="1" applyBorder="1" applyAlignment="1">
      <alignment horizontal="center" vertical="center" wrapText="1"/>
    </xf>
    <xf numFmtId="169" fontId="5" fillId="9" borderId="26" xfId="4" applyNumberFormat="1" applyFont="1" applyFill="1" applyBorder="1"/>
    <xf numFmtId="169" fontId="5" fillId="9" borderId="21" xfId="4" applyNumberFormat="1" applyFont="1" applyFill="1" applyBorder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169" fontId="5" fillId="9" borderId="14" xfId="4" applyNumberFormat="1" applyFont="1" applyFill="1" applyBorder="1"/>
    <xf numFmtId="169" fontId="5" fillId="9" borderId="19" xfId="4" applyNumberFormat="1" applyFont="1" applyFill="1" applyBorder="1" applyAlignment="1">
      <alignment horizontal="center"/>
    </xf>
    <xf numFmtId="170" fontId="5" fillId="9" borderId="15" xfId="4" applyNumberFormat="1" applyFont="1" applyFill="1" applyBorder="1" applyAlignment="1">
      <alignment horizontal="center"/>
    </xf>
    <xf numFmtId="0" fontId="7" fillId="6" borderId="29" xfId="1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9" fillId="9" borderId="5" xfId="1" applyFont="1" applyFill="1" applyBorder="1" applyAlignment="1">
      <alignment horizontal="center" vertical="center" wrapText="1"/>
    </xf>
    <xf numFmtId="170" fontId="9" fillId="9" borderId="5" xfId="4" applyNumberFormat="1" applyFont="1" applyFill="1" applyBorder="1" applyAlignment="1">
      <alignment horizontal="center" vertical="center" wrapText="1"/>
    </xf>
    <xf numFmtId="0" fontId="5" fillId="9" borderId="26" xfId="4" applyNumberFormat="1" applyFont="1" applyFill="1" applyBorder="1" applyAlignment="1">
      <alignment horizontal="center"/>
    </xf>
    <xf numFmtId="170" fontId="5" fillId="9" borderId="26" xfId="4" applyNumberFormat="1" applyFont="1" applyFill="1" applyBorder="1" applyAlignment="1"/>
    <xf numFmtId="169" fontId="5" fillId="9" borderId="26" xfId="4" applyNumberFormat="1" applyFont="1" applyFill="1" applyBorder="1" applyAlignment="1">
      <alignment horizontal="center"/>
    </xf>
    <xf numFmtId="0" fontId="5" fillId="9" borderId="14" xfId="4" applyNumberFormat="1" applyFont="1" applyFill="1" applyBorder="1" applyAlignment="1">
      <alignment horizontal="center"/>
    </xf>
    <xf numFmtId="170" fontId="5" fillId="9" borderId="14" xfId="4" applyNumberFormat="1" applyFont="1" applyFill="1" applyBorder="1" applyAlignment="1"/>
    <xf numFmtId="169" fontId="5" fillId="9" borderId="14" xfId="4" applyNumberFormat="1" applyFont="1" applyFill="1" applyBorder="1" applyAlignment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10:05:48</v>
        <stp/>
        <stp>{A77A17FC-B4FA-4244-A094-2F6C962A2919}_x0000_</stp>
        <tr r="N22" s="6"/>
      </tp>
    </main>
    <main first="pldatasource.rdatartdserver">
      <tp t="s">
        <v>Updated at 10:07:10</v>
        <stp/>
        <stp>{ACBBCC94-5625-493D-AE78-477A541DE8E6}</stp>
        <tr r="S4" s="12"/>
      </tp>
      <tp t="s">
        <v>Updated at 10:08:07</v>
        <stp/>
        <stp>{2013755E-F797-4E68-B0E4-467146BA96E4}</stp>
        <tr r="O5" s="18"/>
      </tp>
      <tp t="s">
        <v>Updated at 10:08:06</v>
        <stp/>
        <stp>{9599BAC7-DED0-46C1-AF99-0BD64CE62932}</stp>
        <tr r="N6" s="16"/>
      </tp>
      <tp t="s">
        <v>Updated at 10:05:48</v>
        <stp/>
        <stp>{4477FECB-C7D9-41A0-9512-C25591C7393A}</stp>
        <tr r="K5" s="6"/>
      </tp>
      <tp t="s">
        <v>Updated at 10:08:07</v>
        <stp/>
        <stp>{0BFD19D7-F4F6-44B7-BEEF-F8681ACBD171}</stp>
        <tr r="S4" s="25"/>
      </tp>
      <tp t="s">
        <v>Updated at 10:05:48</v>
        <stp/>
        <stp>{D0B2D430-E4EE-4CD2-9472-6CA4000FF755}</stp>
        <tr r="M6" s="8"/>
      </tp>
      <tp t="s">
        <v>Updated at 10:05:48</v>
        <stp/>
        <stp>{31D0070A-3F15-4B0F-AEEB-6EF3A6416320}</stp>
        <tr r="U27" s="15"/>
      </tp>
      <tp t="s">
        <v>Updated at 10:05:48</v>
        <stp/>
        <stp>{ACDD02DE-3696-4D0F-9367-D30EE788997A}</stp>
        <tr r="S4" s="13"/>
      </tp>
      <tp t="s">
        <v>Updated at 10:05:57</v>
        <stp/>
        <stp>{3631C139-FB3D-4D50-8121-D32FE98395F2}</stp>
        <tr r="M6" s="7"/>
      </tp>
      <tp t="s">
        <v>Updated at 10:07:41</v>
        <stp/>
        <stp>{AE60B47F-1C94-4A07-BF95-CC99FCC0EE2F}</stp>
        <tr r="J4" s="15"/>
      </tp>
      <tp t="s">
        <v>Updated at 10:05:48</v>
        <stp/>
        <stp>{35190544-D3C3-45C2-8FE8-D5283C75B872}</stp>
        <tr r="F4" s="55"/>
      </tp>
      <tp t="s">
        <v>Updated at 10:05:48</v>
        <stp/>
        <stp>{105C572D-5C7D-4B8C-88CC-64D9B79C2EFE}</stp>
        <tr r="O5" s="17"/>
      </tp>
      <tp t="s">
        <v>Updated at 10:07:48</v>
        <stp/>
        <stp>{23F72FD0-E72C-4375-A913-AD196E574C8E}</stp>
        <tr r="M4" s="24"/>
      </tp>
      <tp t="s">
        <v>Updated at 10:08:06</v>
        <stp/>
        <stp>{5EB65189-0AD1-4EF7-875A-378D799F18C6}</stp>
        <tr r="O4" s="23"/>
      </tp>
      <tp t="s">
        <v>Updated at 10:08:07</v>
        <stp/>
        <stp>{268F730D-952D-45ED-B604-DB32C0D92681}</stp>
        <tr r="K2" s="65"/>
      </tp>
      <tp t="s">
        <v>Updated at 10:05:48</v>
        <stp/>
        <stp>{7D898A83-A78F-4F4A-961D-5E4D2A20E920}</stp>
        <tr r="S4" s="11"/>
      </tp>
      <tp t="s">
        <v>Updated at 10:08:06</v>
        <stp/>
        <stp>{E2344A0A-2027-4EA0-843F-C572461A9665}</stp>
        <tr r="O4" s="22"/>
      </tp>
      <tp t="s">
        <v>Updated at 10:05:48</v>
        <stp/>
        <stp>{F04FB867-DFA4-4598-B2AD-6549D92BFEE6}</stp>
        <tr r="J3" s="64"/>
      </tp>
      <tp t="s">
        <v>Updated at 10:05:48</v>
        <stp/>
        <stp>{75672E44-76AE-4043-99BF-91BBC99A00DC}</stp>
        <tr r="D3" s="61"/>
      </tp>
      <tp t="s">
        <v>Updated at 10:05:48</v>
        <stp/>
        <stp>{58FB41C9-C9A0-4BEA-BF77-0AF4FAE49CBC}</stp>
        <tr r="S4" s="26"/>
      </tp>
      <tp t="s">
        <v>Updated at 10:05:48</v>
        <stp/>
        <stp>{4FA3FAB3-364A-4E5D-A81D-0B9D9DF18DE4}</stp>
        <tr r="D3" s="62"/>
      </tp>
      <tp t="s">
        <v>Updated at 10:05:48</v>
        <stp/>
        <stp>{10EF5D7F-03D5-4679-AFCD-95916EEB5622}</stp>
        <tr r="D3" s="60"/>
      </tp>
      <tp t="s">
        <v>Updated at 10:05:48</v>
        <stp/>
        <stp>{A1C61DE4-1A00-4832-AB32-A10D039FBC48}</stp>
        <tr r="H4" s="20"/>
      </tp>
    </main>
    <main first="pldatasource.rhistoryrtdserver">
      <tp t="s">
        <v>Updated at 10:05:48</v>
        <stp/>
        <stp>{B2F9F3D5-6D31-4BF8-ADAC-F69D17EAE5DD}_x0000_</stp>
        <tr r="K22" s="6"/>
      </tp>
      <tp t="s">
        <v>Updated at 10:05:48</v>
        <stp/>
        <stp>{AA9007DE-4419-4ABD-9187-834D54986B59}_x0000_</stp>
        <tr r="K17" s="6"/>
      </tp>
      <tp t="s">
        <v>Updated at 10:05:48</v>
        <stp/>
        <stp>{23501A77-AF57-44E3-9ECB-1675475B61E2}_x0000_</stp>
        <tr r="N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I4" sqref="I4"/>
    </sheetView>
  </sheetViews>
  <sheetFormatPr defaultRowHeight="12.75" x14ac:dyDescent="0.2"/>
  <cols>
    <col min="1" max="2" width="2.7109375" style="426" customWidth="1"/>
    <col min="3" max="3" width="14.85546875" style="426" bestFit="1" customWidth="1"/>
    <col min="4" max="4" width="21.42578125" style="426" bestFit="1" customWidth="1"/>
    <col min="5" max="7" width="2.7109375" style="426" customWidth="1"/>
    <col min="8" max="8" width="18.5703125" style="426" bestFit="1" customWidth="1"/>
    <col min="9" max="9" width="53.7109375" style="426" bestFit="1" customWidth="1"/>
    <col min="10" max="10" width="2.7109375" style="426" customWidth="1"/>
    <col min="11" max="16384" width="9.140625" style="426"/>
  </cols>
  <sheetData>
    <row r="1" spans="1:10" ht="13.5" thickBot="1" x14ac:dyDescent="0.25">
      <c r="A1" s="426" t="s">
        <v>278</v>
      </c>
      <c r="B1" s="426" t="str">
        <f>_xll.qlxlVersion(TRUE,Trigger)</f>
        <v>QuantLibXL 1.5.0 - MS VC++ 9.0 - Multithreaded Dynamic Runtime library - Release Configuration - Dec 24 2014 09:17:06</v>
      </c>
    </row>
    <row r="2" spans="1:10" ht="16.5" thickBot="1" x14ac:dyDescent="0.3">
      <c r="B2" s="549" t="s">
        <v>277</v>
      </c>
      <c r="C2" s="550"/>
      <c r="D2" s="550"/>
      <c r="E2" s="551"/>
      <c r="G2" s="477" t="s">
        <v>7</v>
      </c>
      <c r="H2" s="478"/>
      <c r="I2" s="478"/>
      <c r="J2" s="479"/>
    </row>
    <row r="3" spans="1:10" x14ac:dyDescent="0.2">
      <c r="B3" s="318"/>
      <c r="C3" s="335"/>
      <c r="D3" s="335"/>
      <c r="E3" s="334"/>
      <c r="G3" s="6"/>
      <c r="H3" s="8"/>
      <c r="I3" s="8"/>
      <c r="J3" s="4"/>
    </row>
    <row r="4" spans="1:10" x14ac:dyDescent="0.2">
      <c r="B4" s="318"/>
      <c r="C4" s="333" t="s">
        <v>0</v>
      </c>
      <c r="D4" s="332" t="s">
        <v>94</v>
      </c>
      <c r="E4" s="319"/>
      <c r="G4" s="6"/>
      <c r="H4" s="11" t="s">
        <v>6</v>
      </c>
      <c r="I4" s="412">
        <v>42045.419745370367</v>
      </c>
      <c r="J4" s="9"/>
    </row>
    <row r="5" spans="1:10" x14ac:dyDescent="0.2">
      <c r="B5" s="318"/>
      <c r="C5" s="330" t="s">
        <v>276</v>
      </c>
      <c r="D5" s="331" t="s">
        <v>275</v>
      </c>
      <c r="E5" s="319"/>
      <c r="G5" s="6"/>
      <c r="H5" s="11" t="s">
        <v>5</v>
      </c>
      <c r="I5" s="412" t="b">
        <v>1</v>
      </c>
      <c r="J5" s="9"/>
    </row>
    <row r="6" spans="1:10" x14ac:dyDescent="0.2">
      <c r="B6" s="318"/>
      <c r="C6" s="330" t="s">
        <v>274</v>
      </c>
      <c r="D6" s="329">
        <f>_xll.ohTrigger(Deposits!P3,FRA!X5,Futures3M!Z4,FuturesHWConvAdj!Q3,Swaps1M!Y3,Swap3M!AC3,SwapsIMMDated!W3,Swap6M!AC3,BasisSwap1MxM!AC3,BasisSwap3M6M!AC3,BasisSwapxM12M!AC3,OIS!Y3)</f>
        <v>93</v>
      </c>
      <c r="E6" s="319"/>
      <c r="G6" s="6"/>
      <c r="H6" s="11" t="s">
        <v>4</v>
      </c>
      <c r="I6" s="412" t="b">
        <v>0</v>
      </c>
      <c r="J6" s="9"/>
    </row>
    <row r="7" spans="1:10" x14ac:dyDescent="0.2">
      <c r="B7" s="318"/>
      <c r="C7" s="330" t="s">
        <v>309</v>
      </c>
      <c r="D7" s="329">
        <f>_xll.ohTrigger(Libor!O6:O12)</f>
        <v>1</v>
      </c>
      <c r="E7" s="319"/>
      <c r="G7" s="6"/>
      <c r="H7" s="11" t="s">
        <v>3</v>
      </c>
      <c r="I7" s="412" t="b">
        <v>0</v>
      </c>
      <c r="J7" s="9"/>
    </row>
    <row r="8" spans="1:10" x14ac:dyDescent="0.2">
      <c r="B8" s="318"/>
      <c r="C8" s="328" t="s">
        <v>273</v>
      </c>
      <c r="D8" s="327" t="s">
        <v>272</v>
      </c>
      <c r="E8" s="319"/>
      <c r="G8" s="6"/>
      <c r="H8" s="11" t="s">
        <v>2</v>
      </c>
      <c r="I8" s="413"/>
      <c r="J8" s="9"/>
    </row>
    <row r="9" spans="1:10" x14ac:dyDescent="0.2">
      <c r="B9" s="318"/>
      <c r="C9" s="324"/>
      <c r="D9" s="287"/>
      <c r="E9" s="319"/>
      <c r="G9" s="6"/>
      <c r="H9" s="11" t="s">
        <v>1</v>
      </c>
      <c r="I9" s="414" t="b">
        <v>1</v>
      </c>
      <c r="J9" s="9"/>
    </row>
    <row r="10" spans="1:10" x14ac:dyDescent="0.2">
      <c r="B10" s="318"/>
      <c r="C10" s="326" t="s">
        <v>225</v>
      </c>
      <c r="D10" s="325" t="s">
        <v>271</v>
      </c>
      <c r="E10" s="319"/>
      <c r="G10" s="6"/>
      <c r="H10" s="11" t="s">
        <v>0</v>
      </c>
      <c r="I10" s="7" t="s">
        <v>94</v>
      </c>
      <c r="J10" s="9"/>
    </row>
    <row r="11" spans="1:10" x14ac:dyDescent="0.2">
      <c r="B11" s="318"/>
      <c r="C11" s="323" t="s">
        <v>214</v>
      </c>
      <c r="D11" s="322" t="str">
        <f>""</f>
        <v/>
      </c>
      <c r="E11" s="319"/>
      <c r="G11" s="6"/>
      <c r="H11" s="11" t="s">
        <v>0</v>
      </c>
      <c r="I11" s="7" t="s">
        <v>103</v>
      </c>
      <c r="J11" s="9"/>
    </row>
    <row r="12" spans="1:10" x14ac:dyDescent="0.2">
      <c r="B12" s="318"/>
      <c r="C12" s="323" t="s">
        <v>201</v>
      </c>
      <c r="D12" s="322" t="s">
        <v>213</v>
      </c>
      <c r="E12" s="319"/>
      <c r="G12" s="6"/>
      <c r="H12" s="11" t="s">
        <v>93</v>
      </c>
      <c r="I12" s="412" t="str">
        <f>Currency&amp;"ON"</f>
        <v>USDON</v>
      </c>
      <c r="J12" s="9"/>
    </row>
    <row r="13" spans="1:10" x14ac:dyDescent="0.2">
      <c r="B13" s="318"/>
      <c r="C13" s="323" t="s">
        <v>212</v>
      </c>
      <c r="D13" s="322" t="s">
        <v>212</v>
      </c>
      <c r="E13" s="319"/>
      <c r="G13" s="6"/>
      <c r="H13" s="11" t="s">
        <v>92</v>
      </c>
      <c r="I13" s="412" t="str">
        <f>Currency&amp;"YCSTD"</f>
        <v>USDYCSTD</v>
      </c>
      <c r="J13" s="9"/>
    </row>
    <row r="14" spans="1:10" x14ac:dyDescent="0.2">
      <c r="B14" s="318"/>
      <c r="C14" s="323" t="s">
        <v>210</v>
      </c>
      <c r="D14" s="322" t="s">
        <v>209</v>
      </c>
      <c r="E14" s="319"/>
      <c r="G14" s="410"/>
      <c r="H14" s="415" t="s">
        <v>304</v>
      </c>
      <c r="I14" s="489">
        <f>_xll.qlSettingsEvaluationDate(Trigger)</f>
        <v>42045</v>
      </c>
      <c r="J14" s="409"/>
    </row>
    <row r="15" spans="1:10" ht="13.5" thickBot="1" x14ac:dyDescent="0.25">
      <c r="B15" s="318"/>
      <c r="C15" s="323" t="s">
        <v>323</v>
      </c>
      <c r="D15" s="322" t="s">
        <v>322</v>
      </c>
      <c r="E15" s="319"/>
      <c r="G15" s="3"/>
      <c r="H15" s="2"/>
      <c r="I15" s="2"/>
      <c r="J15" s="1"/>
    </row>
    <row r="16" spans="1:10" ht="13.5" thickBot="1" x14ac:dyDescent="0.25">
      <c r="B16" s="318"/>
      <c r="C16" s="323" t="s">
        <v>208</v>
      </c>
      <c r="D16" s="322" t="s">
        <v>207</v>
      </c>
      <c r="E16" s="319"/>
      <c r="G16" s="428"/>
      <c r="H16" s="428"/>
      <c r="I16" s="428"/>
      <c r="J16" s="428"/>
    </row>
    <row r="17" spans="2:10" ht="16.5" thickBot="1" x14ac:dyDescent="0.3">
      <c r="B17" s="318"/>
      <c r="C17" s="323" t="s">
        <v>206</v>
      </c>
      <c r="D17" s="322" t="s">
        <v>270</v>
      </c>
      <c r="E17" s="319"/>
      <c r="G17" s="477" t="s">
        <v>116</v>
      </c>
      <c r="H17" s="478"/>
      <c r="I17" s="478"/>
      <c r="J17" s="479"/>
    </row>
    <row r="18" spans="2:10" x14ac:dyDescent="0.2">
      <c r="B18" s="318"/>
      <c r="C18" s="323" t="s">
        <v>329</v>
      </c>
      <c r="D18" s="322" t="s">
        <v>330</v>
      </c>
      <c r="E18" s="319"/>
      <c r="G18" s="6"/>
      <c r="H18" s="8"/>
      <c r="I18" s="8"/>
      <c r="J18" s="4"/>
    </row>
    <row r="19" spans="2:10" x14ac:dyDescent="0.2">
      <c r="B19" s="318"/>
      <c r="C19" s="321" t="s">
        <v>269</v>
      </c>
      <c r="D19" s="320" t="s">
        <v>268</v>
      </c>
      <c r="E19" s="319"/>
      <c r="G19" s="6"/>
      <c r="H19" s="11" t="s">
        <v>115</v>
      </c>
      <c r="I19" s="15" t="s">
        <v>114</v>
      </c>
      <c r="J19" s="9"/>
    </row>
    <row r="20" spans="2:10" x14ac:dyDescent="0.2">
      <c r="B20" s="318"/>
      <c r="C20" s="317"/>
      <c r="D20" s="317"/>
      <c r="E20" s="319"/>
      <c r="G20" s="6"/>
      <c r="H20" s="11" t="s">
        <v>113</v>
      </c>
      <c r="I20" s="75">
        <v>1E-4</v>
      </c>
      <c r="J20" s="9"/>
    </row>
    <row r="21" spans="2:10" x14ac:dyDescent="0.2">
      <c r="B21" s="318"/>
      <c r="C21" s="316" t="s">
        <v>267</v>
      </c>
      <c r="D21" s="429">
        <v>41922.497581018521</v>
      </c>
      <c r="E21" s="23"/>
      <c r="G21" s="6"/>
      <c r="H21" s="11" t="s">
        <v>112</v>
      </c>
      <c r="I21" s="74">
        <v>-0.01</v>
      </c>
      <c r="J21" s="9"/>
    </row>
    <row r="22" spans="2:10" x14ac:dyDescent="0.2">
      <c r="B22" s="318"/>
      <c r="C22" s="316" t="s">
        <v>266</v>
      </c>
      <c r="D22" s="430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5"/>
      <c r="C23" s="21"/>
      <c r="D23" s="21"/>
      <c r="E23" s="20"/>
      <c r="G23" s="6"/>
      <c r="H23" s="11" t="s">
        <v>320</v>
      </c>
      <c r="I23" s="10" t="s">
        <v>321</v>
      </c>
      <c r="J23" s="9"/>
    </row>
    <row r="24" spans="2:10" x14ac:dyDescent="0.2">
      <c r="C24" s="427"/>
      <c r="D24" s="427"/>
      <c r="E24" s="427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27"/>
      <c r="D25" s="427"/>
      <c r="E25" s="427"/>
      <c r="G25" s="3"/>
      <c r="H25" s="2"/>
      <c r="I25" s="2"/>
      <c r="J25" s="1"/>
    </row>
    <row r="26" spans="2:10" ht="13.5" thickBot="1" x14ac:dyDescent="0.25">
      <c r="C26" s="427"/>
      <c r="D26" s="427"/>
      <c r="E26" s="427"/>
    </row>
    <row r="27" spans="2:10" ht="16.5" thickBot="1" x14ac:dyDescent="0.3">
      <c r="G27" s="477" t="s">
        <v>312</v>
      </c>
      <c r="H27" s="478"/>
      <c r="I27" s="478"/>
      <c r="J27" s="479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0" t="s">
        <v>310</v>
      </c>
      <c r="J29" s="9"/>
    </row>
    <row r="30" spans="2:10" x14ac:dyDescent="0.2">
      <c r="G30" s="6"/>
      <c r="H30" s="11" t="s">
        <v>314</v>
      </c>
      <c r="I30" s="480" t="s">
        <v>326</v>
      </c>
      <c r="J30" s="9"/>
    </row>
    <row r="31" spans="2:10" x14ac:dyDescent="0.2">
      <c r="G31" s="6"/>
      <c r="H31" s="11" t="s">
        <v>315</v>
      </c>
      <c r="I31" s="480" t="s">
        <v>311</v>
      </c>
      <c r="J31" s="9"/>
    </row>
    <row r="32" spans="2:10" x14ac:dyDescent="0.2">
      <c r="G32" s="6"/>
      <c r="H32" s="11" t="s">
        <v>324</v>
      </c>
      <c r="I32" s="480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2">
    <cfRule type="cellIs" dxfId="42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workbookViewId="0"/>
  </sheetViews>
  <sheetFormatPr defaultRowHeight="11.25" outlineLevelCol="1" x14ac:dyDescent="0.2"/>
  <cols>
    <col min="1" max="2" width="2.140625" style="475" customWidth="1"/>
    <col min="3" max="3" width="6.5703125" style="475" bestFit="1" customWidth="1"/>
    <col min="4" max="4" width="12" style="475" bestFit="1" customWidth="1"/>
    <col min="5" max="5" width="17.28515625" style="475" bestFit="1" customWidth="1"/>
    <col min="6" max="6" width="34.85546875" style="475" bestFit="1" customWidth="1"/>
    <col min="7" max="9" width="17.85546875" style="475" hidden="1" customWidth="1" outlineLevel="1"/>
    <col min="10" max="10" width="2.140625" style="475" customWidth="1" collapsed="1"/>
    <col min="11" max="11" width="16.140625" style="475" customWidth="1"/>
    <col min="12" max="12" width="15.140625" style="475" bestFit="1" customWidth="1"/>
    <col min="13" max="13" width="7" style="475" bestFit="1" customWidth="1"/>
    <col min="14" max="14" width="16.140625" style="475" customWidth="1"/>
    <col min="15" max="15" width="15.140625" style="475" customWidth="1"/>
    <col min="16" max="16" width="2.140625" style="475" customWidth="1"/>
    <col min="17" max="17" width="11" style="475" bestFit="1" customWidth="1"/>
    <col min="18" max="18" width="9" style="475" bestFit="1" customWidth="1"/>
    <col min="19" max="19" width="8" style="475" bestFit="1" customWidth="1"/>
    <col min="20" max="20" width="8.140625" style="475" customWidth="1"/>
    <col min="21" max="21" width="8" style="475" bestFit="1" customWidth="1"/>
    <col min="22" max="22" width="2.140625" style="475" customWidth="1"/>
    <col min="23" max="24" width="10.28515625" style="475" bestFit="1" customWidth="1"/>
    <col min="25" max="26" width="2.7109375" style="475" customWidth="1"/>
    <col min="27" max="16384" width="9.140625" style="475"/>
  </cols>
  <sheetData>
    <row r="1" spans="2:26" s="446" customFormat="1" ht="12" thickBot="1" x14ac:dyDescent="0.25">
      <c r="K1" s="475"/>
      <c r="L1" s="475"/>
      <c r="M1" s="475"/>
      <c r="N1" s="475"/>
      <c r="O1" s="475"/>
      <c r="P1" s="475"/>
      <c r="Q1" s="475"/>
      <c r="R1" s="475"/>
      <c r="S1" s="475"/>
      <c r="T1" s="475"/>
      <c r="U1" s="475"/>
      <c r="V1" s="475"/>
      <c r="W1" s="475"/>
      <c r="X1" s="475"/>
      <c r="Y1" s="475"/>
      <c r="Z1" s="475"/>
    </row>
    <row r="2" spans="2:26" s="446" customFormat="1" x14ac:dyDescent="0.2">
      <c r="B2" s="447"/>
      <c r="C2" s="448"/>
      <c r="D2" s="448"/>
      <c r="E2" s="449"/>
      <c r="F2" s="449"/>
      <c r="G2" s="448"/>
      <c r="H2" s="449"/>
      <c r="I2" s="449"/>
      <c r="J2" s="449"/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50"/>
    </row>
    <row r="3" spans="2:26" s="446" customFormat="1" x14ac:dyDescent="0.2">
      <c r="B3" s="451"/>
      <c r="C3" s="452"/>
      <c r="D3" s="453" t="s">
        <v>25</v>
      </c>
      <c r="E3" s="454" t="s">
        <v>24</v>
      </c>
      <c r="F3" s="455"/>
      <c r="G3" s="452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6"/>
    </row>
    <row r="4" spans="2:26" s="446" customFormat="1" x14ac:dyDescent="0.2">
      <c r="B4" s="451"/>
      <c r="C4" s="452"/>
      <c r="D4" s="452"/>
      <c r="E4" s="457" t="str">
        <f>IF(Serialize,_xll.ohObjectSave(D6:F12,SerializationPath&amp;#REF!,FileOverwrite,,Serialize),"---")</f>
        <v>---</v>
      </c>
      <c r="F4" s="455"/>
      <c r="G4" s="452"/>
      <c r="H4" s="455"/>
      <c r="I4" s="455"/>
      <c r="J4" s="455"/>
      <c r="K4" s="476" t="s">
        <v>217</v>
      </c>
      <c r="L4" s="455"/>
      <c r="M4" s="455"/>
      <c r="N4" s="455"/>
      <c r="O4" s="455"/>
      <c r="P4" s="455"/>
      <c r="Q4" s="455"/>
      <c r="R4" s="455"/>
      <c r="S4" s="455"/>
      <c r="T4" s="455"/>
      <c r="U4" s="455"/>
      <c r="V4" s="456"/>
    </row>
    <row r="5" spans="2:26" s="446" customFormat="1" ht="36" x14ac:dyDescent="0.2">
      <c r="B5" s="451"/>
      <c r="C5" s="484" t="s">
        <v>23</v>
      </c>
      <c r="D5" s="484" t="s">
        <v>318</v>
      </c>
      <c r="E5" s="484" t="s">
        <v>317</v>
      </c>
      <c r="F5" s="484" t="s">
        <v>319</v>
      </c>
      <c r="G5" s="484" t="str">
        <f>"Error Message "&amp;D5</f>
        <v>Error Message Relinkable Handle</v>
      </c>
      <c r="H5" s="484" t="str">
        <f t="shared" ref="H5:I5" si="0">"Error Message "&amp;E5</f>
        <v>Error Message Index</v>
      </c>
      <c r="I5" s="484" t="str">
        <f t="shared" si="0"/>
        <v>Error Message LastFixing_Quote</v>
      </c>
      <c r="J5" s="485"/>
      <c r="K5" s="460" t="str">
        <f>_xll.RData(K6:K12,L5:M5,"RTFEED:IDN",,,L6)</f>
        <v>Updated at 10:05:48</v>
      </c>
      <c r="L5" s="461" t="s">
        <v>287</v>
      </c>
      <c r="M5" s="461" t="s">
        <v>216</v>
      </c>
      <c r="N5" s="461" t="s">
        <v>286</v>
      </c>
      <c r="O5" s="462" t="s">
        <v>285</v>
      </c>
      <c r="P5" s="487"/>
      <c r="Q5" s="461" t="s">
        <v>284</v>
      </c>
      <c r="R5" s="461" t="s">
        <v>283</v>
      </c>
      <c r="S5" s="461" t="s">
        <v>282</v>
      </c>
      <c r="T5" s="462" t="s">
        <v>281</v>
      </c>
      <c r="U5" s="482"/>
      <c r="V5" s="456"/>
    </row>
    <row r="6" spans="2:26" s="446" customFormat="1" x14ac:dyDescent="0.2">
      <c r="B6" s="451"/>
      <c r="C6" s="463" t="s">
        <v>187</v>
      </c>
      <c r="D6" s="459" t="str">
        <f>_xll.qlRelinkableHandleYieldTermStructure(UPPER(Currency)&amp;C6,,Permanent,Trigger,ObjectOverwrite)</f>
        <v>USDON#0000</v>
      </c>
      <c r="E6" s="481" t="str">
        <f>_xll.qlOvernightIndex(PROPER(Currency)&amp;"FedFunds","FedFunds",0,"USD",OverNightIndexCalendar,"act/360",D6,Permanent,Trigger,ObjectOverwrite)</f>
        <v>UsdFedFunds#0000</v>
      </c>
      <c r="F6" s="464" t="str">
        <f>_xll.qlLastFixingQuote(PROPER(Currency)&amp;"FedFunds"&amp;$F$5,E6,Permanent,Trigger,ObjectOverwrite)</f>
        <v>UsdFedFundsLastFixing_Quote#0000</v>
      </c>
      <c r="G6" s="458" t="str">
        <f>_xll.ohRangeRetrieveError(D6)</f>
        <v/>
      </c>
      <c r="H6" s="458" t="str">
        <f>_xll.ohRangeRetrieveError(E6)</f>
        <v/>
      </c>
      <c r="I6" s="458" t="str">
        <f>_xll.ohRangeRetrieveError(F6)</f>
        <v/>
      </c>
      <c r="J6" s="455"/>
      <c r="K6" s="469" t="str">
        <f t="shared" ref="K6:K12" si="1">Currency&amp;C6&amp;$K$4&amp;"="</f>
        <v>USDONFSR=</v>
      </c>
      <c r="L6" s="467">
        <v>42044</v>
      </c>
      <c r="M6" s="468">
        <v>0.11699999999999999</v>
      </c>
      <c r="N6" s="468" t="b">
        <f t="shared" ref="N6:N12" si="2">IF(AND(ISNUMBER($M6),$M6&lt;&gt;0%),TRUE,FALSE)</f>
        <v>1</v>
      </c>
      <c r="O6" s="486" t="b">
        <f>IF($N6,_xll.qlIndexAddFixings($E6,$L6,$M6/100,TRUE,ISERROR($Q6)),NA())</f>
        <v>1</v>
      </c>
      <c r="P6" s="487"/>
      <c r="Q6" s="466">
        <f>_xll.qlIndexFixing($E6,$L6,TRUE,$N6)</f>
        <v>1.17E-3</v>
      </c>
      <c r="R6" s="466">
        <f>IF($O6,_xll.qlIndexFixing($E6,$L6,FALSE,$N6),"-")</f>
        <v>1.17E-3</v>
      </c>
      <c r="S6" s="466">
        <f t="shared" ref="S6" si="3">Q6-R6</f>
        <v>0</v>
      </c>
      <c r="T6" s="470">
        <f>_xll.qlIndexFixing($E6,$L6,TRUE,$R6)</f>
        <v>1.17E-3</v>
      </c>
      <c r="U6" s="465">
        <f>IF(ISERROR(S6),0,ABS(S6))</f>
        <v>0</v>
      </c>
      <c r="V6" s="456"/>
    </row>
    <row r="7" spans="2:26" s="446" customFormat="1" x14ac:dyDescent="0.2">
      <c r="B7" s="451"/>
      <c r="C7" s="463" t="s">
        <v>22</v>
      </c>
      <c r="D7" s="459"/>
      <c r="E7" s="464" t="str">
        <f>_xll.qlLibor(PROPER(Currency)&amp;FamilyName&amp;C7,Currency,C7,D7,Permanent,Trigger,ObjectOverwrite)</f>
        <v>UsdLiborSW#0000</v>
      </c>
      <c r="F7" s="464" t="str">
        <f>_xll.qlLastFixingQuote(PROPER(Currency)&amp;FamilyName&amp;C7&amp;$F$5,E7,Permanent,Trigger,ObjectOverwrite)</f>
        <v>UsdLiborSWLastFixing_Quote#0000</v>
      </c>
      <c r="G7" s="458" t="str">
        <f>_xll.ohRangeRetrieveError(D7)</f>
        <v/>
      </c>
      <c r="H7" s="458" t="str">
        <f>_xll.ohRangeRetrieveError(E7)</f>
        <v/>
      </c>
      <c r="I7" s="458" t="str">
        <f>_xll.ohRangeRetrieveError(F7)</f>
        <v/>
      </c>
      <c r="J7" s="455"/>
      <c r="K7" s="469" t="str">
        <f t="shared" si="1"/>
        <v>USDSWFSR=</v>
      </c>
      <c r="L7" s="467">
        <v>42044</v>
      </c>
      <c r="M7" s="468">
        <v>0.13399999999999998</v>
      </c>
      <c r="N7" s="468" t="b">
        <f t="shared" si="2"/>
        <v>1</v>
      </c>
      <c r="O7" s="486" t="b">
        <f>IF($N7,_xll.qlIndexAddFixings($E7,$L7,$M7/100,TRUE,ISERROR($Q7)),NA())</f>
        <v>1</v>
      </c>
      <c r="P7" s="487"/>
      <c r="Q7" s="466">
        <f>_xll.qlIndexFixing($E7,$L7,TRUE,$N7)</f>
        <v>1.3399999999999998E-3</v>
      </c>
      <c r="R7" s="466">
        <f>IF($O7,_xll.qlIndexFixing($E7,$L7,FALSE,$N7),"-")</f>
        <v>1.3399999999999998E-3</v>
      </c>
      <c r="S7" s="466">
        <f t="shared" ref="S7:S12" si="4">Q7-R7</f>
        <v>0</v>
      </c>
      <c r="T7" s="470">
        <f>_xll.qlIndexFixing($E7,$L7,TRUE,$R7)</f>
        <v>1.3399999999999998E-3</v>
      </c>
      <c r="U7" s="471">
        <f t="shared" ref="U7:U12" si="5">IF(ISERROR(S7),0,ABS(S7))</f>
        <v>0</v>
      </c>
      <c r="V7" s="456"/>
    </row>
    <row r="8" spans="2:26" s="446" customFormat="1" x14ac:dyDescent="0.2">
      <c r="B8" s="451"/>
      <c r="C8" s="463" t="s">
        <v>19</v>
      </c>
      <c r="D8" s="459" t="str">
        <f>_xll.qlRelinkableHandleYieldTermStructure(UPPER(Currency)&amp;C8,,Permanent,Trigger,ObjectOverwrite)</f>
        <v>USD1M#0000</v>
      </c>
      <c r="E8" s="464" t="str">
        <f>_xll.qlLibor(PROPER(Currency)&amp;FamilyName&amp;C8,Currency,C8,D8,Permanent,Trigger,ObjectOverwrite)</f>
        <v>UsdLibor1M#0000</v>
      </c>
      <c r="F8" s="464" t="str">
        <f>_xll.qlLastFixingQuote(PROPER(Currency)&amp;FamilyName&amp;C8&amp;$F$5,E8,Permanent,Trigger,ObjectOverwrite)</f>
        <v>UsdLibor1MLastFixing_Quote#0000</v>
      </c>
      <c r="G8" s="458" t="str">
        <f>_xll.ohRangeRetrieveError(D8)</f>
        <v/>
      </c>
      <c r="H8" s="458" t="str">
        <f>_xll.ohRangeRetrieveError(E8)</f>
        <v/>
      </c>
      <c r="I8" s="458" t="str">
        <f>_xll.ohRangeRetrieveError(F8)</f>
        <v/>
      </c>
      <c r="J8" s="455"/>
      <c r="K8" s="469" t="str">
        <f t="shared" si="1"/>
        <v>USD1MFSR=</v>
      </c>
      <c r="L8" s="467">
        <v>42044</v>
      </c>
      <c r="M8" s="468">
        <v>0.17219999999999999</v>
      </c>
      <c r="N8" s="468" t="b">
        <f t="shared" si="2"/>
        <v>1</v>
      </c>
      <c r="O8" s="486" t="b">
        <f>IF($N8,_xll.qlIndexAddFixings($E8,$L8,$M8/100,TRUE,ISERROR($Q8)),NA())</f>
        <v>1</v>
      </c>
      <c r="P8" s="487"/>
      <c r="Q8" s="466">
        <f>_xll.qlIndexFixing($E8,$L8,TRUE,$N8)</f>
        <v>1.722E-3</v>
      </c>
      <c r="R8" s="466">
        <f>IF($O8,_xll.qlIndexFixing($E8,$L8,FALSE,$N8),"-")</f>
        <v>1.722E-3</v>
      </c>
      <c r="S8" s="466">
        <f t="shared" si="4"/>
        <v>0</v>
      </c>
      <c r="T8" s="470">
        <f>_xll.qlIndexFixing($E8,$L8,TRUE,$R8)</f>
        <v>1.722E-3</v>
      </c>
      <c r="U8" s="471">
        <f t="shared" si="5"/>
        <v>0</v>
      </c>
      <c r="V8" s="456"/>
    </row>
    <row r="9" spans="2:26" s="446" customFormat="1" x14ac:dyDescent="0.2">
      <c r="B9" s="451"/>
      <c r="C9" s="463" t="s">
        <v>18</v>
      </c>
      <c r="D9" s="459"/>
      <c r="E9" s="464" t="str">
        <f>_xll.qlLibor(PROPER(Currency)&amp;FamilyName&amp;C9,Currency,C9,D9,Permanent,Trigger,ObjectOverwrite)</f>
        <v>UsdLibor2M#0000</v>
      </c>
      <c r="F9" s="464" t="str">
        <f>_xll.qlLastFixingQuote(PROPER(Currency)&amp;FamilyName&amp;C9&amp;$F$5,E9,Permanent,Trigger,ObjectOverwrite)</f>
        <v>UsdLibor2MLastFixing_Quote#0000</v>
      </c>
      <c r="G9" s="458" t="str">
        <f>_xll.ohRangeRetrieveError(D9)</f>
        <v/>
      </c>
      <c r="H9" s="458" t="str">
        <f>_xll.ohRangeRetrieveError(E9)</f>
        <v/>
      </c>
      <c r="I9" s="458" t="str">
        <f>_xll.ohRangeRetrieveError(F9)</f>
        <v/>
      </c>
      <c r="J9" s="455"/>
      <c r="K9" s="469" t="str">
        <f t="shared" si="1"/>
        <v>USD2MFSR=</v>
      </c>
      <c r="L9" s="467">
        <v>42044</v>
      </c>
      <c r="M9" s="468">
        <v>0.2112</v>
      </c>
      <c r="N9" s="468" t="b">
        <f t="shared" si="2"/>
        <v>1</v>
      </c>
      <c r="O9" s="486" t="b">
        <f>IF($N9,_xll.qlIndexAddFixings($E9,$L9,$M9/100,TRUE,ISERROR($Q9)),NA())</f>
        <v>1</v>
      </c>
      <c r="P9" s="487"/>
      <c r="Q9" s="466">
        <f>_xll.qlIndexFixing($E9,$L9,TRUE,$N9)</f>
        <v>2.1120000000000002E-3</v>
      </c>
      <c r="R9" s="466">
        <f>IF($O9,_xll.qlIndexFixing($E9,$L9,FALSE,$N9),"-")</f>
        <v>2.1120000000000002E-3</v>
      </c>
      <c r="S9" s="466">
        <f t="shared" si="4"/>
        <v>0</v>
      </c>
      <c r="T9" s="470">
        <f>_xll.qlIndexFixing($E9,$L9,TRUE,$R9)</f>
        <v>2.1120000000000002E-3</v>
      </c>
      <c r="U9" s="471">
        <f t="shared" si="5"/>
        <v>0</v>
      </c>
      <c r="V9" s="456"/>
    </row>
    <row r="10" spans="2:26" s="446" customFormat="1" x14ac:dyDescent="0.2">
      <c r="B10" s="451"/>
      <c r="C10" s="463" t="s">
        <v>17</v>
      </c>
      <c r="D10" s="459" t="str">
        <f>_xll.qlRelinkableHandleYieldTermStructure(UPPER(Currency)&amp;C10,,Permanent,Trigger,ObjectOverwrite)</f>
        <v>USD3M#0000</v>
      </c>
      <c r="E10" s="464" t="str">
        <f>_xll.qlLibor(PROPER(Currency)&amp;FamilyName&amp;C10,Currency,C10,D10,Permanent,Trigger,ObjectOverwrite)</f>
        <v>UsdLibor3M#0000</v>
      </c>
      <c r="F10" s="464" t="str">
        <f>_xll.qlLastFixingQuote(PROPER(Currency)&amp;FamilyName&amp;C10&amp;$F$5,E10,Permanent,Trigger,ObjectOverwrite)</f>
        <v>UsdLibor3MLastFixing_Quote#0000</v>
      </c>
      <c r="G10" s="458" t="str">
        <f>_xll.ohRangeRetrieveError(D10)</f>
        <v/>
      </c>
      <c r="H10" s="458" t="str">
        <f>_xll.ohRangeRetrieveError(E10)</f>
        <v/>
      </c>
      <c r="I10" s="458" t="str">
        <f>_xll.ohRangeRetrieveError(F10)</f>
        <v/>
      </c>
      <c r="J10" s="455"/>
      <c r="K10" s="469" t="str">
        <f t="shared" si="1"/>
        <v>USD3MFSR=</v>
      </c>
      <c r="L10" s="467">
        <v>42044</v>
      </c>
      <c r="M10" s="468">
        <v>0.25834999999999997</v>
      </c>
      <c r="N10" s="468" t="b">
        <f t="shared" si="2"/>
        <v>1</v>
      </c>
      <c r="O10" s="486" t="b">
        <f>IF($N10,_xll.qlIndexAddFixings($E10,$L10,$M10/100,TRUE,ISERROR($Q10)),NA())</f>
        <v>1</v>
      </c>
      <c r="P10" s="487"/>
      <c r="Q10" s="466">
        <f>_xll.qlIndexFixing($E10,$L10,TRUE,$N10)</f>
        <v>2.5834999999999999E-3</v>
      </c>
      <c r="R10" s="466">
        <f>IF($O10,_xll.qlIndexFixing($E10,$L10,FALSE,$N10),"-")</f>
        <v>2.5834999999999999E-3</v>
      </c>
      <c r="S10" s="466">
        <f t="shared" si="4"/>
        <v>0</v>
      </c>
      <c r="T10" s="470">
        <f>_xll.qlIndexFixing($E10,$L10,TRUE,$R10)</f>
        <v>2.5834999999999999E-3</v>
      </c>
      <c r="U10" s="471">
        <f t="shared" si="5"/>
        <v>0</v>
      </c>
      <c r="V10" s="456"/>
    </row>
    <row r="11" spans="2:26" s="446" customFormat="1" x14ac:dyDescent="0.2">
      <c r="B11" s="451"/>
      <c r="C11" s="463" t="s">
        <v>14</v>
      </c>
      <c r="D11" s="459" t="str">
        <f>_xll.qlRelinkableHandleYieldTermStructure(UPPER(Currency)&amp;C11,,Permanent,Trigger,ObjectOverwrite)</f>
        <v>USD6M#0000</v>
      </c>
      <c r="E11" s="464" t="str">
        <f>_xll.qlLibor(PROPER(Currency)&amp;FamilyName&amp;C11,Currency,C11,D11,Permanent,Trigger,ObjectOverwrite)</f>
        <v>UsdLibor6M#0000</v>
      </c>
      <c r="F11" s="464" t="str">
        <f>_xll.qlLastFixingQuote(PROPER(Currency)&amp;FamilyName&amp;C11&amp;$F$5,E11,Permanent,Trigger,ObjectOverwrite)</f>
        <v>UsdLibor6MLastFixing_Quote#0000</v>
      </c>
      <c r="G11" s="458" t="str">
        <f>_xll.ohRangeRetrieveError(D11)</f>
        <v/>
      </c>
      <c r="H11" s="458" t="str">
        <f>_xll.ohRangeRetrieveError(E11)</f>
        <v/>
      </c>
      <c r="I11" s="458" t="str">
        <f>_xll.ohRangeRetrieveError(F11)</f>
        <v/>
      </c>
      <c r="J11" s="455"/>
      <c r="K11" s="469" t="str">
        <f t="shared" si="1"/>
        <v>USD6MFSR=</v>
      </c>
      <c r="L11" s="467">
        <v>42044</v>
      </c>
      <c r="M11" s="468">
        <v>0.37340000000000001</v>
      </c>
      <c r="N11" s="468" t="b">
        <f t="shared" si="2"/>
        <v>1</v>
      </c>
      <c r="O11" s="486" t="b">
        <f>IF($N11,_xll.qlIndexAddFixings($E11,$L11,$M11/100,TRUE,ISERROR($Q11)),NA())</f>
        <v>1</v>
      </c>
      <c r="P11" s="487"/>
      <c r="Q11" s="466">
        <f>_xll.qlIndexFixing($E11,$L11,TRUE,$N11)</f>
        <v>3.7339999999999999E-3</v>
      </c>
      <c r="R11" s="466">
        <f>IF($O11,_xll.qlIndexFixing($E11,$L11,FALSE,$N11),"-")</f>
        <v>3.7339999999999999E-3</v>
      </c>
      <c r="S11" s="466">
        <f t="shared" si="4"/>
        <v>0</v>
      </c>
      <c r="T11" s="470">
        <f>_xll.qlIndexFixing($E11,$L11,TRUE,$R11)</f>
        <v>3.7339999999999999E-3</v>
      </c>
      <c r="U11" s="471">
        <f t="shared" si="5"/>
        <v>0</v>
      </c>
      <c r="V11" s="456"/>
    </row>
    <row r="12" spans="2:26" s="446" customFormat="1" x14ac:dyDescent="0.2">
      <c r="B12" s="451"/>
      <c r="C12" s="463" t="s">
        <v>8</v>
      </c>
      <c r="D12" s="459" t="str">
        <f>_xll.qlRelinkableHandleYieldTermStructure(UPPER(Currency)&amp;C12,,Permanent,Trigger,ObjectOverwrite)</f>
        <v>USD1Y#0000</v>
      </c>
      <c r="E12" s="464" t="str">
        <f>_xll.qlLibor(PROPER(Currency)&amp;FamilyName&amp;C12,Currency,C12,D12,Permanent,Trigger,ObjectOverwrite)</f>
        <v>UsdLibor1Y#0000</v>
      </c>
      <c r="F12" s="464" t="str">
        <f>_xll.qlLastFixingQuote(PROPER(Currency)&amp;FamilyName&amp;C12&amp;$F$5,E12,Permanent,Trigger,ObjectOverwrite)</f>
        <v>UsdLibor1YLastFixing_Quote#0000</v>
      </c>
      <c r="G12" s="458" t="str">
        <f>_xll.ohRangeRetrieveError(D12)</f>
        <v/>
      </c>
      <c r="H12" s="458" t="str">
        <f>_xll.ohRangeRetrieveError(E12)</f>
        <v/>
      </c>
      <c r="I12" s="458" t="str">
        <f>_xll.ohRangeRetrieveError(F12)</f>
        <v/>
      </c>
      <c r="J12" s="455"/>
      <c r="K12" s="469" t="str">
        <f t="shared" si="1"/>
        <v>USD1YFSR=</v>
      </c>
      <c r="L12" s="467">
        <v>42044</v>
      </c>
      <c r="M12" s="468">
        <v>0.65599999999999992</v>
      </c>
      <c r="N12" s="468" t="b">
        <f t="shared" si="2"/>
        <v>1</v>
      </c>
      <c r="O12" s="486" t="b">
        <f>IF($N12,_xll.qlIndexAddFixings($E12,$L12,$M12/100,TRUE,ISERROR($Q12)),NA())</f>
        <v>1</v>
      </c>
      <c r="P12" s="488"/>
      <c r="Q12" s="466">
        <f>_xll.qlIndexFixing($E12,$L12,TRUE,$N12)</f>
        <v>6.559999999999999E-3</v>
      </c>
      <c r="R12" s="466">
        <f>IF($O12,_xll.qlIndexFixing($E12,$L12,FALSE,$N12),"-")</f>
        <v>6.559999999999999E-3</v>
      </c>
      <c r="S12" s="466">
        <f t="shared" si="4"/>
        <v>0</v>
      </c>
      <c r="T12" s="470">
        <f>_xll.qlIndexFixing($E12,$L12,TRUE,$R12)</f>
        <v>6.559999999999999E-3</v>
      </c>
      <c r="U12" s="471">
        <f t="shared" si="5"/>
        <v>0</v>
      </c>
      <c r="V12" s="456"/>
    </row>
    <row r="13" spans="2:26" s="446" customFormat="1" x14ac:dyDescent="0.2">
      <c r="B13" s="451"/>
      <c r="C13" s="463" t="s">
        <v>308</v>
      </c>
      <c r="D13" s="459" t="str">
        <f>_xll.qlRelinkableHandleYieldTermStructure(UPPER(Currency)&amp;C13,,Permanent,Trigger,ObjectOverwrite)</f>
        <v>USDSTD#0000</v>
      </c>
      <c r="E13" s="464"/>
      <c r="F13" s="458"/>
      <c r="G13" s="458" t="str">
        <f>_xll.ohRangeRetrieveError(D13)</f>
        <v/>
      </c>
      <c r="H13" s="458" t="str">
        <f>_xll.ohRangeRetrieveError(E13)</f>
        <v/>
      </c>
      <c r="I13" s="458" t="str">
        <f>_xll.ohRangeRetrieveError(F13)</f>
        <v/>
      </c>
      <c r="J13" s="455"/>
      <c r="K13" s="483"/>
      <c r="L13" s="483"/>
      <c r="M13" s="483"/>
      <c r="N13" s="483"/>
      <c r="O13" s="483"/>
      <c r="P13" s="455"/>
      <c r="Q13" s="483"/>
      <c r="R13" s="483"/>
      <c r="S13" s="483"/>
      <c r="T13" s="483"/>
      <c r="U13" s="483"/>
      <c r="V13" s="456"/>
    </row>
    <row r="14" spans="2:26" s="446" customFormat="1" ht="12" thickBot="1" x14ac:dyDescent="0.25">
      <c r="B14" s="472"/>
      <c r="C14" s="473"/>
      <c r="D14" s="473"/>
      <c r="E14" s="473"/>
      <c r="F14" s="473"/>
      <c r="G14" s="473"/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  <c r="U14" s="473"/>
      <c r="V14" s="474"/>
    </row>
    <row r="15" spans="2:26" s="446" customFormat="1" ht="12" thickBot="1" x14ac:dyDescent="0.25">
      <c r="E15" s="475"/>
      <c r="F15" s="475"/>
      <c r="H15" s="475"/>
      <c r="I15" s="475"/>
      <c r="J15" s="475"/>
      <c r="M15" s="475"/>
    </row>
    <row r="16" spans="2:26" ht="12" thickBot="1" x14ac:dyDescent="0.25">
      <c r="D16" s="516"/>
      <c r="E16" s="517"/>
      <c r="F16" s="517"/>
      <c r="G16" s="517"/>
      <c r="H16" s="517"/>
      <c r="I16" s="517"/>
      <c r="J16" s="517"/>
      <c r="K16" s="517"/>
      <c r="L16" s="517"/>
      <c r="M16" s="517"/>
      <c r="N16" s="517"/>
      <c r="O16" s="517"/>
      <c r="P16" s="518"/>
    </row>
    <row r="17" spans="4:16" x14ac:dyDescent="0.2">
      <c r="D17" s="519"/>
      <c r="E17" s="520"/>
      <c r="F17" s="520"/>
      <c r="G17" s="521"/>
      <c r="H17" s="521"/>
      <c r="I17" s="522"/>
      <c r="J17" s="522"/>
      <c r="K17" s="523" t="str">
        <f>_xll.RHistory(K8,F21:F22,F19,,"CH:In;Fd TSREPEAT:N SORT:"&amp;F20,K18)</f>
        <v>Updated at 10:05:48</v>
      </c>
      <c r="L17" s="524" t="e">
        <f>_xll.qlIndexAddFixings(E8,K20,L20/100,TRUE,Trigger)</f>
        <v>#NUM!</v>
      </c>
      <c r="M17" s="525"/>
      <c r="N17" s="523" t="str">
        <f>_xll.RHistory(K11,F21:F22,F19,,"CH:In;Fd TSREPEAT:N SORT:"&amp;F20,N18)</f>
        <v>Updated at 10:05:48</v>
      </c>
      <c r="O17" s="524" t="e">
        <f>_xll.qlIndexAddFixings(E11,N20,O20/100,TRUE,Trigger)</f>
        <v>#NUM!</v>
      </c>
      <c r="P17" s="526"/>
    </row>
    <row r="18" spans="4:16" x14ac:dyDescent="0.2">
      <c r="D18" s="519"/>
      <c r="E18" s="520"/>
      <c r="F18" s="522"/>
      <c r="G18" s="522"/>
      <c r="H18" s="522"/>
      <c r="I18" s="522"/>
      <c r="J18" s="522"/>
      <c r="K18" s="527" t="s">
        <v>341</v>
      </c>
      <c r="L18" s="528" t="s">
        <v>341</v>
      </c>
      <c r="M18" s="525"/>
      <c r="N18" s="527" t="s">
        <v>338</v>
      </c>
      <c r="O18" s="528" t="s">
        <v>338</v>
      </c>
      <c r="P18" s="526"/>
    </row>
    <row r="19" spans="4:16" ht="22.5" x14ac:dyDescent="0.2">
      <c r="D19" s="529"/>
      <c r="E19" s="463" t="s">
        <v>331</v>
      </c>
      <c r="F19" s="530" t="str">
        <f>"START:"&amp;_xll.qlSettingsEvaluationDate(Trigger)&amp; " END:"&amp;_xll.qlSettingsEvaluationDate(Trigger)&amp;" INTERVAL:1D"</f>
        <v>START:42045 END:42045 INTERVAL:1D</v>
      </c>
      <c r="G19" s="522"/>
      <c r="H19" s="522"/>
      <c r="I19" s="522"/>
      <c r="J19" s="522"/>
      <c r="K19" s="531" t="s">
        <v>342</v>
      </c>
      <c r="L19" s="532" t="s">
        <v>332</v>
      </c>
      <c r="M19" s="525"/>
      <c r="N19" s="531" t="s">
        <v>342</v>
      </c>
      <c r="O19" s="532" t="s">
        <v>332</v>
      </c>
      <c r="P19" s="526"/>
    </row>
    <row r="20" spans="4:16" ht="12" thickBot="1" x14ac:dyDescent="0.25">
      <c r="D20" s="529"/>
      <c r="E20" s="463" t="s">
        <v>333</v>
      </c>
      <c r="F20" s="464" t="s">
        <v>334</v>
      </c>
      <c r="G20" s="522"/>
      <c r="H20" s="522"/>
      <c r="I20" s="522"/>
      <c r="J20" s="522"/>
      <c r="K20" s="533" t="e">
        <v>#N/A</v>
      </c>
      <c r="L20" s="534">
        <v>0.17125000000000001</v>
      </c>
      <c r="M20" s="525"/>
      <c r="N20" s="533" t="e">
        <v>#N/A</v>
      </c>
      <c r="O20" s="534">
        <v>0.3574</v>
      </c>
      <c r="P20" s="526"/>
    </row>
    <row r="21" spans="4:16" ht="12" thickBot="1" x14ac:dyDescent="0.25">
      <c r="D21" s="529"/>
      <c r="E21" s="463" t="s">
        <v>335</v>
      </c>
      <c r="F21" s="464" t="s">
        <v>336</v>
      </c>
      <c r="G21" s="522"/>
      <c r="H21" s="522"/>
      <c r="I21" s="522"/>
      <c r="J21" s="522"/>
      <c r="K21" s="520"/>
      <c r="L21" s="520"/>
      <c r="M21" s="525"/>
      <c r="N21" s="522"/>
      <c r="O21" s="522"/>
      <c r="P21" s="526"/>
    </row>
    <row r="22" spans="4:16" x14ac:dyDescent="0.2">
      <c r="D22" s="529"/>
      <c r="E22" s="463"/>
      <c r="F22" s="464" t="s">
        <v>337</v>
      </c>
      <c r="G22" s="522"/>
      <c r="H22" s="522"/>
      <c r="I22" s="522"/>
      <c r="J22" s="522"/>
      <c r="K22" s="523" t="str">
        <f>_xll.RHistory(K10,F21:F22,F19,,"CH:In;Fd TSREPEAT:N SORT:"&amp;F20,K23)</f>
        <v>Updated at 10:05:48</v>
      </c>
      <c r="L22" s="524" t="e">
        <f>_xll.qlIndexAddFixings(E10,K25,L25/100,TRUE,Trigger)</f>
        <v>#NUM!</v>
      </c>
      <c r="M22" s="525"/>
      <c r="N22" s="523" t="str">
        <f>_xll.RHistory(K12,F21:F22,F19,,"CH:In;Fd TSREPEAT:N SORT:"&amp;F20,N23)</f>
        <v>Updated at 10:05:48</v>
      </c>
      <c r="O22" s="524" t="e">
        <f>_xll.qlIndexAddFixings(E12,N25,O25/100,TRUE,Trigger)</f>
        <v>#NUM!</v>
      </c>
      <c r="P22" s="526"/>
    </row>
    <row r="23" spans="4:16" x14ac:dyDescent="0.2">
      <c r="D23" s="519"/>
      <c r="E23" s="520"/>
      <c r="F23" s="522"/>
      <c r="G23" s="522"/>
      <c r="H23" s="522"/>
      <c r="I23" s="522"/>
      <c r="J23" s="522"/>
      <c r="K23" s="527" t="s">
        <v>340</v>
      </c>
      <c r="L23" s="528" t="s">
        <v>340</v>
      </c>
      <c r="M23" s="525"/>
      <c r="N23" s="527" t="s">
        <v>339</v>
      </c>
      <c r="O23" s="528" t="s">
        <v>339</v>
      </c>
      <c r="P23" s="526"/>
    </row>
    <row r="24" spans="4:16" ht="22.5" x14ac:dyDescent="0.2">
      <c r="D24" s="519"/>
      <c r="E24" s="520"/>
      <c r="F24" s="522"/>
      <c r="G24" s="522"/>
      <c r="H24" s="522"/>
      <c r="I24" s="522"/>
      <c r="J24" s="522"/>
      <c r="K24" s="531" t="s">
        <v>342</v>
      </c>
      <c r="L24" s="532" t="s">
        <v>332</v>
      </c>
      <c r="M24" s="525"/>
      <c r="N24" s="531" t="s">
        <v>342</v>
      </c>
      <c r="O24" s="532" t="s">
        <v>332</v>
      </c>
      <c r="P24" s="526"/>
    </row>
    <row r="25" spans="4:16" ht="12" thickBot="1" x14ac:dyDescent="0.25">
      <c r="D25" s="519"/>
      <c r="E25" s="520"/>
      <c r="F25" s="522"/>
      <c r="G25" s="522"/>
      <c r="H25" s="522"/>
      <c r="I25" s="522"/>
      <c r="J25" s="522"/>
      <c r="K25" s="533" t="e">
        <v>#N/A</v>
      </c>
      <c r="L25" s="534">
        <v>0.25309999999999999</v>
      </c>
      <c r="M25" s="525"/>
      <c r="N25" s="533" t="e">
        <v>#N/A</v>
      </c>
      <c r="O25" s="534">
        <v>0.62090000000000001</v>
      </c>
      <c r="P25" s="526"/>
    </row>
    <row r="26" spans="4:16" ht="12" thickBot="1" x14ac:dyDescent="0.25">
      <c r="D26" s="535"/>
      <c r="E26" s="536"/>
      <c r="F26" s="537"/>
      <c r="G26" s="537"/>
      <c r="H26" s="537"/>
      <c r="I26" s="537"/>
      <c r="J26" s="537"/>
      <c r="K26" s="537"/>
      <c r="L26" s="537"/>
      <c r="M26" s="537"/>
      <c r="N26" s="537"/>
      <c r="O26" s="537"/>
      <c r="P26" s="538"/>
    </row>
  </sheetData>
  <conditionalFormatting sqref="S6:S12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1" t="s">
        <v>305</v>
      </c>
      <c r="K4" s="337"/>
      <c r="L4" s="337"/>
      <c r="M4" s="342"/>
      <c r="N4" s="350"/>
      <c r="O4" s="396"/>
      <c r="P4" s="396"/>
      <c r="Q4" s="337"/>
      <c r="R4" s="342"/>
      <c r="S4" s="337"/>
      <c r="T4" s="337"/>
      <c r="U4" s="337"/>
      <c r="V4" s="337"/>
      <c r="W4" s="337"/>
      <c r="X4" s="337"/>
      <c r="Y4" s="337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37"/>
      <c r="K5" s="395"/>
      <c r="L5" s="389"/>
      <c r="M5" s="394" t="str">
        <f>VLOOKUP(Currency,Traits,2,FALSE)</f>
        <v>SFIX</v>
      </c>
      <c r="N5" s="393"/>
      <c r="O5" s="392"/>
      <c r="P5" s="392"/>
      <c r="Q5" s="389"/>
      <c r="R5" s="389"/>
      <c r="S5" s="391" t="str">
        <f>VLOOKUP(Currency,Traits,3,FALSE)</f>
        <v>LiborSwapIsdaFixAm</v>
      </c>
      <c r="T5" s="389"/>
      <c r="U5" s="389"/>
      <c r="V5" s="390">
        <f>MAX(X7:X22)</f>
        <v>0</v>
      </c>
      <c r="W5" s="389"/>
      <c r="X5" s="389"/>
      <c r="Y5" s="388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37"/>
      <c r="K6" s="366"/>
      <c r="L6" s="386" t="s">
        <v>23</v>
      </c>
      <c r="M6" s="385" t="str">
        <f>_xll.RData(M7:M21,N6:O6,"RTFEED:IDN",,,N7)</f>
        <v>Updated at 10:05:57</v>
      </c>
      <c r="N6" s="385" t="s">
        <v>287</v>
      </c>
      <c r="O6" s="385" t="s">
        <v>293</v>
      </c>
      <c r="P6" s="385" t="s">
        <v>286</v>
      </c>
      <c r="Q6" s="384" t="s">
        <v>285</v>
      </c>
      <c r="R6" s="387"/>
      <c r="S6" s="386" t="s">
        <v>228</v>
      </c>
      <c r="T6" s="385" t="s">
        <v>284</v>
      </c>
      <c r="U6" s="385" t="s">
        <v>283</v>
      </c>
      <c r="V6" s="385" t="s">
        <v>282</v>
      </c>
      <c r="W6" s="384" t="s">
        <v>281</v>
      </c>
      <c r="X6" s="383"/>
      <c r="Y6" s="356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37"/>
      <c r="K7" s="366"/>
      <c r="L7" s="382" t="s">
        <v>8</v>
      </c>
      <c r="M7" s="377" t="str">
        <f t="shared" ref="M7:M21" si="1">Currency&amp;$M$5&amp;$L7&amp;"="</f>
        <v>USDSFIX1Y=</v>
      </c>
      <c r="N7" s="381">
        <v>42044</v>
      </c>
      <c r="O7" s="380">
        <v>0.49099999999999999</v>
      </c>
      <c r="P7" s="380" t="b">
        <f t="shared" ref="P7:P21" si="2">IF(AND(ISNUMBER($O7),$O7&lt;&gt;0%),TRUE,FALSE)</f>
        <v>1</v>
      </c>
      <c r="Q7" s="379" t="b">
        <f>IF($P7,_xll.qlIndexAddFixings($S7,$N7,$O7/100,TRUE,ISERROR($T7)),NA())</f>
        <v>1</v>
      </c>
      <c r="R7" s="361"/>
      <c r="S7" s="378" t="str">
        <f t="shared" ref="S7:S21" si="3">PROPER(Currency)&amp;$S$5&amp;$L7</f>
        <v>UsdLiborSwapIsdaFixAm1Y</v>
      </c>
      <c r="T7" s="377">
        <f>_xll.qlIndexFixing($S7,$N7,TRUE,$P7)</f>
        <v>4.9100000000000003E-3</v>
      </c>
      <c r="U7" s="377">
        <f>IF($Q7,_xll.qlIndexFixing($S7,$N7,FALSE,$P7),"-")</f>
        <v>4.9100000000000003E-3</v>
      </c>
      <c r="V7" s="377">
        <f t="shared" ref="V7:V21" si="4">T7-U7</f>
        <v>0</v>
      </c>
      <c r="W7" s="376">
        <f>_xll.qlIndexFixing($S7,$N7,TRUE,$U7)</f>
        <v>4.9100000000000003E-3</v>
      </c>
      <c r="X7" s="400">
        <f t="shared" ref="X7:X21" si="5">IF(ISERROR(V7),0,ABS(V7))</f>
        <v>0</v>
      </c>
      <c r="Y7" s="356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37"/>
      <c r="K8" s="366"/>
      <c r="L8" s="374" t="s">
        <v>84</v>
      </c>
      <c r="M8" s="369" t="str">
        <f t="shared" si="1"/>
        <v>USDSFIX2Y=</v>
      </c>
      <c r="N8" s="373">
        <v>42044</v>
      </c>
      <c r="O8" s="372">
        <v>0.90100000000000002</v>
      </c>
      <c r="P8" s="372" t="b">
        <f t="shared" si="2"/>
        <v>1</v>
      </c>
      <c r="Q8" s="371" t="b">
        <f>IF($P8,_xll.qlIndexAddFixings($S8,$N8,$O8/100,TRUE,ISERROR($T8)),NA())</f>
        <v>1</v>
      </c>
      <c r="R8" s="361"/>
      <c r="S8" s="370" t="str">
        <f t="shared" si="3"/>
        <v>UsdLiborSwapIsdaFixAm2Y</v>
      </c>
      <c r="T8" s="369">
        <f>_xll.qlIndexFixing($S8,$N8,TRUE,$P8)</f>
        <v>9.0100000000000006E-3</v>
      </c>
      <c r="U8" s="369">
        <f>IF($Q8,_xll.qlIndexFixing($S8,$N8,FALSE,$P8),"-")</f>
        <v>9.0100000000000006E-3</v>
      </c>
      <c r="V8" s="369">
        <f t="shared" si="4"/>
        <v>0</v>
      </c>
      <c r="W8" s="368">
        <f>_xll.qlIndexFixing($S8,$N8,TRUE,$U8)</f>
        <v>9.0100000000000006E-3</v>
      </c>
      <c r="X8" s="400">
        <f t="shared" si="5"/>
        <v>0</v>
      </c>
      <c r="Y8" s="356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37"/>
      <c r="K9" s="366"/>
      <c r="L9" s="374" t="s">
        <v>83</v>
      </c>
      <c r="M9" s="369" t="str">
        <f t="shared" si="1"/>
        <v>USDSFIX3Y=</v>
      </c>
      <c r="N9" s="373">
        <v>42044</v>
      </c>
      <c r="O9" s="372">
        <v>1.2310000000000001</v>
      </c>
      <c r="P9" s="372" t="b">
        <f t="shared" si="2"/>
        <v>1</v>
      </c>
      <c r="Q9" s="371" t="b">
        <f>IF($P9,_xll.qlIndexAddFixings($S9,$N9,$O9/100,TRUE,ISERROR($T9)),NA())</f>
        <v>1</v>
      </c>
      <c r="R9" s="361"/>
      <c r="S9" s="370" t="str">
        <f t="shared" si="3"/>
        <v>UsdLiborSwapIsdaFixAm3Y</v>
      </c>
      <c r="T9" s="369">
        <f>_xll.qlIndexFixing($S9,$N9,TRUE,$P9)</f>
        <v>1.2310000000000001E-2</v>
      </c>
      <c r="U9" s="369">
        <f>IF($Q9,_xll.qlIndexFixing($S9,$N9,FALSE,$P9),"-")</f>
        <v>1.2310000000000001E-2</v>
      </c>
      <c r="V9" s="369">
        <f t="shared" si="4"/>
        <v>0</v>
      </c>
      <c r="W9" s="368">
        <f>_xll.qlIndexFixing($S9,$N9,TRUE,$U9)</f>
        <v>1.2310000000000001E-2</v>
      </c>
      <c r="X9" s="400">
        <f t="shared" si="5"/>
        <v>0</v>
      </c>
      <c r="Y9" s="356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37"/>
      <c r="K10" s="366"/>
      <c r="L10" s="374" t="s">
        <v>82</v>
      </c>
      <c r="M10" s="369" t="str">
        <f t="shared" si="1"/>
        <v>USDSFIX4Y=</v>
      </c>
      <c r="N10" s="373">
        <v>42044</v>
      </c>
      <c r="O10" s="372">
        <v>1.464</v>
      </c>
      <c r="P10" s="372" t="b">
        <f t="shared" si="2"/>
        <v>1</v>
      </c>
      <c r="Q10" s="371" t="b">
        <f>IF($P10,_xll.qlIndexAddFixings($S10,$N10,$O10/100,TRUE,ISERROR($T10)),NA())</f>
        <v>1</v>
      </c>
      <c r="R10" s="361"/>
      <c r="S10" s="370" t="str">
        <f t="shared" si="3"/>
        <v>UsdLiborSwapIsdaFixAm4Y</v>
      </c>
      <c r="T10" s="369">
        <f>_xll.qlIndexFixing($S10,$N10,TRUE,$P10)</f>
        <v>1.464E-2</v>
      </c>
      <c r="U10" s="369">
        <f>IF($Q10,_xll.qlIndexFixing($S10,$N10,FALSE,$P10),"-")</f>
        <v>1.464E-2</v>
      </c>
      <c r="V10" s="369">
        <f t="shared" si="4"/>
        <v>0</v>
      </c>
      <c r="W10" s="368">
        <f>_xll.qlIndexFixing($S10,$N10,TRUE,$U10)</f>
        <v>1.464E-2</v>
      </c>
      <c r="X10" s="400">
        <f t="shared" si="5"/>
        <v>0</v>
      </c>
      <c r="Y10" s="356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37"/>
      <c r="K11" s="366"/>
      <c r="L11" s="374" t="s">
        <v>81</v>
      </c>
      <c r="M11" s="369" t="str">
        <f t="shared" si="1"/>
        <v>USDSFIX5Y=</v>
      </c>
      <c r="N11" s="373">
        <v>42044</v>
      </c>
      <c r="O11" s="372">
        <v>1.631</v>
      </c>
      <c r="P11" s="372" t="b">
        <f t="shared" si="2"/>
        <v>1</v>
      </c>
      <c r="Q11" s="371" t="b">
        <f>IF($P11,_xll.qlIndexAddFixings($S11,$N11,$O11/100,TRUE,ISERROR($T11)),NA())</f>
        <v>1</v>
      </c>
      <c r="R11" s="361"/>
      <c r="S11" s="370" t="str">
        <f t="shared" si="3"/>
        <v>UsdLiborSwapIsdaFixAm5Y</v>
      </c>
      <c r="T11" s="369">
        <f>_xll.qlIndexFixing($S11,$N11,TRUE,$P11)</f>
        <v>1.6310000000000002E-2</v>
      </c>
      <c r="U11" s="369">
        <f>IF($Q11,_xll.qlIndexFixing($S11,$N11,FALSE,$P11),"-")</f>
        <v>1.6310000000000002E-2</v>
      </c>
      <c r="V11" s="369">
        <f t="shared" si="4"/>
        <v>0</v>
      </c>
      <c r="W11" s="368">
        <f>_xll.qlIndexFixing($S11,$N11,TRUE,$U11)</f>
        <v>1.6310000000000002E-2</v>
      </c>
      <c r="X11" s="400">
        <f t="shared" si="5"/>
        <v>0</v>
      </c>
      <c r="Y11" s="356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37"/>
      <c r="K12" s="366"/>
      <c r="L12" s="374" t="s">
        <v>80</v>
      </c>
      <c r="M12" s="369" t="str">
        <f t="shared" si="1"/>
        <v>USDSFIX6Y=</v>
      </c>
      <c r="N12" s="373">
        <v>42044</v>
      </c>
      <c r="O12" s="372">
        <v>1.7570000000000001</v>
      </c>
      <c r="P12" s="372" t="b">
        <f t="shared" si="2"/>
        <v>1</v>
      </c>
      <c r="Q12" s="371" t="b">
        <f>IF($P12,_xll.qlIndexAddFixings($S12,$N12,$O12/100,TRUE,ISERROR($T12)),NA())</f>
        <v>1</v>
      </c>
      <c r="R12" s="361"/>
      <c r="S12" s="370" t="str">
        <f t="shared" si="3"/>
        <v>UsdLiborSwapIsdaFixAm6Y</v>
      </c>
      <c r="T12" s="369">
        <f>_xll.qlIndexFixing($S12,$N12,TRUE,$P12)</f>
        <v>1.7570000000000002E-2</v>
      </c>
      <c r="U12" s="369">
        <f>IF($Q12,_xll.qlIndexFixing($S12,$N12,FALSE,$P12),"-")</f>
        <v>1.7570000000000002E-2</v>
      </c>
      <c r="V12" s="369">
        <f t="shared" si="4"/>
        <v>0</v>
      </c>
      <c r="W12" s="368">
        <f>_xll.qlIndexFixing($S12,$N12,TRUE,$U12)</f>
        <v>1.7570000000000002E-2</v>
      </c>
      <c r="X12" s="400">
        <f t="shared" si="5"/>
        <v>0</v>
      </c>
      <c r="Y12" s="356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37"/>
      <c r="K13" s="366"/>
      <c r="L13" s="374" t="s">
        <v>79</v>
      </c>
      <c r="M13" s="369" t="str">
        <f t="shared" si="1"/>
        <v>USDSFIX7Y=</v>
      </c>
      <c r="N13" s="373">
        <v>42044</v>
      </c>
      <c r="O13" s="372">
        <v>1.857</v>
      </c>
      <c r="P13" s="372" t="b">
        <f t="shared" si="2"/>
        <v>1</v>
      </c>
      <c r="Q13" s="371" t="b">
        <f>IF($P13,_xll.qlIndexAddFixings($S13,$N13,$O13/100,TRUE,ISERROR($T13)),NA())</f>
        <v>1</v>
      </c>
      <c r="R13" s="361"/>
      <c r="S13" s="370" t="str">
        <f t="shared" si="3"/>
        <v>UsdLiborSwapIsdaFixAm7Y</v>
      </c>
      <c r="T13" s="369">
        <f>_xll.qlIndexFixing($S13,$N13,TRUE,$P13)</f>
        <v>1.857E-2</v>
      </c>
      <c r="U13" s="369">
        <f>IF($Q13,_xll.qlIndexFixing($S13,$N13,FALSE,$P13),"-")</f>
        <v>1.857E-2</v>
      </c>
      <c r="V13" s="369">
        <f t="shared" si="4"/>
        <v>0</v>
      </c>
      <c r="W13" s="368">
        <f>_xll.qlIndexFixing($S13,$N13,TRUE,$U13)</f>
        <v>1.857E-2</v>
      </c>
      <c r="X13" s="400">
        <f t="shared" si="5"/>
        <v>0</v>
      </c>
      <c r="Y13" s="356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37"/>
      <c r="K14" s="366"/>
      <c r="L14" s="374" t="s">
        <v>78</v>
      </c>
      <c r="M14" s="369" t="str">
        <f t="shared" si="1"/>
        <v>USDSFIX8Y=</v>
      </c>
      <c r="N14" s="373">
        <v>42044</v>
      </c>
      <c r="O14" s="372">
        <v>1.9359999999999999</v>
      </c>
      <c r="P14" s="372" t="b">
        <f t="shared" si="2"/>
        <v>1</v>
      </c>
      <c r="Q14" s="371" t="b">
        <f>IF($P14,_xll.qlIndexAddFixings($S14,$N14,$O14/100,TRUE,ISERROR($T14)),NA())</f>
        <v>1</v>
      </c>
      <c r="R14" s="361"/>
      <c r="S14" s="370" t="str">
        <f t="shared" si="3"/>
        <v>UsdLiborSwapIsdaFixAm8Y</v>
      </c>
      <c r="T14" s="369">
        <f>_xll.qlIndexFixing($S14,$N14,TRUE,$P14)</f>
        <v>1.9359999999999999E-2</v>
      </c>
      <c r="U14" s="369">
        <f>IF($Q14,_xll.qlIndexFixing($S14,$N14,FALSE,$P14),"-")</f>
        <v>1.9359999999999999E-2</v>
      </c>
      <c r="V14" s="369">
        <f t="shared" si="4"/>
        <v>0</v>
      </c>
      <c r="W14" s="368">
        <f>_xll.qlIndexFixing($S14,$N14,TRUE,$U14)</f>
        <v>1.9359999999999999E-2</v>
      </c>
      <c r="X14" s="400">
        <f t="shared" si="5"/>
        <v>0</v>
      </c>
      <c r="Y14" s="356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37"/>
      <c r="K15" s="366"/>
      <c r="L15" s="374" t="s">
        <v>77</v>
      </c>
      <c r="M15" s="369" t="str">
        <f t="shared" si="1"/>
        <v>USDSFIX9Y=</v>
      </c>
      <c r="N15" s="373">
        <v>42044</v>
      </c>
      <c r="O15" s="372">
        <v>2.0009999999999999</v>
      </c>
      <c r="P15" s="372" t="b">
        <f t="shared" si="2"/>
        <v>1</v>
      </c>
      <c r="Q15" s="371" t="b">
        <f>IF($P15,_xll.qlIndexAddFixings($S15,$N15,$O15/100,TRUE,ISERROR($T15)),NA())</f>
        <v>1</v>
      </c>
      <c r="R15" s="361"/>
      <c r="S15" s="370" t="str">
        <f t="shared" si="3"/>
        <v>UsdLiborSwapIsdaFixAm9Y</v>
      </c>
      <c r="T15" s="369">
        <f>_xll.qlIndexFixing($S15,$N15,TRUE,$P15)</f>
        <v>2.001E-2</v>
      </c>
      <c r="U15" s="369">
        <f>IF($Q15,_xll.qlIndexFixing($S15,$N15,FALSE,$P15),"-")</f>
        <v>2.001E-2</v>
      </c>
      <c r="V15" s="369">
        <f t="shared" si="4"/>
        <v>0</v>
      </c>
      <c r="W15" s="368">
        <f>_xll.qlIndexFixing($S15,$N15,TRUE,$U15)</f>
        <v>2.001E-2</v>
      </c>
      <c r="X15" s="400">
        <f t="shared" si="5"/>
        <v>0</v>
      </c>
      <c r="Y15" s="356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37"/>
      <c r="K16" s="366"/>
      <c r="L16" s="374" t="s">
        <v>76</v>
      </c>
      <c r="M16" s="369" t="str">
        <f t="shared" si="1"/>
        <v>USDSFIX10Y=</v>
      </c>
      <c r="N16" s="373">
        <v>42044</v>
      </c>
      <c r="O16" s="372">
        <v>2.056</v>
      </c>
      <c r="P16" s="372" t="b">
        <f t="shared" si="2"/>
        <v>1</v>
      </c>
      <c r="Q16" s="371" t="b">
        <f>IF($P16,_xll.qlIndexAddFixings($S16,$N16,$O16/100,TRUE,ISERROR($T16)),NA())</f>
        <v>1</v>
      </c>
      <c r="R16" s="361"/>
      <c r="S16" s="370" t="str">
        <f t="shared" si="3"/>
        <v>UsdLiborSwapIsdaFixAm10Y</v>
      </c>
      <c r="T16" s="369">
        <f>_xll.qlIndexFixing($S16,$N16,TRUE,$P16)</f>
        <v>2.0560000000000002E-2</v>
      </c>
      <c r="U16" s="369">
        <f>IF($Q16,_xll.qlIndexFixing($S16,$N16,FALSE,$P16),"-")</f>
        <v>2.0560000000000002E-2</v>
      </c>
      <c r="V16" s="369">
        <f t="shared" si="4"/>
        <v>0</v>
      </c>
      <c r="W16" s="368">
        <f>_xll.qlIndexFixing($S16,$N16,TRUE,$U16)</f>
        <v>2.0560000000000002E-2</v>
      </c>
      <c r="X16" s="400">
        <f t="shared" si="5"/>
        <v>0</v>
      </c>
      <c r="Y16" s="356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37"/>
      <c r="K17" s="366"/>
      <c r="L17" s="374" t="s">
        <v>74</v>
      </c>
      <c r="M17" s="369" t="str">
        <f t="shared" si="1"/>
        <v>USDSFIX12Y=</v>
      </c>
      <c r="N17" s="373" t="s">
        <v>211</v>
      </c>
      <c r="O17" s="372" t="s">
        <v>211</v>
      </c>
      <c r="P17" s="372" t="b">
        <f t="shared" si="2"/>
        <v>0</v>
      </c>
      <c r="Q17" s="371" t="e">
        <f>IF($P17,_xll.qlIndexAddFixings($S17,$N17,$O17/100,TRUE,ISERROR($T17)),NA())</f>
        <v>#N/A</v>
      </c>
      <c r="R17" s="361"/>
      <c r="S17" s="370" t="str">
        <f t="shared" si="3"/>
        <v>UsdLiborSwapIsdaFixAm12Y</v>
      </c>
      <c r="T17" s="369" t="e">
        <f>_xll.qlIndexFixing($S17,$N17,TRUE,$P17)</f>
        <v>#NUM!</v>
      </c>
      <c r="U17" s="369" t="e">
        <f>IF($Q17,_xll.qlIndexFixing($S17,$N17,FALSE,$P17),"-")</f>
        <v>#N/A</v>
      </c>
      <c r="V17" s="369" t="e">
        <f t="shared" si="4"/>
        <v>#NUM!</v>
      </c>
      <c r="W17" s="368" t="e">
        <f>_xll.qlIndexFixing($S17,$N17,TRUE,$U17)</f>
        <v>#NUM!</v>
      </c>
      <c r="X17" s="400">
        <f t="shared" si="5"/>
        <v>0</v>
      </c>
      <c r="Y17" s="356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37"/>
      <c r="K18" s="366"/>
      <c r="L18" s="374" t="s">
        <v>71</v>
      </c>
      <c r="M18" s="369" t="str">
        <f t="shared" si="1"/>
        <v>USDSFIX15Y=</v>
      </c>
      <c r="N18" s="373">
        <v>42044</v>
      </c>
      <c r="O18" s="372">
        <v>2.2450000000000001</v>
      </c>
      <c r="P18" s="372" t="b">
        <f t="shared" si="2"/>
        <v>1</v>
      </c>
      <c r="Q18" s="371" t="b">
        <f>IF($P18,_xll.qlIndexAddFixings($S18,$N18,$O18/100,TRUE,ISERROR($T18)),NA())</f>
        <v>1</v>
      </c>
      <c r="R18" s="361"/>
      <c r="S18" s="370" t="str">
        <f t="shared" si="3"/>
        <v>UsdLiborSwapIsdaFixAm15Y</v>
      </c>
      <c r="T18" s="369">
        <f>_xll.qlIndexFixing($S18,$N18,TRUE,$P18)</f>
        <v>2.2450000000000001E-2</v>
      </c>
      <c r="U18" s="369">
        <f>IF($Q18,_xll.qlIndexFixing($S18,$N18,FALSE,$P18),"-")</f>
        <v>2.2450000000000001E-2</v>
      </c>
      <c r="V18" s="369">
        <f t="shared" si="4"/>
        <v>0</v>
      </c>
      <c r="W18" s="368">
        <f>_xll.qlIndexFixing($S18,$N18,TRUE,$U18)</f>
        <v>2.2450000000000001E-2</v>
      </c>
      <c r="X18" s="400">
        <f t="shared" si="5"/>
        <v>0</v>
      </c>
      <c r="Y18" s="356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37"/>
      <c r="K19" s="366"/>
      <c r="L19" s="374" t="s">
        <v>66</v>
      </c>
      <c r="M19" s="369" t="str">
        <f t="shared" si="1"/>
        <v>USDSFIX20Y=</v>
      </c>
      <c r="N19" s="373">
        <v>42044</v>
      </c>
      <c r="O19" s="372">
        <v>2.3290000000000002</v>
      </c>
      <c r="P19" s="372" t="b">
        <f t="shared" si="2"/>
        <v>1</v>
      </c>
      <c r="Q19" s="371" t="b">
        <f>IF($P19,_xll.qlIndexAddFixings($S19,$N19,$O19/100,TRUE,ISERROR($T19)),NA())</f>
        <v>1</v>
      </c>
      <c r="R19" s="361"/>
      <c r="S19" s="370" t="str">
        <f t="shared" si="3"/>
        <v>UsdLiborSwapIsdaFixAm20Y</v>
      </c>
      <c r="T19" s="369">
        <f>_xll.qlIndexFixing($S19,$N19,TRUE,$P19)</f>
        <v>2.3290000000000002E-2</v>
      </c>
      <c r="U19" s="369">
        <f>IF($Q19,_xll.qlIndexFixing($S19,$N19,FALSE,$P19),"-")</f>
        <v>2.3290000000000002E-2</v>
      </c>
      <c r="V19" s="369">
        <f t="shared" si="4"/>
        <v>0</v>
      </c>
      <c r="W19" s="368">
        <f>_xll.qlIndexFixing($S19,$N19,TRUE,$U19)</f>
        <v>2.3290000000000002E-2</v>
      </c>
      <c r="X19" s="400">
        <f t="shared" si="5"/>
        <v>0</v>
      </c>
      <c r="Y19" s="356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37"/>
      <c r="K20" s="366"/>
      <c r="L20" s="374" t="s">
        <v>61</v>
      </c>
      <c r="M20" s="369" t="str">
        <f t="shared" si="1"/>
        <v>USDSFIX25Y=</v>
      </c>
      <c r="N20" s="373">
        <v>40340</v>
      </c>
      <c r="O20" s="372">
        <v>0</v>
      </c>
      <c r="P20" s="372" t="b">
        <f t="shared" si="2"/>
        <v>0</v>
      </c>
      <c r="Q20" s="371" t="e">
        <f>IF($P20,_xll.qlIndexAddFixings($S20,$N20,$O20/100,TRUE,ISERROR($T20)),NA())</f>
        <v>#N/A</v>
      </c>
      <c r="R20" s="361"/>
      <c r="S20" s="370" t="str">
        <f t="shared" si="3"/>
        <v>UsdLiborSwapIsdaFixAm25Y</v>
      </c>
      <c r="T20" s="369" t="e">
        <f>_xll.qlIndexFixing($S20,$N20,TRUE,$P20)</f>
        <v>#NUM!</v>
      </c>
      <c r="U20" s="369" t="e">
        <f>IF($Q20,_xll.qlIndexFixing($S20,$N20,FALSE,$P20),"-")</f>
        <v>#N/A</v>
      </c>
      <c r="V20" s="369" t="e">
        <f t="shared" si="4"/>
        <v>#NUM!</v>
      </c>
      <c r="W20" s="368" t="e">
        <f>_xll.qlIndexFixing($S20,$N20,TRUE,$U20)</f>
        <v>#NUM!</v>
      </c>
      <c r="X20" s="400">
        <f t="shared" si="5"/>
        <v>0</v>
      </c>
      <c r="Y20" s="356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37"/>
      <c r="K21" s="366"/>
      <c r="L21" s="365" t="s">
        <v>56</v>
      </c>
      <c r="M21" s="359" t="str">
        <f t="shared" si="1"/>
        <v>USDSFIX30Y=</v>
      </c>
      <c r="N21" s="364">
        <v>42044</v>
      </c>
      <c r="O21" s="363">
        <v>2.3919999999999999</v>
      </c>
      <c r="P21" s="363" t="b">
        <f t="shared" si="2"/>
        <v>1</v>
      </c>
      <c r="Q21" s="362" t="b">
        <f>IF($P21,_xll.qlIndexAddFixings($S21,$N21,$O21/100,TRUE,ISERROR($T21)),NA())</f>
        <v>1</v>
      </c>
      <c r="R21" s="361"/>
      <c r="S21" s="360" t="str">
        <f t="shared" si="3"/>
        <v>UsdLiborSwapIsdaFixAm30Y</v>
      </c>
      <c r="T21" s="359">
        <f>_xll.qlIndexFixing($S21,$N21,TRUE,$P21)</f>
        <v>2.392E-2</v>
      </c>
      <c r="U21" s="359">
        <f>IF($Q21,_xll.qlIndexFixing($S21,$N21,FALSE,$P21),"-")</f>
        <v>2.392E-2</v>
      </c>
      <c r="V21" s="359">
        <f t="shared" si="4"/>
        <v>0</v>
      </c>
      <c r="W21" s="358">
        <f>_xll.qlIndexFixing($S21,$N21,TRUE,$U21)</f>
        <v>2.392E-2</v>
      </c>
      <c r="X21" s="399">
        <f t="shared" si="5"/>
        <v>0</v>
      </c>
      <c r="Y21" s="356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37"/>
      <c r="K22" s="355"/>
      <c r="L22" s="353"/>
      <c r="M22" s="353"/>
      <c r="N22" s="353"/>
      <c r="O22" s="353"/>
      <c r="P22" s="353"/>
      <c r="Q22" s="353"/>
      <c r="R22" s="352"/>
      <c r="S22" s="352"/>
      <c r="T22" s="352"/>
      <c r="U22" s="352"/>
      <c r="V22" s="352"/>
      <c r="W22" s="352"/>
      <c r="X22" s="352"/>
      <c r="Y22" s="351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37"/>
      <c r="K23" s="337"/>
      <c r="L23" s="337"/>
      <c r="M23" s="337"/>
      <c r="N23" s="350"/>
      <c r="O23" s="349"/>
      <c r="P23" s="349"/>
      <c r="Q23" s="337"/>
      <c r="R23" s="337"/>
      <c r="S23" s="337"/>
      <c r="T23" s="337"/>
      <c r="U23" s="337"/>
      <c r="V23" s="337"/>
      <c r="W23" s="337"/>
      <c r="X23" s="337"/>
      <c r="Y23" s="337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37"/>
      <c r="K24" s="337"/>
      <c r="L24" s="348" t="s">
        <v>104</v>
      </c>
      <c r="M24" s="347" t="s">
        <v>289</v>
      </c>
      <c r="N24" s="346" t="s">
        <v>290</v>
      </c>
      <c r="O24" s="337"/>
      <c r="P24" s="337"/>
      <c r="Q24" s="337"/>
      <c r="R24" s="337"/>
      <c r="S24" s="337"/>
      <c r="T24" s="337"/>
      <c r="U24" s="337"/>
      <c r="V24" s="337"/>
      <c r="W24" s="337"/>
      <c r="X24" s="337"/>
      <c r="Y24" s="337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37"/>
      <c r="K25" s="337"/>
      <c r="L25" s="343" t="s">
        <v>103</v>
      </c>
      <c r="M25" s="342" t="s">
        <v>292</v>
      </c>
      <c r="N25" s="341" t="s">
        <v>291</v>
      </c>
      <c r="O25" s="337"/>
      <c r="P25" s="337"/>
      <c r="Q25" s="337"/>
      <c r="R25" s="337"/>
      <c r="S25" s="337"/>
      <c r="T25" s="337"/>
      <c r="U25" s="337"/>
      <c r="V25" s="337"/>
      <c r="W25" s="337"/>
      <c r="X25" s="337"/>
      <c r="Y25" s="337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37"/>
      <c r="K26" s="337"/>
      <c r="L26" s="343" t="s">
        <v>280</v>
      </c>
      <c r="M26" s="342" t="s">
        <v>289</v>
      </c>
      <c r="N26" s="341" t="s">
        <v>288</v>
      </c>
      <c r="O26" s="337"/>
      <c r="P26" s="337"/>
      <c r="Q26" s="337"/>
      <c r="R26" s="337"/>
      <c r="S26" s="337"/>
      <c r="T26" s="337"/>
      <c r="U26" s="337"/>
      <c r="V26" s="337"/>
      <c r="W26" s="337"/>
      <c r="X26" s="337"/>
      <c r="Y26" s="337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37"/>
      <c r="K27" s="337"/>
      <c r="L27" s="343" t="s">
        <v>279</v>
      </c>
      <c r="M27" s="342" t="s">
        <v>289</v>
      </c>
      <c r="N27" s="341" t="s">
        <v>290</v>
      </c>
      <c r="O27" s="337"/>
      <c r="P27" s="337"/>
      <c r="Q27" s="337"/>
      <c r="R27" s="337"/>
      <c r="S27" s="337"/>
      <c r="T27" s="337"/>
      <c r="U27" s="337"/>
      <c r="V27" s="337"/>
      <c r="W27" s="337"/>
      <c r="X27" s="337"/>
      <c r="Y27" s="337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37"/>
      <c r="K28" s="337"/>
      <c r="L28" s="343" t="s">
        <v>100</v>
      </c>
      <c r="M28" s="342" t="s">
        <v>289</v>
      </c>
      <c r="N28" s="341" t="s">
        <v>290</v>
      </c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37"/>
      <c r="K29" s="337"/>
      <c r="L29" s="343" t="s">
        <v>99</v>
      </c>
      <c r="M29" s="342" t="s">
        <v>289</v>
      </c>
      <c r="N29" s="341" t="s">
        <v>288</v>
      </c>
      <c r="O29" s="337"/>
      <c r="P29" s="337"/>
      <c r="Q29" s="337"/>
      <c r="R29" s="337"/>
      <c r="S29" s="337"/>
      <c r="T29" s="337"/>
      <c r="U29" s="337"/>
      <c r="V29" s="337"/>
      <c r="W29" s="337"/>
      <c r="X29" s="337"/>
      <c r="Y29" s="337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37"/>
      <c r="K30" s="337"/>
      <c r="L30" s="340" t="s">
        <v>94</v>
      </c>
      <c r="M30" s="398" t="s">
        <v>289</v>
      </c>
      <c r="N30" s="397" t="s">
        <v>288</v>
      </c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06" customWidth="1"/>
    <col min="3" max="3" width="4" style="506" bestFit="1" customWidth="1"/>
    <col min="4" max="4" width="10" style="506" bestFit="1" customWidth="1"/>
    <col min="5" max="5" width="30.28515625" style="506" bestFit="1" customWidth="1"/>
    <col min="6" max="6" width="33.85546875" style="506" bestFit="1" customWidth="1"/>
    <col min="7" max="7" width="20.7109375" style="506" customWidth="1"/>
    <col min="8" max="8" width="2.7109375" style="506" customWidth="1"/>
    <col min="9" max="9" width="22.7109375" style="506" customWidth="1"/>
    <col min="10" max="16384" width="9.140625" style="506"/>
  </cols>
  <sheetData>
    <row r="1" spans="1:8" s="446" customFormat="1" ht="12" thickBot="1" x14ac:dyDescent="0.25">
      <c r="A1" s="446" t="s">
        <v>95</v>
      </c>
    </row>
    <row r="2" spans="1:8" s="446" customFormat="1" x14ac:dyDescent="0.2">
      <c r="B2" s="490"/>
      <c r="C2" s="449"/>
      <c r="D2" s="449"/>
      <c r="E2" s="491"/>
      <c r="F2" s="449"/>
      <c r="G2" s="449"/>
      <c r="H2" s="450"/>
    </row>
    <row r="3" spans="1:8" s="446" customFormat="1" x14ac:dyDescent="0.2">
      <c r="B3" s="492"/>
      <c r="C3" s="455"/>
      <c r="D3" s="455"/>
      <c r="E3" s="493" t="s">
        <v>25</v>
      </c>
      <c r="F3" s="494" t="s">
        <v>88</v>
      </c>
      <c r="G3" s="455"/>
      <c r="H3" s="456"/>
    </row>
    <row r="4" spans="1:8" s="446" customFormat="1" x14ac:dyDescent="0.2">
      <c r="B4" s="492"/>
      <c r="C4" s="455"/>
      <c r="D4" s="455"/>
      <c r="E4" s="493" t="s">
        <v>87</v>
      </c>
      <c r="F4" s="494" t="s">
        <v>91</v>
      </c>
      <c r="G4" s="455"/>
      <c r="H4" s="456"/>
    </row>
    <row r="5" spans="1:8" s="446" customFormat="1" x14ac:dyDescent="0.2">
      <c r="B5" s="492"/>
      <c r="C5" s="455"/>
      <c r="D5" s="455"/>
      <c r="E5" s="493" t="s">
        <v>90</v>
      </c>
      <c r="F5" s="495" t="str">
        <f>PROPER(Currency)&amp;FamilyName&amp;"3M"</f>
        <v>UsdLibor3M</v>
      </c>
      <c r="G5" s="455"/>
      <c r="H5" s="456"/>
    </row>
    <row r="6" spans="1:8" s="446" customFormat="1" x14ac:dyDescent="0.2">
      <c r="B6" s="492"/>
      <c r="C6" s="455"/>
      <c r="D6" s="455"/>
      <c r="E6" s="493" t="s">
        <v>325</v>
      </c>
      <c r="F6" s="495" t="str">
        <f>IF(HolidayCheck,LocalCalendar,Calendar)</f>
        <v>UnitedKingdom::Exchange</v>
      </c>
      <c r="G6" s="455"/>
      <c r="H6" s="456"/>
    </row>
    <row r="7" spans="1:8" s="446" customFormat="1" x14ac:dyDescent="0.2">
      <c r="B7" s="492"/>
      <c r="C7" s="455"/>
      <c r="D7" s="455"/>
      <c r="E7" s="455"/>
      <c r="F7" s="455"/>
      <c r="G7" s="455"/>
      <c r="H7" s="456"/>
    </row>
    <row r="8" spans="1:8" s="446" customFormat="1" ht="12" x14ac:dyDescent="0.25">
      <c r="B8" s="492"/>
      <c r="C8" s="455"/>
      <c r="D8" s="496" t="s">
        <v>85</v>
      </c>
      <c r="E8" s="497" t="str">
        <f>PROPER(Currency)&amp;FamilyName2&amp;FixingType&amp;".xml"</f>
        <v>UsdLiborSwapForBasisCalc.xml</v>
      </c>
      <c r="F8" s="494" t="str">
        <f>IF(Serialize,_xll.ohObjectSave(F9:F68,SerializationPath&amp;FileName,FileOverwrite,,Serialize),"---")</f>
        <v>---</v>
      </c>
      <c r="G8" s="498" t="str">
        <f>_xll.ohRangeRetrieveError(F8)</f>
        <v/>
      </c>
      <c r="H8" s="456"/>
    </row>
    <row r="9" spans="1:8" s="446" customFormat="1" x14ac:dyDescent="0.2">
      <c r="B9" s="492"/>
      <c r="C9" s="499" t="s">
        <v>8</v>
      </c>
      <c r="D9" s="499" t="s">
        <v>17</v>
      </c>
      <c r="E9" s="500" t="str">
        <f t="shared" ref="E9:E40" si="0">PROPER(Currency)&amp;FamilyName2&amp;FixingType&amp;$C9</f>
        <v>UsdLiborSwapForBasisCalc1Y</v>
      </c>
      <c r="F9" s="501" t="str">
        <f>_xll.qlSwapIndex($E9,FixingType,C9,2,Currency,$F$6,"1Y","f",MoneyMarketDayCounter,Libor!$E$10,Discounting,Permanent,Trigger,ObjectOverwrite)</f>
        <v>UsdLiborSwapForBasisCalc1Y#0000</v>
      </c>
      <c r="G9" s="498" t="str">
        <f>_xll.ohRangeRetrieveError(F9)</f>
        <v/>
      </c>
      <c r="H9" s="502"/>
    </row>
    <row r="10" spans="1:8" s="446" customFormat="1" x14ac:dyDescent="0.2">
      <c r="B10" s="492"/>
      <c r="C10" s="499" t="s">
        <v>84</v>
      </c>
      <c r="D10" s="499" t="s">
        <v>17</v>
      </c>
      <c r="E10" s="500" t="str">
        <f t="shared" si="0"/>
        <v>UsdLiborSwapForBasisCalc2Y</v>
      </c>
      <c r="F10" s="501" t="str">
        <f>_xll.qlSwapIndex($E10,FixingType,C10,2,Currency,$F$6,"1Y","f",MoneyMarketDayCounter,Libor!$E$10,Discounting,Permanent,Trigger,ObjectOverwrite)</f>
        <v>UsdLiborSwapForBasisCalc2Y#0000</v>
      </c>
      <c r="G10" s="498" t="str">
        <f>_xll.ohRangeRetrieveError(F10)</f>
        <v/>
      </c>
      <c r="H10" s="502"/>
    </row>
    <row r="11" spans="1:8" s="446" customFormat="1" x14ac:dyDescent="0.2">
      <c r="B11" s="492"/>
      <c r="C11" s="499" t="s">
        <v>83</v>
      </c>
      <c r="D11" s="499" t="s">
        <v>17</v>
      </c>
      <c r="E11" s="500" t="str">
        <f t="shared" si="0"/>
        <v>UsdLiborSwapForBasisCalc3Y</v>
      </c>
      <c r="F11" s="501" t="str">
        <f>_xll.qlSwapIndex($E11,FixingType,C11,2,Currency,$F$6,"1Y","f",MoneyMarketDayCounter,Libor!$E$10,Discounting,Permanent,Trigger,ObjectOverwrite)</f>
        <v>UsdLiborSwapForBasisCalc3Y#0000</v>
      </c>
      <c r="G11" s="498" t="str">
        <f>_xll.ohRangeRetrieveError(F11)</f>
        <v/>
      </c>
      <c r="H11" s="502"/>
    </row>
    <row r="12" spans="1:8" s="446" customFormat="1" x14ac:dyDescent="0.2">
      <c r="B12" s="492"/>
      <c r="C12" s="499" t="s">
        <v>82</v>
      </c>
      <c r="D12" s="499" t="s">
        <v>17</v>
      </c>
      <c r="E12" s="500" t="str">
        <f t="shared" si="0"/>
        <v>UsdLiborSwapForBasisCalc4Y</v>
      </c>
      <c r="F12" s="501" t="str">
        <f>_xll.qlSwapIndex($E12,FixingType,C12,2,Currency,$F$6,"1Y","f",MoneyMarketDayCounter,Libor!$E$10,Discounting,Permanent,Trigger,ObjectOverwrite)</f>
        <v>UsdLiborSwapForBasisCalc4Y#0000</v>
      </c>
      <c r="G12" s="498" t="str">
        <f>_xll.ohRangeRetrieveError(F12)</f>
        <v/>
      </c>
      <c r="H12" s="502"/>
    </row>
    <row r="13" spans="1:8" s="446" customFormat="1" x14ac:dyDescent="0.2">
      <c r="B13" s="492"/>
      <c r="C13" s="499" t="s">
        <v>81</v>
      </c>
      <c r="D13" s="499" t="s">
        <v>17</v>
      </c>
      <c r="E13" s="500" t="str">
        <f t="shared" si="0"/>
        <v>UsdLiborSwapForBasisCalc5Y</v>
      </c>
      <c r="F13" s="501" t="str">
        <f>_xll.qlSwapIndex($E13,FixingType,C13,2,Currency,$F$6,"1Y","f",MoneyMarketDayCounter,Libor!$E$10,Discounting,Permanent,Trigger,ObjectOverwrite)</f>
        <v>UsdLiborSwapForBasisCalc5Y#0000</v>
      </c>
      <c r="G13" s="498" t="str">
        <f>_xll.ohRangeRetrieveError(F13)</f>
        <v/>
      </c>
      <c r="H13" s="502"/>
    </row>
    <row r="14" spans="1:8" s="446" customFormat="1" x14ac:dyDescent="0.2">
      <c r="B14" s="492"/>
      <c r="C14" s="499" t="s">
        <v>80</v>
      </c>
      <c r="D14" s="499" t="s">
        <v>17</v>
      </c>
      <c r="E14" s="500" t="str">
        <f t="shared" si="0"/>
        <v>UsdLiborSwapForBasisCalc6Y</v>
      </c>
      <c r="F14" s="501" t="str">
        <f>_xll.qlSwapIndex($E14,FixingType,C14,2,Currency,$F$6,"1Y","f",MoneyMarketDayCounter,Libor!$E$10,Discounting,Permanent,Trigger,ObjectOverwrite)</f>
        <v>UsdLiborSwapForBasisCalc6Y#0000</v>
      </c>
      <c r="G14" s="498" t="str">
        <f>_xll.ohRangeRetrieveError(F14)</f>
        <v/>
      </c>
      <c r="H14" s="502"/>
    </row>
    <row r="15" spans="1:8" s="446" customFormat="1" x14ac:dyDescent="0.2">
      <c r="B15" s="492"/>
      <c r="C15" s="499" t="s">
        <v>79</v>
      </c>
      <c r="D15" s="499" t="s">
        <v>17</v>
      </c>
      <c r="E15" s="500" t="str">
        <f t="shared" si="0"/>
        <v>UsdLiborSwapForBasisCalc7Y</v>
      </c>
      <c r="F15" s="501" t="str">
        <f>_xll.qlSwapIndex($E15,FixingType,C15,2,Currency,$F$6,"1Y","f",MoneyMarketDayCounter,Libor!$E$10,Discounting,Permanent,Trigger,ObjectOverwrite)</f>
        <v>UsdLiborSwapForBasisCalc7Y#0000</v>
      </c>
      <c r="G15" s="498" t="str">
        <f>_xll.ohRangeRetrieveError(F15)</f>
        <v/>
      </c>
      <c r="H15" s="502"/>
    </row>
    <row r="16" spans="1:8" s="446" customFormat="1" x14ac:dyDescent="0.2">
      <c r="B16" s="492"/>
      <c r="C16" s="499" t="s">
        <v>78</v>
      </c>
      <c r="D16" s="499" t="s">
        <v>17</v>
      </c>
      <c r="E16" s="500" t="str">
        <f t="shared" si="0"/>
        <v>UsdLiborSwapForBasisCalc8Y</v>
      </c>
      <c r="F16" s="501" t="str">
        <f>_xll.qlSwapIndex($E16,FixingType,C16,2,Currency,$F$6,"1Y","f",MoneyMarketDayCounter,Libor!$E$10,Discounting,Permanent,Trigger,ObjectOverwrite)</f>
        <v>UsdLiborSwapForBasisCalc8Y#0000</v>
      </c>
      <c r="G16" s="498" t="str">
        <f>_xll.ohRangeRetrieveError(F16)</f>
        <v/>
      </c>
      <c r="H16" s="502"/>
    </row>
    <row r="17" spans="2:8" s="446" customFormat="1" x14ac:dyDescent="0.2">
      <c r="B17" s="492"/>
      <c r="C17" s="499" t="s">
        <v>77</v>
      </c>
      <c r="D17" s="499" t="s">
        <v>17</v>
      </c>
      <c r="E17" s="500" t="str">
        <f t="shared" si="0"/>
        <v>UsdLiborSwapForBasisCalc9Y</v>
      </c>
      <c r="F17" s="501" t="str">
        <f>_xll.qlSwapIndex($E17,FixingType,C17,2,Currency,$F$6,"1Y","f",MoneyMarketDayCounter,Libor!$E$10,Discounting,Permanent,Trigger,ObjectOverwrite)</f>
        <v>UsdLiborSwapForBasisCalc9Y#0000</v>
      </c>
      <c r="G17" s="498" t="str">
        <f>_xll.ohRangeRetrieveError(F17)</f>
        <v/>
      </c>
      <c r="H17" s="502"/>
    </row>
    <row r="18" spans="2:8" s="446" customFormat="1" x14ac:dyDescent="0.2">
      <c r="B18" s="492"/>
      <c r="C18" s="499" t="s">
        <v>76</v>
      </c>
      <c r="D18" s="499" t="s">
        <v>17</v>
      </c>
      <c r="E18" s="500" t="str">
        <f t="shared" si="0"/>
        <v>UsdLiborSwapForBasisCalc10Y</v>
      </c>
      <c r="F18" s="501" t="str">
        <f>_xll.qlSwapIndex($E18,FixingType,C18,2,Currency,$F$6,"1Y","f",MoneyMarketDayCounter,Libor!$E$10,Discounting,Permanent,Trigger,ObjectOverwrite)</f>
        <v>UsdLiborSwapForBasisCalc10Y#0000</v>
      </c>
      <c r="G18" s="498" t="str">
        <f>_xll.ohRangeRetrieveError(F18)</f>
        <v/>
      </c>
      <c r="H18" s="502"/>
    </row>
    <row r="19" spans="2:8" s="446" customFormat="1" x14ac:dyDescent="0.2">
      <c r="B19" s="492"/>
      <c r="C19" s="499" t="s">
        <v>75</v>
      </c>
      <c r="D19" s="499" t="s">
        <v>17</v>
      </c>
      <c r="E19" s="500" t="str">
        <f t="shared" si="0"/>
        <v>UsdLiborSwapForBasisCalc11Y</v>
      </c>
      <c r="F19" s="501" t="str">
        <f>_xll.qlSwapIndex($E19,FixingType,C19,2,Currency,$F$6,"1Y","f",MoneyMarketDayCounter,Libor!$E$10,Discounting,Permanent,Trigger,ObjectOverwrite)</f>
        <v>UsdLiborSwapForBasisCalc11Y#0000</v>
      </c>
      <c r="G19" s="498" t="str">
        <f>_xll.ohRangeRetrieveError(F19)</f>
        <v/>
      </c>
      <c r="H19" s="502"/>
    </row>
    <row r="20" spans="2:8" s="446" customFormat="1" x14ac:dyDescent="0.2">
      <c r="B20" s="492"/>
      <c r="C20" s="499" t="s">
        <v>74</v>
      </c>
      <c r="D20" s="499" t="s">
        <v>17</v>
      </c>
      <c r="E20" s="500" t="str">
        <f t="shared" si="0"/>
        <v>UsdLiborSwapForBasisCalc12Y</v>
      </c>
      <c r="F20" s="501" t="str">
        <f>_xll.qlSwapIndex($E20,FixingType,C20,2,Currency,$F$6,"1Y","f",MoneyMarketDayCounter,Libor!$E$10,Discounting,Permanent,Trigger,ObjectOverwrite)</f>
        <v>UsdLiborSwapForBasisCalc12Y#0000</v>
      </c>
      <c r="G20" s="498" t="str">
        <f>_xll.ohRangeRetrieveError(F20)</f>
        <v/>
      </c>
      <c r="H20" s="502"/>
    </row>
    <row r="21" spans="2:8" s="446" customFormat="1" x14ac:dyDescent="0.2">
      <c r="B21" s="492"/>
      <c r="C21" s="499" t="s">
        <v>73</v>
      </c>
      <c r="D21" s="499" t="s">
        <v>17</v>
      </c>
      <c r="E21" s="500" t="str">
        <f t="shared" si="0"/>
        <v>UsdLiborSwapForBasisCalc13Y</v>
      </c>
      <c r="F21" s="501" t="str">
        <f>_xll.qlSwapIndex($E21,FixingType,C21,2,Currency,$F$6,"1Y","f",MoneyMarketDayCounter,Libor!$E$10,Discounting,Permanent,Trigger,ObjectOverwrite)</f>
        <v>UsdLiborSwapForBasisCalc13Y#0000</v>
      </c>
      <c r="G21" s="498" t="str">
        <f>_xll.ohRangeRetrieveError(F21)</f>
        <v/>
      </c>
      <c r="H21" s="502"/>
    </row>
    <row r="22" spans="2:8" s="446" customFormat="1" x14ac:dyDescent="0.2">
      <c r="B22" s="492"/>
      <c r="C22" s="499" t="s">
        <v>72</v>
      </c>
      <c r="D22" s="499" t="s">
        <v>17</v>
      </c>
      <c r="E22" s="500" t="str">
        <f t="shared" si="0"/>
        <v>UsdLiborSwapForBasisCalc14Y</v>
      </c>
      <c r="F22" s="501" t="str">
        <f>_xll.qlSwapIndex($E22,FixingType,C22,2,Currency,$F$6,"1Y","f",MoneyMarketDayCounter,Libor!$E$10,Discounting,Permanent,Trigger,ObjectOverwrite)</f>
        <v>UsdLiborSwapForBasisCalc14Y#0000</v>
      </c>
      <c r="G22" s="498" t="str">
        <f>_xll.ohRangeRetrieveError(F22)</f>
        <v/>
      </c>
      <c r="H22" s="502"/>
    </row>
    <row r="23" spans="2:8" s="446" customFormat="1" x14ac:dyDescent="0.2">
      <c r="B23" s="492"/>
      <c r="C23" s="499" t="s">
        <v>71</v>
      </c>
      <c r="D23" s="499" t="s">
        <v>17</v>
      </c>
      <c r="E23" s="500" t="str">
        <f t="shared" si="0"/>
        <v>UsdLiborSwapForBasisCalc15Y</v>
      </c>
      <c r="F23" s="501" t="str">
        <f>_xll.qlSwapIndex($E23,FixingType,C23,2,Currency,$F$6,"1Y","f",MoneyMarketDayCounter,Libor!$E$10,Discounting,Permanent,Trigger,ObjectOverwrite)</f>
        <v>UsdLiborSwapForBasisCalc15Y#0000</v>
      </c>
      <c r="G23" s="498" t="str">
        <f>_xll.ohRangeRetrieveError(F23)</f>
        <v/>
      </c>
      <c r="H23" s="502"/>
    </row>
    <row r="24" spans="2:8" s="446" customFormat="1" x14ac:dyDescent="0.2">
      <c r="B24" s="492"/>
      <c r="C24" s="499" t="s">
        <v>70</v>
      </c>
      <c r="D24" s="499" t="s">
        <v>17</v>
      </c>
      <c r="E24" s="500" t="str">
        <f t="shared" si="0"/>
        <v>UsdLiborSwapForBasisCalc16Y</v>
      </c>
      <c r="F24" s="501" t="str">
        <f>_xll.qlSwapIndex($E24,FixingType,C24,2,Currency,$F$6,"1Y","f",MoneyMarketDayCounter,Libor!$E$10,Discounting,Permanent,Trigger,ObjectOverwrite)</f>
        <v>UsdLiborSwapForBasisCalc16Y#0000</v>
      </c>
      <c r="G24" s="498" t="str">
        <f>_xll.ohRangeRetrieveError(F24)</f>
        <v/>
      </c>
      <c r="H24" s="502"/>
    </row>
    <row r="25" spans="2:8" s="446" customFormat="1" x14ac:dyDescent="0.2">
      <c r="B25" s="492"/>
      <c r="C25" s="499" t="s">
        <v>69</v>
      </c>
      <c r="D25" s="499" t="s">
        <v>17</v>
      </c>
      <c r="E25" s="500" t="str">
        <f t="shared" si="0"/>
        <v>UsdLiborSwapForBasisCalc17Y</v>
      </c>
      <c r="F25" s="501" t="str">
        <f>_xll.qlSwapIndex($E25,FixingType,C25,2,Currency,$F$6,"1Y","f",MoneyMarketDayCounter,Libor!$E$10,Discounting,Permanent,Trigger,ObjectOverwrite)</f>
        <v>UsdLiborSwapForBasisCalc17Y#0000</v>
      </c>
      <c r="G25" s="498" t="str">
        <f>_xll.ohRangeRetrieveError(F25)</f>
        <v/>
      </c>
      <c r="H25" s="502"/>
    </row>
    <row r="26" spans="2:8" s="446" customFormat="1" x14ac:dyDescent="0.2">
      <c r="B26" s="492"/>
      <c r="C26" s="499" t="s">
        <v>68</v>
      </c>
      <c r="D26" s="499" t="s">
        <v>17</v>
      </c>
      <c r="E26" s="500" t="str">
        <f t="shared" si="0"/>
        <v>UsdLiborSwapForBasisCalc18Y</v>
      </c>
      <c r="F26" s="501" t="str">
        <f>_xll.qlSwapIndex($E26,FixingType,C26,2,Currency,$F$6,"1Y","f",MoneyMarketDayCounter,Libor!$E$10,Discounting,Permanent,Trigger,ObjectOverwrite)</f>
        <v>UsdLiborSwapForBasisCalc18Y#0000</v>
      </c>
      <c r="G26" s="498" t="str">
        <f>_xll.ohRangeRetrieveError(F26)</f>
        <v/>
      </c>
      <c r="H26" s="502"/>
    </row>
    <row r="27" spans="2:8" s="446" customFormat="1" x14ac:dyDescent="0.2">
      <c r="B27" s="492"/>
      <c r="C27" s="499" t="s">
        <v>67</v>
      </c>
      <c r="D27" s="499" t="s">
        <v>17</v>
      </c>
      <c r="E27" s="500" t="str">
        <f t="shared" si="0"/>
        <v>UsdLiborSwapForBasisCalc19Y</v>
      </c>
      <c r="F27" s="501" t="str">
        <f>_xll.qlSwapIndex($E27,FixingType,C27,2,Currency,$F$6,"1Y","f",MoneyMarketDayCounter,Libor!$E$10,Discounting,Permanent,Trigger,ObjectOverwrite)</f>
        <v>UsdLiborSwapForBasisCalc19Y#0000</v>
      </c>
      <c r="G27" s="498" t="str">
        <f>_xll.ohRangeRetrieveError(F27)</f>
        <v/>
      </c>
      <c r="H27" s="502"/>
    </row>
    <row r="28" spans="2:8" s="446" customFormat="1" x14ac:dyDescent="0.2">
      <c r="B28" s="492"/>
      <c r="C28" s="499" t="s">
        <v>66</v>
      </c>
      <c r="D28" s="499" t="s">
        <v>17</v>
      </c>
      <c r="E28" s="500" t="str">
        <f t="shared" si="0"/>
        <v>UsdLiborSwapForBasisCalc20Y</v>
      </c>
      <c r="F28" s="501" t="str">
        <f>_xll.qlSwapIndex($E28,FixingType,C28,2,Currency,$F$6,"1Y","f",MoneyMarketDayCounter,Libor!$E$10,Discounting,Permanent,Trigger,ObjectOverwrite)</f>
        <v>UsdLiborSwapForBasisCalc20Y#0000</v>
      </c>
      <c r="G28" s="498" t="str">
        <f>_xll.ohRangeRetrieveError(F28)</f>
        <v/>
      </c>
      <c r="H28" s="502"/>
    </row>
    <row r="29" spans="2:8" s="446" customFormat="1" x14ac:dyDescent="0.2">
      <c r="B29" s="492"/>
      <c r="C29" s="499" t="s">
        <v>65</v>
      </c>
      <c r="D29" s="499" t="s">
        <v>17</v>
      </c>
      <c r="E29" s="500" t="str">
        <f t="shared" si="0"/>
        <v>UsdLiborSwapForBasisCalc21Y</v>
      </c>
      <c r="F29" s="501" t="str">
        <f>_xll.qlSwapIndex($E29,FixingType,C29,2,Currency,$F$6,"1Y","f",MoneyMarketDayCounter,Libor!$E$10,Discounting,Permanent,Trigger,ObjectOverwrite)</f>
        <v>UsdLiborSwapForBasisCalc21Y#0000</v>
      </c>
      <c r="G29" s="498" t="str">
        <f>_xll.ohRangeRetrieveError(F29)</f>
        <v/>
      </c>
      <c r="H29" s="502"/>
    </row>
    <row r="30" spans="2:8" s="446" customFormat="1" x14ac:dyDescent="0.2">
      <c r="B30" s="492"/>
      <c r="C30" s="499" t="s">
        <v>64</v>
      </c>
      <c r="D30" s="499" t="s">
        <v>17</v>
      </c>
      <c r="E30" s="500" t="str">
        <f t="shared" si="0"/>
        <v>UsdLiborSwapForBasisCalc22Y</v>
      </c>
      <c r="F30" s="501" t="str">
        <f>_xll.qlSwapIndex($E30,FixingType,C30,2,Currency,$F$6,"1Y","f",MoneyMarketDayCounter,Libor!$E$10,Discounting,Permanent,Trigger,ObjectOverwrite)</f>
        <v>UsdLiborSwapForBasisCalc22Y#0000</v>
      </c>
      <c r="G30" s="498" t="str">
        <f>_xll.ohRangeRetrieveError(F30)</f>
        <v/>
      </c>
      <c r="H30" s="502"/>
    </row>
    <row r="31" spans="2:8" s="446" customFormat="1" x14ac:dyDescent="0.2">
      <c r="B31" s="492"/>
      <c r="C31" s="499" t="s">
        <v>63</v>
      </c>
      <c r="D31" s="499" t="s">
        <v>17</v>
      </c>
      <c r="E31" s="500" t="str">
        <f t="shared" si="0"/>
        <v>UsdLiborSwapForBasisCalc23Y</v>
      </c>
      <c r="F31" s="501" t="str">
        <f>_xll.qlSwapIndex($E31,FixingType,C31,2,Currency,$F$6,"1Y","f",MoneyMarketDayCounter,Libor!$E$10,Discounting,Permanent,Trigger,ObjectOverwrite)</f>
        <v>UsdLiborSwapForBasisCalc23Y#0000</v>
      </c>
      <c r="G31" s="498" t="str">
        <f>_xll.ohRangeRetrieveError(F31)</f>
        <v/>
      </c>
      <c r="H31" s="502"/>
    </row>
    <row r="32" spans="2:8" s="446" customFormat="1" x14ac:dyDescent="0.2">
      <c r="B32" s="492"/>
      <c r="C32" s="499" t="s">
        <v>62</v>
      </c>
      <c r="D32" s="499" t="s">
        <v>17</v>
      </c>
      <c r="E32" s="500" t="str">
        <f t="shared" si="0"/>
        <v>UsdLiborSwapForBasisCalc24Y</v>
      </c>
      <c r="F32" s="501" t="str">
        <f>_xll.qlSwapIndex($E32,FixingType,C32,2,Currency,$F$6,"1Y","f",MoneyMarketDayCounter,Libor!$E$10,Discounting,Permanent,Trigger,ObjectOverwrite)</f>
        <v>UsdLiborSwapForBasisCalc24Y#0000</v>
      </c>
      <c r="G32" s="498" t="str">
        <f>_xll.ohRangeRetrieveError(F32)</f>
        <v/>
      </c>
      <c r="H32" s="502"/>
    </row>
    <row r="33" spans="2:8" s="446" customFormat="1" x14ac:dyDescent="0.2">
      <c r="B33" s="492"/>
      <c r="C33" s="499" t="s">
        <v>61</v>
      </c>
      <c r="D33" s="499" t="s">
        <v>17</v>
      </c>
      <c r="E33" s="500" t="str">
        <f t="shared" si="0"/>
        <v>UsdLiborSwapForBasisCalc25Y</v>
      </c>
      <c r="F33" s="501" t="str">
        <f>_xll.qlSwapIndex($E33,FixingType,C33,2,Currency,$F$6,"1Y","f",MoneyMarketDayCounter,Libor!$E$10,Discounting,Permanent,Trigger,ObjectOverwrite)</f>
        <v>UsdLiborSwapForBasisCalc25Y#0000</v>
      </c>
      <c r="G33" s="498" t="str">
        <f>_xll.ohRangeRetrieveError(F33)</f>
        <v/>
      </c>
      <c r="H33" s="502"/>
    </row>
    <row r="34" spans="2:8" s="446" customFormat="1" x14ac:dyDescent="0.2">
      <c r="B34" s="492"/>
      <c r="C34" s="499" t="s">
        <v>60</v>
      </c>
      <c r="D34" s="499" t="s">
        <v>17</v>
      </c>
      <c r="E34" s="500" t="str">
        <f t="shared" si="0"/>
        <v>UsdLiborSwapForBasisCalc26Y</v>
      </c>
      <c r="F34" s="501" t="str">
        <f>_xll.qlSwapIndex($E34,FixingType,C34,2,Currency,$F$6,"1Y","f",MoneyMarketDayCounter,Libor!$E$10,Discounting,Permanent,Trigger,ObjectOverwrite)</f>
        <v>UsdLiborSwapForBasisCalc26Y#0000</v>
      </c>
      <c r="G34" s="498" t="str">
        <f>_xll.ohRangeRetrieveError(F34)</f>
        <v/>
      </c>
      <c r="H34" s="502"/>
    </row>
    <row r="35" spans="2:8" s="446" customFormat="1" x14ac:dyDescent="0.2">
      <c r="B35" s="492"/>
      <c r="C35" s="499" t="s">
        <v>59</v>
      </c>
      <c r="D35" s="499" t="s">
        <v>17</v>
      </c>
      <c r="E35" s="500" t="str">
        <f t="shared" si="0"/>
        <v>UsdLiborSwapForBasisCalc27Y</v>
      </c>
      <c r="F35" s="501" t="str">
        <f>_xll.qlSwapIndex($E35,FixingType,C35,2,Currency,$F$6,"1Y","f",MoneyMarketDayCounter,Libor!$E$10,Discounting,Permanent,Trigger,ObjectOverwrite)</f>
        <v>UsdLiborSwapForBasisCalc27Y#0000</v>
      </c>
      <c r="G35" s="498" t="str">
        <f>_xll.ohRangeRetrieveError(F35)</f>
        <v/>
      </c>
      <c r="H35" s="502"/>
    </row>
    <row r="36" spans="2:8" s="446" customFormat="1" x14ac:dyDescent="0.2">
      <c r="B36" s="492"/>
      <c r="C36" s="499" t="s">
        <v>58</v>
      </c>
      <c r="D36" s="499" t="s">
        <v>17</v>
      </c>
      <c r="E36" s="500" t="str">
        <f t="shared" si="0"/>
        <v>UsdLiborSwapForBasisCalc28Y</v>
      </c>
      <c r="F36" s="501" t="str">
        <f>_xll.qlSwapIndex($E36,FixingType,C36,2,Currency,$F$6,"1Y","f",MoneyMarketDayCounter,Libor!$E$10,Discounting,Permanent,Trigger,ObjectOverwrite)</f>
        <v>UsdLiborSwapForBasisCalc28Y#0000</v>
      </c>
      <c r="G36" s="498" t="str">
        <f>_xll.ohRangeRetrieveError(F36)</f>
        <v/>
      </c>
      <c r="H36" s="502"/>
    </row>
    <row r="37" spans="2:8" s="446" customFormat="1" x14ac:dyDescent="0.2">
      <c r="B37" s="492"/>
      <c r="C37" s="499" t="s">
        <v>57</v>
      </c>
      <c r="D37" s="499" t="s">
        <v>17</v>
      </c>
      <c r="E37" s="500" t="str">
        <f t="shared" si="0"/>
        <v>UsdLiborSwapForBasisCalc29Y</v>
      </c>
      <c r="F37" s="501" t="str">
        <f>_xll.qlSwapIndex($E37,FixingType,C37,2,Currency,$F$6,"1Y","f",MoneyMarketDayCounter,Libor!$E$10,Discounting,Permanent,Trigger,ObjectOverwrite)</f>
        <v>UsdLiborSwapForBasisCalc29Y#0000</v>
      </c>
      <c r="G37" s="498" t="str">
        <f>_xll.ohRangeRetrieveError(F37)</f>
        <v/>
      </c>
      <c r="H37" s="502"/>
    </row>
    <row r="38" spans="2:8" s="446" customFormat="1" x14ac:dyDescent="0.2">
      <c r="B38" s="492"/>
      <c r="C38" s="499" t="s">
        <v>56</v>
      </c>
      <c r="D38" s="499" t="s">
        <v>17</v>
      </c>
      <c r="E38" s="500" t="str">
        <f t="shared" si="0"/>
        <v>UsdLiborSwapForBasisCalc30Y</v>
      </c>
      <c r="F38" s="501" t="str">
        <f>_xll.qlSwapIndex($E38,FixingType,C38,2,Currency,$F$6,"1Y","f",MoneyMarketDayCounter,Libor!$E$10,Discounting,Permanent,Trigger,ObjectOverwrite)</f>
        <v>UsdLiborSwapForBasisCalc30Y#0000</v>
      </c>
      <c r="G38" s="498" t="str">
        <f>_xll.ohRangeRetrieveError(F38)</f>
        <v/>
      </c>
      <c r="H38" s="502"/>
    </row>
    <row r="39" spans="2:8" s="446" customFormat="1" x14ac:dyDescent="0.2">
      <c r="B39" s="492"/>
      <c r="C39" s="499" t="s">
        <v>55</v>
      </c>
      <c r="D39" s="499" t="s">
        <v>17</v>
      </c>
      <c r="E39" s="500" t="str">
        <f t="shared" si="0"/>
        <v>UsdLiborSwapForBasisCalc31Y</v>
      </c>
      <c r="F39" s="501" t="str">
        <f>_xll.qlSwapIndex($E39,FixingType,C39,2,Currency,$F$6,"1Y","f",MoneyMarketDayCounter,Libor!$E$10,Discounting,Permanent,Trigger,ObjectOverwrite)</f>
        <v>UsdLiborSwapForBasisCalc31Y#0000</v>
      </c>
      <c r="G39" s="498" t="str">
        <f>_xll.ohRangeRetrieveError(F39)</f>
        <v/>
      </c>
      <c r="H39" s="502"/>
    </row>
    <row r="40" spans="2:8" s="446" customFormat="1" x14ac:dyDescent="0.2">
      <c r="B40" s="492"/>
      <c r="C40" s="499" t="s">
        <v>54</v>
      </c>
      <c r="D40" s="499" t="s">
        <v>17</v>
      </c>
      <c r="E40" s="500" t="str">
        <f t="shared" si="0"/>
        <v>UsdLiborSwapForBasisCalc32Y</v>
      </c>
      <c r="F40" s="501" t="str">
        <f>_xll.qlSwapIndex($E40,FixingType,C40,2,Currency,$F$6,"1Y","f",MoneyMarketDayCounter,Libor!$E$10,Discounting,Permanent,Trigger,ObjectOverwrite)</f>
        <v>UsdLiborSwapForBasisCalc32Y#0000</v>
      </c>
      <c r="G40" s="498" t="str">
        <f>_xll.ohRangeRetrieveError(F40)</f>
        <v/>
      </c>
      <c r="H40" s="502"/>
    </row>
    <row r="41" spans="2:8" s="446" customFormat="1" x14ac:dyDescent="0.2">
      <c r="B41" s="492"/>
      <c r="C41" s="499" t="s">
        <v>53</v>
      </c>
      <c r="D41" s="499" t="s">
        <v>17</v>
      </c>
      <c r="E41" s="500" t="str">
        <f t="shared" ref="E41:E68" si="1">PROPER(Currency)&amp;FamilyName2&amp;FixingType&amp;$C41</f>
        <v>UsdLiborSwapForBasisCalc33Y</v>
      </c>
      <c r="F41" s="501" t="str">
        <f>_xll.qlSwapIndex($E41,FixingType,C41,2,Currency,$F$6,"1Y","f",MoneyMarketDayCounter,Libor!$E$10,Discounting,Permanent,Trigger,ObjectOverwrite)</f>
        <v>UsdLiborSwapForBasisCalc33Y#0000</v>
      </c>
      <c r="G41" s="498" t="str">
        <f>_xll.ohRangeRetrieveError(F41)</f>
        <v/>
      </c>
      <c r="H41" s="502"/>
    </row>
    <row r="42" spans="2:8" s="446" customFormat="1" x14ac:dyDescent="0.2">
      <c r="B42" s="492"/>
      <c r="C42" s="499" t="s">
        <v>52</v>
      </c>
      <c r="D42" s="499" t="s">
        <v>17</v>
      </c>
      <c r="E42" s="500" t="str">
        <f t="shared" si="1"/>
        <v>UsdLiborSwapForBasisCalc34Y</v>
      </c>
      <c r="F42" s="501" t="str">
        <f>_xll.qlSwapIndex($E42,FixingType,C42,2,Currency,$F$6,"1Y","f",MoneyMarketDayCounter,Libor!$E$10,Discounting,Permanent,Trigger,ObjectOverwrite)</f>
        <v>UsdLiborSwapForBasisCalc34Y#0000</v>
      </c>
      <c r="G42" s="498" t="str">
        <f>_xll.ohRangeRetrieveError(F42)</f>
        <v/>
      </c>
      <c r="H42" s="502"/>
    </row>
    <row r="43" spans="2:8" s="446" customFormat="1" x14ac:dyDescent="0.2">
      <c r="B43" s="492"/>
      <c r="C43" s="499" t="s">
        <v>51</v>
      </c>
      <c r="D43" s="499" t="s">
        <v>17</v>
      </c>
      <c r="E43" s="500" t="str">
        <f t="shared" si="1"/>
        <v>UsdLiborSwapForBasisCalc35Y</v>
      </c>
      <c r="F43" s="501" t="str">
        <f>_xll.qlSwapIndex($E43,FixingType,C43,2,Currency,$F$6,"1Y","f",MoneyMarketDayCounter,Libor!$E$10,Discounting,Permanent,Trigger,ObjectOverwrite)</f>
        <v>UsdLiborSwapForBasisCalc35Y#0000</v>
      </c>
      <c r="G43" s="498" t="str">
        <f>_xll.ohRangeRetrieveError(F43)</f>
        <v/>
      </c>
      <c r="H43" s="502"/>
    </row>
    <row r="44" spans="2:8" s="446" customFormat="1" x14ac:dyDescent="0.2">
      <c r="B44" s="492"/>
      <c r="C44" s="499" t="s">
        <v>50</v>
      </c>
      <c r="D44" s="499" t="s">
        <v>17</v>
      </c>
      <c r="E44" s="500" t="str">
        <f t="shared" si="1"/>
        <v>UsdLiborSwapForBasisCalc36Y</v>
      </c>
      <c r="F44" s="501" t="str">
        <f>_xll.qlSwapIndex($E44,FixingType,C44,2,Currency,$F$6,"1Y","f",MoneyMarketDayCounter,Libor!$E$10,Discounting,Permanent,Trigger,ObjectOverwrite)</f>
        <v>UsdLiborSwapForBasisCalc36Y#0000</v>
      </c>
      <c r="G44" s="498" t="str">
        <f>_xll.ohRangeRetrieveError(F44)</f>
        <v/>
      </c>
      <c r="H44" s="502"/>
    </row>
    <row r="45" spans="2:8" s="446" customFormat="1" x14ac:dyDescent="0.2">
      <c r="B45" s="492"/>
      <c r="C45" s="499" t="s">
        <v>49</v>
      </c>
      <c r="D45" s="499" t="s">
        <v>17</v>
      </c>
      <c r="E45" s="500" t="str">
        <f t="shared" si="1"/>
        <v>UsdLiborSwapForBasisCalc37Y</v>
      </c>
      <c r="F45" s="501" t="str">
        <f>_xll.qlSwapIndex($E45,FixingType,C45,2,Currency,$F$6,"1Y","f",MoneyMarketDayCounter,Libor!$E$10,Discounting,Permanent,Trigger,ObjectOverwrite)</f>
        <v>UsdLiborSwapForBasisCalc37Y#0000</v>
      </c>
      <c r="G45" s="498" t="str">
        <f>_xll.ohRangeRetrieveError(F45)</f>
        <v/>
      </c>
      <c r="H45" s="502"/>
    </row>
    <row r="46" spans="2:8" s="446" customFormat="1" x14ac:dyDescent="0.2">
      <c r="B46" s="492"/>
      <c r="C46" s="499" t="s">
        <v>48</v>
      </c>
      <c r="D46" s="499" t="s">
        <v>17</v>
      </c>
      <c r="E46" s="500" t="str">
        <f t="shared" si="1"/>
        <v>UsdLiborSwapForBasisCalc38Y</v>
      </c>
      <c r="F46" s="501" t="str">
        <f>_xll.qlSwapIndex($E46,FixingType,C46,2,Currency,$F$6,"1Y","f",MoneyMarketDayCounter,Libor!$E$10,Discounting,Permanent,Trigger,ObjectOverwrite)</f>
        <v>UsdLiborSwapForBasisCalc38Y#0000</v>
      </c>
      <c r="G46" s="498" t="str">
        <f>_xll.ohRangeRetrieveError(F46)</f>
        <v/>
      </c>
      <c r="H46" s="502"/>
    </row>
    <row r="47" spans="2:8" s="446" customFormat="1" x14ac:dyDescent="0.2">
      <c r="B47" s="492"/>
      <c r="C47" s="499" t="s">
        <v>47</v>
      </c>
      <c r="D47" s="499" t="s">
        <v>17</v>
      </c>
      <c r="E47" s="500" t="str">
        <f t="shared" si="1"/>
        <v>UsdLiborSwapForBasisCalc39Y</v>
      </c>
      <c r="F47" s="501" t="str">
        <f>_xll.qlSwapIndex($E47,FixingType,C47,2,Currency,$F$6,"1Y","f",MoneyMarketDayCounter,Libor!$E$10,Discounting,Permanent,Trigger,ObjectOverwrite)</f>
        <v>UsdLiborSwapForBasisCalc39Y#0000</v>
      </c>
      <c r="G47" s="498" t="str">
        <f>_xll.ohRangeRetrieveError(F47)</f>
        <v/>
      </c>
      <c r="H47" s="502"/>
    </row>
    <row r="48" spans="2:8" s="446" customFormat="1" x14ac:dyDescent="0.2">
      <c r="B48" s="492"/>
      <c r="C48" s="499" t="s">
        <v>46</v>
      </c>
      <c r="D48" s="499" t="s">
        <v>17</v>
      </c>
      <c r="E48" s="500" t="str">
        <f t="shared" si="1"/>
        <v>UsdLiborSwapForBasisCalc40Y</v>
      </c>
      <c r="F48" s="501" t="str">
        <f>_xll.qlSwapIndex($E48,FixingType,C48,2,Currency,$F$6,"1Y","f",MoneyMarketDayCounter,Libor!$E$10,Discounting,Permanent,Trigger,ObjectOverwrite)</f>
        <v>UsdLiborSwapForBasisCalc40Y#0000</v>
      </c>
      <c r="G48" s="498" t="str">
        <f>_xll.ohRangeRetrieveError(F48)</f>
        <v/>
      </c>
      <c r="H48" s="502"/>
    </row>
    <row r="49" spans="2:8" s="446" customFormat="1" x14ac:dyDescent="0.2">
      <c r="B49" s="492"/>
      <c r="C49" s="499" t="s">
        <v>45</v>
      </c>
      <c r="D49" s="499" t="s">
        <v>17</v>
      </c>
      <c r="E49" s="500" t="str">
        <f t="shared" si="1"/>
        <v>UsdLiborSwapForBasisCalc41Y</v>
      </c>
      <c r="F49" s="501" t="str">
        <f>_xll.qlSwapIndex($E49,FixingType,C49,2,Currency,$F$6,"1Y","f",MoneyMarketDayCounter,Libor!$E$10,Discounting,Permanent,Trigger,ObjectOverwrite)</f>
        <v>UsdLiborSwapForBasisCalc41Y#0000</v>
      </c>
      <c r="G49" s="498" t="str">
        <f>_xll.ohRangeRetrieveError(F49)</f>
        <v/>
      </c>
      <c r="H49" s="502"/>
    </row>
    <row r="50" spans="2:8" s="446" customFormat="1" x14ac:dyDescent="0.2">
      <c r="B50" s="492"/>
      <c r="C50" s="499" t="s">
        <v>44</v>
      </c>
      <c r="D50" s="499" t="s">
        <v>17</v>
      </c>
      <c r="E50" s="500" t="str">
        <f t="shared" si="1"/>
        <v>UsdLiborSwapForBasisCalc42Y</v>
      </c>
      <c r="F50" s="501" t="str">
        <f>_xll.qlSwapIndex($E50,FixingType,C50,2,Currency,$F$6,"1Y","f",MoneyMarketDayCounter,Libor!$E$10,Discounting,Permanent,Trigger,ObjectOverwrite)</f>
        <v>UsdLiborSwapForBasisCalc42Y#0000</v>
      </c>
      <c r="G50" s="498" t="str">
        <f>_xll.ohRangeRetrieveError(F50)</f>
        <v/>
      </c>
      <c r="H50" s="502"/>
    </row>
    <row r="51" spans="2:8" s="446" customFormat="1" x14ac:dyDescent="0.2">
      <c r="B51" s="492"/>
      <c r="C51" s="499" t="s">
        <v>43</v>
      </c>
      <c r="D51" s="499" t="s">
        <v>17</v>
      </c>
      <c r="E51" s="500" t="str">
        <f t="shared" si="1"/>
        <v>UsdLiborSwapForBasisCalc43Y</v>
      </c>
      <c r="F51" s="501" t="str">
        <f>_xll.qlSwapIndex($E51,FixingType,C51,2,Currency,$F$6,"1Y","f",MoneyMarketDayCounter,Libor!$E$10,Discounting,Permanent,Trigger,ObjectOverwrite)</f>
        <v>UsdLiborSwapForBasisCalc43Y#0000</v>
      </c>
      <c r="G51" s="498" t="str">
        <f>_xll.ohRangeRetrieveError(F51)</f>
        <v/>
      </c>
      <c r="H51" s="502"/>
    </row>
    <row r="52" spans="2:8" s="446" customFormat="1" x14ac:dyDescent="0.2">
      <c r="B52" s="492"/>
      <c r="C52" s="499" t="s">
        <v>42</v>
      </c>
      <c r="D52" s="499" t="s">
        <v>17</v>
      </c>
      <c r="E52" s="500" t="str">
        <f t="shared" si="1"/>
        <v>UsdLiborSwapForBasisCalc44Y</v>
      </c>
      <c r="F52" s="501" t="str">
        <f>_xll.qlSwapIndex($E52,FixingType,C52,2,Currency,$F$6,"1Y","f",MoneyMarketDayCounter,Libor!$E$10,Discounting,Permanent,Trigger,ObjectOverwrite)</f>
        <v>UsdLiborSwapForBasisCalc44Y#0000</v>
      </c>
      <c r="G52" s="498" t="str">
        <f>_xll.ohRangeRetrieveError(F52)</f>
        <v/>
      </c>
      <c r="H52" s="502"/>
    </row>
    <row r="53" spans="2:8" s="446" customFormat="1" x14ac:dyDescent="0.2">
      <c r="B53" s="492"/>
      <c r="C53" s="499" t="s">
        <v>41</v>
      </c>
      <c r="D53" s="499" t="s">
        <v>17</v>
      </c>
      <c r="E53" s="500" t="str">
        <f t="shared" si="1"/>
        <v>UsdLiborSwapForBasisCalc45Y</v>
      </c>
      <c r="F53" s="501" t="str">
        <f>_xll.qlSwapIndex($E53,FixingType,C53,2,Currency,$F$6,"1Y","f",MoneyMarketDayCounter,Libor!$E$10,Discounting,Permanent,Trigger,ObjectOverwrite)</f>
        <v>UsdLiborSwapForBasisCalc45Y#0000</v>
      </c>
      <c r="G53" s="498" t="str">
        <f>_xll.ohRangeRetrieveError(F53)</f>
        <v/>
      </c>
      <c r="H53" s="502"/>
    </row>
    <row r="54" spans="2:8" s="446" customFormat="1" x14ac:dyDescent="0.2">
      <c r="B54" s="492"/>
      <c r="C54" s="499" t="s">
        <v>40</v>
      </c>
      <c r="D54" s="499" t="s">
        <v>17</v>
      </c>
      <c r="E54" s="500" t="str">
        <f t="shared" si="1"/>
        <v>UsdLiborSwapForBasisCalc46Y</v>
      </c>
      <c r="F54" s="501" t="str">
        <f>_xll.qlSwapIndex($E54,FixingType,C54,2,Currency,$F$6,"1Y","f",MoneyMarketDayCounter,Libor!$E$10,Discounting,Permanent,Trigger,ObjectOverwrite)</f>
        <v>UsdLiborSwapForBasisCalc46Y#0000</v>
      </c>
      <c r="G54" s="498" t="str">
        <f>_xll.ohRangeRetrieveError(F54)</f>
        <v/>
      </c>
      <c r="H54" s="502"/>
    </row>
    <row r="55" spans="2:8" s="446" customFormat="1" x14ac:dyDescent="0.2">
      <c r="B55" s="492"/>
      <c r="C55" s="499" t="s">
        <v>39</v>
      </c>
      <c r="D55" s="499" t="s">
        <v>17</v>
      </c>
      <c r="E55" s="500" t="str">
        <f t="shared" si="1"/>
        <v>UsdLiborSwapForBasisCalc47Y</v>
      </c>
      <c r="F55" s="501" t="str">
        <f>_xll.qlSwapIndex($E55,FixingType,C55,2,Currency,$F$6,"1Y","f",MoneyMarketDayCounter,Libor!$E$10,Discounting,Permanent,Trigger,ObjectOverwrite)</f>
        <v>UsdLiborSwapForBasisCalc47Y#0000</v>
      </c>
      <c r="G55" s="498" t="str">
        <f>_xll.ohRangeRetrieveError(F55)</f>
        <v/>
      </c>
      <c r="H55" s="502"/>
    </row>
    <row r="56" spans="2:8" s="446" customFormat="1" x14ac:dyDescent="0.2">
      <c r="B56" s="492"/>
      <c r="C56" s="499" t="s">
        <v>38</v>
      </c>
      <c r="D56" s="499" t="s">
        <v>17</v>
      </c>
      <c r="E56" s="500" t="str">
        <f t="shared" si="1"/>
        <v>UsdLiborSwapForBasisCalc48Y</v>
      </c>
      <c r="F56" s="501" t="str">
        <f>_xll.qlSwapIndex($E56,FixingType,C56,2,Currency,$F$6,"1Y","f",MoneyMarketDayCounter,Libor!$E$10,Discounting,Permanent,Trigger,ObjectOverwrite)</f>
        <v>UsdLiborSwapForBasisCalc48Y#0000</v>
      </c>
      <c r="G56" s="498" t="str">
        <f>_xll.ohRangeRetrieveError(F56)</f>
        <v/>
      </c>
      <c r="H56" s="502"/>
    </row>
    <row r="57" spans="2:8" s="446" customFormat="1" x14ac:dyDescent="0.2">
      <c r="B57" s="492"/>
      <c r="C57" s="499" t="s">
        <v>37</v>
      </c>
      <c r="D57" s="499" t="s">
        <v>17</v>
      </c>
      <c r="E57" s="500" t="str">
        <f t="shared" si="1"/>
        <v>UsdLiborSwapForBasisCalc49Y</v>
      </c>
      <c r="F57" s="501" t="str">
        <f>_xll.qlSwapIndex($E57,FixingType,C57,2,Currency,$F$6,"1Y","f",MoneyMarketDayCounter,Libor!$E$10,Discounting,Permanent,Trigger,ObjectOverwrite)</f>
        <v>UsdLiborSwapForBasisCalc49Y#0000</v>
      </c>
      <c r="G57" s="498" t="str">
        <f>_xll.ohRangeRetrieveError(F57)</f>
        <v/>
      </c>
      <c r="H57" s="502"/>
    </row>
    <row r="58" spans="2:8" s="446" customFormat="1" x14ac:dyDescent="0.2">
      <c r="B58" s="492"/>
      <c r="C58" s="499" t="s">
        <v>36</v>
      </c>
      <c r="D58" s="499" t="s">
        <v>17</v>
      </c>
      <c r="E58" s="500" t="str">
        <f t="shared" si="1"/>
        <v>UsdLiborSwapForBasisCalc50Y</v>
      </c>
      <c r="F58" s="501" t="str">
        <f>_xll.qlSwapIndex($E58,FixingType,C58,2,Currency,$F$6,"1Y","f",MoneyMarketDayCounter,Libor!$E$10,Discounting,Permanent,Trigger,ObjectOverwrite)</f>
        <v>UsdLiborSwapForBasisCalc50Y#0000</v>
      </c>
      <c r="G58" s="498" t="str">
        <f>_xll.ohRangeRetrieveError(F58)</f>
        <v/>
      </c>
      <c r="H58" s="502"/>
    </row>
    <row r="59" spans="2:8" s="446" customFormat="1" x14ac:dyDescent="0.2">
      <c r="B59" s="492"/>
      <c r="C59" s="499" t="s">
        <v>35</v>
      </c>
      <c r="D59" s="499" t="s">
        <v>17</v>
      </c>
      <c r="E59" s="500" t="str">
        <f t="shared" si="1"/>
        <v>UsdLiborSwapForBasisCalc51Y</v>
      </c>
      <c r="F59" s="501" t="str">
        <f>_xll.qlSwapIndex($E59,FixingType,C59,2,Currency,$F$6,"1Y","f",MoneyMarketDayCounter,Libor!$E$10,Discounting,Permanent,Trigger,ObjectOverwrite)</f>
        <v>UsdLiborSwapForBasisCalc51Y#0000</v>
      </c>
      <c r="G59" s="498" t="str">
        <f>_xll.ohRangeRetrieveError(F59)</f>
        <v/>
      </c>
      <c r="H59" s="502"/>
    </row>
    <row r="60" spans="2:8" s="446" customFormat="1" x14ac:dyDescent="0.2">
      <c r="B60" s="492"/>
      <c r="C60" s="499" t="s">
        <v>34</v>
      </c>
      <c r="D60" s="499" t="s">
        <v>17</v>
      </c>
      <c r="E60" s="500" t="str">
        <f t="shared" si="1"/>
        <v>UsdLiborSwapForBasisCalc52Y</v>
      </c>
      <c r="F60" s="501" t="str">
        <f>_xll.qlSwapIndex($E60,FixingType,C60,2,Currency,$F$6,"1Y","f",MoneyMarketDayCounter,Libor!$E$10,Discounting,Permanent,Trigger,ObjectOverwrite)</f>
        <v>UsdLiborSwapForBasisCalc52Y#0000</v>
      </c>
      <c r="G60" s="498" t="str">
        <f>_xll.ohRangeRetrieveError(F60)</f>
        <v/>
      </c>
      <c r="H60" s="502"/>
    </row>
    <row r="61" spans="2:8" s="446" customFormat="1" x14ac:dyDescent="0.2">
      <c r="B61" s="492"/>
      <c r="C61" s="499" t="s">
        <v>33</v>
      </c>
      <c r="D61" s="499" t="s">
        <v>17</v>
      </c>
      <c r="E61" s="500" t="str">
        <f t="shared" si="1"/>
        <v>UsdLiborSwapForBasisCalc53Y</v>
      </c>
      <c r="F61" s="501" t="str">
        <f>_xll.qlSwapIndex($E61,FixingType,C61,2,Currency,$F$6,"1Y","f",MoneyMarketDayCounter,Libor!$E$10,Discounting,Permanent,Trigger,ObjectOverwrite)</f>
        <v>UsdLiborSwapForBasisCalc53Y#0000</v>
      </c>
      <c r="G61" s="498" t="str">
        <f>_xll.ohRangeRetrieveError(F61)</f>
        <v/>
      </c>
      <c r="H61" s="502"/>
    </row>
    <row r="62" spans="2:8" s="446" customFormat="1" x14ac:dyDescent="0.2">
      <c r="B62" s="492"/>
      <c r="C62" s="499" t="s">
        <v>32</v>
      </c>
      <c r="D62" s="499" t="s">
        <v>17</v>
      </c>
      <c r="E62" s="500" t="str">
        <f t="shared" si="1"/>
        <v>UsdLiborSwapForBasisCalc54Y</v>
      </c>
      <c r="F62" s="501" t="str">
        <f>_xll.qlSwapIndex($E62,FixingType,C62,2,Currency,$F$6,"1Y","f",MoneyMarketDayCounter,Libor!$E$10,Discounting,Permanent,Trigger,ObjectOverwrite)</f>
        <v>UsdLiborSwapForBasisCalc54Y#0000</v>
      </c>
      <c r="G62" s="498" t="str">
        <f>_xll.ohRangeRetrieveError(F62)</f>
        <v/>
      </c>
      <c r="H62" s="502"/>
    </row>
    <row r="63" spans="2:8" s="446" customFormat="1" x14ac:dyDescent="0.2">
      <c r="B63" s="492"/>
      <c r="C63" s="499" t="s">
        <v>31</v>
      </c>
      <c r="D63" s="499" t="s">
        <v>17</v>
      </c>
      <c r="E63" s="500" t="str">
        <f t="shared" si="1"/>
        <v>UsdLiborSwapForBasisCalc55Y</v>
      </c>
      <c r="F63" s="501" t="str">
        <f>_xll.qlSwapIndex($E63,FixingType,C63,2,Currency,$F$6,"1Y","f",MoneyMarketDayCounter,Libor!$E$10,Discounting,Permanent,Trigger,ObjectOverwrite)</f>
        <v>UsdLiborSwapForBasisCalc55Y#0000</v>
      </c>
      <c r="G63" s="498" t="str">
        <f>_xll.ohRangeRetrieveError(F63)</f>
        <v/>
      </c>
      <c r="H63" s="502"/>
    </row>
    <row r="64" spans="2:8" s="446" customFormat="1" x14ac:dyDescent="0.2">
      <c r="B64" s="492"/>
      <c r="C64" s="499" t="s">
        <v>30</v>
      </c>
      <c r="D64" s="499" t="s">
        <v>17</v>
      </c>
      <c r="E64" s="500" t="str">
        <f t="shared" si="1"/>
        <v>UsdLiborSwapForBasisCalc56Y</v>
      </c>
      <c r="F64" s="501" t="str">
        <f>_xll.qlSwapIndex($E64,FixingType,C64,2,Currency,$F$6,"1Y","f",MoneyMarketDayCounter,Libor!$E$10,Discounting,Permanent,Trigger,ObjectOverwrite)</f>
        <v>UsdLiborSwapForBasisCalc56Y#0000</v>
      </c>
      <c r="G64" s="498" t="str">
        <f>_xll.ohRangeRetrieveError(F64)</f>
        <v/>
      </c>
      <c r="H64" s="502"/>
    </row>
    <row r="65" spans="2:8" s="446" customFormat="1" x14ac:dyDescent="0.2">
      <c r="B65" s="492"/>
      <c r="C65" s="499" t="s">
        <v>29</v>
      </c>
      <c r="D65" s="499" t="s">
        <v>17</v>
      </c>
      <c r="E65" s="500" t="str">
        <f t="shared" si="1"/>
        <v>UsdLiborSwapForBasisCalc57Y</v>
      </c>
      <c r="F65" s="501" t="str">
        <f>_xll.qlSwapIndex($E65,FixingType,C65,2,Currency,$F$6,"1Y","f",MoneyMarketDayCounter,Libor!$E$10,Discounting,Permanent,Trigger,ObjectOverwrite)</f>
        <v>UsdLiborSwapForBasisCalc57Y#0000</v>
      </c>
      <c r="G65" s="498" t="str">
        <f>_xll.ohRangeRetrieveError(F65)</f>
        <v/>
      </c>
      <c r="H65" s="502"/>
    </row>
    <row r="66" spans="2:8" s="446" customFormat="1" x14ac:dyDescent="0.2">
      <c r="B66" s="492"/>
      <c r="C66" s="499" t="s">
        <v>28</v>
      </c>
      <c r="D66" s="499" t="s">
        <v>17</v>
      </c>
      <c r="E66" s="500" t="str">
        <f t="shared" si="1"/>
        <v>UsdLiborSwapForBasisCalc58Y</v>
      </c>
      <c r="F66" s="501" t="str">
        <f>_xll.qlSwapIndex($E66,FixingType,C66,2,Currency,$F$6,"1Y","f",MoneyMarketDayCounter,Libor!$E$10,Discounting,Permanent,Trigger,ObjectOverwrite)</f>
        <v>UsdLiborSwapForBasisCalc58Y#0000</v>
      </c>
      <c r="G66" s="498" t="str">
        <f>_xll.ohRangeRetrieveError(F66)</f>
        <v/>
      </c>
      <c r="H66" s="502"/>
    </row>
    <row r="67" spans="2:8" s="446" customFormat="1" x14ac:dyDescent="0.2">
      <c r="B67" s="492"/>
      <c r="C67" s="499" t="s">
        <v>27</v>
      </c>
      <c r="D67" s="499" t="s">
        <v>17</v>
      </c>
      <c r="E67" s="500" t="str">
        <f t="shared" si="1"/>
        <v>UsdLiborSwapForBasisCalc59Y</v>
      </c>
      <c r="F67" s="501" t="str">
        <f>_xll.qlSwapIndex($E67,FixingType,C67,2,Currency,$F$6,"1Y","f",MoneyMarketDayCounter,Libor!$E$10,Discounting,Permanent,Trigger,ObjectOverwrite)</f>
        <v>UsdLiborSwapForBasisCalc59Y#0000</v>
      </c>
      <c r="G67" s="498" t="str">
        <f>_xll.ohRangeRetrieveError(F67)</f>
        <v/>
      </c>
      <c r="H67" s="502"/>
    </row>
    <row r="68" spans="2:8" s="446" customFormat="1" x14ac:dyDescent="0.2">
      <c r="B68" s="492"/>
      <c r="C68" s="499" t="s">
        <v>26</v>
      </c>
      <c r="D68" s="499" t="s">
        <v>17</v>
      </c>
      <c r="E68" s="500" t="str">
        <f t="shared" si="1"/>
        <v>UsdLiborSwapForBasisCalc60Y</v>
      </c>
      <c r="F68" s="501" t="str">
        <f>_xll.qlSwapIndex($E68,FixingType,C68,2,Currency,$F$6,"1Y","f",MoneyMarketDayCounter,Libor!$E$10,Discounting,Permanent,Trigger,ObjectOverwrite)</f>
        <v>UsdLiborSwapForBasisCalc60Y#0000</v>
      </c>
      <c r="G68" s="498" t="str">
        <f>_xll.ohRangeRetrieveError(F68)</f>
        <v/>
      </c>
      <c r="H68" s="502"/>
    </row>
    <row r="69" spans="2:8" s="446" customFormat="1" ht="12" thickBot="1" x14ac:dyDescent="0.25">
      <c r="B69" s="503"/>
      <c r="C69" s="504"/>
      <c r="D69" s="504"/>
      <c r="E69" s="504"/>
      <c r="F69" s="504"/>
      <c r="G69" s="504"/>
      <c r="H69" s="505"/>
    </row>
    <row r="70" spans="2:8" s="446" customFormat="1" x14ac:dyDescent="0.2"/>
    <row r="71" spans="2:8" s="446" customFormat="1" x14ac:dyDescent="0.2">
      <c r="B71" s="506"/>
      <c r="C71" s="506"/>
      <c r="D71" s="506"/>
      <c r="E71" s="506"/>
      <c r="F71" s="506"/>
      <c r="G71" s="506"/>
      <c r="H71" s="506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1" t="s">
        <v>305</v>
      </c>
      <c r="K4" s="337"/>
      <c r="L4" s="337"/>
      <c r="M4" s="342"/>
      <c r="N4" s="350"/>
      <c r="O4" s="396"/>
      <c r="P4" s="396"/>
      <c r="Q4" s="337"/>
      <c r="R4" s="342"/>
      <c r="S4" s="337"/>
      <c r="T4" s="337"/>
      <c r="U4" s="337"/>
      <c r="V4" s="337"/>
      <c r="W4" s="337"/>
      <c r="X4" s="337"/>
      <c r="Y4" s="337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37"/>
      <c r="K5" s="395"/>
      <c r="L5" s="389"/>
      <c r="M5" s="394" t="str">
        <f>VLOOKUP(Currency,Traits,2,FALSE)</f>
        <v>SFIXP</v>
      </c>
      <c r="N5" s="393"/>
      <c r="O5" s="392"/>
      <c r="P5" s="392"/>
      <c r="Q5" s="389"/>
      <c r="R5" s="389"/>
      <c r="S5" s="391" t="str">
        <f>VLOOKUP(Currency,Traits,3,FALSE)</f>
        <v>LiborSwapIsdaFixPm</v>
      </c>
      <c r="T5" s="389"/>
      <c r="U5" s="389"/>
      <c r="V5" s="390">
        <f>MAX(X7:X22)</f>
        <v>0</v>
      </c>
      <c r="W5" s="389"/>
      <c r="X5" s="389"/>
      <c r="Y5" s="388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37"/>
      <c r="K6" s="366"/>
      <c r="L6" s="386" t="s">
        <v>23</v>
      </c>
      <c r="M6" s="385" t="str">
        <f>_xll.RData(M7:M21,N6:O6,"RTFEED:IDN",,,N7)</f>
        <v>Updated at 10:05:48</v>
      </c>
      <c r="N6" s="385" t="s">
        <v>287</v>
      </c>
      <c r="O6" s="385" t="s">
        <v>293</v>
      </c>
      <c r="P6" s="385" t="s">
        <v>286</v>
      </c>
      <c r="Q6" s="384" t="s">
        <v>285</v>
      </c>
      <c r="R6" s="387"/>
      <c r="S6" s="386" t="s">
        <v>228</v>
      </c>
      <c r="T6" s="385" t="s">
        <v>284</v>
      </c>
      <c r="U6" s="385" t="s">
        <v>283</v>
      </c>
      <c r="V6" s="385" t="s">
        <v>282</v>
      </c>
      <c r="W6" s="384" t="s">
        <v>281</v>
      </c>
      <c r="X6" s="383"/>
      <c r="Y6" s="356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37"/>
      <c r="K7" s="366"/>
      <c r="L7" s="382" t="s">
        <v>8</v>
      </c>
      <c r="M7" s="377" t="str">
        <f t="shared" ref="M7:M21" si="1">Currency&amp;$M$5&amp;$L7&amp;"="</f>
        <v>USDSFIXP1Y=</v>
      </c>
      <c r="N7" s="381">
        <v>42044</v>
      </c>
      <c r="O7" s="380">
        <v>0.49000000000000005</v>
      </c>
      <c r="P7" s="380" t="b">
        <f t="shared" ref="P7:P21" si="2">IF(AND(ISNUMBER($O7),$O7&lt;&gt;0%),TRUE,FALSE)</f>
        <v>1</v>
      </c>
      <c r="Q7" s="379" t="b">
        <f>IF($P7,_xll.qlIndexAddFixings($S7,$N7,$O7/100,TRUE,ISERROR($T7)),NA())</f>
        <v>1</v>
      </c>
      <c r="R7" s="361"/>
      <c r="S7" s="378" t="str">
        <f t="shared" ref="S7:S21" si="3">PROPER(Currency)&amp;$S$5&amp;$L7</f>
        <v>UsdLiborSwapIsdaFixPm1Y</v>
      </c>
      <c r="T7" s="377" t="e">
        <f>_xll.qlIndexFixing($S7,$N7,TRUE,$P7)</f>
        <v>#NUM!</v>
      </c>
      <c r="U7" s="377">
        <f>IF($Q7,_xll.qlIndexFixing($S7,$N7,FALSE,$P7),"-")</f>
        <v>4.9000000000000007E-3</v>
      </c>
      <c r="V7" s="377" t="e">
        <f t="shared" ref="V7:V21" si="4">T7-U7</f>
        <v>#NUM!</v>
      </c>
      <c r="W7" s="376">
        <f>_xll.qlIndexFixing($S7,$N7,TRUE,$U7)</f>
        <v>4.9000000000000007E-3</v>
      </c>
      <c r="X7" s="400">
        <f t="shared" ref="X7:X21" si="5">IF(ISERROR(V7),0,ABS(V7))</f>
        <v>0</v>
      </c>
      <c r="Y7" s="356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37"/>
      <c r="K8" s="366"/>
      <c r="L8" s="374" t="s">
        <v>84</v>
      </c>
      <c r="M8" s="369" t="str">
        <f t="shared" si="1"/>
        <v>USDSFIXP2Y=</v>
      </c>
      <c r="N8" s="373" t="s">
        <v>211</v>
      </c>
      <c r="O8" s="372" t="s">
        <v>211</v>
      </c>
      <c r="P8" s="372" t="b">
        <f t="shared" si="2"/>
        <v>0</v>
      </c>
      <c r="Q8" s="371" t="e">
        <f>IF($P8,_xll.qlIndexAddFixings($S8,$N8,$O8/100,TRUE,ISERROR($T8)),NA())</f>
        <v>#N/A</v>
      </c>
      <c r="R8" s="361"/>
      <c r="S8" s="370" t="str">
        <f t="shared" si="3"/>
        <v>UsdLiborSwapIsdaFixPm2Y</v>
      </c>
      <c r="T8" s="369" t="e">
        <f>_xll.qlIndexFixing($S8,$N8,TRUE,$P8)</f>
        <v>#NUM!</v>
      </c>
      <c r="U8" s="369" t="e">
        <f>IF($Q8,_xll.qlIndexFixing($S8,$N8,FALSE,$P8),"-")</f>
        <v>#N/A</v>
      </c>
      <c r="V8" s="369" t="e">
        <f t="shared" si="4"/>
        <v>#NUM!</v>
      </c>
      <c r="W8" s="368" t="e">
        <f>_xll.qlIndexFixing($S8,$N8,TRUE,$U8)</f>
        <v>#NUM!</v>
      </c>
      <c r="X8" s="400">
        <f t="shared" si="5"/>
        <v>0</v>
      </c>
      <c r="Y8" s="356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37"/>
      <c r="K9" s="366"/>
      <c r="L9" s="374" t="s">
        <v>83</v>
      </c>
      <c r="M9" s="369" t="str">
        <f t="shared" si="1"/>
        <v>USDSFIXP3Y=</v>
      </c>
      <c r="N9" s="373" t="s">
        <v>211</v>
      </c>
      <c r="O9" s="372" t="s">
        <v>211</v>
      </c>
      <c r="P9" s="372" t="b">
        <f t="shared" si="2"/>
        <v>0</v>
      </c>
      <c r="Q9" s="371" t="e">
        <f>IF($P9,_xll.qlIndexAddFixings($S9,$N9,$O9/100,TRUE,ISERROR($T9)),NA())</f>
        <v>#N/A</v>
      </c>
      <c r="R9" s="361"/>
      <c r="S9" s="370" t="str">
        <f t="shared" si="3"/>
        <v>UsdLiborSwapIsdaFixPm3Y</v>
      </c>
      <c r="T9" s="369" t="e">
        <f>_xll.qlIndexFixing($S9,$N9,TRUE,$P9)</f>
        <v>#NUM!</v>
      </c>
      <c r="U9" s="369" t="e">
        <f>IF($Q9,_xll.qlIndexFixing($S9,$N9,FALSE,$P9),"-")</f>
        <v>#N/A</v>
      </c>
      <c r="V9" s="369" t="e">
        <f t="shared" si="4"/>
        <v>#NUM!</v>
      </c>
      <c r="W9" s="368" t="e">
        <f>_xll.qlIndexFixing($S9,$N9,TRUE,$U9)</f>
        <v>#NUM!</v>
      </c>
      <c r="X9" s="400">
        <f t="shared" si="5"/>
        <v>0</v>
      </c>
      <c r="Y9" s="356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37"/>
      <c r="K10" s="366"/>
      <c r="L10" s="374" t="s">
        <v>82</v>
      </c>
      <c r="M10" s="369" t="str">
        <f t="shared" si="1"/>
        <v>USDSFIXP4Y=</v>
      </c>
      <c r="N10" s="373" t="s">
        <v>211</v>
      </c>
      <c r="O10" s="372" t="s">
        <v>211</v>
      </c>
      <c r="P10" s="372" t="b">
        <f t="shared" si="2"/>
        <v>0</v>
      </c>
      <c r="Q10" s="371" t="e">
        <f>IF($P10,_xll.qlIndexAddFixings($S10,$N10,$O10/100,TRUE,ISERROR($T10)),NA())</f>
        <v>#N/A</v>
      </c>
      <c r="R10" s="361"/>
      <c r="S10" s="370" t="str">
        <f t="shared" si="3"/>
        <v>UsdLiborSwapIsdaFixPm4Y</v>
      </c>
      <c r="T10" s="369" t="e">
        <f>_xll.qlIndexFixing($S10,$N10,TRUE,$P10)</f>
        <v>#NUM!</v>
      </c>
      <c r="U10" s="369" t="e">
        <f>IF($Q10,_xll.qlIndexFixing($S10,$N10,FALSE,$P10),"-")</f>
        <v>#N/A</v>
      </c>
      <c r="V10" s="369" t="e">
        <f t="shared" si="4"/>
        <v>#NUM!</v>
      </c>
      <c r="W10" s="368" t="e">
        <f>_xll.qlIndexFixing($S10,$N10,TRUE,$U10)</f>
        <v>#NUM!</v>
      </c>
      <c r="X10" s="400">
        <f t="shared" si="5"/>
        <v>0</v>
      </c>
      <c r="Y10" s="356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37"/>
      <c r="K11" s="366"/>
      <c r="L11" s="374" t="s">
        <v>81</v>
      </c>
      <c r="M11" s="369" t="str">
        <f t="shared" si="1"/>
        <v>USDSFIXP5Y=</v>
      </c>
      <c r="N11" s="373" t="s">
        <v>211</v>
      </c>
      <c r="O11" s="372" t="s">
        <v>211</v>
      </c>
      <c r="P11" s="372" t="b">
        <f t="shared" si="2"/>
        <v>0</v>
      </c>
      <c r="Q11" s="371" t="e">
        <f>IF($P11,_xll.qlIndexAddFixings($S11,$N11,$O11/100,TRUE,ISERROR($T11)),NA())</f>
        <v>#N/A</v>
      </c>
      <c r="R11" s="361"/>
      <c r="S11" s="370" t="str">
        <f t="shared" si="3"/>
        <v>UsdLiborSwapIsdaFixPm5Y</v>
      </c>
      <c r="T11" s="369" t="e">
        <f>_xll.qlIndexFixing($S11,$N11,TRUE,$P11)</f>
        <v>#NUM!</v>
      </c>
      <c r="U11" s="369" t="e">
        <f>IF($Q11,_xll.qlIndexFixing($S11,$N11,FALSE,$P11),"-")</f>
        <v>#N/A</v>
      </c>
      <c r="V11" s="369" t="e">
        <f t="shared" si="4"/>
        <v>#NUM!</v>
      </c>
      <c r="W11" s="368" t="e">
        <f>_xll.qlIndexFixing($S11,$N11,TRUE,$U11)</f>
        <v>#NUM!</v>
      </c>
      <c r="X11" s="400">
        <f t="shared" si="5"/>
        <v>0</v>
      </c>
      <c r="Y11" s="356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37"/>
      <c r="K12" s="366"/>
      <c r="L12" s="374" t="s">
        <v>80</v>
      </c>
      <c r="M12" s="369" t="str">
        <f t="shared" si="1"/>
        <v>USDSFIXP6Y=</v>
      </c>
      <c r="N12" s="373" t="s">
        <v>211</v>
      </c>
      <c r="O12" s="372" t="s">
        <v>211</v>
      </c>
      <c r="P12" s="372" t="b">
        <f t="shared" si="2"/>
        <v>0</v>
      </c>
      <c r="Q12" s="371" t="e">
        <f>IF($P12,_xll.qlIndexAddFixings($S12,$N12,$O12/100,TRUE,ISERROR($T12)),NA())</f>
        <v>#N/A</v>
      </c>
      <c r="R12" s="361"/>
      <c r="S12" s="370" t="str">
        <f t="shared" si="3"/>
        <v>UsdLiborSwapIsdaFixPm6Y</v>
      </c>
      <c r="T12" s="369" t="e">
        <f>_xll.qlIndexFixing($S12,$N12,TRUE,$P12)</f>
        <v>#NUM!</v>
      </c>
      <c r="U12" s="369" t="e">
        <f>IF($Q12,_xll.qlIndexFixing($S12,$N12,FALSE,$P12),"-")</f>
        <v>#N/A</v>
      </c>
      <c r="V12" s="369" t="e">
        <f t="shared" si="4"/>
        <v>#NUM!</v>
      </c>
      <c r="W12" s="368" t="e">
        <f>_xll.qlIndexFixing($S12,$N12,TRUE,$U12)</f>
        <v>#NUM!</v>
      </c>
      <c r="X12" s="400">
        <f t="shared" si="5"/>
        <v>0</v>
      </c>
      <c r="Y12" s="356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37"/>
      <c r="K13" s="366"/>
      <c r="L13" s="374" t="s">
        <v>79</v>
      </c>
      <c r="M13" s="369" t="str">
        <f t="shared" si="1"/>
        <v>USDSFIXP7Y=</v>
      </c>
      <c r="N13" s="373" t="s">
        <v>211</v>
      </c>
      <c r="O13" s="372" t="s">
        <v>211</v>
      </c>
      <c r="P13" s="372" t="b">
        <f t="shared" si="2"/>
        <v>0</v>
      </c>
      <c r="Q13" s="371" t="e">
        <f>IF($P13,_xll.qlIndexAddFixings($S13,$N13,$O13/100,TRUE,ISERROR($T13)),NA())</f>
        <v>#N/A</v>
      </c>
      <c r="R13" s="361"/>
      <c r="S13" s="370" t="str">
        <f t="shared" si="3"/>
        <v>UsdLiborSwapIsdaFixPm7Y</v>
      </c>
      <c r="T13" s="369" t="e">
        <f>_xll.qlIndexFixing($S13,$N13,TRUE,$P13)</f>
        <v>#NUM!</v>
      </c>
      <c r="U13" s="369" t="e">
        <f>IF($Q13,_xll.qlIndexFixing($S13,$N13,FALSE,$P13),"-")</f>
        <v>#N/A</v>
      </c>
      <c r="V13" s="369" t="e">
        <f t="shared" si="4"/>
        <v>#NUM!</v>
      </c>
      <c r="W13" s="368" t="e">
        <f>_xll.qlIndexFixing($S13,$N13,TRUE,$U13)</f>
        <v>#NUM!</v>
      </c>
      <c r="X13" s="400">
        <f t="shared" si="5"/>
        <v>0</v>
      </c>
      <c r="Y13" s="356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37"/>
      <c r="K14" s="366"/>
      <c r="L14" s="374" t="s">
        <v>78</v>
      </c>
      <c r="M14" s="369" t="str">
        <f t="shared" si="1"/>
        <v>USDSFIXP8Y=</v>
      </c>
      <c r="N14" s="373" t="s">
        <v>211</v>
      </c>
      <c r="O14" s="372" t="s">
        <v>211</v>
      </c>
      <c r="P14" s="372" t="b">
        <f t="shared" si="2"/>
        <v>0</v>
      </c>
      <c r="Q14" s="371" t="e">
        <f>IF($P14,_xll.qlIndexAddFixings($S14,$N14,$O14/100,TRUE,ISERROR($T14)),NA())</f>
        <v>#N/A</v>
      </c>
      <c r="R14" s="361"/>
      <c r="S14" s="370" t="str">
        <f t="shared" si="3"/>
        <v>UsdLiborSwapIsdaFixPm8Y</v>
      </c>
      <c r="T14" s="369" t="e">
        <f>_xll.qlIndexFixing($S14,$N14,TRUE,$P14)</f>
        <v>#NUM!</v>
      </c>
      <c r="U14" s="369" t="e">
        <f>IF($Q14,_xll.qlIndexFixing($S14,$N14,FALSE,$P14),"-")</f>
        <v>#N/A</v>
      </c>
      <c r="V14" s="369" t="e">
        <f t="shared" si="4"/>
        <v>#NUM!</v>
      </c>
      <c r="W14" s="368" t="e">
        <f>_xll.qlIndexFixing($S14,$N14,TRUE,$U14)</f>
        <v>#NUM!</v>
      </c>
      <c r="X14" s="400">
        <f t="shared" si="5"/>
        <v>0</v>
      </c>
      <c r="Y14" s="356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37"/>
      <c r="K15" s="366"/>
      <c r="L15" s="374" t="s">
        <v>77</v>
      </c>
      <c r="M15" s="369" t="str">
        <f t="shared" si="1"/>
        <v>USDSFIXP9Y=</v>
      </c>
      <c r="N15" s="373" t="s">
        <v>211</v>
      </c>
      <c r="O15" s="372" t="s">
        <v>211</v>
      </c>
      <c r="P15" s="372" t="b">
        <f t="shared" si="2"/>
        <v>0</v>
      </c>
      <c r="Q15" s="371" t="e">
        <f>IF($P15,_xll.qlIndexAddFixings($S15,$N15,$O15/100,TRUE,ISERROR($T15)),NA())</f>
        <v>#N/A</v>
      </c>
      <c r="R15" s="361"/>
      <c r="S15" s="370" t="str">
        <f t="shared" si="3"/>
        <v>UsdLiborSwapIsdaFixPm9Y</v>
      </c>
      <c r="T15" s="369" t="e">
        <f>_xll.qlIndexFixing($S15,$N15,TRUE,$P15)</f>
        <v>#NUM!</v>
      </c>
      <c r="U15" s="369" t="e">
        <f>IF($Q15,_xll.qlIndexFixing($S15,$N15,FALSE,$P15),"-")</f>
        <v>#N/A</v>
      </c>
      <c r="V15" s="369" t="e">
        <f t="shared" si="4"/>
        <v>#NUM!</v>
      </c>
      <c r="W15" s="368" t="e">
        <f>_xll.qlIndexFixing($S15,$N15,TRUE,$U15)</f>
        <v>#NUM!</v>
      </c>
      <c r="X15" s="400">
        <f t="shared" si="5"/>
        <v>0</v>
      </c>
      <c r="Y15" s="356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37"/>
      <c r="K16" s="366"/>
      <c r="L16" s="374" t="s">
        <v>76</v>
      </c>
      <c r="M16" s="369" t="str">
        <f t="shared" si="1"/>
        <v>USDSFIXP10Y=</v>
      </c>
      <c r="N16" s="373" t="s">
        <v>211</v>
      </c>
      <c r="O16" s="372" t="s">
        <v>211</v>
      </c>
      <c r="P16" s="372" t="b">
        <f t="shared" si="2"/>
        <v>0</v>
      </c>
      <c r="Q16" s="371" t="e">
        <f>IF($P16,_xll.qlIndexAddFixings($S16,$N16,$O16/100,TRUE,ISERROR($T16)),NA())</f>
        <v>#N/A</v>
      </c>
      <c r="R16" s="361"/>
      <c r="S16" s="370" t="str">
        <f t="shared" si="3"/>
        <v>UsdLiborSwapIsdaFixPm10Y</v>
      </c>
      <c r="T16" s="369" t="e">
        <f>_xll.qlIndexFixing($S16,$N16,TRUE,$P16)</f>
        <v>#NUM!</v>
      </c>
      <c r="U16" s="369" t="e">
        <f>IF($Q16,_xll.qlIndexFixing($S16,$N16,FALSE,$P16),"-")</f>
        <v>#N/A</v>
      </c>
      <c r="V16" s="369" t="e">
        <f t="shared" si="4"/>
        <v>#NUM!</v>
      </c>
      <c r="W16" s="368" t="e">
        <f>_xll.qlIndexFixing($S16,$N16,TRUE,$U16)</f>
        <v>#NUM!</v>
      </c>
      <c r="X16" s="400">
        <f t="shared" si="5"/>
        <v>0</v>
      </c>
      <c r="Y16" s="356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37"/>
      <c r="K17" s="366"/>
      <c r="L17" s="374" t="s">
        <v>74</v>
      </c>
      <c r="M17" s="369" t="str">
        <f t="shared" si="1"/>
        <v>USDSFIXP12Y=</v>
      </c>
      <c r="N17" s="373" t="s">
        <v>211</v>
      </c>
      <c r="O17" s="372" t="s">
        <v>211</v>
      </c>
      <c r="P17" s="372" t="b">
        <f t="shared" si="2"/>
        <v>0</v>
      </c>
      <c r="Q17" s="371" t="e">
        <f>IF($P17,_xll.qlIndexAddFixings($S17,$N17,$O17/100,TRUE,ISERROR($T17)),NA())</f>
        <v>#N/A</v>
      </c>
      <c r="R17" s="361"/>
      <c r="S17" s="370" t="str">
        <f t="shared" si="3"/>
        <v>UsdLiborSwapIsdaFixPm12Y</v>
      </c>
      <c r="T17" s="369" t="e">
        <f>_xll.qlIndexFixing($S17,$N17,TRUE,$P17)</f>
        <v>#NUM!</v>
      </c>
      <c r="U17" s="369" t="e">
        <f>IF($Q17,_xll.qlIndexFixing($S17,$N17,FALSE,$P17),"-")</f>
        <v>#N/A</v>
      </c>
      <c r="V17" s="369" t="e">
        <f t="shared" si="4"/>
        <v>#NUM!</v>
      </c>
      <c r="W17" s="368" t="e">
        <f>_xll.qlIndexFixing($S17,$N17,TRUE,$U17)</f>
        <v>#NUM!</v>
      </c>
      <c r="X17" s="400">
        <f t="shared" si="5"/>
        <v>0</v>
      </c>
      <c r="Y17" s="356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37"/>
      <c r="K18" s="366"/>
      <c r="L18" s="374" t="s">
        <v>71</v>
      </c>
      <c r="M18" s="369" t="str">
        <f t="shared" si="1"/>
        <v>USDSFIXP15Y=</v>
      </c>
      <c r="N18" s="373" t="s">
        <v>211</v>
      </c>
      <c r="O18" s="372" t="s">
        <v>211</v>
      </c>
      <c r="P18" s="372" t="b">
        <f t="shared" si="2"/>
        <v>0</v>
      </c>
      <c r="Q18" s="371" t="e">
        <f>IF($P18,_xll.qlIndexAddFixings($S18,$N18,$O18/100,TRUE,ISERROR($T18)),NA())</f>
        <v>#N/A</v>
      </c>
      <c r="R18" s="361"/>
      <c r="S18" s="370" t="str">
        <f t="shared" si="3"/>
        <v>UsdLiborSwapIsdaFixPm15Y</v>
      </c>
      <c r="T18" s="369" t="e">
        <f>_xll.qlIndexFixing($S18,$N18,TRUE,$P18)</f>
        <v>#NUM!</v>
      </c>
      <c r="U18" s="369" t="e">
        <f>IF($Q18,_xll.qlIndexFixing($S18,$N18,FALSE,$P18),"-")</f>
        <v>#N/A</v>
      </c>
      <c r="V18" s="369" t="e">
        <f t="shared" si="4"/>
        <v>#NUM!</v>
      </c>
      <c r="W18" s="368" t="e">
        <f>_xll.qlIndexFixing($S18,$N18,TRUE,$U18)</f>
        <v>#NUM!</v>
      </c>
      <c r="X18" s="400">
        <f t="shared" si="5"/>
        <v>0</v>
      </c>
      <c r="Y18" s="356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37"/>
      <c r="K19" s="366"/>
      <c r="L19" s="374" t="s">
        <v>66</v>
      </c>
      <c r="M19" s="369" t="str">
        <f t="shared" si="1"/>
        <v>USDSFIXP20Y=</v>
      </c>
      <c r="N19" s="373" t="s">
        <v>211</v>
      </c>
      <c r="O19" s="372" t="s">
        <v>211</v>
      </c>
      <c r="P19" s="372" t="b">
        <f t="shared" si="2"/>
        <v>0</v>
      </c>
      <c r="Q19" s="371" t="e">
        <f>IF($P19,_xll.qlIndexAddFixings($S19,$N19,$O19/100,TRUE,ISERROR($T19)),NA())</f>
        <v>#N/A</v>
      </c>
      <c r="R19" s="361"/>
      <c r="S19" s="370" t="str">
        <f t="shared" si="3"/>
        <v>UsdLiborSwapIsdaFixPm20Y</v>
      </c>
      <c r="T19" s="369" t="e">
        <f>_xll.qlIndexFixing($S19,$N19,TRUE,$P19)</f>
        <v>#NUM!</v>
      </c>
      <c r="U19" s="369" t="e">
        <f>IF($Q19,_xll.qlIndexFixing($S19,$N19,FALSE,$P19),"-")</f>
        <v>#N/A</v>
      </c>
      <c r="V19" s="369" t="e">
        <f t="shared" si="4"/>
        <v>#NUM!</v>
      </c>
      <c r="W19" s="368" t="e">
        <f>_xll.qlIndexFixing($S19,$N19,TRUE,$U19)</f>
        <v>#NUM!</v>
      </c>
      <c r="X19" s="400">
        <f t="shared" si="5"/>
        <v>0</v>
      </c>
      <c r="Y19" s="356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37"/>
      <c r="K20" s="366"/>
      <c r="L20" s="374" t="s">
        <v>61</v>
      </c>
      <c r="M20" s="369" t="str">
        <f t="shared" si="1"/>
        <v>USDSFIXP25Y=</v>
      </c>
      <c r="N20" s="373" t="s">
        <v>211</v>
      </c>
      <c r="O20" s="372" t="s">
        <v>211</v>
      </c>
      <c r="P20" s="372" t="b">
        <f t="shared" si="2"/>
        <v>0</v>
      </c>
      <c r="Q20" s="371" t="e">
        <f>IF($P20,_xll.qlIndexAddFixings($S20,$N20,$O20/100,TRUE,ISERROR($T20)),NA())</f>
        <v>#N/A</v>
      </c>
      <c r="R20" s="361"/>
      <c r="S20" s="370" t="str">
        <f t="shared" si="3"/>
        <v>UsdLiborSwapIsdaFixPm25Y</v>
      </c>
      <c r="T20" s="369" t="e">
        <f>_xll.qlIndexFixing($S20,$N20,TRUE,$P20)</f>
        <v>#NUM!</v>
      </c>
      <c r="U20" s="369" t="e">
        <f>IF($Q20,_xll.qlIndexFixing($S20,$N20,FALSE,$P20),"-")</f>
        <v>#N/A</v>
      </c>
      <c r="V20" s="369" t="e">
        <f t="shared" si="4"/>
        <v>#NUM!</v>
      </c>
      <c r="W20" s="368" t="e">
        <f>_xll.qlIndexFixing($S20,$N20,TRUE,$U20)</f>
        <v>#NUM!</v>
      </c>
      <c r="X20" s="400">
        <f t="shared" si="5"/>
        <v>0</v>
      </c>
      <c r="Y20" s="356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37"/>
      <c r="K21" s="366"/>
      <c r="L21" s="365" t="s">
        <v>56</v>
      </c>
      <c r="M21" s="359" t="str">
        <f t="shared" si="1"/>
        <v>USDSFIXP30Y=</v>
      </c>
      <c r="N21" s="364" t="s">
        <v>211</v>
      </c>
      <c r="O21" s="363" t="s">
        <v>211</v>
      </c>
      <c r="P21" s="363" t="b">
        <f t="shared" si="2"/>
        <v>0</v>
      </c>
      <c r="Q21" s="362" t="e">
        <f>IF($P21,_xll.qlIndexAddFixings($S21,$N21,$O21/100,TRUE,ISERROR($T21)),NA())</f>
        <v>#N/A</v>
      </c>
      <c r="R21" s="361"/>
      <c r="S21" s="360" t="str">
        <f t="shared" si="3"/>
        <v>UsdLiborSwapIsdaFixPm30Y</v>
      </c>
      <c r="T21" s="359" t="e">
        <f>_xll.qlIndexFixing($S21,$N21,TRUE,$P21)</f>
        <v>#NUM!</v>
      </c>
      <c r="U21" s="359" t="e">
        <f>IF($Q21,_xll.qlIndexFixing($S21,$N21,FALSE,$P21),"-")</f>
        <v>#N/A</v>
      </c>
      <c r="V21" s="359" t="e">
        <f t="shared" si="4"/>
        <v>#NUM!</v>
      </c>
      <c r="W21" s="358" t="e">
        <f>_xll.qlIndexFixing($S21,$N21,TRUE,$U21)</f>
        <v>#NUM!</v>
      </c>
      <c r="X21" s="399">
        <f t="shared" si="5"/>
        <v>0</v>
      </c>
      <c r="Y21" s="356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37"/>
      <c r="K22" s="355"/>
      <c r="L22" s="353"/>
      <c r="M22" s="353"/>
      <c r="N22" s="353"/>
      <c r="O22" s="353"/>
      <c r="P22" s="353"/>
      <c r="Q22" s="353"/>
      <c r="R22" s="352"/>
      <c r="S22" s="352"/>
      <c r="T22" s="352"/>
      <c r="U22" s="352"/>
      <c r="V22" s="352"/>
      <c r="W22" s="352"/>
      <c r="X22" s="352"/>
      <c r="Y22" s="351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37"/>
      <c r="K23" s="337"/>
      <c r="L23" s="337"/>
      <c r="M23" s="337"/>
      <c r="N23" s="350"/>
      <c r="O23" s="349"/>
      <c r="P23" s="349"/>
      <c r="Q23" s="337"/>
      <c r="R23" s="337"/>
      <c r="S23" s="337"/>
      <c r="T23" s="337"/>
      <c r="U23" s="337"/>
      <c r="V23" s="337"/>
      <c r="W23" s="337"/>
      <c r="X23" s="337"/>
      <c r="Y23" s="337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37"/>
      <c r="K24" s="337"/>
      <c r="L24" s="348" t="s">
        <v>104</v>
      </c>
      <c r="M24" s="404" t="s">
        <v>296</v>
      </c>
      <c r="N24" s="403" t="s">
        <v>296</v>
      </c>
      <c r="O24" s="337"/>
      <c r="P24" s="337"/>
      <c r="Q24" s="337"/>
      <c r="R24" s="337"/>
      <c r="S24" s="337"/>
      <c r="T24" s="337"/>
      <c r="U24" s="337"/>
      <c r="V24" s="337"/>
      <c r="W24" s="337"/>
      <c r="X24" s="337"/>
      <c r="Y24" s="337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37"/>
      <c r="K25" s="337"/>
      <c r="L25" s="343" t="s">
        <v>103</v>
      </c>
      <c r="M25" s="342" t="s">
        <v>298</v>
      </c>
      <c r="N25" s="341" t="s">
        <v>297</v>
      </c>
      <c r="O25" s="337"/>
      <c r="P25" s="337"/>
      <c r="Q25" s="337"/>
      <c r="R25" s="337"/>
      <c r="S25" s="337"/>
      <c r="T25" s="337"/>
      <c r="U25" s="337"/>
      <c r="V25" s="337"/>
      <c r="W25" s="337"/>
      <c r="X25" s="337"/>
      <c r="Y25" s="337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37"/>
      <c r="K26" s="337"/>
      <c r="L26" s="343" t="s">
        <v>280</v>
      </c>
      <c r="M26" s="342" t="s">
        <v>295</v>
      </c>
      <c r="N26" s="341" t="s">
        <v>294</v>
      </c>
      <c r="O26" s="337"/>
      <c r="P26" s="337"/>
      <c r="Q26" s="337"/>
      <c r="R26" s="337"/>
      <c r="S26" s="337"/>
      <c r="T26" s="337"/>
      <c r="U26" s="337"/>
      <c r="V26" s="337"/>
      <c r="W26" s="337"/>
      <c r="X26" s="337"/>
      <c r="Y26" s="337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37"/>
      <c r="K27" s="337"/>
      <c r="L27" s="343" t="s">
        <v>279</v>
      </c>
      <c r="M27" s="402" t="s">
        <v>296</v>
      </c>
      <c r="N27" s="401" t="s">
        <v>296</v>
      </c>
      <c r="O27" s="337"/>
      <c r="P27" s="337"/>
      <c r="Q27" s="337"/>
      <c r="R27" s="337"/>
      <c r="S27" s="337"/>
      <c r="T27" s="337"/>
      <c r="U27" s="337"/>
      <c r="V27" s="337"/>
      <c r="W27" s="337"/>
      <c r="X27" s="337"/>
      <c r="Y27" s="337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37"/>
      <c r="K28" s="337"/>
      <c r="L28" s="343" t="s">
        <v>100</v>
      </c>
      <c r="M28" s="402" t="s">
        <v>296</v>
      </c>
      <c r="N28" s="401" t="s">
        <v>296</v>
      </c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37"/>
      <c r="K29" s="337"/>
      <c r="L29" s="343" t="s">
        <v>99</v>
      </c>
      <c r="M29" s="342" t="s">
        <v>295</v>
      </c>
      <c r="N29" s="341" t="s">
        <v>294</v>
      </c>
      <c r="O29" s="337"/>
      <c r="P29" s="337"/>
      <c r="Q29" s="337"/>
      <c r="R29" s="337"/>
      <c r="S29" s="337"/>
      <c r="T29" s="337"/>
      <c r="U29" s="337"/>
      <c r="V29" s="337"/>
      <c r="W29" s="337"/>
      <c r="X29" s="337"/>
      <c r="Y29" s="337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37"/>
      <c r="K30" s="337"/>
      <c r="L30" s="340" t="s">
        <v>94</v>
      </c>
      <c r="M30" s="398" t="s">
        <v>295</v>
      </c>
      <c r="N30" s="397" t="s">
        <v>294</v>
      </c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M1" workbookViewId="0">
      <selection activeCell="S2" sqref="S2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18" width="9.140625" style="13"/>
    <col min="19" max="19" width="15.5703125" style="13" bestFit="1" customWidth="1"/>
    <col min="20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2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28"/>
      <c r="O2" s="196"/>
      <c r="P2" s="196"/>
      <c r="Q2" s="196"/>
      <c r="R2" s="196"/>
      <c r="S2" s="116" t="s">
        <v>212</v>
      </c>
      <c r="T2" s="196"/>
      <c r="U2" s="196"/>
      <c r="V2" s="196"/>
      <c r="W2" s="196"/>
      <c r="X2" s="109"/>
      <c r="Y2" s="196"/>
      <c r="Z2" s="196"/>
      <c r="AA2" s="196"/>
      <c r="AB2" s="196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6"/>
      <c r="P3" s="109"/>
      <c r="Q3" s="109"/>
      <c r="R3" s="109"/>
      <c r="S3" s="109" t="str">
        <f>_xll.qlInterpolation(,InterpolationType,_xll.ohFilter(N5:N42,W5:W42),_xll.ohFilter(V5:V42,W5:W42))</f>
        <v>obj_00679#0000</v>
      </c>
      <c r="T3" s="109"/>
      <c r="U3" s="109"/>
      <c r="V3" s="109"/>
      <c r="W3" s="109"/>
      <c r="X3" s="109"/>
      <c r="Y3" s="196"/>
      <c r="Z3" s="196"/>
      <c r="AA3" s="196"/>
      <c r="AB3" s="109"/>
      <c r="AC3" s="225">
        <f>_xll.ohTrigger(AC5:AC42)</f>
        <v>2</v>
      </c>
      <c r="AD3" s="164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0"/>
      <c r="P4" s="143"/>
      <c r="Q4" s="143"/>
      <c r="R4" s="143"/>
      <c r="S4" s="191" t="str">
        <f>_xll.RData(S5:S42,T4:U4,"RTFEED:IDN",ReutersRtMode,,T5)</f>
        <v>Updated at 10:05:48</v>
      </c>
      <c r="T4" s="249" t="s">
        <v>199</v>
      </c>
      <c r="U4" s="249" t="s">
        <v>198</v>
      </c>
      <c r="V4" s="249" t="s">
        <v>255</v>
      </c>
      <c r="W4" s="249"/>
      <c r="X4" s="221" t="s">
        <v>254</v>
      </c>
      <c r="Y4" s="196"/>
      <c r="Z4" s="223" t="s">
        <v>229</v>
      </c>
      <c r="AA4" s="196"/>
      <c r="AB4" s="416" t="s">
        <v>227</v>
      </c>
      <c r="AC4" s="67" t="s">
        <v>226</v>
      </c>
      <c r="AD4" s="164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3">
        <v>0.5</v>
      </c>
      <c r="O5" s="200" t="s">
        <v>14</v>
      </c>
      <c r="P5" s="241" t="str">
        <f t="array" ref="P5:P42">VLOOKUP(Currency,Conventions,2)</f>
        <v>3L</v>
      </c>
      <c r="Q5" s="241" t="str">
        <f t="array" ref="Q5:Q42">VLOOKUP(Currency,Conventions,3)</f>
        <v>1L</v>
      </c>
      <c r="R5" s="239" t="str">
        <f t="shared" ref="R5:R42" si="1">Currency&amp;$P5&amp;$Q5&amp;$O5</f>
        <v>USD3L1L6M</v>
      </c>
      <c r="S5" s="199" t="str">
        <f t="array" ref="S5:S42">Instruments&amp;"="&amp;VLOOKUP($S$2,ContributorTable,2,FALSE)</f>
        <v>USD3L1L6M=ICAP</v>
      </c>
      <c r="T5" s="311">
        <v>8.3000000000000007</v>
      </c>
      <c r="U5" s="311">
        <v>0</v>
      </c>
      <c r="V5" s="311">
        <f>_xll.qlMidEquivalent(T5,U5)</f>
        <v>8.3000000000000007</v>
      </c>
      <c r="W5" s="194" t="b">
        <f t="shared" ref="W5:W42" si="2">IF(ISNUMBER(V5),TRUE,FALSE)</f>
        <v>1</v>
      </c>
      <c r="X5" s="312">
        <f t="array" ref="X5:X38">_xll.qlInterpolationInterpolate(S3,N5:N42)</f>
        <v>8.3000000000000007</v>
      </c>
      <c r="Y5" s="196"/>
      <c r="Z5" s="309">
        <v>7.9</v>
      </c>
      <c r="AA5" s="196"/>
      <c r="AB5" s="418">
        <f t="array" ref="AB5:AB42">QuoteLive</f>
        <v>8.3000000000000007</v>
      </c>
      <c r="AC5" s="193">
        <f>_xll.qlSimpleQuoteSetValue(F5,AB5/10000,Trigger)</f>
        <v>0</v>
      </c>
      <c r="AD5" s="164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3">
        <v>1</v>
      </c>
      <c r="O6" s="200" t="s">
        <v>8</v>
      </c>
      <c r="P6" s="241" t="str">
        <v>3L</v>
      </c>
      <c r="Q6" s="241" t="str">
        <v>1L</v>
      </c>
      <c r="R6" s="239" t="str">
        <f t="shared" si="1"/>
        <v>USD3L1L1Y</v>
      </c>
      <c r="S6" s="199" t="str">
        <v>USD3L1L1Y=ICAP</v>
      </c>
      <c r="T6" s="311">
        <v>9.1999999999999993</v>
      </c>
      <c r="U6" s="311">
        <v>0</v>
      </c>
      <c r="V6" s="311">
        <f>_xll.qlMidEquivalent(T6,U6)</f>
        <v>9.1999999999999993</v>
      </c>
      <c r="W6" s="194" t="b">
        <f t="shared" si="2"/>
        <v>1</v>
      </c>
      <c r="X6" s="312">
        <v>9.1999999999999993</v>
      </c>
      <c r="Y6" s="196"/>
      <c r="Z6" s="309">
        <v>8.6</v>
      </c>
      <c r="AA6" s="196"/>
      <c r="AB6" s="418">
        <v>9.1999999999999993</v>
      </c>
      <c r="AC6" s="193">
        <f>_xll.qlSimpleQuoteSetValue(F6,AB6/10000,Trigger)</f>
        <v>0</v>
      </c>
      <c r="AD6" s="164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3">
        <v>1.25</v>
      </c>
      <c r="O7" s="200" t="s">
        <v>107</v>
      </c>
      <c r="P7" s="241" t="str">
        <v>3L</v>
      </c>
      <c r="Q7" s="241" t="str">
        <v>1L</v>
      </c>
      <c r="R7" s="239" t="str">
        <f t="shared" si="1"/>
        <v>USD3L1L15M</v>
      </c>
      <c r="S7" s="199" t="str">
        <v>USD3L1L15M=ICAP</v>
      </c>
      <c r="T7" s="311" t="s">
        <v>211</v>
      </c>
      <c r="U7" s="311" t="s">
        <v>211</v>
      </c>
      <c r="V7" s="311" t="e">
        <f>_xll.qlMidEquivalent(T7,U7)</f>
        <v>#NUM!</v>
      </c>
      <c r="W7" s="194" t="b">
        <f t="shared" si="2"/>
        <v>0</v>
      </c>
      <c r="X7" s="312">
        <v>9.550226261578862</v>
      </c>
      <c r="Y7" s="196"/>
      <c r="Z7" s="309">
        <v>8.9010816116263882</v>
      </c>
      <c r="AA7" s="196"/>
      <c r="AB7" s="418">
        <v>9.550226261578862</v>
      </c>
      <c r="AC7" s="193">
        <f>_xll.qlSimpleQuoteSetValue(F7,AB7/10000,Trigger)</f>
        <v>0</v>
      </c>
      <c r="AD7" s="164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3">
        <v>1.5</v>
      </c>
      <c r="O8" s="200" t="s">
        <v>106</v>
      </c>
      <c r="P8" s="241" t="str">
        <v>3L</v>
      </c>
      <c r="Q8" s="241" t="str">
        <v>1L</v>
      </c>
      <c r="R8" s="239" t="str">
        <f t="shared" si="1"/>
        <v>USD3L1L18M</v>
      </c>
      <c r="S8" s="199" t="str">
        <v>USD3L1L18M=ICAP</v>
      </c>
      <c r="T8" s="311" t="s">
        <v>211</v>
      </c>
      <c r="U8" s="311" t="s">
        <v>211</v>
      </c>
      <c r="V8" s="311" t="e">
        <f>_xll.qlMidEquivalent(T8,U8)</f>
        <v>#NUM!</v>
      </c>
      <c r="W8" s="194" t="b">
        <f t="shared" si="2"/>
        <v>0</v>
      </c>
      <c r="X8" s="312">
        <v>9.8442025231577261</v>
      </c>
      <c r="Y8" s="196"/>
      <c r="Z8" s="309">
        <v>9.1740382232527775</v>
      </c>
      <c r="AA8" s="196"/>
      <c r="AB8" s="418">
        <v>9.8442025231577261</v>
      </c>
      <c r="AC8" s="193">
        <f>_xll.qlSimpleQuoteSetValue(F8,AB8/10000,Trigger)</f>
        <v>0</v>
      </c>
      <c r="AD8" s="164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3">
        <v>1.75</v>
      </c>
      <c r="O9" s="200" t="s">
        <v>105</v>
      </c>
      <c r="P9" s="241" t="str">
        <v>3L</v>
      </c>
      <c r="Q9" s="241" t="str">
        <v>1L</v>
      </c>
      <c r="R9" s="239" t="str">
        <f t="shared" si="1"/>
        <v>USD3L1L21M</v>
      </c>
      <c r="S9" s="199" t="str">
        <v>USD3L1L21M=ICAP</v>
      </c>
      <c r="T9" s="311" t="s">
        <v>211</v>
      </c>
      <c r="U9" s="311" t="s">
        <v>211</v>
      </c>
      <c r="V9" s="311" t="e">
        <f>_xll.qlMidEquivalent(T9,U9)</f>
        <v>#NUM!</v>
      </c>
      <c r="W9" s="194" t="b">
        <f t="shared" si="2"/>
        <v>0</v>
      </c>
      <c r="X9" s="312">
        <v>10.116077523157726</v>
      </c>
      <c r="Y9" s="196"/>
      <c r="Z9" s="309">
        <v>9.4349757232527782</v>
      </c>
      <c r="AA9" s="196"/>
      <c r="AB9" s="418">
        <v>10.116077523157726</v>
      </c>
      <c r="AC9" s="193">
        <f>_xll.qlSimpleQuoteSetValue(F9,AB9/10000,Trigger)</f>
        <v>0</v>
      </c>
      <c r="AD9" s="164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0" t="s">
        <v>84</v>
      </c>
      <c r="P10" s="241" t="str">
        <v>3L</v>
      </c>
      <c r="Q10" s="241" t="str">
        <v>1L</v>
      </c>
      <c r="R10" s="239" t="str">
        <f t="shared" si="1"/>
        <v>USD3L1L2Y</v>
      </c>
      <c r="S10" s="199" t="str">
        <v>USD3L1L2Y=ICAP</v>
      </c>
      <c r="T10" s="311">
        <v>10.4</v>
      </c>
      <c r="U10" s="311">
        <v>0</v>
      </c>
      <c r="V10" s="311">
        <f>_xll.qlMidEquivalent(T10,U10)</f>
        <v>10.4</v>
      </c>
      <c r="W10" s="194" t="b">
        <f t="shared" si="2"/>
        <v>1</v>
      </c>
      <c r="X10" s="312">
        <v>10.4</v>
      </c>
      <c r="Y10" s="196"/>
      <c r="Z10" s="309">
        <v>9.6999999999999993</v>
      </c>
      <c r="AA10" s="196"/>
      <c r="AB10" s="418">
        <v>10.4</v>
      </c>
      <c r="AC10" s="193">
        <f>_xll.qlSimpleQuoteSetValue(F10,AB10/10000,Trigger)</f>
        <v>0</v>
      </c>
      <c r="AD10" s="164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0" t="s">
        <v>83</v>
      </c>
      <c r="P11" s="241" t="str">
        <v>3L</v>
      </c>
      <c r="Q11" s="241" t="str">
        <v>1L</v>
      </c>
      <c r="R11" s="239" t="str">
        <f t="shared" si="1"/>
        <v>USD3L1L3Y</v>
      </c>
      <c r="S11" s="199" t="str">
        <v>USD3L1L3Y=ICAP</v>
      </c>
      <c r="T11" s="311">
        <v>11.7</v>
      </c>
      <c r="U11" s="311">
        <v>0</v>
      </c>
      <c r="V11" s="311">
        <f>_xll.qlMidEquivalent(T11,U11)</f>
        <v>11.7</v>
      </c>
      <c r="W11" s="194" t="b">
        <f t="shared" si="2"/>
        <v>1</v>
      </c>
      <c r="X11" s="312">
        <v>11.7</v>
      </c>
      <c r="Y11" s="196"/>
      <c r="Z11" s="309">
        <v>10.8</v>
      </c>
      <c r="AA11" s="196"/>
      <c r="AB11" s="418">
        <v>11.7</v>
      </c>
      <c r="AC11" s="193">
        <f>_xll.qlSimpleQuoteSetValue(F11,AB11/10000,Trigger)</f>
        <v>0</v>
      </c>
      <c r="AD11" s="164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0" t="s">
        <v>82</v>
      </c>
      <c r="P12" s="241" t="str">
        <v>3L</v>
      </c>
      <c r="Q12" s="241" t="str">
        <v>1L</v>
      </c>
      <c r="R12" s="239" t="str">
        <f t="shared" si="1"/>
        <v>USD3L1L4Y</v>
      </c>
      <c r="S12" s="199" t="str">
        <v>USD3L1L4Y=ICAP</v>
      </c>
      <c r="T12" s="311">
        <v>12.5</v>
      </c>
      <c r="U12" s="311">
        <v>0</v>
      </c>
      <c r="V12" s="311">
        <f>_xll.qlMidEquivalent(T12,U12)</f>
        <v>12.5</v>
      </c>
      <c r="W12" s="194" t="b">
        <f t="shared" si="2"/>
        <v>1</v>
      </c>
      <c r="X12" s="312">
        <v>12.5</v>
      </c>
      <c r="Y12" s="196"/>
      <c r="Z12" s="309">
        <v>11.5</v>
      </c>
      <c r="AA12" s="196"/>
      <c r="AB12" s="418">
        <v>12.5</v>
      </c>
      <c r="AC12" s="193">
        <f>_xll.qlSimpleQuoteSetValue(F12,AB12/10000,Trigger)</f>
        <v>0</v>
      </c>
      <c r="AD12" s="164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0" t="s">
        <v>81</v>
      </c>
      <c r="P13" s="241" t="str">
        <v>3L</v>
      </c>
      <c r="Q13" s="241" t="str">
        <v>1L</v>
      </c>
      <c r="R13" s="239" t="str">
        <f t="shared" si="1"/>
        <v>USD3L1L5Y</v>
      </c>
      <c r="S13" s="199" t="str">
        <v>USD3L1L5Y=ICAP</v>
      </c>
      <c r="T13" s="311">
        <v>13</v>
      </c>
      <c r="U13" s="311">
        <v>0</v>
      </c>
      <c r="V13" s="311">
        <f>_xll.qlMidEquivalent(T13,U13)</f>
        <v>13</v>
      </c>
      <c r="W13" s="194" t="b">
        <f t="shared" si="2"/>
        <v>1</v>
      </c>
      <c r="X13" s="312">
        <v>13</v>
      </c>
      <c r="Y13" s="196"/>
      <c r="Z13" s="309">
        <v>11.8</v>
      </c>
      <c r="AA13" s="196"/>
      <c r="AB13" s="418">
        <v>13</v>
      </c>
      <c r="AC13" s="193">
        <f>_xll.qlSimpleQuoteSetValue(F13,AB13/10000,Trigger)</f>
        <v>0</v>
      </c>
      <c r="AD13" s="164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0" t="s">
        <v>80</v>
      </c>
      <c r="P14" s="241" t="str">
        <v>3L</v>
      </c>
      <c r="Q14" s="241" t="str">
        <v>1L</v>
      </c>
      <c r="R14" s="239" t="str">
        <f t="shared" si="1"/>
        <v>USD3L1L6Y</v>
      </c>
      <c r="S14" s="199" t="str">
        <v>USD3L1L6Y=ICAP</v>
      </c>
      <c r="T14" s="311">
        <v>13.1</v>
      </c>
      <c r="U14" s="311">
        <v>0</v>
      </c>
      <c r="V14" s="311">
        <f>_xll.qlMidEquivalent(T14,U14)</f>
        <v>13.1</v>
      </c>
      <c r="W14" s="194" t="b">
        <f t="shared" si="2"/>
        <v>1</v>
      </c>
      <c r="X14" s="312">
        <v>13.1</v>
      </c>
      <c r="Y14" s="196"/>
      <c r="Z14" s="309">
        <v>11.8</v>
      </c>
      <c r="AA14" s="196"/>
      <c r="AB14" s="418">
        <v>13.1</v>
      </c>
      <c r="AC14" s="193">
        <f>_xll.qlSimpleQuoteSetValue(F14,AB14/10000,Trigger)</f>
        <v>0</v>
      </c>
      <c r="AD14" s="164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0" t="s">
        <v>79</v>
      </c>
      <c r="P15" s="241" t="str">
        <v>3L</v>
      </c>
      <c r="Q15" s="241" t="str">
        <v>1L</v>
      </c>
      <c r="R15" s="239" t="str">
        <f t="shared" si="1"/>
        <v>USD3L1L7Y</v>
      </c>
      <c r="S15" s="199" t="str">
        <v>USD3L1L7Y=ICAP</v>
      </c>
      <c r="T15" s="311">
        <v>12.9</v>
      </c>
      <c r="U15" s="311">
        <v>0</v>
      </c>
      <c r="V15" s="311">
        <f>_xll.qlMidEquivalent(T15,U15)</f>
        <v>12.9</v>
      </c>
      <c r="W15" s="194" t="b">
        <f t="shared" si="2"/>
        <v>1</v>
      </c>
      <c r="X15" s="312">
        <v>12.9</v>
      </c>
      <c r="Y15" s="196"/>
      <c r="Z15" s="309">
        <v>11.5</v>
      </c>
      <c r="AA15" s="196"/>
      <c r="AB15" s="418">
        <v>12.9</v>
      </c>
      <c r="AC15" s="193">
        <f>_xll.qlSimpleQuoteSetValue(F15,AB15/10000,Trigger)</f>
        <v>0</v>
      </c>
      <c r="AD15" s="164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0" t="s">
        <v>78</v>
      </c>
      <c r="P16" s="241" t="str">
        <v>3L</v>
      </c>
      <c r="Q16" s="241" t="str">
        <v>1L</v>
      </c>
      <c r="R16" s="239" t="str">
        <f t="shared" si="1"/>
        <v>USD3L1L8Y</v>
      </c>
      <c r="S16" s="199" t="str">
        <v>USD3L1L8Y=ICAP</v>
      </c>
      <c r="T16" s="311">
        <v>12.6</v>
      </c>
      <c r="U16" s="311">
        <v>0</v>
      </c>
      <c r="V16" s="311">
        <f>_xll.qlMidEquivalent(T16,U16)</f>
        <v>12.6</v>
      </c>
      <c r="W16" s="194" t="b">
        <f t="shared" si="2"/>
        <v>1</v>
      </c>
      <c r="X16" s="312">
        <v>12.6</v>
      </c>
      <c r="Y16" s="196"/>
      <c r="Z16" s="309">
        <v>11</v>
      </c>
      <c r="AA16" s="196"/>
      <c r="AB16" s="418">
        <v>12.6</v>
      </c>
      <c r="AC16" s="193">
        <f>_xll.qlSimpleQuoteSetValue(F16,AB16/10000,Trigger)</f>
        <v>0</v>
      </c>
      <c r="AD16" s="164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0" t="s">
        <v>77</v>
      </c>
      <c r="P17" s="241" t="str">
        <v>3L</v>
      </c>
      <c r="Q17" s="241" t="str">
        <v>1L</v>
      </c>
      <c r="R17" s="239" t="str">
        <f t="shared" si="1"/>
        <v>USD3L1L9Y</v>
      </c>
      <c r="S17" s="199" t="str">
        <v>USD3L1L9Y=ICAP</v>
      </c>
      <c r="T17" s="311">
        <v>12.2</v>
      </c>
      <c r="U17" s="311">
        <v>0</v>
      </c>
      <c r="V17" s="311">
        <f>_xll.qlMidEquivalent(T17,U17)</f>
        <v>12.2</v>
      </c>
      <c r="W17" s="194" t="b">
        <f t="shared" si="2"/>
        <v>1</v>
      </c>
      <c r="X17" s="312">
        <v>12.2</v>
      </c>
      <c r="Y17" s="196"/>
      <c r="Z17" s="309">
        <v>10.6</v>
      </c>
      <c r="AA17" s="196"/>
      <c r="AB17" s="418">
        <v>12.2</v>
      </c>
      <c r="AC17" s="193">
        <f>_xll.qlSimpleQuoteSetValue(F17,AB17/10000,Trigger)</f>
        <v>0</v>
      </c>
      <c r="AD17" s="164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0" t="s">
        <v>76</v>
      </c>
      <c r="P18" s="241" t="str">
        <v>3L</v>
      </c>
      <c r="Q18" s="241" t="str">
        <v>1L</v>
      </c>
      <c r="R18" s="239" t="str">
        <f t="shared" si="1"/>
        <v>USD3L1L10Y</v>
      </c>
      <c r="S18" s="199" t="str">
        <v>USD3L1L10Y=ICAP</v>
      </c>
      <c r="T18" s="311">
        <v>11.8</v>
      </c>
      <c r="U18" s="311">
        <v>0</v>
      </c>
      <c r="V18" s="311">
        <f>_xll.qlMidEquivalent(T18,U18)</f>
        <v>11.8</v>
      </c>
      <c r="W18" s="194" t="b">
        <f t="shared" si="2"/>
        <v>1</v>
      </c>
      <c r="X18" s="312">
        <v>11.8</v>
      </c>
      <c r="Y18" s="196"/>
      <c r="Z18" s="309">
        <v>10.1</v>
      </c>
      <c r="AA18" s="196"/>
      <c r="AB18" s="418">
        <v>11.8</v>
      </c>
      <c r="AC18" s="193">
        <f>_xll.qlSimpleQuoteSetValue(F18,AB18/10000,Trigger)</f>
        <v>0</v>
      </c>
      <c r="AD18" s="164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0" t="s">
        <v>75</v>
      </c>
      <c r="P19" s="241" t="str">
        <v>3L</v>
      </c>
      <c r="Q19" s="241" t="str">
        <v>1L</v>
      </c>
      <c r="R19" s="239" t="str">
        <f t="shared" si="1"/>
        <v>USD3L1L11Y</v>
      </c>
      <c r="S19" s="199" t="str">
        <v>USD3L1L11Y=ICAP</v>
      </c>
      <c r="T19" s="311" t="s">
        <v>211</v>
      </c>
      <c r="U19" s="311" t="s">
        <v>211</v>
      </c>
      <c r="V19" s="311" t="e">
        <f>_xll.qlMidEquivalent(T19,U19)</f>
        <v>#NUM!</v>
      </c>
      <c r="W19" s="194" t="b">
        <f t="shared" si="2"/>
        <v>0</v>
      </c>
      <c r="X19" s="312">
        <v>11.506819026459173</v>
      </c>
      <c r="Y19" s="196"/>
      <c r="Z19" s="309">
        <v>9.7013926315039392</v>
      </c>
      <c r="AA19" s="196"/>
      <c r="AB19" s="418">
        <v>11.506819026459173</v>
      </c>
      <c r="AC19" s="193">
        <f>_xll.qlSimpleQuoteSetValue(F19,AB19/10000,Trigger)</f>
        <v>0</v>
      </c>
      <c r="AD19" s="164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0" t="s">
        <v>74</v>
      </c>
      <c r="P20" s="241" t="str">
        <v>3L</v>
      </c>
      <c r="Q20" s="241" t="str">
        <v>1L</v>
      </c>
      <c r="R20" s="239" t="str">
        <f t="shared" si="1"/>
        <v>USD3L1L12Y</v>
      </c>
      <c r="S20" s="199" t="str">
        <v>USD3L1L12Y=ICAP</v>
      </c>
      <c r="T20" s="311">
        <v>11.3</v>
      </c>
      <c r="U20" s="311">
        <v>0</v>
      </c>
      <c r="V20" s="311">
        <f>_xll.qlMidEquivalent(T20,U20)</f>
        <v>11.3</v>
      </c>
      <c r="W20" s="194" t="b">
        <f t="shared" si="2"/>
        <v>1</v>
      </c>
      <c r="X20" s="312">
        <v>11.3</v>
      </c>
      <c r="Y20" s="196"/>
      <c r="Z20" s="309">
        <v>9.4</v>
      </c>
      <c r="AA20" s="196"/>
      <c r="AB20" s="418">
        <v>11.3</v>
      </c>
      <c r="AC20" s="193">
        <f>_xll.qlSimpleQuoteSetValue(F20,AB20/10000,Trigger)</f>
        <v>0</v>
      </c>
      <c r="AD20" s="164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0" t="s">
        <v>73</v>
      </c>
      <c r="P21" s="241" t="str">
        <v>3L</v>
      </c>
      <c r="Q21" s="241" t="str">
        <v>1L</v>
      </c>
      <c r="R21" s="239" t="str">
        <f t="shared" si="1"/>
        <v>USD3L1L13Y</v>
      </c>
      <c r="S21" s="199" t="str">
        <v>USD3L1L13Y=ICAP</v>
      </c>
      <c r="T21" s="311" t="s">
        <v>211</v>
      </c>
      <c r="U21" s="311" t="s">
        <v>211</v>
      </c>
      <c r="V21" s="311" t="e">
        <f>_xll.qlMidEquivalent(T21,U21)</f>
        <v>#NUM!</v>
      </c>
      <c r="W21" s="194" t="b">
        <f t="shared" si="2"/>
        <v>0</v>
      </c>
      <c r="X21" s="312">
        <v>11.135715006171658</v>
      </c>
      <c r="Y21" s="196"/>
      <c r="Z21" s="309">
        <v>9.1160198449320351</v>
      </c>
      <c r="AA21" s="196"/>
      <c r="AB21" s="418">
        <v>11.135715006171658</v>
      </c>
      <c r="AC21" s="193">
        <f>_xll.qlSimpleQuoteSetValue(F21,AB21/10000,Trigger)</f>
        <v>0</v>
      </c>
      <c r="AD21" s="164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0" t="s">
        <v>72</v>
      </c>
      <c r="P22" s="241" t="str">
        <v>3L</v>
      </c>
      <c r="Q22" s="241" t="str">
        <v>1L</v>
      </c>
      <c r="R22" s="239" t="str">
        <f t="shared" si="1"/>
        <v>USD3L1L14Y</v>
      </c>
      <c r="S22" s="199" t="str">
        <v>USD3L1L14Y=ICAP</v>
      </c>
      <c r="T22" s="311" t="s">
        <v>211</v>
      </c>
      <c r="U22" s="311" t="s">
        <v>211</v>
      </c>
      <c r="V22" s="311" t="e">
        <f>_xll.qlMidEquivalent(T22,U22)</f>
        <v>#NUM!</v>
      </c>
      <c r="W22" s="194" t="b">
        <f t="shared" si="2"/>
        <v>0</v>
      </c>
      <c r="X22" s="312">
        <v>11.003210140263517</v>
      </c>
      <c r="Y22" s="196"/>
      <c r="Z22" s="309">
        <v>8.8446880417722635</v>
      </c>
      <c r="AA22" s="196"/>
      <c r="AB22" s="418">
        <v>11.003210140263517</v>
      </c>
      <c r="AC22" s="193">
        <f>_xll.qlSimpleQuoteSetValue(F22,AB22/10000,Trigger)</f>
        <v>0</v>
      </c>
      <c r="AD22" s="164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0" t="s">
        <v>71</v>
      </c>
      <c r="P23" s="241" t="str">
        <v>3L</v>
      </c>
      <c r="Q23" s="241" t="str">
        <v>1L</v>
      </c>
      <c r="R23" s="239" t="str">
        <f t="shared" si="1"/>
        <v>USD3L1L15Y</v>
      </c>
      <c r="S23" s="199" t="str">
        <v>USD3L1L15Y=ICAP</v>
      </c>
      <c r="T23" s="311">
        <v>10.9</v>
      </c>
      <c r="U23" s="311">
        <v>0</v>
      </c>
      <c r="V23" s="311">
        <f>_xll.qlMidEquivalent(T23,U23)</f>
        <v>10.9</v>
      </c>
      <c r="W23" s="194" t="b">
        <f t="shared" si="2"/>
        <v>1</v>
      </c>
      <c r="X23" s="312">
        <v>10.9</v>
      </c>
      <c r="Y23" s="196"/>
      <c r="Z23" s="309">
        <v>8.6</v>
      </c>
      <c r="AA23" s="196"/>
      <c r="AB23" s="418">
        <v>10.9</v>
      </c>
      <c r="AC23" s="193">
        <f>_xll.qlSimpleQuoteSetValue(F23,AB23/10000,Trigger)</f>
        <v>0</v>
      </c>
      <c r="AD23" s="164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0" t="s">
        <v>70</v>
      </c>
      <c r="P24" s="241" t="str">
        <v>3L</v>
      </c>
      <c r="Q24" s="241" t="str">
        <v>1L</v>
      </c>
      <c r="R24" s="239" t="str">
        <f t="shared" si="1"/>
        <v>USD3L1L16Y</v>
      </c>
      <c r="S24" s="199" t="str">
        <v>USD3L1L16Y=ICAP</v>
      </c>
      <c r="T24" s="311" t="s">
        <v>211</v>
      </c>
      <c r="U24" s="311" t="s">
        <v>211</v>
      </c>
      <c r="V24" s="311" t="e">
        <f>_xll.qlMidEquivalent(T24,U24)</f>
        <v>#NUM!</v>
      </c>
      <c r="W24" s="194" t="b">
        <f t="shared" si="2"/>
        <v>0</v>
      </c>
      <c r="X24" s="312">
        <v>10.821989603285505</v>
      </c>
      <c r="Y24" s="196"/>
      <c r="Z24" s="309">
        <v>8.3922226847447376</v>
      </c>
      <c r="AA24" s="196"/>
      <c r="AB24" s="418">
        <v>10.821989603285505</v>
      </c>
      <c r="AC24" s="193">
        <f>_xll.qlSimpleQuoteSetValue(F24,AB24/10000,Trigger)</f>
        <v>0</v>
      </c>
      <c r="AD24" s="164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0" t="s">
        <v>69</v>
      </c>
      <c r="P25" s="241" t="str">
        <v>3L</v>
      </c>
      <c r="Q25" s="241" t="str">
        <v>1L</v>
      </c>
      <c r="R25" s="239" t="str">
        <f t="shared" si="1"/>
        <v>USD3L1L17Y</v>
      </c>
      <c r="S25" s="199" t="str">
        <v>USD3L1L17Y=ICAP</v>
      </c>
      <c r="T25" s="311" t="s">
        <v>211</v>
      </c>
      <c r="U25" s="311" t="s">
        <v>211</v>
      </c>
      <c r="V25" s="311" t="e">
        <f>_xll.qlMidEquivalent(T25,U25)</f>
        <v>#NUM!</v>
      </c>
      <c r="W25" s="194" t="b">
        <f t="shared" si="2"/>
        <v>0</v>
      </c>
      <c r="X25" s="312">
        <v>10.765238303696194</v>
      </c>
      <c r="Y25" s="196"/>
      <c r="Z25" s="309">
        <v>8.2167092837366997</v>
      </c>
      <c r="AA25" s="196"/>
      <c r="AB25" s="418">
        <v>10.765238303696194</v>
      </c>
      <c r="AC25" s="193">
        <f>_xll.qlSimpleQuoteSetValue(F25,AB25/10000,Trigger)</f>
        <v>0</v>
      </c>
      <c r="AD25" s="164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0" t="s">
        <v>68</v>
      </c>
      <c r="P26" s="241" t="str">
        <v>3L</v>
      </c>
      <c r="Q26" s="241" t="str">
        <v>1L</v>
      </c>
      <c r="R26" s="239" t="str">
        <f t="shared" si="1"/>
        <v>USD3L1L18Y</v>
      </c>
      <c r="S26" s="199" t="str">
        <v>USD3L1L18Y=ICAP</v>
      </c>
      <c r="T26" s="311" t="s">
        <v>211</v>
      </c>
      <c r="U26" s="311" t="s">
        <v>211</v>
      </c>
      <c r="V26" s="311" t="e">
        <f>_xll.qlMidEquivalent(T26,U26)</f>
        <v>#NUM!</v>
      </c>
      <c r="W26" s="194" t="b">
        <f t="shared" si="2"/>
        <v>0</v>
      </c>
      <c r="X26" s="312">
        <v>10.727492202464129</v>
      </c>
      <c r="Y26" s="196"/>
      <c r="Z26" s="309">
        <v>8.0650845403562954</v>
      </c>
      <c r="AA26" s="196"/>
      <c r="AB26" s="418">
        <v>10.727492202464129</v>
      </c>
      <c r="AC26" s="193">
        <f>_xll.qlSimpleQuoteSetValue(F26,AB26/10000,Trigger)</f>
        <v>0</v>
      </c>
      <c r="AD26" s="164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0" t="s">
        <v>67</v>
      </c>
      <c r="P27" s="241" t="str">
        <v>3L</v>
      </c>
      <c r="Q27" s="241" t="str">
        <v>1L</v>
      </c>
      <c r="R27" s="239" t="str">
        <f t="shared" si="1"/>
        <v>USD3L1L19Y</v>
      </c>
      <c r="S27" s="199" t="str">
        <v>USD3L1L19Y=ICAP</v>
      </c>
      <c r="T27" s="311" t="s">
        <v>211</v>
      </c>
      <c r="U27" s="311" t="s">
        <v>211</v>
      </c>
      <c r="V27" s="311" t="e">
        <f>_xll.qlMidEquivalent(T27,U27)</f>
        <v>#NUM!</v>
      </c>
      <c r="W27" s="194" t="b">
        <f t="shared" si="2"/>
        <v>0</v>
      </c>
      <c r="X27" s="312">
        <v>10.706497400821375</v>
      </c>
      <c r="Y27" s="196"/>
      <c r="Z27" s="309">
        <v>7.9289731979839262</v>
      </c>
      <c r="AA27" s="196"/>
      <c r="AB27" s="418">
        <v>10.706497400821375</v>
      </c>
      <c r="AC27" s="193">
        <f>_xll.qlSimpleQuoteSetValue(F27,AB27/10000,Trigger)</f>
        <v>0</v>
      </c>
      <c r="AD27" s="164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0" t="s">
        <v>66</v>
      </c>
      <c r="P28" s="241" t="str">
        <v>3L</v>
      </c>
      <c r="Q28" s="241" t="str">
        <v>1L</v>
      </c>
      <c r="R28" s="239" t="str">
        <f t="shared" si="1"/>
        <v>USD3L1L20Y</v>
      </c>
      <c r="S28" s="199" t="str">
        <v>USD3L1L20Y=ICAP</v>
      </c>
      <c r="T28" s="311">
        <v>10.7</v>
      </c>
      <c r="U28" s="311">
        <v>0</v>
      </c>
      <c r="V28" s="311">
        <f>_xll.qlMidEquivalent(T28,U28)</f>
        <v>10.7</v>
      </c>
      <c r="W28" s="194" t="b">
        <f t="shared" si="2"/>
        <v>1</v>
      </c>
      <c r="X28" s="312">
        <v>10.7</v>
      </c>
      <c r="Y28" s="196"/>
      <c r="Z28" s="309">
        <v>7.8</v>
      </c>
      <c r="AA28" s="196"/>
      <c r="AB28" s="418">
        <v>10.7</v>
      </c>
      <c r="AC28" s="193">
        <f>_xll.qlSimpleQuoteSetValue(F28,AB28/10000,Trigger)</f>
        <v>0</v>
      </c>
      <c r="AD28" s="164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0" t="s">
        <v>65</v>
      </c>
      <c r="P29" s="241" t="str">
        <v>3L</v>
      </c>
      <c r="Q29" s="241" t="str">
        <v>1L</v>
      </c>
      <c r="R29" s="239" t="str">
        <f t="shared" si="1"/>
        <v>USD3L1L21Y</v>
      </c>
      <c r="S29" s="199" t="str">
        <v>USD3L1L21Y=ICAP</v>
      </c>
      <c r="T29" s="311" t="s">
        <v>211</v>
      </c>
      <c r="U29" s="311" t="s">
        <v>211</v>
      </c>
      <c r="V29" s="311" t="e">
        <f>_xll.qlMidEquivalent(T29,U29)</f>
        <v>#NUM!</v>
      </c>
      <c r="W29" s="194" t="b">
        <f t="shared" si="2"/>
        <v>0</v>
      </c>
      <c r="X29" s="312">
        <v>10.7</v>
      </c>
      <c r="Y29" s="196"/>
      <c r="Z29" s="309">
        <v>7.671637112231152</v>
      </c>
      <c r="AA29" s="196"/>
      <c r="AB29" s="418">
        <v>10.7</v>
      </c>
      <c r="AC29" s="193">
        <f>_xll.qlSimpleQuoteSetValue(F29,AB29/10000,Trigger)</f>
        <v>0</v>
      </c>
      <c r="AD29" s="164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0" t="s">
        <v>64</v>
      </c>
      <c r="P30" s="241" t="str">
        <v>3L</v>
      </c>
      <c r="Q30" s="241" t="str">
        <v>1L</v>
      </c>
      <c r="R30" s="239" t="str">
        <f t="shared" si="1"/>
        <v>USD3L1L22Y</v>
      </c>
      <c r="S30" s="199" t="str">
        <v>USD3L1L22Y=ICAP</v>
      </c>
      <c r="T30" s="311" t="s">
        <v>211</v>
      </c>
      <c r="U30" s="311" t="s">
        <v>211</v>
      </c>
      <c r="V30" s="311" t="e">
        <f>_xll.qlMidEquivalent(T30,U30)</f>
        <v>#NUM!</v>
      </c>
      <c r="W30" s="194" t="b">
        <f t="shared" si="2"/>
        <v>0</v>
      </c>
      <c r="X30" s="312">
        <v>10.7</v>
      </c>
      <c r="Y30" s="196"/>
      <c r="Z30" s="309">
        <v>7.5447463902889398</v>
      </c>
      <c r="AA30" s="196"/>
      <c r="AB30" s="418">
        <v>10.7</v>
      </c>
      <c r="AC30" s="193">
        <f>_xll.qlSimpleQuoteSetValue(F30,AB30/10000,Trigger)</f>
        <v>0</v>
      </c>
      <c r="AD30" s="164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0" t="s">
        <v>63</v>
      </c>
      <c r="P31" s="241" t="str">
        <v>3L</v>
      </c>
      <c r="Q31" s="241" t="str">
        <v>1L</v>
      </c>
      <c r="R31" s="239" t="str">
        <f t="shared" si="1"/>
        <v>USD3L1L23Y</v>
      </c>
      <c r="S31" s="199" t="str">
        <v>USD3L1L23Y=ICAP</v>
      </c>
      <c r="T31" s="311" t="s">
        <v>211</v>
      </c>
      <c r="U31" s="311" t="s">
        <v>211</v>
      </c>
      <c r="V31" s="311" t="e">
        <f>_xll.qlMidEquivalent(T31,U31)</f>
        <v>#NUM!</v>
      </c>
      <c r="W31" s="194" t="b">
        <f t="shared" si="2"/>
        <v>0</v>
      </c>
      <c r="X31" s="312">
        <v>10.7</v>
      </c>
      <c r="Y31" s="196"/>
      <c r="Z31" s="309">
        <v>7.4220371122311519</v>
      </c>
      <c r="AA31" s="196"/>
      <c r="AB31" s="418">
        <v>10.7</v>
      </c>
      <c r="AC31" s="193">
        <f>_xll.qlSimpleQuoteSetValue(F31,AB31/10000,Trigger)</f>
        <v>0</v>
      </c>
      <c r="AD31" s="164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0" t="s">
        <v>62</v>
      </c>
      <c r="P32" s="241" t="str">
        <v>3L</v>
      </c>
      <c r="Q32" s="241" t="str">
        <v>1L</v>
      </c>
      <c r="R32" s="239" t="str">
        <f t="shared" si="1"/>
        <v>USD3L1L24Y</v>
      </c>
      <c r="S32" s="199" t="str">
        <v>USD3L1L24Y=ICAP</v>
      </c>
      <c r="T32" s="311" t="s">
        <v>211</v>
      </c>
      <c r="U32" s="311" t="s">
        <v>211</v>
      </c>
      <c r="V32" s="311" t="e">
        <f>_xll.qlMidEquivalent(T32,U32)</f>
        <v>#NUM!</v>
      </c>
      <c r="W32" s="194" t="b">
        <f t="shared" si="2"/>
        <v>0</v>
      </c>
      <c r="X32" s="312">
        <v>10.7</v>
      </c>
      <c r="Y32" s="196"/>
      <c r="Z32" s="309">
        <v>7.3062185561155761</v>
      </c>
      <c r="AA32" s="196"/>
      <c r="AB32" s="418">
        <v>10.7</v>
      </c>
      <c r="AC32" s="193">
        <f>_xll.qlSimpleQuoteSetValue(F32,AB32/10000,Trigger)</f>
        <v>0</v>
      </c>
      <c r="AD32" s="164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0" t="s">
        <v>61</v>
      </c>
      <c r="P33" s="241" t="str">
        <v>3L</v>
      </c>
      <c r="Q33" s="241" t="str">
        <v>1L</v>
      </c>
      <c r="R33" s="239" t="str">
        <f t="shared" si="1"/>
        <v>USD3L1L25Y</v>
      </c>
      <c r="S33" s="199" t="str">
        <v>USD3L1L25Y=ICAP</v>
      </c>
      <c r="T33" s="311">
        <v>10.7</v>
      </c>
      <c r="U33" s="311">
        <v>0</v>
      </c>
      <c r="V33" s="311">
        <f>_xll.qlMidEquivalent(T33,U33)</f>
        <v>10.7</v>
      </c>
      <c r="W33" s="194" t="b">
        <f t="shared" si="2"/>
        <v>1</v>
      </c>
      <c r="X33" s="312">
        <v>10.7</v>
      </c>
      <c r="Y33" s="196"/>
      <c r="Z33" s="309">
        <v>7.2</v>
      </c>
      <c r="AA33" s="196"/>
      <c r="AB33" s="418">
        <v>10.7</v>
      </c>
      <c r="AC33" s="193">
        <f>_xll.qlSimpleQuoteSetValue(F33,AB33/10000,Trigger)</f>
        <v>0</v>
      </c>
      <c r="AD33" s="164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0" t="s">
        <v>60</v>
      </c>
      <c r="P34" s="241" t="str">
        <v>3L</v>
      </c>
      <c r="Q34" s="241" t="str">
        <v>1L</v>
      </c>
      <c r="R34" s="239" t="str">
        <f t="shared" si="1"/>
        <v>USD3L1L26Y</v>
      </c>
      <c r="S34" s="199" t="str">
        <v>USD3L1L26Y=ICAP</v>
      </c>
      <c r="T34" s="311" t="s">
        <v>211</v>
      </c>
      <c r="U34" s="311" t="s">
        <v>211</v>
      </c>
      <c r="V34" s="311" t="e">
        <f>_xll.qlMidEquivalent(T34,U34)</f>
        <v>#NUM!</v>
      </c>
      <c r="W34" s="194" t="b">
        <f t="shared" si="2"/>
        <v>0</v>
      </c>
      <c r="X34" s="312">
        <v>10.7</v>
      </c>
      <c r="Y34" s="196"/>
      <c r="Z34" s="309">
        <v>7.1052288663306546</v>
      </c>
      <c r="AA34" s="196"/>
      <c r="AB34" s="418">
        <v>10.7</v>
      </c>
      <c r="AC34" s="193">
        <f>_xll.qlSimpleQuoteSetValue(F34,AB34/10000,Trigger)</f>
        <v>0</v>
      </c>
      <c r="AD34" s="164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0" t="s">
        <v>59</v>
      </c>
      <c r="P35" s="241" t="str">
        <v>3L</v>
      </c>
      <c r="Q35" s="241" t="str">
        <v>1L</v>
      </c>
      <c r="R35" s="239" t="str">
        <f t="shared" si="1"/>
        <v>USD3L1L27Y</v>
      </c>
      <c r="S35" s="199" t="str">
        <v>USD3L1L27Y=ICAP</v>
      </c>
      <c r="T35" s="311" t="s">
        <v>211</v>
      </c>
      <c r="U35" s="311" t="s">
        <v>211</v>
      </c>
      <c r="V35" s="311" t="e">
        <f>_xll.qlMidEquivalent(T35,U35)</f>
        <v>#NUM!</v>
      </c>
      <c r="W35" s="194" t="b">
        <f t="shared" si="2"/>
        <v>0</v>
      </c>
      <c r="X35" s="312">
        <v>10.7</v>
      </c>
      <c r="Y35" s="196"/>
      <c r="Z35" s="309">
        <v>7.0203051551075397</v>
      </c>
      <c r="AA35" s="196"/>
      <c r="AB35" s="418">
        <v>10.7</v>
      </c>
      <c r="AC35" s="193">
        <f>_xll.qlSimpleQuoteSetValue(F35,AB35/10000,Trigger)</f>
        <v>0</v>
      </c>
      <c r="AD35" s="164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0" t="s">
        <v>58</v>
      </c>
      <c r="P36" s="241" t="str">
        <v>3L</v>
      </c>
      <c r="Q36" s="241" t="str">
        <v>1L</v>
      </c>
      <c r="R36" s="239" t="str">
        <f t="shared" si="1"/>
        <v>USD3L1L28Y</v>
      </c>
      <c r="S36" s="199" t="str">
        <v>USD3L1L28Y=ICAP</v>
      </c>
      <c r="T36" s="311" t="s">
        <v>211</v>
      </c>
      <c r="U36" s="311" t="s">
        <v>211</v>
      </c>
      <c r="V36" s="311" t="e">
        <f>_xll.qlMidEquivalent(T36,U36)</f>
        <v>#NUM!</v>
      </c>
      <c r="W36" s="194" t="b">
        <f t="shared" si="2"/>
        <v>0</v>
      </c>
      <c r="X36" s="312">
        <v>10.7</v>
      </c>
      <c r="Y36" s="196"/>
      <c r="Z36" s="309">
        <v>6.9427670107190966</v>
      </c>
      <c r="AA36" s="196"/>
      <c r="AB36" s="418">
        <v>10.7</v>
      </c>
      <c r="AC36" s="193">
        <f>_xll.qlSimpleQuoteSetValue(F36,AB36/10000,Trigger)</f>
        <v>0</v>
      </c>
      <c r="AD36" s="164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0" t="s">
        <v>57</v>
      </c>
      <c r="P37" s="241" t="str">
        <v>3L</v>
      </c>
      <c r="Q37" s="241" t="str">
        <v>1L</v>
      </c>
      <c r="R37" s="239" t="str">
        <f t="shared" si="1"/>
        <v>USD3L1L29Y</v>
      </c>
      <c r="S37" s="199" t="str">
        <v>USD3L1L29Y=ICAP</v>
      </c>
      <c r="T37" s="311" t="s">
        <v>211</v>
      </c>
      <c r="U37" s="311" t="s">
        <v>211</v>
      </c>
      <c r="V37" s="311" t="e">
        <f>_xll.qlMidEquivalent(T37,U37)</f>
        <v>#NUM!</v>
      </c>
      <c r="W37" s="194" t="b">
        <f t="shared" si="2"/>
        <v>0</v>
      </c>
      <c r="X37" s="312">
        <v>10.7</v>
      </c>
      <c r="Y37" s="196"/>
      <c r="Z37" s="309">
        <v>6.8701525775537693</v>
      </c>
      <c r="AA37" s="196"/>
      <c r="AB37" s="418">
        <v>10.7</v>
      </c>
      <c r="AC37" s="193">
        <f>_xll.qlSimpleQuoteSetValue(F37,AB37/10000,Trigger)</f>
        <v>0</v>
      </c>
      <c r="AD37" s="164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0" t="s">
        <v>56</v>
      </c>
      <c r="P38" s="241" t="str">
        <v>3L</v>
      </c>
      <c r="Q38" s="241" t="str">
        <v>1L</v>
      </c>
      <c r="R38" s="239" t="str">
        <f t="shared" si="1"/>
        <v>USD3L1L30Y</v>
      </c>
      <c r="S38" s="199" t="str">
        <v>USD3L1L30Y=ICAP</v>
      </c>
      <c r="T38" s="311">
        <v>10.7</v>
      </c>
      <c r="U38" s="311">
        <v>0</v>
      </c>
      <c r="V38" s="311">
        <f>_xll.qlMidEquivalent(T38,U38)</f>
        <v>10.7</v>
      </c>
      <c r="W38" s="194" t="b">
        <f t="shared" si="2"/>
        <v>1</v>
      </c>
      <c r="X38" s="312">
        <v>10.7</v>
      </c>
      <c r="Y38" s="196"/>
      <c r="Z38" s="309">
        <v>6.8</v>
      </c>
      <c r="AA38" s="196"/>
      <c r="AB38" s="418">
        <v>10.7</v>
      </c>
      <c r="AC38" s="193">
        <f>_xll.qlSimpleQuoteSetValue(F38,AB38/10000,Trigger)</f>
        <v>0</v>
      </c>
      <c r="AD38" s="164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0" t="s">
        <v>51</v>
      </c>
      <c r="P39" s="241" t="str">
        <v>3L</v>
      </c>
      <c r="Q39" s="241" t="str">
        <v>1L</v>
      </c>
      <c r="R39" s="239" t="str">
        <f t="shared" si="1"/>
        <v>USD3L1L35Y</v>
      </c>
      <c r="S39" s="199" t="str">
        <v>USD3L1L35Y=ICAP</v>
      </c>
      <c r="T39" s="311" t="s">
        <v>211</v>
      </c>
      <c r="U39" s="311" t="s">
        <v>211</v>
      </c>
      <c r="V39" s="311" t="e">
        <f>_xll.qlMidEquivalent(T39,U39)</f>
        <v>#NUM!</v>
      </c>
      <c r="W39" s="194" t="b">
        <f t="shared" si="2"/>
        <v>0</v>
      </c>
      <c r="X39" s="310">
        <f>X38</f>
        <v>10.7</v>
      </c>
      <c r="Y39" s="196"/>
      <c r="Z39" s="309">
        <v>6.8</v>
      </c>
      <c r="AA39" s="196"/>
      <c r="AB39" s="418">
        <v>10.7</v>
      </c>
      <c r="AC39" s="193">
        <f>_xll.qlSimpleQuoteSetValue(F39,AB39/10000,Trigger)</f>
        <v>0</v>
      </c>
      <c r="AD39" s="164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0" t="s">
        <v>46</v>
      </c>
      <c r="P40" s="241" t="str">
        <v>3L</v>
      </c>
      <c r="Q40" s="241" t="str">
        <v>1L</v>
      </c>
      <c r="R40" s="239" t="str">
        <f t="shared" si="1"/>
        <v>USD3L1L40Y</v>
      </c>
      <c r="S40" s="199" t="str">
        <v>USD3L1L40Y=ICAP</v>
      </c>
      <c r="T40" s="311" t="s">
        <v>211</v>
      </c>
      <c r="U40" s="311" t="s">
        <v>211</v>
      </c>
      <c r="V40" s="311" t="e">
        <f>_xll.qlMidEquivalent(T40,U40)</f>
        <v>#NUM!</v>
      </c>
      <c r="W40" s="194" t="b">
        <f t="shared" si="2"/>
        <v>0</v>
      </c>
      <c r="X40" s="310">
        <f>X39</f>
        <v>10.7</v>
      </c>
      <c r="Y40" s="196"/>
      <c r="Z40" s="309">
        <v>6.8</v>
      </c>
      <c r="AA40" s="196"/>
      <c r="AB40" s="418">
        <v>10.7</v>
      </c>
      <c r="AC40" s="193">
        <f>_xll.qlSimpleQuoteSetValue(F40,AB40/10000,Trigger)</f>
        <v>0</v>
      </c>
      <c r="AD40" s="164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0" t="s">
        <v>36</v>
      </c>
      <c r="P41" s="241" t="str">
        <v>3L</v>
      </c>
      <c r="Q41" s="241" t="str">
        <v>1L</v>
      </c>
      <c r="R41" s="239" t="str">
        <f t="shared" si="1"/>
        <v>USD3L1L50Y</v>
      </c>
      <c r="S41" s="199" t="str">
        <v>USD3L1L50Y=ICAP</v>
      </c>
      <c r="T41" s="311" t="s">
        <v>211</v>
      </c>
      <c r="U41" s="311" t="s">
        <v>211</v>
      </c>
      <c r="V41" s="311" t="e">
        <f>_xll.qlMidEquivalent(T41,U41)</f>
        <v>#NUM!</v>
      </c>
      <c r="W41" s="194" t="b">
        <f t="shared" si="2"/>
        <v>0</v>
      </c>
      <c r="X41" s="310">
        <f>X40</f>
        <v>10.7</v>
      </c>
      <c r="Y41" s="196"/>
      <c r="Z41" s="309">
        <v>6.8</v>
      </c>
      <c r="AA41" s="196"/>
      <c r="AB41" s="418">
        <v>10.7</v>
      </c>
      <c r="AC41" s="193">
        <f>_xll.qlSimpleQuoteSetValue(F41,AB41/10000,Trigger)</f>
        <v>0</v>
      </c>
      <c r="AD41" s="164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1" t="s">
        <v>26</v>
      </c>
      <c r="P42" s="236" t="str">
        <v>3L</v>
      </c>
      <c r="Q42" s="236" t="str">
        <v>1L</v>
      </c>
      <c r="R42" s="234" t="str">
        <f t="shared" si="1"/>
        <v>USD3L1L60Y</v>
      </c>
      <c r="S42" s="210" t="str">
        <v>USD3L1L60Y=ICAP</v>
      </c>
      <c r="T42" s="308" t="s">
        <v>211</v>
      </c>
      <c r="U42" s="308" t="s">
        <v>211</v>
      </c>
      <c r="V42" s="308" t="e">
        <f>_xll.qlMidEquivalent(T42,U42)</f>
        <v>#NUM!</v>
      </c>
      <c r="W42" s="207" t="b">
        <f t="shared" si="2"/>
        <v>0</v>
      </c>
      <c r="X42" s="307">
        <f>X41</f>
        <v>10.7</v>
      </c>
      <c r="Y42" s="196"/>
      <c r="Z42" s="306">
        <v>6.8</v>
      </c>
      <c r="AA42" s="196"/>
      <c r="AB42" s="419">
        <v>10.7</v>
      </c>
      <c r="AC42" s="206">
        <f>_xll.qlSimpleQuoteSetValue(F42,AB42/10000,Trigger)</f>
        <v>0</v>
      </c>
      <c r="AD42" s="164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1"/>
    </row>
  </sheetData>
  <conditionalFormatting sqref="AC5:AC42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topLeftCell="M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2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28"/>
      <c r="O2" s="109"/>
      <c r="P2" s="196"/>
      <c r="Q2" s="196"/>
      <c r="R2" s="196"/>
      <c r="S2" s="116" t="str">
        <f>Contributor</f>
        <v>ICAP</v>
      </c>
      <c r="T2" s="196"/>
      <c r="U2" s="196"/>
      <c r="V2" s="196"/>
      <c r="W2" s="196"/>
      <c r="X2" s="109"/>
      <c r="Y2" s="196"/>
      <c r="Z2" s="196"/>
      <c r="AA2" s="196"/>
      <c r="AB2" s="196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6"/>
      <c r="P3" s="109"/>
      <c r="Q3" s="109"/>
      <c r="R3" s="109"/>
      <c r="S3" s="109" t="str">
        <f>_xll.qlInterpolation(,InterpolationType,_xll.ohFilter(N5:N42,W5:W42),_xll.ohFilter(V5:V42,W5:W42))</f>
        <v>obj_00678#0005</v>
      </c>
      <c r="T3" s="109"/>
      <c r="U3" s="109"/>
      <c r="V3" s="109"/>
      <c r="W3" s="109"/>
      <c r="X3" s="109"/>
      <c r="Y3" s="196"/>
      <c r="Z3" s="196"/>
      <c r="AA3" s="196"/>
      <c r="AB3" s="109"/>
      <c r="AC3" s="225">
        <f>_xll.ohTrigger(AC5:AC42)</f>
        <v>7</v>
      </c>
      <c r="AD3" s="164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0"/>
      <c r="P4" s="143"/>
      <c r="Q4" s="143"/>
      <c r="R4" s="143"/>
      <c r="S4" s="191" t="str">
        <f>_xll.RData(S5:S42,T4:U4,"RTFEED:IDN",ReutersRtMode,,T5)</f>
        <v>Updated at 10:07:10</v>
      </c>
      <c r="T4" s="249" t="s">
        <v>199</v>
      </c>
      <c r="U4" s="249" t="s">
        <v>198</v>
      </c>
      <c r="V4" s="249" t="s">
        <v>255</v>
      </c>
      <c r="W4" s="249"/>
      <c r="X4" s="221" t="s">
        <v>254</v>
      </c>
      <c r="Y4" s="196"/>
      <c r="Z4" s="223" t="s">
        <v>229</v>
      </c>
      <c r="AA4" s="196"/>
      <c r="AB4" s="416" t="s">
        <v>227</v>
      </c>
      <c r="AC4" s="67" t="s">
        <v>226</v>
      </c>
      <c r="AD4" s="164"/>
      <c r="AE4" s="13"/>
      <c r="AF4" s="13"/>
      <c r="AG4" s="13"/>
      <c r="AH4" s="13"/>
      <c r="AI4" s="13"/>
      <c r="AJ4" s="247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3">
        <v>0.5</v>
      </c>
      <c r="O5" s="200" t="s">
        <v>14</v>
      </c>
      <c r="P5" s="241" t="str">
        <f t="array" ref="P5:P42">VLOOKUP(Currency,Conventions,2)</f>
        <v>6L</v>
      </c>
      <c r="Q5" s="241" t="str">
        <f t="array" ref="Q5:Q42">VLOOKUP(Currency,Conventions,3)</f>
        <v>3L</v>
      </c>
      <c r="R5" s="239" t="str">
        <f t="shared" ref="R5:R42" si="1">Currency&amp;$P5&amp;$Q5&amp;$O5</f>
        <v>USD6L3L6M</v>
      </c>
      <c r="S5" s="199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1">
        <v>6.9</v>
      </c>
      <c r="U5" s="311">
        <v>0</v>
      </c>
      <c r="V5" s="311">
        <f>_xll.qlMidEquivalent(T5,U5)</f>
        <v>6.9</v>
      </c>
      <c r="W5" s="194" t="b">
        <f t="shared" ref="W5:W42" si="2">IF(ISNUMBER(V5),TRUE,FALSE)</f>
        <v>1</v>
      </c>
      <c r="X5" s="312">
        <f t="array" ref="X5:X38">_xll.qlInterpolationInterpolate(S3,N5:N42)</f>
        <v>6.9</v>
      </c>
      <c r="Y5" s="196"/>
      <c r="Z5" s="309">
        <v>8.5</v>
      </c>
      <c r="AA5" s="196"/>
      <c r="AB5" s="418">
        <f t="array" ref="AB5:AB42">QuoteLive</f>
        <v>6.9</v>
      </c>
      <c r="AC5" s="193">
        <f>_xll.qlSimpleQuoteSetValue(F5,AB5/10000,Trigger)</f>
        <v>0</v>
      </c>
      <c r="AD5" s="164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5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3">
        <v>1</v>
      </c>
      <c r="O6" s="200" t="s">
        <v>8</v>
      </c>
      <c r="P6" s="241" t="str">
        <v>6L</v>
      </c>
      <c r="Q6" s="241" t="str">
        <v>3L</v>
      </c>
      <c r="R6" s="239" t="str">
        <f t="shared" si="1"/>
        <v>USD6L3L1Y</v>
      </c>
      <c r="S6" s="199" t="str">
        <v>USD6L3L1Y=ICAP</v>
      </c>
      <c r="T6" s="311">
        <v>7.2</v>
      </c>
      <c r="U6" s="311">
        <v>0</v>
      </c>
      <c r="V6" s="311">
        <f>_xll.qlMidEquivalent(T6,U6)</f>
        <v>7.2</v>
      </c>
      <c r="W6" s="194" t="b">
        <f t="shared" si="2"/>
        <v>1</v>
      </c>
      <c r="X6" s="312">
        <v>7.2</v>
      </c>
      <c r="Y6" s="196"/>
      <c r="Z6" s="309">
        <v>8.6</v>
      </c>
      <c r="AA6" s="196"/>
      <c r="AB6" s="418">
        <v>7.2</v>
      </c>
      <c r="AC6" s="193">
        <f>_xll.qlSimpleQuoteSetValue(F6,AB6/10000,Trigger)</f>
        <v>1.0000000000000135E-5</v>
      </c>
      <c r="AD6" s="164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5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3">
        <v>1.25</v>
      </c>
      <c r="O7" s="200" t="s">
        <v>107</v>
      </c>
      <c r="P7" s="241" t="str">
        <v>6L</v>
      </c>
      <c r="Q7" s="241" t="str">
        <v>3L</v>
      </c>
      <c r="R7" s="239" t="str">
        <f t="shared" si="1"/>
        <v>USD6L3L15M</v>
      </c>
      <c r="S7" s="199" t="str">
        <v>USD6L3L15M=ICAP</v>
      </c>
      <c r="T7" s="311" t="s">
        <v>211</v>
      </c>
      <c r="U7" s="311" t="s">
        <v>211</v>
      </c>
      <c r="V7" s="311" t="e">
        <f>_xll.qlMidEquivalent(T7,U7)</f>
        <v>#NUM!</v>
      </c>
      <c r="W7" s="194" t="b">
        <f t="shared" si="2"/>
        <v>0</v>
      </c>
      <c r="X7" s="312">
        <v>7.2556327132988123</v>
      </c>
      <c r="Y7" s="196"/>
      <c r="Z7" s="309">
        <v>8.6403417164991403</v>
      </c>
      <c r="AA7" s="196"/>
      <c r="AB7" s="418">
        <v>7.2556327132988123</v>
      </c>
      <c r="AC7" s="193">
        <f>_xll.qlSimpleQuoteSetValue(F7,AB7/10000,Trigger)</f>
        <v>8.488965617105119E-6</v>
      </c>
      <c r="AD7" s="164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5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3">
        <v>1.5</v>
      </c>
      <c r="O8" s="200" t="s">
        <v>106</v>
      </c>
      <c r="P8" s="241" t="str">
        <v>6L</v>
      </c>
      <c r="Q8" s="241" t="str">
        <v>3L</v>
      </c>
      <c r="R8" s="239" t="str">
        <f t="shared" si="1"/>
        <v>USD6L3L18M</v>
      </c>
      <c r="S8" s="199" t="str">
        <v>USD6L3L18M=ICAP</v>
      </c>
      <c r="T8" s="311" t="s">
        <v>211</v>
      </c>
      <c r="U8" s="311" t="s">
        <v>211</v>
      </c>
      <c r="V8" s="311" t="e">
        <f>_xll.qlMidEquivalent(T8,U8)</f>
        <v>#NUM!</v>
      </c>
      <c r="W8" s="194" t="b">
        <f t="shared" si="2"/>
        <v>0</v>
      </c>
      <c r="X8" s="312">
        <v>7.2816872354635009</v>
      </c>
      <c r="Y8" s="196"/>
      <c r="Z8" s="309">
        <v>8.6719704146659016</v>
      </c>
      <c r="AA8" s="196"/>
      <c r="AB8" s="418">
        <v>7.2816872354635009</v>
      </c>
      <c r="AC8" s="193">
        <f>_xll.qlSimpleQuoteSetValue(F8,AB8/10000,Trigger)</f>
        <v>5.8951121207977911E-6</v>
      </c>
      <c r="AD8" s="164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5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3">
        <v>1.75</v>
      </c>
      <c r="O9" s="200" t="s">
        <v>105</v>
      </c>
      <c r="P9" s="241" t="str">
        <v>6L</v>
      </c>
      <c r="Q9" s="241" t="str">
        <v>3L</v>
      </c>
      <c r="R9" s="239" t="str">
        <f t="shared" si="1"/>
        <v>USD6L3L21M</v>
      </c>
      <c r="S9" s="199" t="str">
        <v>USD6L3L21M=ICAP</v>
      </c>
      <c r="T9" s="311" t="s">
        <v>211</v>
      </c>
      <c r="U9" s="311" t="s">
        <v>211</v>
      </c>
      <c r="V9" s="311" t="e">
        <f>_xll.qlMidEquivalent(T9,U9)</f>
        <v>#NUM!</v>
      </c>
      <c r="W9" s="194" t="b">
        <f t="shared" si="2"/>
        <v>0</v>
      </c>
      <c r="X9" s="312">
        <v>7.2918981398964382</v>
      </c>
      <c r="Y9" s="196"/>
      <c r="Z9" s="309">
        <v>8.6926139054997122</v>
      </c>
      <c r="AA9" s="196"/>
      <c r="AB9" s="418">
        <v>7.2918981398964382</v>
      </c>
      <c r="AC9" s="193">
        <f>_xll.qlSimpleQuoteSetValue(F9,AB9/10000,Trigger)</f>
        <v>2.8537025640914659E-6</v>
      </c>
      <c r="AD9" s="164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5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0" t="s">
        <v>84</v>
      </c>
      <c r="P10" s="241" t="str">
        <v>6L</v>
      </c>
      <c r="Q10" s="241" t="str">
        <v>3L</v>
      </c>
      <c r="R10" s="239" t="str">
        <f t="shared" si="1"/>
        <v>USD6L3L2Y</v>
      </c>
      <c r="S10" s="199" t="str">
        <v>USD6L3L2Y=ICAP</v>
      </c>
      <c r="T10" s="311">
        <v>7.3</v>
      </c>
      <c r="U10" s="311">
        <v>0</v>
      </c>
      <c r="V10" s="311">
        <f>_xll.qlMidEquivalent(T10,U10)</f>
        <v>7.3</v>
      </c>
      <c r="W10" s="194" t="b">
        <f t="shared" si="2"/>
        <v>1</v>
      </c>
      <c r="X10" s="312">
        <v>7.3</v>
      </c>
      <c r="Y10" s="196"/>
      <c r="Z10" s="309">
        <v>8.6999999999999993</v>
      </c>
      <c r="AA10" s="196"/>
      <c r="AB10" s="418">
        <v>7.3</v>
      </c>
      <c r="AC10" s="193">
        <f>_xll.qlSimpleQuoteSetValue(F10,AB10/10000,Trigger)</f>
        <v>0</v>
      </c>
      <c r="AD10" s="164"/>
      <c r="AE10" s="13"/>
      <c r="AF10" s="13"/>
      <c r="AG10" s="13"/>
      <c r="AH10" s="13"/>
      <c r="AI10" s="13" t="str">
        <f t="shared" si="3"/>
        <v>2Y</v>
      </c>
      <c r="AJ10" s="305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0" t="s">
        <v>83</v>
      </c>
      <c r="P11" s="241" t="str">
        <v>6L</v>
      </c>
      <c r="Q11" s="241" t="str">
        <v>3L</v>
      </c>
      <c r="R11" s="239" t="str">
        <f t="shared" si="1"/>
        <v>USD6L3L3Y</v>
      </c>
      <c r="S11" s="199" t="str">
        <v>USD6L3L3Y=ICAP</v>
      </c>
      <c r="T11" s="311">
        <v>7.5</v>
      </c>
      <c r="U11" s="311">
        <v>0</v>
      </c>
      <c r="V11" s="311">
        <f>_xll.qlMidEquivalent(T11,U11)</f>
        <v>7.5</v>
      </c>
      <c r="W11" s="194" t="b">
        <f t="shared" si="2"/>
        <v>1</v>
      </c>
      <c r="X11" s="312">
        <v>7.5</v>
      </c>
      <c r="Y11" s="196"/>
      <c r="Z11" s="309">
        <v>8.6999999999999993</v>
      </c>
      <c r="AA11" s="196"/>
      <c r="AB11" s="418">
        <v>7.5</v>
      </c>
      <c r="AC11" s="193">
        <f>_xll.qlSimpleQuoteSetValue(F11,AB11/10000,Trigger)</f>
        <v>0</v>
      </c>
      <c r="AD11" s="164"/>
      <c r="AE11" s="13"/>
      <c r="AF11" s="13"/>
      <c r="AG11" s="13"/>
      <c r="AH11" s="13"/>
      <c r="AI11" s="13" t="str">
        <f t="shared" si="3"/>
        <v>3Y</v>
      </c>
      <c r="AJ11" s="305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0" t="s">
        <v>82</v>
      </c>
      <c r="P12" s="241" t="str">
        <v>6L</v>
      </c>
      <c r="Q12" s="241" t="str">
        <v>3L</v>
      </c>
      <c r="R12" s="239" t="str">
        <f t="shared" si="1"/>
        <v>USD6L3L4Y</v>
      </c>
      <c r="S12" s="199" t="str">
        <v>USD6L3L4Y=ICAP</v>
      </c>
      <c r="T12" s="311">
        <v>7.8</v>
      </c>
      <c r="U12" s="311">
        <v>0</v>
      </c>
      <c r="V12" s="311">
        <f>_xll.qlMidEquivalent(T12,U12)</f>
        <v>7.8</v>
      </c>
      <c r="W12" s="194" t="b">
        <f t="shared" si="2"/>
        <v>1</v>
      </c>
      <c r="X12" s="312">
        <v>7.8</v>
      </c>
      <c r="Y12" s="196"/>
      <c r="Z12" s="309">
        <v>8.8000000000000007</v>
      </c>
      <c r="AA12" s="196"/>
      <c r="AB12" s="418">
        <v>7.8</v>
      </c>
      <c r="AC12" s="193">
        <f>_xll.qlSimpleQuoteSetValue(F12,AB12/10000,Trigger)</f>
        <v>0</v>
      </c>
      <c r="AD12" s="164"/>
      <c r="AE12" s="13"/>
      <c r="AF12" s="13"/>
      <c r="AG12" s="13"/>
      <c r="AH12" s="13"/>
      <c r="AI12" s="13" t="str">
        <f t="shared" si="3"/>
        <v>4Y</v>
      </c>
      <c r="AJ12" s="305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0" t="s">
        <v>81</v>
      </c>
      <c r="P13" s="241" t="str">
        <v>6L</v>
      </c>
      <c r="Q13" s="241" t="str">
        <v>3L</v>
      </c>
      <c r="R13" s="239" t="str">
        <f t="shared" si="1"/>
        <v>USD6L3L5Y</v>
      </c>
      <c r="S13" s="199" t="str">
        <v>USD6L3L5Y=ICAP</v>
      </c>
      <c r="T13" s="311">
        <v>8</v>
      </c>
      <c r="U13" s="311">
        <v>0</v>
      </c>
      <c r="V13" s="311">
        <f>_xll.qlMidEquivalent(T13,U13)</f>
        <v>8</v>
      </c>
      <c r="W13" s="194" t="b">
        <f t="shared" si="2"/>
        <v>1</v>
      </c>
      <c r="X13" s="312">
        <v>8</v>
      </c>
      <c r="Y13" s="196"/>
      <c r="Z13" s="309">
        <v>8.9</v>
      </c>
      <c r="AA13" s="196"/>
      <c r="AB13" s="418">
        <v>8</v>
      </c>
      <c r="AC13" s="193">
        <f>_xll.qlSimpleQuoteSetValue(F13,AB13/10000,Trigger)</f>
        <v>0</v>
      </c>
      <c r="AD13" s="164"/>
      <c r="AE13" s="13"/>
      <c r="AF13" s="13"/>
      <c r="AG13" s="13"/>
      <c r="AH13" s="13"/>
      <c r="AI13" s="13" t="str">
        <f t="shared" si="3"/>
        <v>5Y</v>
      </c>
      <c r="AJ13" s="305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0" t="s">
        <v>80</v>
      </c>
      <c r="P14" s="241" t="str">
        <v>6L</v>
      </c>
      <c r="Q14" s="241" t="str">
        <v>3L</v>
      </c>
      <c r="R14" s="239" t="str">
        <f t="shared" si="1"/>
        <v>USD6L3L6Y</v>
      </c>
      <c r="S14" s="199" t="str">
        <v>USD6L3L6Y=ICAP</v>
      </c>
      <c r="T14" s="311">
        <v>8.3000000000000007</v>
      </c>
      <c r="U14" s="311">
        <v>0</v>
      </c>
      <c r="V14" s="311">
        <f>_xll.qlMidEquivalent(T14,U14)</f>
        <v>8.3000000000000007</v>
      </c>
      <c r="W14" s="194" t="b">
        <f t="shared" si="2"/>
        <v>1</v>
      </c>
      <c r="X14" s="312">
        <v>8.3000000000000007</v>
      </c>
      <c r="Y14" s="196"/>
      <c r="Z14" s="309">
        <v>9</v>
      </c>
      <c r="AA14" s="196"/>
      <c r="AB14" s="418">
        <v>8.3000000000000007</v>
      </c>
      <c r="AC14" s="193">
        <f>_xll.qlSimpleQuoteSetValue(F14,AB14/10000,Trigger)</f>
        <v>0</v>
      </c>
      <c r="AD14" s="164"/>
      <c r="AE14" s="13"/>
      <c r="AF14" s="13"/>
      <c r="AG14" s="13"/>
      <c r="AH14" s="13"/>
      <c r="AI14" s="13" t="str">
        <f t="shared" si="3"/>
        <v>6Y</v>
      </c>
      <c r="AJ14" s="305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0" t="s">
        <v>79</v>
      </c>
      <c r="P15" s="241" t="str">
        <v>6L</v>
      </c>
      <c r="Q15" s="241" t="str">
        <v>3L</v>
      </c>
      <c r="R15" s="239" t="str">
        <f t="shared" si="1"/>
        <v>USD6L3L7Y</v>
      </c>
      <c r="S15" s="199" t="str">
        <v>USD6L3L7Y=ICAP</v>
      </c>
      <c r="T15" s="311">
        <v>8.6</v>
      </c>
      <c r="U15" s="311">
        <v>0</v>
      </c>
      <c r="V15" s="311">
        <f>_xll.qlMidEquivalent(T15,U15)</f>
        <v>8.6</v>
      </c>
      <c r="W15" s="194" t="b">
        <f t="shared" si="2"/>
        <v>1</v>
      </c>
      <c r="X15" s="312">
        <v>8.6</v>
      </c>
      <c r="Y15" s="196"/>
      <c r="Z15" s="309">
        <v>9.1999999999999993</v>
      </c>
      <c r="AA15" s="196"/>
      <c r="AB15" s="418">
        <v>8.6</v>
      </c>
      <c r="AC15" s="193">
        <f>_xll.qlSimpleQuoteSetValue(F15,AB15/10000,Trigger)</f>
        <v>0</v>
      </c>
      <c r="AD15" s="164"/>
      <c r="AE15" s="13"/>
      <c r="AF15" s="13"/>
      <c r="AG15" s="13"/>
      <c r="AH15" s="13"/>
      <c r="AI15" s="13" t="str">
        <f t="shared" si="3"/>
        <v>7Y</v>
      </c>
      <c r="AJ15" s="305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0" t="s">
        <v>78</v>
      </c>
      <c r="P16" s="241" t="str">
        <v>6L</v>
      </c>
      <c r="Q16" s="241" t="str">
        <v>3L</v>
      </c>
      <c r="R16" s="239" t="str">
        <f t="shared" si="1"/>
        <v>USD6L3L8Y</v>
      </c>
      <c r="S16" s="199" t="str">
        <v>USD6L3L8Y=ICAP</v>
      </c>
      <c r="T16" s="311">
        <v>8.9</v>
      </c>
      <c r="U16" s="311">
        <v>0</v>
      </c>
      <c r="V16" s="311">
        <f>_xll.qlMidEquivalent(T16,U16)</f>
        <v>8.9</v>
      </c>
      <c r="W16" s="194" t="b">
        <f t="shared" si="2"/>
        <v>1</v>
      </c>
      <c r="X16" s="312">
        <v>8.9</v>
      </c>
      <c r="Y16" s="196"/>
      <c r="Z16" s="309">
        <v>9.3000000000000007</v>
      </c>
      <c r="AA16" s="196"/>
      <c r="AB16" s="418">
        <v>8.9</v>
      </c>
      <c r="AC16" s="193">
        <f>_xll.qlSimpleQuoteSetValue(F16,AB16/10000,Trigger)</f>
        <v>0</v>
      </c>
      <c r="AD16" s="164"/>
      <c r="AE16" s="13"/>
      <c r="AF16" s="13"/>
      <c r="AG16" s="13"/>
      <c r="AH16" s="13"/>
      <c r="AI16" s="13" t="str">
        <f t="shared" si="3"/>
        <v>8Y</v>
      </c>
      <c r="AJ16" s="305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0" t="s">
        <v>77</v>
      </c>
      <c r="P17" s="241" t="str">
        <v>6L</v>
      </c>
      <c r="Q17" s="241" t="str">
        <v>3L</v>
      </c>
      <c r="R17" s="239" t="str">
        <f t="shared" si="1"/>
        <v>USD6L3L9Y</v>
      </c>
      <c r="S17" s="199" t="str">
        <v>USD6L3L9Y=ICAP</v>
      </c>
      <c r="T17" s="311">
        <v>9.1999999999999993</v>
      </c>
      <c r="U17" s="311">
        <v>0</v>
      </c>
      <c r="V17" s="311">
        <f>_xll.qlMidEquivalent(T17,U17)</f>
        <v>9.1999999999999993</v>
      </c>
      <c r="W17" s="194" t="b">
        <f t="shared" si="2"/>
        <v>1</v>
      </c>
      <c r="X17" s="312">
        <v>9.1999999999999993</v>
      </c>
      <c r="Y17" s="196"/>
      <c r="Z17" s="309">
        <v>9.5</v>
      </c>
      <c r="AA17" s="196"/>
      <c r="AB17" s="418">
        <v>9.1999999999999993</v>
      </c>
      <c r="AC17" s="193">
        <f>_xll.qlSimpleQuoteSetValue(F17,AB17/10000,Trigger)</f>
        <v>0</v>
      </c>
      <c r="AD17" s="164"/>
      <c r="AE17" s="13"/>
      <c r="AF17" s="13"/>
      <c r="AG17" s="13"/>
      <c r="AH17" s="13"/>
      <c r="AI17" s="13" t="str">
        <f t="shared" si="3"/>
        <v>9Y</v>
      </c>
      <c r="AJ17" s="305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0" t="s">
        <v>76</v>
      </c>
      <c r="P18" s="241" t="str">
        <v>6L</v>
      </c>
      <c r="Q18" s="241" t="str">
        <v>3L</v>
      </c>
      <c r="R18" s="239" t="str">
        <f t="shared" si="1"/>
        <v>USD6L3L10Y</v>
      </c>
      <c r="S18" s="199" t="str">
        <v>USD6L3L10Y=ICAP</v>
      </c>
      <c r="T18" s="311">
        <v>9.4</v>
      </c>
      <c r="U18" s="311">
        <v>0</v>
      </c>
      <c r="V18" s="311">
        <f>_xll.qlMidEquivalent(T18,U18)</f>
        <v>9.4</v>
      </c>
      <c r="W18" s="194" t="b">
        <f t="shared" si="2"/>
        <v>1</v>
      </c>
      <c r="X18" s="312">
        <v>9.4</v>
      </c>
      <c r="Y18" s="196"/>
      <c r="Z18" s="309">
        <v>9.5</v>
      </c>
      <c r="AA18" s="196"/>
      <c r="AB18" s="418">
        <v>9.4</v>
      </c>
      <c r="AC18" s="193">
        <f>_xll.qlSimpleQuoteSetValue(F18,AB18/10000,Trigger)</f>
        <v>0</v>
      </c>
      <c r="AD18" s="164"/>
      <c r="AE18" s="13"/>
      <c r="AF18" s="13"/>
      <c r="AG18" s="13"/>
      <c r="AH18" s="13"/>
      <c r="AI18" s="13" t="str">
        <f t="shared" si="3"/>
        <v>10Y</v>
      </c>
      <c r="AJ18" s="305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0" t="s">
        <v>75</v>
      </c>
      <c r="P19" s="241" t="str">
        <v>6L</v>
      </c>
      <c r="Q19" s="241" t="str">
        <v>3L</v>
      </c>
      <c r="R19" s="239" t="str">
        <f t="shared" si="1"/>
        <v>USD6L3L11Y</v>
      </c>
      <c r="S19" s="199" t="str">
        <v>USD6L3L11Y=ICAP</v>
      </c>
      <c r="T19" s="311" t="s">
        <v>211</v>
      </c>
      <c r="U19" s="311" t="s">
        <v>211</v>
      </c>
      <c r="V19" s="311" t="e">
        <f>_xll.qlMidEquivalent(T19,U19)</f>
        <v>#NUM!</v>
      </c>
      <c r="W19" s="194" t="b">
        <f t="shared" si="2"/>
        <v>0</v>
      </c>
      <c r="X19" s="312">
        <v>9.5596572188917097</v>
      </c>
      <c r="Y19" s="196"/>
      <c r="Z19" s="309">
        <v>9.5319516615897015</v>
      </c>
      <c r="AA19" s="196"/>
      <c r="AB19" s="418">
        <v>9.5596572188917097</v>
      </c>
      <c r="AC19" s="193">
        <f>_xll.qlSimpleQuoteSetValue(F19,AB19/10000,Trigger)</f>
        <v>-1.2050099297295641E-10</v>
      </c>
      <c r="AD19" s="164"/>
      <c r="AE19" s="13"/>
      <c r="AF19" s="13"/>
      <c r="AG19" s="13"/>
      <c r="AH19" s="13"/>
      <c r="AI19" s="13" t="str">
        <f t="shared" si="3"/>
        <v>11Y</v>
      </c>
      <c r="AJ19" s="305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0" t="s">
        <v>74</v>
      </c>
      <c r="P20" s="241" t="str">
        <v>6L</v>
      </c>
      <c r="Q20" s="241" t="str">
        <v>3L</v>
      </c>
      <c r="R20" s="239" t="str">
        <f t="shared" si="1"/>
        <v>USD6L3L12Y</v>
      </c>
      <c r="S20" s="199" t="str">
        <v>USD6L3L12Y=ICAP</v>
      </c>
      <c r="T20" s="311">
        <v>9.6999999999999993</v>
      </c>
      <c r="U20" s="311">
        <v>0</v>
      </c>
      <c r="V20" s="311">
        <f>_xll.qlMidEquivalent(T20,U20)</f>
        <v>9.6999999999999993</v>
      </c>
      <c r="W20" s="194" t="b">
        <f t="shared" si="2"/>
        <v>1</v>
      </c>
      <c r="X20" s="312">
        <v>9.6999999999999993</v>
      </c>
      <c r="Y20" s="196"/>
      <c r="Z20" s="309">
        <v>9.6</v>
      </c>
      <c r="AA20" s="196"/>
      <c r="AB20" s="418">
        <v>9.6999999999999993</v>
      </c>
      <c r="AC20" s="193">
        <f>_xll.qlSimpleQuoteSetValue(F20,AB20/10000,Trigger)</f>
        <v>0</v>
      </c>
      <c r="AD20" s="164"/>
      <c r="AE20" s="13"/>
      <c r="AF20" s="13"/>
      <c r="AG20" s="13"/>
      <c r="AH20" s="13"/>
      <c r="AI20" s="13" t="str">
        <f t="shared" si="3"/>
        <v>12Y</v>
      </c>
      <c r="AJ20" s="305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0" t="s">
        <v>73</v>
      </c>
      <c r="P21" s="241" t="str">
        <v>6L</v>
      </c>
      <c r="Q21" s="241" t="str">
        <v>3L</v>
      </c>
      <c r="R21" s="239" t="str">
        <f t="shared" si="1"/>
        <v>USD6L3L13Y</v>
      </c>
      <c r="S21" s="199" t="str">
        <v>USD6L3L13Y=ICAP</v>
      </c>
      <c r="T21" s="311" t="s">
        <v>211</v>
      </c>
      <c r="U21" s="311" t="s">
        <v>211</v>
      </c>
      <c r="V21" s="311" t="e">
        <f>_xll.qlMidEquivalent(T21,U21)</f>
        <v>#NUM!</v>
      </c>
      <c r="W21" s="194" t="b">
        <f t="shared" si="2"/>
        <v>0</v>
      </c>
      <c r="X21" s="312">
        <v>9.8193123329201377</v>
      </c>
      <c r="Y21" s="196"/>
      <c r="Z21" s="309">
        <v>9.6573959036192569</v>
      </c>
      <c r="AA21" s="196"/>
      <c r="AB21" s="418">
        <v>9.8193123329201377</v>
      </c>
      <c r="AC21" s="193">
        <f>_xll.qlSimpleQuoteSetValue(F21,AB21/10000,Trigger)</f>
        <v>6.0641867395683224E-11</v>
      </c>
      <c r="AD21" s="164"/>
      <c r="AE21" s="13"/>
      <c r="AF21" s="13"/>
      <c r="AG21" s="13"/>
      <c r="AH21" s="13"/>
      <c r="AI21" s="13" t="str">
        <f t="shared" si="3"/>
        <v>13Y</v>
      </c>
      <c r="AJ21" s="305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0" t="s">
        <v>72</v>
      </c>
      <c r="P22" s="241" t="str">
        <v>6L</v>
      </c>
      <c r="Q22" s="241" t="str">
        <v>3L</v>
      </c>
      <c r="R22" s="239" t="str">
        <f t="shared" si="1"/>
        <v>USD6L3L14Y</v>
      </c>
      <c r="S22" s="199" t="str">
        <v>USD6L3L14Y=ICAP</v>
      </c>
      <c r="T22" s="311" t="s">
        <v>211</v>
      </c>
      <c r="U22" s="311" t="s">
        <v>211</v>
      </c>
      <c r="V22" s="311" t="e">
        <f>_xll.qlMidEquivalent(T22,U22)</f>
        <v>#NUM!</v>
      </c>
      <c r="W22" s="194" t="b">
        <f t="shared" si="2"/>
        <v>0</v>
      </c>
      <c r="X22" s="312">
        <v>9.9187060631116193</v>
      </c>
      <c r="Y22" s="196"/>
      <c r="Z22" s="309">
        <v>9.6888851270332736</v>
      </c>
      <c r="AA22" s="196"/>
      <c r="AB22" s="418">
        <v>9.9187060631116193</v>
      </c>
      <c r="AC22" s="193">
        <f>_xll.qlSimpleQuoteSetValue(F22,AB22/10000,Trigger)</f>
        <v>4.3174372930943061E-11</v>
      </c>
      <c r="AD22" s="164"/>
      <c r="AE22" s="13"/>
      <c r="AF22" s="13"/>
      <c r="AG22" s="13"/>
      <c r="AH22" s="13"/>
      <c r="AI22" s="13" t="str">
        <f t="shared" si="3"/>
        <v>14Y</v>
      </c>
      <c r="AJ22" s="305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0" t="s">
        <v>71</v>
      </c>
      <c r="P23" s="241" t="str">
        <v>6L</v>
      </c>
      <c r="Q23" s="241" t="str">
        <v>3L</v>
      </c>
      <c r="R23" s="239" t="str">
        <f t="shared" si="1"/>
        <v>USD6L3L15Y</v>
      </c>
      <c r="S23" s="199" t="str">
        <v>USD6L3L15Y=ICAP</v>
      </c>
      <c r="T23" s="311">
        <v>10</v>
      </c>
      <c r="U23" s="311">
        <v>0</v>
      </c>
      <c r="V23" s="311">
        <f>_xll.qlMidEquivalent(T23,U23)</f>
        <v>10</v>
      </c>
      <c r="W23" s="194" t="b">
        <f t="shared" si="2"/>
        <v>1</v>
      </c>
      <c r="X23" s="312">
        <v>10</v>
      </c>
      <c r="Y23" s="196"/>
      <c r="Z23" s="309">
        <v>9.6999999999999993</v>
      </c>
      <c r="AA23" s="196"/>
      <c r="AB23" s="418">
        <v>10</v>
      </c>
      <c r="AC23" s="193">
        <f>_xll.qlSimpleQuoteSetValue(F23,AB23/10000,Trigger)</f>
        <v>0</v>
      </c>
      <c r="AD23" s="164"/>
      <c r="AE23" s="13"/>
      <c r="AF23" s="13"/>
      <c r="AG23" s="13"/>
      <c r="AH23" s="13"/>
      <c r="AI23" s="13" t="str">
        <f t="shared" si="3"/>
        <v>15Y</v>
      </c>
      <c r="AJ23" s="305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0" t="s">
        <v>70</v>
      </c>
      <c r="P24" s="241" t="str">
        <v>6L</v>
      </c>
      <c r="Q24" s="241" t="str">
        <v>3L</v>
      </c>
      <c r="R24" s="239" t="str">
        <f t="shared" si="1"/>
        <v>USD6L3L16Y</v>
      </c>
      <c r="S24" s="199" t="str">
        <v>USD6L3L16Y=ICAP</v>
      </c>
      <c r="T24" s="311" t="s">
        <v>211</v>
      </c>
      <c r="U24" s="311" t="s">
        <v>211</v>
      </c>
      <c r="V24" s="311" t="e">
        <f>_xll.qlMidEquivalent(T24,U24)</f>
        <v>#NUM!</v>
      </c>
      <c r="W24" s="194" t="b">
        <f t="shared" si="2"/>
        <v>0</v>
      </c>
      <c r="X24" s="312">
        <v>10.065024198429022</v>
      </c>
      <c r="Y24" s="196"/>
      <c r="Z24" s="309">
        <v>9.6959241270801577</v>
      </c>
      <c r="AA24" s="196"/>
      <c r="AB24" s="418">
        <v>10.065024198429022</v>
      </c>
      <c r="AC24" s="193">
        <f>_xll.qlSimpleQuoteSetValue(F24,AB24/10000,Trigger)</f>
        <v>-2.4678603344902017E-11</v>
      </c>
      <c r="AD24" s="164"/>
      <c r="AE24" s="13"/>
      <c r="AF24" s="13"/>
      <c r="AG24" s="13"/>
      <c r="AH24" s="13"/>
      <c r="AI24" s="13" t="str">
        <f t="shared" si="3"/>
        <v>16Y</v>
      </c>
      <c r="AJ24" s="305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0" t="s">
        <v>69</v>
      </c>
      <c r="P25" s="241" t="str">
        <v>6L</v>
      </c>
      <c r="Q25" s="241" t="str">
        <v>3L</v>
      </c>
      <c r="R25" s="239" t="str">
        <f t="shared" si="1"/>
        <v>USD6L3L17Y</v>
      </c>
      <c r="S25" s="199" t="str">
        <v>USD6L3L17Y=ICAP</v>
      </c>
      <c r="T25" s="311" t="s">
        <v>211</v>
      </c>
      <c r="U25" s="311" t="s">
        <v>211</v>
      </c>
      <c r="V25" s="311" t="e">
        <f>_xll.qlMidEquivalent(T25,U25)</f>
        <v>#NUM!</v>
      </c>
      <c r="W25" s="194" t="b">
        <f t="shared" si="2"/>
        <v>0</v>
      </c>
      <c r="X25" s="312">
        <v>10.115652223232651</v>
      </c>
      <c r="Y25" s="196"/>
      <c r="Z25" s="309">
        <v>9.6804462120456005</v>
      </c>
      <c r="AA25" s="196"/>
      <c r="AB25" s="418">
        <v>10.115652223232651</v>
      </c>
      <c r="AC25" s="193">
        <f>_xll.qlSimpleQuoteSetValue(F25,AB25/10000,Trigger)</f>
        <v>-2.7763428708804661E-11</v>
      </c>
      <c r="AD25" s="164"/>
      <c r="AE25" s="13"/>
      <c r="AF25" s="13"/>
      <c r="AG25" s="13"/>
      <c r="AH25" s="13"/>
      <c r="AI25" s="13" t="str">
        <f t="shared" si="3"/>
        <v>17Y</v>
      </c>
      <c r="AJ25" s="305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0" t="s">
        <v>68</v>
      </c>
      <c r="P26" s="241" t="str">
        <v>6L</v>
      </c>
      <c r="Q26" s="241" t="str">
        <v>3L</v>
      </c>
      <c r="R26" s="239" t="str">
        <f t="shared" si="1"/>
        <v>USD6L3L18Y</v>
      </c>
      <c r="S26" s="199" t="str">
        <v>USD6L3L18Y=ICAP</v>
      </c>
      <c r="T26" s="311" t="s">
        <v>211</v>
      </c>
      <c r="U26" s="311" t="s">
        <v>211</v>
      </c>
      <c r="V26" s="311" t="e">
        <f>_xll.qlMidEquivalent(T26,U26)</f>
        <v>#NUM!</v>
      </c>
      <c r="W26" s="194" t="b">
        <f t="shared" si="2"/>
        <v>0</v>
      </c>
      <c r="X26" s="312">
        <v>10.153768148821767</v>
      </c>
      <c r="Y26" s="196"/>
      <c r="Z26" s="309">
        <v>9.6570062334709661</v>
      </c>
      <c r="AA26" s="196"/>
      <c r="AB26" s="418">
        <v>10.153768148821767</v>
      </c>
      <c r="AC26" s="193">
        <f>_xll.qlSimpleQuoteSetValue(F26,AB26/10000,Trigger)</f>
        <v>-1.8508952400256296E-11</v>
      </c>
      <c r="AD26" s="164"/>
      <c r="AE26" s="13"/>
      <c r="AF26" s="13"/>
      <c r="AG26" s="13"/>
      <c r="AH26" s="13"/>
      <c r="AI26" s="13" t="str">
        <f t="shared" si="3"/>
        <v>18Y</v>
      </c>
      <c r="AJ26" s="305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0" t="s">
        <v>67</v>
      </c>
      <c r="P27" s="241" t="str">
        <v>6L</v>
      </c>
      <c r="Q27" s="241" t="str">
        <v>3L</v>
      </c>
      <c r="R27" s="239" t="str">
        <f t="shared" si="1"/>
        <v>USD6L3L19Y</v>
      </c>
      <c r="S27" s="199" t="str">
        <v>USD6L3L19Y=ICAP</v>
      </c>
      <c r="T27" s="311" t="s">
        <v>211</v>
      </c>
      <c r="U27" s="311" t="s">
        <v>211</v>
      </c>
      <c r="V27" s="311" t="e">
        <f>_xll.qlMidEquivalent(T27,U27)</f>
        <v>#NUM!</v>
      </c>
      <c r="W27" s="194" t="b">
        <f t="shared" si="2"/>
        <v>0</v>
      </c>
      <c r="X27" s="312">
        <v>10.181256049607255</v>
      </c>
      <c r="Y27" s="196"/>
      <c r="Z27" s="309">
        <v>9.6290441699308875</v>
      </c>
      <c r="AA27" s="196"/>
      <c r="AB27" s="418">
        <v>10.181256049607255</v>
      </c>
      <c r="AC27" s="193">
        <f>_xll.qlSimpleQuoteSetValue(F27,AB27/10000,Trigger)</f>
        <v>-6.1696509446457215E-12</v>
      </c>
      <c r="AD27" s="164"/>
      <c r="AE27" s="13"/>
      <c r="AF27" s="13"/>
      <c r="AG27" s="13"/>
      <c r="AH27" s="13"/>
      <c r="AI27" s="13" t="str">
        <f t="shared" si="3"/>
        <v>19Y</v>
      </c>
      <c r="AJ27" s="305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0" t="s">
        <v>66</v>
      </c>
      <c r="P28" s="241" t="str">
        <v>6L</v>
      </c>
      <c r="Q28" s="241" t="str">
        <v>3L</v>
      </c>
      <c r="R28" s="239" t="str">
        <f t="shared" si="1"/>
        <v>USD6L3L20Y</v>
      </c>
      <c r="S28" s="199" t="str">
        <v>USD6L3L20Y=ICAP</v>
      </c>
      <c r="T28" s="311">
        <v>10.199999999999999</v>
      </c>
      <c r="U28" s="311">
        <v>0</v>
      </c>
      <c r="V28" s="311">
        <f>_xll.qlMidEquivalent(T28,U28)</f>
        <v>10.199999999999999</v>
      </c>
      <c r="W28" s="194" t="b">
        <f t="shared" si="2"/>
        <v>1</v>
      </c>
      <c r="X28" s="312">
        <v>10.199999999999999</v>
      </c>
      <c r="Y28" s="196"/>
      <c r="Z28" s="309">
        <v>9.6</v>
      </c>
      <c r="AA28" s="196"/>
      <c r="AB28" s="418">
        <v>10.199999999999999</v>
      </c>
      <c r="AC28" s="193">
        <f>_xll.qlSimpleQuoteSetValue(F28,AB28/10000,Trigger)</f>
        <v>0</v>
      </c>
      <c r="AD28" s="164"/>
      <c r="AE28" s="13"/>
      <c r="AF28" s="13"/>
      <c r="AG28" s="13"/>
      <c r="AH28" s="13"/>
      <c r="AI28" s="13" t="str">
        <f t="shared" si="3"/>
        <v>20Y</v>
      </c>
      <c r="AJ28" s="305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0" t="s">
        <v>65</v>
      </c>
      <c r="P29" s="241" t="str">
        <v>6L</v>
      </c>
      <c r="Q29" s="241" t="str">
        <v>3L</v>
      </c>
      <c r="R29" s="239" t="str">
        <f t="shared" si="1"/>
        <v>USD6L3L21Y</v>
      </c>
      <c r="S29" s="199" t="str">
        <v>USD6L3L21Y=ICAP</v>
      </c>
      <c r="T29" s="311" t="s">
        <v>211</v>
      </c>
      <c r="U29" s="311" t="s">
        <v>211</v>
      </c>
      <c r="V29" s="311" t="e">
        <f>_xll.qlMidEquivalent(T29,U29)</f>
        <v>#NUM!</v>
      </c>
      <c r="W29" s="194" t="b">
        <f t="shared" si="2"/>
        <v>0</v>
      </c>
      <c r="X29" s="312">
        <v>10.211657226953287</v>
      </c>
      <c r="Y29" s="196"/>
      <c r="Z29" s="309">
        <v>9.5713993192950948</v>
      </c>
      <c r="AA29" s="196"/>
      <c r="AB29" s="418">
        <v>10.211657226953287</v>
      </c>
      <c r="AC29" s="193">
        <f>_xll.qlSimpleQuoteSetValue(F29,AB29/10000,Trigger)</f>
        <v>4.7458868432381784E-13</v>
      </c>
      <c r="AD29" s="164"/>
      <c r="AE29" s="13"/>
      <c r="AF29" s="13"/>
      <c r="AG29" s="13"/>
      <c r="AH29" s="13"/>
      <c r="AI29" s="13" t="str">
        <f t="shared" si="3"/>
        <v>21Y</v>
      </c>
      <c r="AJ29" s="305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0" t="s">
        <v>64</v>
      </c>
      <c r="P30" s="241" t="str">
        <v>6L</v>
      </c>
      <c r="Q30" s="241" t="str">
        <v>3L</v>
      </c>
      <c r="R30" s="239" t="str">
        <f t="shared" si="1"/>
        <v>USD6L3L22Y</v>
      </c>
      <c r="S30" s="199" t="str">
        <v>USD6L3L22Y=ICAP</v>
      </c>
      <c r="T30" s="311" t="s">
        <v>211</v>
      </c>
      <c r="U30" s="311" t="s">
        <v>211</v>
      </c>
      <c r="V30" s="311" t="e">
        <f>_xll.qlMidEquivalent(T30,U30)</f>
        <v>#NUM!</v>
      </c>
      <c r="W30" s="194" t="b">
        <f t="shared" si="2"/>
        <v>0</v>
      </c>
      <c r="X30" s="312">
        <v>10.216971680859864</v>
      </c>
      <c r="Y30" s="196"/>
      <c r="Z30" s="309">
        <v>9.5443242342069823</v>
      </c>
      <c r="AA30" s="196"/>
      <c r="AB30" s="418">
        <v>10.216971680859864</v>
      </c>
      <c r="AC30" s="193">
        <f>_xll.qlSimpleQuoteSetValue(F30,AB30/10000,Trigger)</f>
        <v>1.4237656192905845E-12</v>
      </c>
      <c r="AD30" s="164"/>
      <c r="AE30" s="13"/>
      <c r="AF30" s="13"/>
      <c r="AG30" s="13"/>
      <c r="AH30" s="13"/>
      <c r="AI30" s="13" t="str">
        <f t="shared" si="3"/>
        <v>22Y</v>
      </c>
      <c r="AJ30" s="305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0" t="s">
        <v>63</v>
      </c>
      <c r="P31" s="241" t="str">
        <v>6L</v>
      </c>
      <c r="Q31" s="241" t="str">
        <v>3L</v>
      </c>
      <c r="R31" s="239" t="str">
        <f t="shared" si="1"/>
        <v>USD6L3L23Y</v>
      </c>
      <c r="S31" s="199" t="str">
        <v>USD6L3L23Y=ICAP</v>
      </c>
      <c r="T31" s="311" t="s">
        <v>211</v>
      </c>
      <c r="U31" s="311" t="s">
        <v>211</v>
      </c>
      <c r="V31" s="311" t="e">
        <f>_xll.qlMidEquivalent(T31,U31)</f>
        <v>#NUM!</v>
      </c>
      <c r="W31" s="194" t="b">
        <f t="shared" si="2"/>
        <v>0</v>
      </c>
      <c r="X31" s="312">
        <v>10.216457521289795</v>
      </c>
      <c r="Y31" s="196"/>
      <c r="Z31" s="309">
        <v>9.5215494894713206</v>
      </c>
      <c r="AA31" s="196"/>
      <c r="AB31" s="418">
        <v>10.216457521289795</v>
      </c>
      <c r="AC31" s="193">
        <f>_xll.qlSimpleQuoteSetValue(F31,AB31/10000,Trigger)</f>
        <v>2.1356484289358768E-12</v>
      </c>
      <c r="AD31" s="164"/>
      <c r="AE31" s="13"/>
      <c r="AF31" s="13"/>
      <c r="AG31" s="13"/>
      <c r="AH31" s="13"/>
      <c r="AI31" s="13" t="str">
        <f t="shared" si="3"/>
        <v>23Y</v>
      </c>
      <c r="AJ31" s="305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0" t="s">
        <v>62</v>
      </c>
      <c r="P32" s="241" t="str">
        <v>6L</v>
      </c>
      <c r="Q32" s="241" t="str">
        <v>3L</v>
      </c>
      <c r="R32" s="239" t="str">
        <f t="shared" si="1"/>
        <v>USD6L3L24Y</v>
      </c>
      <c r="S32" s="199" t="str">
        <v>USD6L3L24Y=ICAP</v>
      </c>
      <c r="T32" s="311" t="s">
        <v>211</v>
      </c>
      <c r="U32" s="311" t="s">
        <v>211</v>
      </c>
      <c r="V32" s="311" t="e">
        <f>_xll.qlMidEquivalent(T32,U32)</f>
        <v>#NUM!</v>
      </c>
      <c r="W32" s="194" t="b">
        <f t="shared" si="2"/>
        <v>0</v>
      </c>
      <c r="X32" s="312">
        <v>10.210628907813151</v>
      </c>
      <c r="Y32" s="196"/>
      <c r="Z32" s="309">
        <v>9.5058498298237737</v>
      </c>
      <c r="AA32" s="196"/>
      <c r="AB32" s="418">
        <v>10.210628907813151</v>
      </c>
      <c r="AC32" s="193">
        <f>_xll.qlSimpleQuoteSetValue(F32,AB32/10000,Trigger)</f>
        <v>1.8983540867739679E-12</v>
      </c>
      <c r="AD32" s="164"/>
      <c r="AE32" s="13"/>
      <c r="AF32" s="13"/>
      <c r="AG32" s="13"/>
      <c r="AH32" s="13"/>
      <c r="AI32" s="13" t="str">
        <f t="shared" si="3"/>
        <v>24Y</v>
      </c>
      <c r="AJ32" s="305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0" t="s">
        <v>61</v>
      </c>
      <c r="P33" s="241" t="str">
        <v>6L</v>
      </c>
      <c r="Q33" s="241" t="str">
        <v>3L</v>
      </c>
      <c r="R33" s="239" t="str">
        <f t="shared" si="1"/>
        <v>USD6L3L25Y</v>
      </c>
      <c r="S33" s="199" t="str">
        <v>USD6L3L25Y=ICAP</v>
      </c>
      <c r="T33" s="311">
        <v>10.199999999999999</v>
      </c>
      <c r="U33" s="311">
        <v>0</v>
      </c>
      <c r="V33" s="311">
        <f>_xll.qlMidEquivalent(T33,U33)</f>
        <v>10.199999999999999</v>
      </c>
      <c r="W33" s="194" t="b">
        <f t="shared" si="2"/>
        <v>1</v>
      </c>
      <c r="X33" s="312">
        <v>10.199999999999999</v>
      </c>
      <c r="Y33" s="196"/>
      <c r="Z33" s="309">
        <v>9.5</v>
      </c>
      <c r="AA33" s="196"/>
      <c r="AB33" s="418">
        <v>10.199999999999999</v>
      </c>
      <c r="AC33" s="193">
        <f>_xll.qlSimpleQuoteSetValue(F33,AB33/10000,Trigger)</f>
        <v>0</v>
      </c>
      <c r="AD33" s="164"/>
      <c r="AE33" s="13"/>
      <c r="AF33" s="13"/>
      <c r="AG33" s="13"/>
      <c r="AH33" s="13"/>
      <c r="AI33" s="13" t="str">
        <f t="shared" si="3"/>
        <v>25Y</v>
      </c>
      <c r="AJ33" s="305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0" t="s">
        <v>60</v>
      </c>
      <c r="P34" s="241" t="str">
        <v>6L</v>
      </c>
      <c r="Q34" s="241" t="str">
        <v>3L</v>
      </c>
      <c r="R34" s="239" t="str">
        <f t="shared" si="1"/>
        <v>USD6L3L26Y</v>
      </c>
      <c r="S34" s="199" t="str">
        <v>USD6L3L26Y=ICAP</v>
      </c>
      <c r="T34" s="311" t="s">
        <v>211</v>
      </c>
      <c r="U34" s="311" t="s">
        <v>211</v>
      </c>
      <c r="V34" s="311" t="e">
        <f>_xll.qlMidEquivalent(T34,U34)</f>
        <v>#NUM!</v>
      </c>
      <c r="W34" s="194" t="b">
        <f t="shared" si="2"/>
        <v>0</v>
      </c>
      <c r="X34" s="312">
        <v>10.185142478710203</v>
      </c>
      <c r="Y34" s="196"/>
      <c r="Z34" s="309">
        <v>9.5</v>
      </c>
      <c r="AA34" s="196"/>
      <c r="AB34" s="418">
        <v>10.185142478710203</v>
      </c>
      <c r="AC34" s="193">
        <f>_xll.qlSimpleQuoteSetValue(F34,AB34/10000,Trigger)</f>
        <v>-2.1356484289358768E-12</v>
      </c>
      <c r="AD34" s="164"/>
      <c r="AE34" s="13"/>
      <c r="AF34" s="13"/>
      <c r="AG34" s="13"/>
      <c r="AH34" s="13"/>
      <c r="AI34" s="13" t="str">
        <f t="shared" si="3"/>
        <v>26Y</v>
      </c>
      <c r="AJ34" s="305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0" t="s">
        <v>59</v>
      </c>
      <c r="P35" s="241" t="str">
        <v>6L</v>
      </c>
      <c r="Q35" s="241" t="str">
        <v>3L</v>
      </c>
      <c r="R35" s="239" t="str">
        <f t="shared" si="1"/>
        <v>USD6L3L27Y</v>
      </c>
      <c r="S35" s="199" t="str">
        <v>USD6L3L27Y=ICAP</v>
      </c>
      <c r="T35" s="311" t="s">
        <v>211</v>
      </c>
      <c r="U35" s="311" t="s">
        <v>211</v>
      </c>
      <c r="V35" s="311" t="e">
        <f>_xll.qlMidEquivalent(T35,U35)</f>
        <v>#NUM!</v>
      </c>
      <c r="W35" s="194" t="b">
        <f t="shared" si="2"/>
        <v>0</v>
      </c>
      <c r="X35" s="312">
        <v>10.166856638280271</v>
      </c>
      <c r="Y35" s="196"/>
      <c r="Z35" s="309">
        <v>9.5</v>
      </c>
      <c r="AA35" s="196"/>
      <c r="AB35" s="418">
        <v>10.166856638280271</v>
      </c>
      <c r="AC35" s="193">
        <f>_xll.qlSimpleQuoteSetValue(F35,AB35/10000,Trigger)</f>
        <v>-2.8475312385811691E-12</v>
      </c>
      <c r="AD35" s="164"/>
      <c r="AE35" s="13"/>
      <c r="AF35" s="13"/>
      <c r="AG35" s="13"/>
      <c r="AH35" s="13"/>
      <c r="AI35" s="13" t="str">
        <f t="shared" si="3"/>
        <v>27Y</v>
      </c>
      <c r="AJ35" s="305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0" t="s">
        <v>58</v>
      </c>
      <c r="P36" s="241" t="str">
        <v>6L</v>
      </c>
      <c r="Q36" s="241" t="str">
        <v>3L</v>
      </c>
      <c r="R36" s="239" t="str">
        <f t="shared" si="1"/>
        <v>USD6L3L28Y</v>
      </c>
      <c r="S36" s="199" t="str">
        <v>USD6L3L28Y=ICAP</v>
      </c>
      <c r="T36" s="311" t="s">
        <v>211</v>
      </c>
      <c r="U36" s="311" t="s">
        <v>211</v>
      </c>
      <c r="V36" s="311" t="e">
        <f>_xll.qlMidEquivalent(T36,U36)</f>
        <v>#NUM!</v>
      </c>
      <c r="W36" s="194" t="b">
        <f t="shared" si="2"/>
        <v>0</v>
      </c>
      <c r="X36" s="312">
        <v>10.145999558495237</v>
      </c>
      <c r="Y36" s="196"/>
      <c r="Z36" s="309">
        <v>9.5</v>
      </c>
      <c r="AA36" s="196"/>
      <c r="AB36" s="418">
        <v>10.145999558495237</v>
      </c>
      <c r="AC36" s="193">
        <f>_xll.qlSimpleQuoteSetValue(F36,AB36/10000,Trigger)</f>
        <v>-2.4915896169180884E-12</v>
      </c>
      <c r="AD36" s="164"/>
      <c r="AE36" s="13"/>
      <c r="AF36" s="13"/>
      <c r="AG36" s="13"/>
      <c r="AH36" s="13"/>
      <c r="AI36" s="13" t="str">
        <f t="shared" si="3"/>
        <v>28Y</v>
      </c>
      <c r="AJ36" s="305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0" t="s">
        <v>57</v>
      </c>
      <c r="P37" s="241" t="str">
        <v>6L</v>
      </c>
      <c r="Q37" s="241" t="str">
        <v>3L</v>
      </c>
      <c r="R37" s="239" t="str">
        <f t="shared" si="1"/>
        <v>USD6L3L29Y</v>
      </c>
      <c r="S37" s="199" t="str">
        <v>USD6L3L29Y=ICAP</v>
      </c>
      <c r="T37" s="311" t="s">
        <v>211</v>
      </c>
      <c r="U37" s="311" t="s">
        <v>211</v>
      </c>
      <c r="V37" s="311" t="e">
        <f>_xll.qlMidEquivalent(T37,U37)</f>
        <v>#NUM!</v>
      </c>
      <c r="W37" s="194" t="b">
        <f t="shared" si="2"/>
        <v>0</v>
      </c>
      <c r="X37" s="312">
        <v>10.123428319140135</v>
      </c>
      <c r="Y37" s="196"/>
      <c r="Z37" s="309">
        <v>9.5</v>
      </c>
      <c r="AA37" s="196"/>
      <c r="AB37" s="418">
        <v>10.123428319140135</v>
      </c>
      <c r="AC37" s="193">
        <f>_xll.qlSimpleQuoteSetValue(F37,AB37/10000,Trigger)</f>
        <v>-1.423765836131019E-12</v>
      </c>
      <c r="AD37" s="164"/>
      <c r="AE37" s="13"/>
      <c r="AF37" s="13"/>
      <c r="AG37" s="13"/>
      <c r="AH37" s="13"/>
      <c r="AI37" s="13" t="str">
        <f t="shared" si="3"/>
        <v>29Y</v>
      </c>
      <c r="AJ37" s="305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0" t="s">
        <v>56</v>
      </c>
      <c r="P38" s="241" t="str">
        <v>6L</v>
      </c>
      <c r="Q38" s="241" t="str">
        <v>3L</v>
      </c>
      <c r="R38" s="239" t="str">
        <f t="shared" si="1"/>
        <v>USD6L3L30Y</v>
      </c>
      <c r="S38" s="199" t="str">
        <v>USD6L3L30Y=ICAP</v>
      </c>
      <c r="T38" s="311">
        <v>10.1</v>
      </c>
      <c r="U38" s="311">
        <v>0</v>
      </c>
      <c r="V38" s="311">
        <f>_xll.qlMidEquivalent(T38,U38)</f>
        <v>10.1</v>
      </c>
      <c r="W38" s="194" t="b">
        <f t="shared" si="2"/>
        <v>1</v>
      </c>
      <c r="X38" s="312">
        <v>10.1</v>
      </c>
      <c r="Y38" s="196"/>
      <c r="Z38" s="309">
        <v>9.5</v>
      </c>
      <c r="AA38" s="196"/>
      <c r="AB38" s="418">
        <v>10.1</v>
      </c>
      <c r="AC38" s="193">
        <f>_xll.qlSimpleQuoteSetValue(F38,AB38/10000,Trigger)</f>
        <v>0</v>
      </c>
      <c r="AD38" s="164"/>
      <c r="AE38" s="13"/>
      <c r="AF38" s="13"/>
      <c r="AG38" s="13"/>
      <c r="AH38" s="13"/>
      <c r="AI38" s="13" t="str">
        <f t="shared" si="3"/>
        <v>30Y</v>
      </c>
      <c r="AJ38" s="305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0" t="s">
        <v>51</v>
      </c>
      <c r="P39" s="241" t="str">
        <v>6L</v>
      </c>
      <c r="Q39" s="241" t="str">
        <v>3L</v>
      </c>
      <c r="R39" s="239" t="str">
        <f t="shared" si="1"/>
        <v>USD6L3L35Y</v>
      </c>
      <c r="S39" s="199" t="str">
        <v>USD6L3L35Y=ICAP</v>
      </c>
      <c r="T39" s="311" t="s">
        <v>211</v>
      </c>
      <c r="U39" s="311" t="s">
        <v>211</v>
      </c>
      <c r="V39" s="311" t="e">
        <f>_xll.qlMidEquivalent(T39,U39)</f>
        <v>#NUM!</v>
      </c>
      <c r="W39" s="194" t="b">
        <f t="shared" si="2"/>
        <v>0</v>
      </c>
      <c r="X39" s="310">
        <f>X38</f>
        <v>10.1</v>
      </c>
      <c r="Y39" s="196"/>
      <c r="Z39" s="309">
        <v>9.5</v>
      </c>
      <c r="AA39" s="196"/>
      <c r="AB39" s="418">
        <v>10.1</v>
      </c>
      <c r="AC39" s="193">
        <f>_xll.qlSimpleQuoteSetValue(F39,AB39/10000,Trigger)</f>
        <v>0</v>
      </c>
      <c r="AD39" s="164"/>
      <c r="AE39" s="13"/>
      <c r="AF39" s="13"/>
      <c r="AG39" s="13"/>
      <c r="AH39" s="13"/>
      <c r="AI39" s="13" t="str">
        <f t="shared" si="3"/>
        <v>35Y</v>
      </c>
      <c r="AJ39" s="305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0" t="s">
        <v>46</v>
      </c>
      <c r="P40" s="241" t="str">
        <v>6L</v>
      </c>
      <c r="Q40" s="241" t="str">
        <v>3L</v>
      </c>
      <c r="R40" s="239" t="str">
        <f t="shared" si="1"/>
        <v>USD6L3L40Y</v>
      </c>
      <c r="S40" s="199" t="str">
        <v>USD6L3L40Y=ICAP</v>
      </c>
      <c r="T40" s="311" t="s">
        <v>211</v>
      </c>
      <c r="U40" s="311" t="s">
        <v>211</v>
      </c>
      <c r="V40" s="311" t="e">
        <f>_xll.qlMidEquivalent(T40,U40)</f>
        <v>#NUM!</v>
      </c>
      <c r="W40" s="194" t="b">
        <f t="shared" si="2"/>
        <v>0</v>
      </c>
      <c r="X40" s="310">
        <f>X39</f>
        <v>10.1</v>
      </c>
      <c r="Y40" s="196"/>
      <c r="Z40" s="309">
        <v>9.5</v>
      </c>
      <c r="AA40" s="196"/>
      <c r="AB40" s="418">
        <v>10.1</v>
      </c>
      <c r="AC40" s="193">
        <f>_xll.qlSimpleQuoteSetValue(F40,AB40/10000,Trigger)</f>
        <v>0</v>
      </c>
      <c r="AD40" s="164"/>
      <c r="AE40" s="13"/>
      <c r="AF40" s="13"/>
      <c r="AG40" s="13"/>
      <c r="AH40" s="13"/>
      <c r="AI40" s="13" t="str">
        <f t="shared" si="3"/>
        <v>40Y</v>
      </c>
      <c r="AJ40" s="305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0" t="s">
        <v>36</v>
      </c>
      <c r="P41" s="241" t="str">
        <v>6L</v>
      </c>
      <c r="Q41" s="241" t="str">
        <v>3L</v>
      </c>
      <c r="R41" s="239" t="str">
        <f t="shared" si="1"/>
        <v>USD6L3L50Y</v>
      </c>
      <c r="S41" s="199" t="str">
        <v>USD6L3L50Y=ICAP</v>
      </c>
      <c r="T41" s="311" t="s">
        <v>211</v>
      </c>
      <c r="U41" s="311" t="s">
        <v>211</v>
      </c>
      <c r="V41" s="311" t="e">
        <f>_xll.qlMidEquivalent(T41,U41)</f>
        <v>#NUM!</v>
      </c>
      <c r="W41" s="194" t="b">
        <f t="shared" si="2"/>
        <v>0</v>
      </c>
      <c r="X41" s="310">
        <f>X40</f>
        <v>10.1</v>
      </c>
      <c r="Y41" s="196"/>
      <c r="Z41" s="309">
        <v>9.5</v>
      </c>
      <c r="AA41" s="196"/>
      <c r="AB41" s="418">
        <v>10.1</v>
      </c>
      <c r="AC41" s="193">
        <f>_xll.qlSimpleQuoteSetValue(F41,AB41/10000,Trigger)</f>
        <v>0</v>
      </c>
      <c r="AD41" s="164"/>
      <c r="AE41" s="13"/>
      <c r="AF41" s="13"/>
      <c r="AG41" s="13"/>
      <c r="AH41" s="13"/>
      <c r="AI41" s="13" t="str">
        <f t="shared" si="3"/>
        <v>50Y</v>
      </c>
      <c r="AJ41" s="305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1" t="s">
        <v>26</v>
      </c>
      <c r="P42" s="236" t="str">
        <v>6L</v>
      </c>
      <c r="Q42" s="236" t="str">
        <v>3L</v>
      </c>
      <c r="R42" s="239" t="str">
        <f t="shared" si="1"/>
        <v>USD6L3L60Y</v>
      </c>
      <c r="S42" s="210" t="str">
        <v>USD6L3L60Y=ICAP</v>
      </c>
      <c r="T42" s="308" t="s">
        <v>211</v>
      </c>
      <c r="U42" s="308" t="s">
        <v>211</v>
      </c>
      <c r="V42" s="308" t="e">
        <f>_xll.qlMidEquivalent(T42,U42)</f>
        <v>#NUM!</v>
      </c>
      <c r="W42" s="207" t="b">
        <f t="shared" si="2"/>
        <v>0</v>
      </c>
      <c r="X42" s="307">
        <f>X41</f>
        <v>10.1</v>
      </c>
      <c r="Y42" s="196"/>
      <c r="Z42" s="306">
        <v>9.5</v>
      </c>
      <c r="AA42" s="196"/>
      <c r="AB42" s="419">
        <v>10.1</v>
      </c>
      <c r="AC42" s="206">
        <f>_xll.qlSimpleQuoteSetValue(F42,AB42/10000,Trigger)</f>
        <v>0</v>
      </c>
      <c r="AD42" s="164"/>
      <c r="AE42" s="13"/>
      <c r="AF42" s="13"/>
      <c r="AG42" s="13"/>
      <c r="AH42" s="13"/>
      <c r="AI42" s="13" t="str">
        <f t="shared" si="3"/>
        <v>60Y</v>
      </c>
      <c r="AJ42" s="305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1"/>
      <c r="AE43" s="13"/>
      <c r="AF43" s="13"/>
      <c r="AG43" s="13"/>
      <c r="AH43" s="13"/>
      <c r="AI43" s="13"/>
      <c r="AJ43" s="13"/>
    </row>
  </sheetData>
  <conditionalFormatting sqref="AC5:AC42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18" width="9.140625" style="12"/>
    <col min="19" max="19" width="16.42578125" style="12" bestFit="1" customWidth="1"/>
    <col min="20" max="24" width="9.140625" style="12"/>
    <col min="25" max="25" width="10.42578125" style="12" bestFit="1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2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28"/>
      <c r="O2" s="109"/>
      <c r="P2" s="196"/>
      <c r="Q2" s="196"/>
      <c r="R2" s="196"/>
      <c r="S2" s="116" t="str">
        <f>Contributor</f>
        <v>ICAP</v>
      </c>
      <c r="T2" s="196"/>
      <c r="U2" s="196"/>
      <c r="V2" s="196"/>
      <c r="W2" s="196"/>
      <c r="X2" s="109"/>
      <c r="Y2" s="196"/>
      <c r="Z2" s="196"/>
      <c r="AA2" s="196"/>
      <c r="AB2" s="196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6"/>
      <c r="P3" s="109"/>
      <c r="Q3" s="109"/>
      <c r="R3" s="109"/>
      <c r="S3" s="109" t="e">
        <f>_xll.qlInterpolation(,InterpolationType,_xll.ohFilter(N5:N42,W5:W42),_xll.ohFilter(V5:V42,W5:W42))</f>
        <v>#NUM!</v>
      </c>
      <c r="T3" s="109"/>
      <c r="U3" s="109"/>
      <c r="V3" s="109"/>
      <c r="W3" s="109"/>
      <c r="X3" s="109"/>
      <c r="Y3" s="196"/>
      <c r="Z3" s="196"/>
      <c r="AA3" s="196"/>
      <c r="AB3" s="109"/>
      <c r="AC3" s="225">
        <f>_xll.ohTrigger(AC5:AC42)</f>
        <v>1</v>
      </c>
      <c r="AD3" s="164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0"/>
      <c r="P4" s="143"/>
      <c r="Q4" s="143"/>
      <c r="R4" s="143"/>
      <c r="S4" s="191" t="str">
        <f>_xll.RData(S5:S42,T4:U4,"RTFEED:IDN",ReutersRtMode,,T5)</f>
        <v>Updated at 10:05:48</v>
      </c>
      <c r="T4" s="249" t="s">
        <v>199</v>
      </c>
      <c r="U4" s="249" t="s">
        <v>198</v>
      </c>
      <c r="V4" s="249" t="s">
        <v>255</v>
      </c>
      <c r="W4" s="249"/>
      <c r="X4" s="221" t="s">
        <v>254</v>
      </c>
      <c r="Y4" s="196"/>
      <c r="Z4" s="223" t="s">
        <v>229</v>
      </c>
      <c r="AA4" s="196"/>
      <c r="AB4" s="416" t="s">
        <v>227</v>
      </c>
      <c r="AC4" s="67" t="s">
        <v>226</v>
      </c>
      <c r="AD4" s="164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3">
        <v>0.5</v>
      </c>
      <c r="O5" s="200" t="s">
        <v>14</v>
      </c>
      <c r="P5" s="241" t="str">
        <f t="array" ref="P5:P42">VLOOKUP(Currency,Conventions,2)</f>
        <v>12L</v>
      </c>
      <c r="Q5" s="241" t="str">
        <f t="array" ref="Q5:Q42">VLOOKUP(Currency,Conventions,3)</f>
        <v>3L</v>
      </c>
      <c r="R5" s="239" t="str">
        <f t="shared" ref="R5:R42" si="1">Currency&amp;$P5&amp;$Q5&amp;$O5</f>
        <v>USD12L3L6M</v>
      </c>
      <c r="S5" s="199" t="str">
        <f t="array" ref="S5:S42">Instruments&amp;"="&amp;VLOOKUP(Contributor,ContributorTable,2,FALSE)</f>
        <v>USD12L3L6M=ICAP</v>
      </c>
      <c r="T5" s="311" t="s">
        <v>211</v>
      </c>
      <c r="U5" s="311" t="s">
        <v>211</v>
      </c>
      <c r="V5" s="311" t="e">
        <f>_xll.qlMidEquivalent(T5,U5)</f>
        <v>#NUM!</v>
      </c>
      <c r="W5" s="194" t="b">
        <f t="shared" ref="W5:W42" si="2">IF(ISNUMBER(V5),TRUE,FALSE)</f>
        <v>0</v>
      </c>
      <c r="X5" s="514" t="e">
        <f>Y5*10000</f>
        <v>#NUM!</v>
      </c>
      <c r="Y5" s="196" t="e">
        <v>#NUM!</v>
      </c>
      <c r="Z5" s="309" t="e">
        <v>#NUM!</v>
      </c>
      <c r="AA5" s="196"/>
      <c r="AB5" s="418" t="e">
        <f t="array" ref="AB5:AB42">QuoteLive</f>
        <v>#NUM!</v>
      </c>
      <c r="AC5" s="193">
        <f>_xll.qlSimpleQuoteSetValue(F5,AB5/10000,Trigger)</f>
        <v>0</v>
      </c>
      <c r="AD5" s="164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3">
        <v>1</v>
      </c>
      <c r="O6" s="200" t="s">
        <v>8</v>
      </c>
      <c r="P6" s="241" t="str">
        <v>12L</v>
      </c>
      <c r="Q6" s="241" t="str">
        <v>3L</v>
      </c>
      <c r="R6" s="239" t="str">
        <f t="shared" si="1"/>
        <v>USD12L3L1Y</v>
      </c>
      <c r="S6" s="199" t="str">
        <v>USD12L3L1Y=ICAP</v>
      </c>
      <c r="T6" s="311" t="s">
        <v>211</v>
      </c>
      <c r="U6" s="311" t="s">
        <v>211</v>
      </c>
      <c r="V6" s="311" t="e">
        <f>_xll.qlMidEquivalent(T6,U6)</f>
        <v>#NUM!</v>
      </c>
      <c r="W6" s="194" t="b">
        <f t="shared" si="2"/>
        <v>0</v>
      </c>
      <c r="X6" s="514">
        <f t="shared" ref="X6:X42" si="5">Y6*10000</f>
        <v>23.900000000000002</v>
      </c>
      <c r="Y6" s="196">
        <v>2.3900000000000002E-3</v>
      </c>
      <c r="Z6" s="309">
        <v>23.6</v>
      </c>
      <c r="AA6" s="196"/>
      <c r="AB6" s="418">
        <v>23.900000000000002</v>
      </c>
      <c r="AC6" s="193" t="e">
        <f>_xll.qlSimpleQuoteSetValue(F6,AB6/10000,Trigger)</f>
        <v>#N/A</v>
      </c>
      <c r="AD6" s="164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3">
        <v>1.25</v>
      </c>
      <c r="O7" s="200" t="s">
        <v>107</v>
      </c>
      <c r="P7" s="241" t="str">
        <v>12L</v>
      </c>
      <c r="Q7" s="241" t="str">
        <v>3L</v>
      </c>
      <c r="R7" s="239" t="str">
        <f t="shared" si="1"/>
        <v>USD12L3L15M</v>
      </c>
      <c r="S7" s="199" t="str">
        <v>USD12L3L15M=ICAP</v>
      </c>
      <c r="T7" s="311" t="s">
        <v>211</v>
      </c>
      <c r="U7" s="311" t="s">
        <v>211</v>
      </c>
      <c r="V7" s="311" t="e">
        <f>_xll.qlMidEquivalent(T7,U7)</f>
        <v>#NUM!</v>
      </c>
      <c r="W7" s="194" t="b">
        <f t="shared" si="2"/>
        <v>0</v>
      </c>
      <c r="X7" s="514">
        <f t="shared" si="5"/>
        <v>23.900000000000002</v>
      </c>
      <c r="Y7" s="196">
        <v>2.3900000000000002E-3</v>
      </c>
      <c r="Z7" s="309">
        <v>23.526228802936565</v>
      </c>
      <c r="AA7" s="196"/>
      <c r="AB7" s="418">
        <v>23.900000000000002</v>
      </c>
      <c r="AC7" s="193" t="e">
        <f>_xll.qlSimpleQuoteSetValue(F7,AB7/10000,Trigger)</f>
        <v>#N/A</v>
      </c>
      <c r="AD7" s="164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3">
        <v>1.5</v>
      </c>
      <c r="O8" s="200" t="s">
        <v>106</v>
      </c>
      <c r="P8" s="241" t="str">
        <v>12L</v>
      </c>
      <c r="Q8" s="241" t="str">
        <v>3L</v>
      </c>
      <c r="R8" s="239" t="str">
        <f t="shared" si="1"/>
        <v>USD12L3L18M</v>
      </c>
      <c r="S8" s="199" t="str">
        <v>USD12L3L18M=ICAP</v>
      </c>
      <c r="T8" s="311" t="s">
        <v>211</v>
      </c>
      <c r="U8" s="311" t="s">
        <v>211</v>
      </c>
      <c r="V8" s="311" t="e">
        <f>_xll.qlMidEquivalent(T8,U8)</f>
        <v>#NUM!</v>
      </c>
      <c r="W8" s="194" t="b">
        <f t="shared" si="2"/>
        <v>0</v>
      </c>
      <c r="X8" s="514">
        <f t="shared" si="5"/>
        <v>23.900000000000002</v>
      </c>
      <c r="Y8" s="196">
        <v>2.3900000000000002E-3</v>
      </c>
      <c r="Z8" s="309">
        <v>23.451966084698505</v>
      </c>
      <c r="AA8" s="196"/>
      <c r="AB8" s="418">
        <v>23.900000000000002</v>
      </c>
      <c r="AC8" s="193" t="e">
        <f>_xll.qlSimpleQuoteSetValue(F8,AB8/10000,Trigger)</f>
        <v>#N/A</v>
      </c>
      <c r="AD8" s="164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3">
        <v>1.75</v>
      </c>
      <c r="O9" s="200" t="s">
        <v>105</v>
      </c>
      <c r="P9" s="241" t="str">
        <v>12L</v>
      </c>
      <c r="Q9" s="241" t="str">
        <v>3L</v>
      </c>
      <c r="R9" s="239" t="str">
        <f t="shared" si="1"/>
        <v>USD12L3L21M</v>
      </c>
      <c r="S9" s="199" t="str">
        <v>USD12L3L21M=ICAP</v>
      </c>
      <c r="T9" s="311" t="s">
        <v>211</v>
      </c>
      <c r="U9" s="311" t="s">
        <v>211</v>
      </c>
      <c r="V9" s="311" t="e">
        <f>_xll.qlMidEquivalent(T9,U9)</f>
        <v>#NUM!</v>
      </c>
      <c r="W9" s="194" t="b">
        <f t="shared" si="2"/>
        <v>0</v>
      </c>
      <c r="X9" s="514">
        <f t="shared" si="5"/>
        <v>23.900000000000002</v>
      </c>
      <c r="Y9" s="196">
        <v>2.3900000000000002E-3</v>
      </c>
      <c r="Z9" s="309">
        <v>23.37672032411119</v>
      </c>
      <c r="AA9" s="196"/>
      <c r="AB9" s="418">
        <v>23.900000000000002</v>
      </c>
      <c r="AC9" s="193" t="e">
        <f>_xll.qlSimpleQuoteSetValue(F9,AB9/10000,Trigger)</f>
        <v>#N/A</v>
      </c>
      <c r="AD9" s="164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0" t="s">
        <v>84</v>
      </c>
      <c r="P10" s="241" t="str">
        <v>12L</v>
      </c>
      <c r="Q10" s="241" t="str">
        <v>3L</v>
      </c>
      <c r="R10" s="239" t="str">
        <f t="shared" si="1"/>
        <v>USD12L3L2Y</v>
      </c>
      <c r="S10" s="199" t="str">
        <v>USD12L3L2Y=ICAP</v>
      </c>
      <c r="T10" s="311" t="s">
        <v>211</v>
      </c>
      <c r="U10" s="311" t="s">
        <v>211</v>
      </c>
      <c r="V10" s="311" t="e">
        <f>_xll.qlMidEquivalent(T10,U10)</f>
        <v>#NUM!</v>
      </c>
      <c r="W10" s="194" t="b">
        <f t="shared" si="2"/>
        <v>0</v>
      </c>
      <c r="X10" s="514">
        <f t="shared" si="5"/>
        <v>23.900000000000002</v>
      </c>
      <c r="Y10" s="196">
        <v>2.3900000000000002E-3</v>
      </c>
      <c r="Z10" s="309">
        <v>23.3</v>
      </c>
      <c r="AA10" s="196"/>
      <c r="AB10" s="418">
        <v>23.900000000000002</v>
      </c>
      <c r="AC10" s="193" t="e">
        <f>_xll.qlSimpleQuoteSetValue(F10,AB10/10000,Trigger)</f>
        <v>#N/A</v>
      </c>
      <c r="AD10" s="164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0" t="s">
        <v>83</v>
      </c>
      <c r="P11" s="241" t="str">
        <v>12L</v>
      </c>
      <c r="Q11" s="241" t="str">
        <v>3L</v>
      </c>
      <c r="R11" s="239" t="str">
        <f t="shared" si="1"/>
        <v>USD12L3L3Y</v>
      </c>
      <c r="S11" s="199" t="str">
        <v>USD12L3L3Y=ICAP</v>
      </c>
      <c r="T11" s="311" t="s">
        <v>211</v>
      </c>
      <c r="U11" s="311" t="s">
        <v>211</v>
      </c>
      <c r="V11" s="311" t="e">
        <f>_xll.qlMidEquivalent(T11,U11)</f>
        <v>#NUM!</v>
      </c>
      <c r="W11" s="194" t="b">
        <f t="shared" si="2"/>
        <v>0</v>
      </c>
      <c r="X11" s="514">
        <f t="shared" si="5"/>
        <v>23.900000000000002</v>
      </c>
      <c r="Y11" s="196">
        <v>2.3900000000000002E-3</v>
      </c>
      <c r="Z11" s="309">
        <v>23</v>
      </c>
      <c r="AA11" s="196"/>
      <c r="AB11" s="418">
        <v>23.900000000000002</v>
      </c>
      <c r="AC11" s="193" t="e">
        <f>_xll.qlSimpleQuoteSetValue(F11,AB11/10000,Trigger)</f>
        <v>#N/A</v>
      </c>
      <c r="AD11" s="164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0" t="s">
        <v>82</v>
      </c>
      <c r="P12" s="241" t="str">
        <v>12L</v>
      </c>
      <c r="Q12" s="241" t="str">
        <v>3L</v>
      </c>
      <c r="R12" s="239" t="str">
        <f t="shared" si="1"/>
        <v>USD12L3L4Y</v>
      </c>
      <c r="S12" s="199" t="str">
        <v>USD12L3L4Y=ICAP</v>
      </c>
      <c r="T12" s="311" t="s">
        <v>211</v>
      </c>
      <c r="U12" s="311" t="s">
        <v>211</v>
      </c>
      <c r="V12" s="311" t="e">
        <f>_xll.qlMidEquivalent(T12,U12)</f>
        <v>#NUM!</v>
      </c>
      <c r="W12" s="194" t="b">
        <f t="shared" si="2"/>
        <v>0</v>
      </c>
      <c r="X12" s="514">
        <f t="shared" si="5"/>
        <v>23.8</v>
      </c>
      <c r="Y12" s="196">
        <v>2.3800000000000002E-3</v>
      </c>
      <c r="Z12" s="309">
        <v>22.8</v>
      </c>
      <c r="AA12" s="196"/>
      <c r="AB12" s="418">
        <v>23.8</v>
      </c>
      <c r="AC12" s="193" t="e">
        <f>_xll.qlSimpleQuoteSetValue(F12,AB12/10000,Trigger)</f>
        <v>#N/A</v>
      </c>
      <c r="AD12" s="164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0" t="s">
        <v>81</v>
      </c>
      <c r="P13" s="241" t="str">
        <v>12L</v>
      </c>
      <c r="Q13" s="241" t="str">
        <v>3L</v>
      </c>
      <c r="R13" s="239" t="str">
        <f t="shared" si="1"/>
        <v>USD12L3L5Y</v>
      </c>
      <c r="S13" s="199" t="str">
        <v>USD12L3L5Y=ICAP</v>
      </c>
      <c r="T13" s="311" t="s">
        <v>211</v>
      </c>
      <c r="U13" s="311" t="s">
        <v>211</v>
      </c>
      <c r="V13" s="311" t="e">
        <f>_xll.qlMidEquivalent(T13,U13)</f>
        <v>#NUM!</v>
      </c>
      <c r="W13" s="194" t="b">
        <f t="shared" si="2"/>
        <v>0</v>
      </c>
      <c r="X13" s="514">
        <f t="shared" si="5"/>
        <v>23.700000000000003</v>
      </c>
      <c r="Y13" s="196">
        <v>2.3700000000000001E-3</v>
      </c>
      <c r="Z13" s="309">
        <v>22.7</v>
      </c>
      <c r="AA13" s="196"/>
      <c r="AB13" s="418">
        <v>23.700000000000003</v>
      </c>
      <c r="AC13" s="193" t="e">
        <f>_xll.qlSimpleQuoteSetValue(F13,AB13/10000,Trigger)</f>
        <v>#N/A</v>
      </c>
      <c r="AD13" s="164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0" t="s">
        <v>80</v>
      </c>
      <c r="P14" s="241" t="str">
        <v>12L</v>
      </c>
      <c r="Q14" s="241" t="str">
        <v>3L</v>
      </c>
      <c r="R14" s="239" t="str">
        <f t="shared" si="1"/>
        <v>USD12L3L6Y</v>
      </c>
      <c r="S14" s="199" t="str">
        <v>USD12L3L6Y=ICAP</v>
      </c>
      <c r="T14" s="311" t="s">
        <v>211</v>
      </c>
      <c r="U14" s="311" t="s">
        <v>211</v>
      </c>
      <c r="V14" s="311" t="e">
        <f>_xll.qlMidEquivalent(T14,U14)</f>
        <v>#NUM!</v>
      </c>
      <c r="W14" s="194" t="b">
        <f t="shared" si="2"/>
        <v>0</v>
      </c>
      <c r="X14" s="514">
        <f t="shared" si="5"/>
        <v>23.700000000000003</v>
      </c>
      <c r="Y14" s="196">
        <v>2.3700000000000001E-3</v>
      </c>
      <c r="Z14" s="309">
        <v>22.6</v>
      </c>
      <c r="AA14" s="196"/>
      <c r="AB14" s="418">
        <v>23.700000000000003</v>
      </c>
      <c r="AC14" s="193" t="e">
        <f>_xll.qlSimpleQuoteSetValue(F14,AB14/10000,Trigger)</f>
        <v>#N/A</v>
      </c>
      <c r="AD14" s="164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0" t="s">
        <v>79</v>
      </c>
      <c r="P15" s="241" t="str">
        <v>12L</v>
      </c>
      <c r="Q15" s="241" t="str">
        <v>3L</v>
      </c>
      <c r="R15" s="239" t="str">
        <f t="shared" si="1"/>
        <v>USD12L3L7Y</v>
      </c>
      <c r="S15" s="199" t="str">
        <v>USD12L3L7Y=ICAP</v>
      </c>
      <c r="T15" s="311" t="s">
        <v>211</v>
      </c>
      <c r="U15" s="311" t="s">
        <v>211</v>
      </c>
      <c r="V15" s="311" t="e">
        <f>_xll.qlMidEquivalent(T15,U15)</f>
        <v>#NUM!</v>
      </c>
      <c r="W15" s="194" t="b">
        <f t="shared" si="2"/>
        <v>0</v>
      </c>
      <c r="X15" s="514">
        <f t="shared" si="5"/>
        <v>23.6</v>
      </c>
      <c r="Y15" s="196">
        <v>2.3600000000000001E-3</v>
      </c>
      <c r="Z15" s="309">
        <v>22.5</v>
      </c>
      <c r="AA15" s="196"/>
      <c r="AB15" s="418">
        <v>23.6</v>
      </c>
      <c r="AC15" s="193" t="e">
        <f>_xll.qlSimpleQuoteSetValue(F15,AB15/10000,Trigger)</f>
        <v>#N/A</v>
      </c>
      <c r="AD15" s="164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0" t="s">
        <v>78</v>
      </c>
      <c r="P16" s="241" t="str">
        <v>12L</v>
      </c>
      <c r="Q16" s="241" t="str">
        <v>3L</v>
      </c>
      <c r="R16" s="239" t="str">
        <f t="shared" si="1"/>
        <v>USD12L3L8Y</v>
      </c>
      <c r="S16" s="199" t="str">
        <v>USD12L3L8Y=ICAP</v>
      </c>
      <c r="T16" s="311" t="s">
        <v>211</v>
      </c>
      <c r="U16" s="311" t="s">
        <v>211</v>
      </c>
      <c r="V16" s="311" t="e">
        <f>_xll.qlMidEquivalent(T16,U16)</f>
        <v>#NUM!</v>
      </c>
      <c r="W16" s="194" t="b">
        <f t="shared" si="2"/>
        <v>0</v>
      </c>
      <c r="X16" s="514">
        <f t="shared" si="5"/>
        <v>23.6</v>
      </c>
      <c r="Y16" s="196">
        <v>2.3600000000000001E-3</v>
      </c>
      <c r="Z16" s="309">
        <v>22.4</v>
      </c>
      <c r="AA16" s="196"/>
      <c r="AB16" s="418">
        <v>23.6</v>
      </c>
      <c r="AC16" s="193" t="e">
        <f>_xll.qlSimpleQuoteSetValue(F16,AB16/10000,Trigger)</f>
        <v>#N/A</v>
      </c>
      <c r="AD16" s="164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0" t="s">
        <v>77</v>
      </c>
      <c r="P17" s="241" t="str">
        <v>12L</v>
      </c>
      <c r="Q17" s="241" t="str">
        <v>3L</v>
      </c>
      <c r="R17" s="239" t="str">
        <f t="shared" si="1"/>
        <v>USD12L3L9Y</v>
      </c>
      <c r="S17" s="199" t="str">
        <v>USD12L3L9Y=ICAP</v>
      </c>
      <c r="T17" s="311" t="s">
        <v>211</v>
      </c>
      <c r="U17" s="311" t="s">
        <v>211</v>
      </c>
      <c r="V17" s="311" t="e">
        <f>_xll.qlMidEquivalent(T17,U17)</f>
        <v>#NUM!</v>
      </c>
      <c r="W17" s="194" t="b">
        <f t="shared" si="2"/>
        <v>0</v>
      </c>
      <c r="X17" s="514">
        <f t="shared" si="5"/>
        <v>23.5</v>
      </c>
      <c r="Y17" s="196">
        <v>2.3500000000000001E-3</v>
      </c>
      <c r="Z17" s="309">
        <v>22.4</v>
      </c>
      <c r="AA17" s="196"/>
      <c r="AB17" s="418">
        <v>23.5</v>
      </c>
      <c r="AC17" s="193" t="e">
        <f>_xll.qlSimpleQuoteSetValue(F17,AB17/10000,Trigger)</f>
        <v>#N/A</v>
      </c>
      <c r="AD17" s="164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0" t="s">
        <v>76</v>
      </c>
      <c r="P18" s="241" t="str">
        <v>12L</v>
      </c>
      <c r="Q18" s="241" t="str">
        <v>3L</v>
      </c>
      <c r="R18" s="239" t="str">
        <f t="shared" si="1"/>
        <v>USD12L3L10Y</v>
      </c>
      <c r="S18" s="199" t="str">
        <v>USD12L3L10Y=ICAP</v>
      </c>
      <c r="T18" s="311" t="s">
        <v>211</v>
      </c>
      <c r="U18" s="311" t="s">
        <v>211</v>
      </c>
      <c r="V18" s="311" t="e">
        <f>_xll.qlMidEquivalent(T18,U18)</f>
        <v>#NUM!</v>
      </c>
      <c r="W18" s="194" t="b">
        <f t="shared" si="2"/>
        <v>0</v>
      </c>
      <c r="X18" s="514">
        <f t="shared" si="5"/>
        <v>23.5</v>
      </c>
      <c r="Y18" s="196">
        <v>2.3500000000000001E-3</v>
      </c>
      <c r="Z18" s="309">
        <v>22.3</v>
      </c>
      <c r="AA18" s="196"/>
      <c r="AB18" s="418">
        <v>23.5</v>
      </c>
      <c r="AC18" s="193" t="e">
        <f>_xll.qlSimpleQuoteSetValue(F18,AB18/10000,Trigger)</f>
        <v>#N/A</v>
      </c>
      <c r="AD18" s="164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0" t="s">
        <v>75</v>
      </c>
      <c r="P19" s="241" t="str">
        <v>12L</v>
      </c>
      <c r="Q19" s="241" t="str">
        <v>3L</v>
      </c>
      <c r="R19" s="239" t="str">
        <f t="shared" si="1"/>
        <v>USD12L3L11Y</v>
      </c>
      <c r="S19" s="199" t="str">
        <v>USD12L3L11Y=ICAP</v>
      </c>
      <c r="T19" s="311" t="s">
        <v>211</v>
      </c>
      <c r="U19" s="311" t="s">
        <v>211</v>
      </c>
      <c r="V19" s="311" t="e">
        <f>_xll.qlMidEquivalent(T19,U19)</f>
        <v>#NUM!</v>
      </c>
      <c r="W19" s="194" t="b">
        <f t="shared" si="2"/>
        <v>0</v>
      </c>
      <c r="X19" s="514">
        <f t="shared" si="5"/>
        <v>23.5</v>
      </c>
      <c r="Y19" s="196">
        <v>2.3500000000000001E-3</v>
      </c>
      <c r="Z19" s="309">
        <v>22.3</v>
      </c>
      <c r="AA19" s="196"/>
      <c r="AB19" s="418">
        <v>23.5</v>
      </c>
      <c r="AC19" s="193" t="e">
        <f>_xll.qlSimpleQuoteSetValue(F19,AB19/10000,Trigger)</f>
        <v>#N/A</v>
      </c>
      <c r="AD19" s="164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0" t="s">
        <v>74</v>
      </c>
      <c r="P20" s="241" t="str">
        <v>12L</v>
      </c>
      <c r="Q20" s="241" t="str">
        <v>3L</v>
      </c>
      <c r="R20" s="239" t="str">
        <f t="shared" si="1"/>
        <v>USD12L3L12Y</v>
      </c>
      <c r="S20" s="199" t="str">
        <v>USD12L3L12Y=ICAP</v>
      </c>
      <c r="T20" s="311" t="s">
        <v>211</v>
      </c>
      <c r="U20" s="311" t="s">
        <v>211</v>
      </c>
      <c r="V20" s="311" t="e">
        <f>_xll.qlMidEquivalent(T20,U20)</f>
        <v>#NUM!</v>
      </c>
      <c r="W20" s="194" t="b">
        <f t="shared" si="2"/>
        <v>0</v>
      </c>
      <c r="X20" s="514">
        <f t="shared" si="5"/>
        <v>23.5</v>
      </c>
      <c r="Y20" s="196">
        <v>2.3500000000000001E-3</v>
      </c>
      <c r="Z20" s="309">
        <v>22.3</v>
      </c>
      <c r="AA20" s="196"/>
      <c r="AB20" s="418">
        <v>23.5</v>
      </c>
      <c r="AC20" s="193" t="e">
        <f>_xll.qlSimpleQuoteSetValue(F20,AB20/10000,Trigger)</f>
        <v>#N/A</v>
      </c>
      <c r="AD20" s="164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0" t="s">
        <v>73</v>
      </c>
      <c r="P21" s="241" t="str">
        <v>12L</v>
      </c>
      <c r="Q21" s="241" t="str">
        <v>3L</v>
      </c>
      <c r="R21" s="239" t="str">
        <f t="shared" si="1"/>
        <v>USD12L3L13Y</v>
      </c>
      <c r="S21" s="199" t="str">
        <v>USD12L3L13Y=ICAP</v>
      </c>
      <c r="T21" s="311" t="s">
        <v>211</v>
      </c>
      <c r="U21" s="311" t="s">
        <v>211</v>
      </c>
      <c r="V21" s="311" t="e">
        <f>_xll.qlMidEquivalent(T21,U21)</f>
        <v>#NUM!</v>
      </c>
      <c r="W21" s="194" t="b">
        <f t="shared" si="2"/>
        <v>0</v>
      </c>
      <c r="X21" s="514">
        <f t="shared" si="5"/>
        <v>23.474070000000001</v>
      </c>
      <c r="Y21" s="196">
        <v>2.3474070000000001E-3</v>
      </c>
      <c r="Z21" s="309">
        <v>22.274074074074075</v>
      </c>
      <c r="AA21" s="196"/>
      <c r="AB21" s="418">
        <v>23.474070000000001</v>
      </c>
      <c r="AC21" s="193" t="e">
        <f>_xll.qlSimpleQuoteSetValue(F21,AB21/10000,Trigger)</f>
        <v>#N/A</v>
      </c>
      <c r="AD21" s="164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0" t="s">
        <v>72</v>
      </c>
      <c r="P22" s="241" t="str">
        <v>12L</v>
      </c>
      <c r="Q22" s="241" t="str">
        <v>3L</v>
      </c>
      <c r="R22" s="239" t="str">
        <f t="shared" si="1"/>
        <v>USD12L3L14Y</v>
      </c>
      <c r="S22" s="199" t="str">
        <v>USD12L3L14Y=ICAP</v>
      </c>
      <c r="T22" s="311" t="s">
        <v>211</v>
      </c>
      <c r="U22" s="311" t="s">
        <v>211</v>
      </c>
      <c r="V22" s="311" t="e">
        <f>_xll.qlMidEquivalent(T22,U22)</f>
        <v>#NUM!</v>
      </c>
      <c r="W22" s="194" t="b">
        <f t="shared" si="2"/>
        <v>0</v>
      </c>
      <c r="X22" s="514">
        <f t="shared" si="5"/>
        <v>23.425930000000001</v>
      </c>
      <c r="Y22" s="196">
        <v>2.342593E-3</v>
      </c>
      <c r="Z22" s="309">
        <v>22.225925925925925</v>
      </c>
      <c r="AA22" s="196"/>
      <c r="AB22" s="418">
        <v>23.425930000000001</v>
      </c>
      <c r="AC22" s="193" t="e">
        <f>_xll.qlSimpleQuoteSetValue(F22,AB22/10000,Trigger)</f>
        <v>#N/A</v>
      </c>
      <c r="AD22" s="164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0" t="s">
        <v>71</v>
      </c>
      <c r="P23" s="241" t="str">
        <v>12L</v>
      </c>
      <c r="Q23" s="241" t="str">
        <v>3L</v>
      </c>
      <c r="R23" s="239" t="str">
        <f t="shared" si="1"/>
        <v>USD12L3L15Y</v>
      </c>
      <c r="S23" s="199" t="str">
        <v>USD12L3L15Y=ICAP</v>
      </c>
      <c r="T23" s="311" t="s">
        <v>211</v>
      </c>
      <c r="U23" s="311" t="s">
        <v>211</v>
      </c>
      <c r="V23" s="311" t="e">
        <f>_xll.qlMidEquivalent(T23,U23)</f>
        <v>#NUM!</v>
      </c>
      <c r="W23" s="194" t="b">
        <f t="shared" si="2"/>
        <v>0</v>
      </c>
      <c r="X23" s="514">
        <f t="shared" si="5"/>
        <v>23.400000000000002</v>
      </c>
      <c r="Y23" s="196">
        <v>2.3400000000000001E-3</v>
      </c>
      <c r="Z23" s="309">
        <v>22.2</v>
      </c>
      <c r="AA23" s="196"/>
      <c r="AB23" s="418">
        <v>23.400000000000002</v>
      </c>
      <c r="AC23" s="193" t="e">
        <f>_xll.qlSimpleQuoteSetValue(F23,AB23/10000,Trigger)</f>
        <v>#N/A</v>
      </c>
      <c r="AD23" s="164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0" t="s">
        <v>70</v>
      </c>
      <c r="P24" s="241" t="str">
        <v>12L</v>
      </c>
      <c r="Q24" s="241" t="str">
        <v>3L</v>
      </c>
      <c r="R24" s="239" t="str">
        <f t="shared" si="1"/>
        <v>USD12L3L16Y</v>
      </c>
      <c r="S24" s="199" t="str">
        <v>USD12L3L16Y=ICAP</v>
      </c>
      <c r="T24" s="311" t="s">
        <v>211</v>
      </c>
      <c r="U24" s="311" t="s">
        <v>211</v>
      </c>
      <c r="V24" s="311" t="e">
        <f>_xll.qlMidEquivalent(T24,U24)</f>
        <v>#NUM!</v>
      </c>
      <c r="W24" s="194" t="b">
        <f t="shared" si="2"/>
        <v>0</v>
      </c>
      <c r="X24" s="514">
        <f t="shared" si="5"/>
        <v>23.400000000000002</v>
      </c>
      <c r="Y24" s="196">
        <v>2.3400000000000001E-3</v>
      </c>
      <c r="Z24" s="309">
        <v>22.2</v>
      </c>
      <c r="AA24" s="196"/>
      <c r="AB24" s="418">
        <v>23.400000000000002</v>
      </c>
      <c r="AC24" s="193" t="e">
        <f>_xll.qlSimpleQuoteSetValue(F24,AB24/10000,Trigger)</f>
        <v>#N/A</v>
      </c>
      <c r="AD24" s="164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0" t="s">
        <v>69</v>
      </c>
      <c r="P25" s="241" t="str">
        <v>12L</v>
      </c>
      <c r="Q25" s="241" t="str">
        <v>3L</v>
      </c>
      <c r="R25" s="239" t="str">
        <f t="shared" si="1"/>
        <v>USD12L3L17Y</v>
      </c>
      <c r="S25" s="199" t="str">
        <v>USD12L3L17Y=ICAP</v>
      </c>
      <c r="T25" s="311" t="s">
        <v>211</v>
      </c>
      <c r="U25" s="311" t="s">
        <v>211</v>
      </c>
      <c r="V25" s="311" t="e">
        <f>_xll.qlMidEquivalent(T25,U25)</f>
        <v>#NUM!</v>
      </c>
      <c r="W25" s="194" t="b">
        <f t="shared" si="2"/>
        <v>0</v>
      </c>
      <c r="X25" s="514">
        <f t="shared" si="5"/>
        <v>23.400000000000002</v>
      </c>
      <c r="Y25" s="196">
        <v>2.3400000000000001E-3</v>
      </c>
      <c r="Z25" s="309">
        <v>22.2</v>
      </c>
      <c r="AA25" s="196"/>
      <c r="AB25" s="418">
        <v>23.400000000000002</v>
      </c>
      <c r="AC25" s="193" t="e">
        <f>_xll.qlSimpleQuoteSetValue(F25,AB25/10000,Trigger)</f>
        <v>#N/A</v>
      </c>
      <c r="AD25" s="164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0" t="s">
        <v>68</v>
      </c>
      <c r="P26" s="241" t="str">
        <v>12L</v>
      </c>
      <c r="Q26" s="241" t="str">
        <v>3L</v>
      </c>
      <c r="R26" s="239" t="str">
        <f t="shared" si="1"/>
        <v>USD12L3L18Y</v>
      </c>
      <c r="S26" s="199" t="str">
        <v>USD12L3L18Y=ICAP</v>
      </c>
      <c r="T26" s="311" t="s">
        <v>211</v>
      </c>
      <c r="U26" s="311" t="s">
        <v>211</v>
      </c>
      <c r="V26" s="311" t="e">
        <f>_xll.qlMidEquivalent(T26,U26)</f>
        <v>#NUM!</v>
      </c>
      <c r="W26" s="194" t="b">
        <f t="shared" si="2"/>
        <v>0</v>
      </c>
      <c r="X26" s="514">
        <f t="shared" si="5"/>
        <v>23.400000000000002</v>
      </c>
      <c r="Y26" s="196">
        <v>2.3400000000000001E-3</v>
      </c>
      <c r="Z26" s="309">
        <v>22.2</v>
      </c>
      <c r="AA26" s="196"/>
      <c r="AB26" s="418">
        <v>23.400000000000002</v>
      </c>
      <c r="AC26" s="193" t="e">
        <f>_xll.qlSimpleQuoteSetValue(F26,AB26/10000,Trigger)</f>
        <v>#N/A</v>
      </c>
      <c r="AD26" s="164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0" t="s">
        <v>67</v>
      </c>
      <c r="P27" s="241" t="str">
        <v>12L</v>
      </c>
      <c r="Q27" s="241" t="str">
        <v>3L</v>
      </c>
      <c r="R27" s="239" t="str">
        <f t="shared" si="1"/>
        <v>USD12L3L19Y</v>
      </c>
      <c r="S27" s="199" t="str">
        <v>USD12L3L19Y=ICAP</v>
      </c>
      <c r="T27" s="311" t="s">
        <v>211</v>
      </c>
      <c r="U27" s="311" t="s">
        <v>211</v>
      </c>
      <c r="V27" s="311" t="e">
        <f>_xll.qlMidEquivalent(T27,U27)</f>
        <v>#NUM!</v>
      </c>
      <c r="W27" s="194" t="b">
        <f t="shared" si="2"/>
        <v>0</v>
      </c>
      <c r="X27" s="514">
        <f t="shared" si="5"/>
        <v>23.400000000000002</v>
      </c>
      <c r="Y27" s="196">
        <v>2.3400000000000001E-3</v>
      </c>
      <c r="Z27" s="309">
        <v>22.2</v>
      </c>
      <c r="AA27" s="196"/>
      <c r="AB27" s="418">
        <v>23.400000000000002</v>
      </c>
      <c r="AC27" s="193" t="e">
        <f>_xll.qlSimpleQuoteSetValue(F27,AB27/10000,Trigger)</f>
        <v>#N/A</v>
      </c>
      <c r="AD27" s="164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0" t="s">
        <v>66</v>
      </c>
      <c r="P28" s="241" t="str">
        <v>12L</v>
      </c>
      <c r="Q28" s="241" t="str">
        <v>3L</v>
      </c>
      <c r="R28" s="239" t="str">
        <f t="shared" si="1"/>
        <v>USD12L3L20Y</v>
      </c>
      <c r="S28" s="199" t="str">
        <v>USD12L3L20Y=ICAP</v>
      </c>
      <c r="T28" s="311" t="s">
        <v>211</v>
      </c>
      <c r="U28" s="311" t="s">
        <v>211</v>
      </c>
      <c r="V28" s="311" t="e">
        <f>_xll.qlMidEquivalent(T28,U28)</f>
        <v>#NUM!</v>
      </c>
      <c r="W28" s="194" t="b">
        <f t="shared" si="2"/>
        <v>0</v>
      </c>
      <c r="X28" s="514">
        <f t="shared" si="5"/>
        <v>23.400000000000002</v>
      </c>
      <c r="Y28" s="196">
        <v>2.3400000000000001E-3</v>
      </c>
      <c r="Z28" s="309">
        <v>22.2</v>
      </c>
      <c r="AA28" s="196"/>
      <c r="AB28" s="418">
        <v>23.400000000000002</v>
      </c>
      <c r="AC28" s="193" t="e">
        <f>_xll.qlSimpleQuoteSetValue(F28,AB28/10000,Trigger)</f>
        <v>#N/A</v>
      </c>
      <c r="AD28" s="164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0" t="s">
        <v>65</v>
      </c>
      <c r="P29" s="241" t="str">
        <v>12L</v>
      </c>
      <c r="Q29" s="241" t="str">
        <v>3L</v>
      </c>
      <c r="R29" s="239" t="str">
        <f t="shared" si="1"/>
        <v>USD12L3L21Y</v>
      </c>
      <c r="S29" s="199" t="str">
        <v>USD12L3L21Y=ICAP</v>
      </c>
      <c r="T29" s="311" t="s">
        <v>211</v>
      </c>
      <c r="U29" s="311" t="s">
        <v>211</v>
      </c>
      <c r="V29" s="311" t="e">
        <f>_xll.qlMidEquivalent(T29,U29)</f>
        <v>#NUM!</v>
      </c>
      <c r="W29" s="194" t="b">
        <f t="shared" si="2"/>
        <v>0</v>
      </c>
      <c r="X29" s="514">
        <f t="shared" si="5"/>
        <v>23.389600000000002</v>
      </c>
      <c r="Y29" s="196">
        <v>2.3389600000000002E-3</v>
      </c>
      <c r="Z29" s="309">
        <v>22.189599999999999</v>
      </c>
      <c r="AA29" s="196"/>
      <c r="AB29" s="418">
        <v>23.389600000000002</v>
      </c>
      <c r="AC29" s="193" t="e">
        <f>_xll.qlSimpleQuoteSetValue(F29,AB29/10000,Trigger)</f>
        <v>#N/A</v>
      </c>
      <c r="AD29" s="164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0" t="s">
        <v>64</v>
      </c>
      <c r="P30" s="241" t="str">
        <v>12L</v>
      </c>
      <c r="Q30" s="241" t="str">
        <v>3L</v>
      </c>
      <c r="R30" s="239" t="str">
        <f t="shared" si="1"/>
        <v>USD12L3L22Y</v>
      </c>
      <c r="S30" s="199" t="str">
        <v>USD12L3L22Y=ICAP</v>
      </c>
      <c r="T30" s="311" t="s">
        <v>211</v>
      </c>
      <c r="U30" s="311" t="s">
        <v>211</v>
      </c>
      <c r="V30" s="311" t="e">
        <f>_xll.qlMidEquivalent(T30,U30)</f>
        <v>#NUM!</v>
      </c>
      <c r="W30" s="194" t="b">
        <f t="shared" si="2"/>
        <v>0</v>
      </c>
      <c r="X30" s="514">
        <f t="shared" si="5"/>
        <v>23.364800000000002</v>
      </c>
      <c r="Y30" s="196">
        <v>2.3364800000000002E-3</v>
      </c>
      <c r="Z30" s="309">
        <v>22.1648</v>
      </c>
      <c r="AA30" s="196"/>
      <c r="AB30" s="418">
        <v>23.364800000000002</v>
      </c>
      <c r="AC30" s="193" t="e">
        <f>_xll.qlSimpleQuoteSetValue(F30,AB30/10000,Trigger)</f>
        <v>#N/A</v>
      </c>
      <c r="AD30" s="164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0" t="s">
        <v>63</v>
      </c>
      <c r="P31" s="241" t="str">
        <v>12L</v>
      </c>
      <c r="Q31" s="241" t="str">
        <v>3L</v>
      </c>
      <c r="R31" s="239" t="str">
        <f t="shared" si="1"/>
        <v>USD12L3L23Y</v>
      </c>
      <c r="S31" s="199" t="str">
        <v>USD12L3L23Y=ICAP</v>
      </c>
      <c r="T31" s="311" t="s">
        <v>211</v>
      </c>
      <c r="U31" s="311" t="s">
        <v>211</v>
      </c>
      <c r="V31" s="311" t="e">
        <f>_xll.qlMidEquivalent(T31,U31)</f>
        <v>#NUM!</v>
      </c>
      <c r="W31" s="194" t="b">
        <f t="shared" si="2"/>
        <v>0</v>
      </c>
      <c r="X31" s="514">
        <f t="shared" si="5"/>
        <v>23.3352</v>
      </c>
      <c r="Y31" s="196">
        <v>2.33352E-3</v>
      </c>
      <c r="Z31" s="309">
        <v>22.135200000000001</v>
      </c>
      <c r="AA31" s="196"/>
      <c r="AB31" s="418">
        <v>23.3352</v>
      </c>
      <c r="AC31" s="193" t="e">
        <f>_xll.qlSimpleQuoteSetValue(F31,AB31/10000,Trigger)</f>
        <v>#N/A</v>
      </c>
      <c r="AD31" s="164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0" t="s">
        <v>62</v>
      </c>
      <c r="P32" s="241" t="str">
        <v>12L</v>
      </c>
      <c r="Q32" s="241" t="str">
        <v>3L</v>
      </c>
      <c r="R32" s="239" t="str">
        <f t="shared" si="1"/>
        <v>USD12L3L24Y</v>
      </c>
      <c r="S32" s="199" t="str">
        <v>USD12L3L24Y=ICAP</v>
      </c>
      <c r="T32" s="311" t="s">
        <v>211</v>
      </c>
      <c r="U32" s="311" t="s">
        <v>211</v>
      </c>
      <c r="V32" s="311" t="e">
        <f>_xll.qlMidEquivalent(T32,U32)</f>
        <v>#NUM!</v>
      </c>
      <c r="W32" s="194" t="b">
        <f t="shared" si="2"/>
        <v>0</v>
      </c>
      <c r="X32" s="514">
        <f t="shared" si="5"/>
        <v>23.310399999999998</v>
      </c>
      <c r="Y32" s="196">
        <v>2.3310399999999999E-3</v>
      </c>
      <c r="Z32" s="309">
        <v>22.110400000000002</v>
      </c>
      <c r="AA32" s="196"/>
      <c r="AB32" s="418">
        <v>23.310399999999998</v>
      </c>
      <c r="AC32" s="193" t="e">
        <f>_xll.qlSimpleQuoteSetValue(F32,AB32/10000,Trigger)</f>
        <v>#N/A</v>
      </c>
      <c r="AD32" s="164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0" t="s">
        <v>61</v>
      </c>
      <c r="P33" s="241" t="str">
        <v>12L</v>
      </c>
      <c r="Q33" s="241" t="str">
        <v>3L</v>
      </c>
      <c r="R33" s="239" t="str">
        <f t="shared" si="1"/>
        <v>USD12L3L25Y</v>
      </c>
      <c r="S33" s="199" t="str">
        <v>USD12L3L25Y=ICAP</v>
      </c>
      <c r="T33" s="311" t="s">
        <v>211</v>
      </c>
      <c r="U33" s="311" t="s">
        <v>211</v>
      </c>
      <c r="V33" s="311" t="e">
        <f>_xll.qlMidEquivalent(T33,U33)</f>
        <v>#NUM!</v>
      </c>
      <c r="W33" s="194" t="b">
        <f t="shared" si="2"/>
        <v>0</v>
      </c>
      <c r="X33" s="514">
        <f t="shared" si="5"/>
        <v>23.3</v>
      </c>
      <c r="Y33" s="196">
        <v>2.33E-3</v>
      </c>
      <c r="Z33" s="309">
        <v>22.1</v>
      </c>
      <c r="AA33" s="196"/>
      <c r="AB33" s="418">
        <v>23.3</v>
      </c>
      <c r="AC33" s="193" t="e">
        <f>_xll.qlSimpleQuoteSetValue(F33,AB33/10000,Trigger)</f>
        <v>#N/A</v>
      </c>
      <c r="AD33" s="164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0" t="s">
        <v>60</v>
      </c>
      <c r="P34" s="241" t="str">
        <v>12L</v>
      </c>
      <c r="Q34" s="241" t="str">
        <v>3L</v>
      </c>
      <c r="R34" s="239" t="str">
        <f t="shared" si="1"/>
        <v>USD12L3L26Y</v>
      </c>
      <c r="S34" s="199" t="str">
        <v>USD12L3L26Y=ICAP</v>
      </c>
      <c r="T34" s="311" t="s">
        <v>211</v>
      </c>
      <c r="U34" s="311" t="s">
        <v>211</v>
      </c>
      <c r="V34" s="311" t="e">
        <f>_xll.qlMidEquivalent(T34,U34)</f>
        <v>#NUM!</v>
      </c>
      <c r="W34" s="194" t="b">
        <f t="shared" si="2"/>
        <v>0</v>
      </c>
      <c r="X34" s="514">
        <f t="shared" si="5"/>
        <v>23.3</v>
      </c>
      <c r="Y34" s="196">
        <v>2.33E-3</v>
      </c>
      <c r="Z34" s="309">
        <v>22.1</v>
      </c>
      <c r="AA34" s="196"/>
      <c r="AB34" s="418">
        <v>23.3</v>
      </c>
      <c r="AC34" s="193" t="e">
        <f>_xll.qlSimpleQuoteSetValue(F34,AB34/10000,Trigger)</f>
        <v>#N/A</v>
      </c>
      <c r="AD34" s="164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0" t="s">
        <v>59</v>
      </c>
      <c r="P35" s="241" t="str">
        <v>12L</v>
      </c>
      <c r="Q35" s="241" t="str">
        <v>3L</v>
      </c>
      <c r="R35" s="239" t="str">
        <f t="shared" si="1"/>
        <v>USD12L3L27Y</v>
      </c>
      <c r="S35" s="199" t="str">
        <v>USD12L3L27Y=ICAP</v>
      </c>
      <c r="T35" s="311" t="s">
        <v>211</v>
      </c>
      <c r="U35" s="311" t="s">
        <v>211</v>
      </c>
      <c r="V35" s="311" t="e">
        <f>_xll.qlMidEquivalent(T35,U35)</f>
        <v>#NUM!</v>
      </c>
      <c r="W35" s="194" t="b">
        <f t="shared" si="2"/>
        <v>0</v>
      </c>
      <c r="X35" s="514">
        <f t="shared" si="5"/>
        <v>23.3</v>
      </c>
      <c r="Y35" s="196">
        <v>2.33E-3</v>
      </c>
      <c r="Z35" s="309">
        <v>22.1</v>
      </c>
      <c r="AA35" s="196"/>
      <c r="AB35" s="418">
        <v>23.3</v>
      </c>
      <c r="AC35" s="193" t="e">
        <f>_xll.qlSimpleQuoteSetValue(F35,AB35/10000,Trigger)</f>
        <v>#N/A</v>
      </c>
      <c r="AD35" s="164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0" t="s">
        <v>58</v>
      </c>
      <c r="P36" s="241" t="str">
        <v>12L</v>
      </c>
      <c r="Q36" s="241" t="str">
        <v>3L</v>
      </c>
      <c r="R36" s="239" t="str">
        <f t="shared" si="1"/>
        <v>USD12L3L28Y</v>
      </c>
      <c r="S36" s="199" t="str">
        <v>USD12L3L28Y=ICAP</v>
      </c>
      <c r="T36" s="311" t="s">
        <v>211</v>
      </c>
      <c r="U36" s="311" t="s">
        <v>211</v>
      </c>
      <c r="V36" s="311" t="e">
        <f>_xll.qlMidEquivalent(T36,U36)</f>
        <v>#NUM!</v>
      </c>
      <c r="W36" s="194" t="b">
        <f t="shared" si="2"/>
        <v>0</v>
      </c>
      <c r="X36" s="514">
        <f t="shared" si="5"/>
        <v>23.3</v>
      </c>
      <c r="Y36" s="196">
        <v>2.33E-3</v>
      </c>
      <c r="Z36" s="309">
        <v>22.1</v>
      </c>
      <c r="AA36" s="196"/>
      <c r="AB36" s="418">
        <v>23.3</v>
      </c>
      <c r="AC36" s="193" t="e">
        <f>_xll.qlSimpleQuoteSetValue(F36,AB36/10000,Trigger)</f>
        <v>#N/A</v>
      </c>
      <c r="AD36" s="164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0" t="s">
        <v>57</v>
      </c>
      <c r="P37" s="241" t="str">
        <v>12L</v>
      </c>
      <c r="Q37" s="241" t="str">
        <v>3L</v>
      </c>
      <c r="R37" s="239" t="str">
        <f t="shared" si="1"/>
        <v>USD12L3L29Y</v>
      </c>
      <c r="S37" s="199" t="str">
        <v>USD12L3L29Y=ICAP</v>
      </c>
      <c r="T37" s="311" t="s">
        <v>211</v>
      </c>
      <c r="U37" s="311" t="s">
        <v>211</v>
      </c>
      <c r="V37" s="311" t="e">
        <f>_xll.qlMidEquivalent(T37,U37)</f>
        <v>#NUM!</v>
      </c>
      <c r="W37" s="194" t="b">
        <f t="shared" si="2"/>
        <v>0</v>
      </c>
      <c r="X37" s="514">
        <f t="shared" si="5"/>
        <v>23.3</v>
      </c>
      <c r="Y37" s="196">
        <v>2.33E-3</v>
      </c>
      <c r="Z37" s="309">
        <v>22.1</v>
      </c>
      <c r="AA37" s="196"/>
      <c r="AB37" s="418">
        <v>23.3</v>
      </c>
      <c r="AC37" s="193" t="e">
        <f>_xll.qlSimpleQuoteSetValue(F37,AB37/10000,Trigger)</f>
        <v>#N/A</v>
      </c>
      <c r="AD37" s="164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0" t="s">
        <v>56</v>
      </c>
      <c r="P38" s="241" t="str">
        <v>12L</v>
      </c>
      <c r="Q38" s="241" t="str">
        <v>3L</v>
      </c>
      <c r="R38" s="239" t="str">
        <f t="shared" si="1"/>
        <v>USD12L3L30Y</v>
      </c>
      <c r="S38" s="199" t="str">
        <v>USD12L3L30Y=ICAP</v>
      </c>
      <c r="T38" s="311" t="s">
        <v>211</v>
      </c>
      <c r="U38" s="311" t="s">
        <v>211</v>
      </c>
      <c r="V38" s="311" t="e">
        <f>_xll.qlMidEquivalent(T38,U38)</f>
        <v>#NUM!</v>
      </c>
      <c r="W38" s="194" t="b">
        <f t="shared" si="2"/>
        <v>0</v>
      </c>
      <c r="X38" s="514">
        <f t="shared" si="5"/>
        <v>23.3</v>
      </c>
      <c r="Y38" s="196">
        <v>2.33E-3</v>
      </c>
      <c r="Z38" s="309">
        <v>22.1</v>
      </c>
      <c r="AA38" s="196"/>
      <c r="AB38" s="418">
        <v>23.3</v>
      </c>
      <c r="AC38" s="193" t="e">
        <f>_xll.qlSimpleQuoteSetValue(F38,AB38/10000,Trigger)</f>
        <v>#N/A</v>
      </c>
      <c r="AD38" s="164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0" t="s">
        <v>51</v>
      </c>
      <c r="P39" s="241" t="str">
        <v>12L</v>
      </c>
      <c r="Q39" s="241" t="str">
        <v>3L</v>
      </c>
      <c r="R39" s="239" t="str">
        <f t="shared" si="1"/>
        <v>USD12L3L35Y</v>
      </c>
      <c r="S39" s="199" t="str">
        <v>USD12L3L35Y=ICAP</v>
      </c>
      <c r="T39" s="311" t="s">
        <v>211</v>
      </c>
      <c r="U39" s="311" t="s">
        <v>211</v>
      </c>
      <c r="V39" s="311" t="e">
        <f>_xll.qlMidEquivalent(T39,U39)</f>
        <v>#NUM!</v>
      </c>
      <c r="W39" s="194" t="b">
        <f t="shared" si="2"/>
        <v>0</v>
      </c>
      <c r="X39" s="514">
        <f t="shared" si="5"/>
        <v>23.3</v>
      </c>
      <c r="Y39" s="196">
        <v>2.33E-3</v>
      </c>
      <c r="Z39" s="309">
        <v>22.1</v>
      </c>
      <c r="AA39" s="196"/>
      <c r="AB39" s="418">
        <v>23.3</v>
      </c>
      <c r="AC39" s="193" t="e">
        <f>_xll.qlSimpleQuoteSetValue(F39,AB39/10000,Trigger)</f>
        <v>#N/A</v>
      </c>
      <c r="AD39" s="164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0" t="s">
        <v>46</v>
      </c>
      <c r="P40" s="241" t="str">
        <v>12L</v>
      </c>
      <c r="Q40" s="241" t="str">
        <v>3L</v>
      </c>
      <c r="R40" s="239" t="str">
        <f t="shared" si="1"/>
        <v>USD12L3L40Y</v>
      </c>
      <c r="S40" s="199" t="str">
        <v>USD12L3L40Y=ICAP</v>
      </c>
      <c r="T40" s="311" t="s">
        <v>211</v>
      </c>
      <c r="U40" s="311" t="s">
        <v>211</v>
      </c>
      <c r="V40" s="311" t="e">
        <f>_xll.qlMidEquivalent(T40,U40)</f>
        <v>#NUM!</v>
      </c>
      <c r="W40" s="194" t="b">
        <f t="shared" si="2"/>
        <v>0</v>
      </c>
      <c r="X40" s="514">
        <f t="shared" si="5"/>
        <v>23.3</v>
      </c>
      <c r="Y40" s="196">
        <v>2.33E-3</v>
      </c>
      <c r="Z40" s="309">
        <v>22.1</v>
      </c>
      <c r="AA40" s="196"/>
      <c r="AB40" s="418">
        <v>23.3</v>
      </c>
      <c r="AC40" s="193" t="e">
        <f>_xll.qlSimpleQuoteSetValue(F40,AB40/10000,Trigger)</f>
        <v>#N/A</v>
      </c>
      <c r="AD40" s="164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0" t="s">
        <v>36</v>
      </c>
      <c r="P41" s="241" t="str">
        <v>12L</v>
      </c>
      <c r="Q41" s="241" t="str">
        <v>3L</v>
      </c>
      <c r="R41" s="239" t="str">
        <f t="shared" si="1"/>
        <v>USD12L3L50Y</v>
      </c>
      <c r="S41" s="199" t="str">
        <v>USD12L3L50Y=ICAP</v>
      </c>
      <c r="T41" s="311" t="s">
        <v>211</v>
      </c>
      <c r="U41" s="311" t="s">
        <v>211</v>
      </c>
      <c r="V41" s="311" t="e">
        <f>_xll.qlMidEquivalent(T41,U41)</f>
        <v>#NUM!</v>
      </c>
      <c r="W41" s="194" t="b">
        <f t="shared" si="2"/>
        <v>0</v>
      </c>
      <c r="X41" s="514">
        <f t="shared" si="5"/>
        <v>23.3</v>
      </c>
      <c r="Y41" s="196">
        <v>2.33E-3</v>
      </c>
      <c r="Z41" s="309">
        <v>22.1</v>
      </c>
      <c r="AA41" s="196"/>
      <c r="AB41" s="418">
        <v>23.3</v>
      </c>
      <c r="AC41" s="193" t="e">
        <f>_xll.qlSimpleQuoteSetValue(F41,AB41/10000,Trigger)</f>
        <v>#N/A</v>
      </c>
      <c r="AD41" s="164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1" t="s">
        <v>26</v>
      </c>
      <c r="P42" s="236" t="str">
        <v>12L</v>
      </c>
      <c r="Q42" s="236" t="str">
        <v>3L</v>
      </c>
      <c r="R42" s="234" t="str">
        <f t="shared" si="1"/>
        <v>USD12L3L60Y</v>
      </c>
      <c r="S42" s="210" t="str">
        <v>USD12L3L60Y=ICAP</v>
      </c>
      <c r="T42" s="308" t="s">
        <v>211</v>
      </c>
      <c r="U42" s="308" t="s">
        <v>211</v>
      </c>
      <c r="V42" s="308" t="e">
        <f>_xll.qlMidEquivalent(T42,U42)</f>
        <v>#NUM!</v>
      </c>
      <c r="W42" s="207" t="b">
        <f t="shared" si="2"/>
        <v>0</v>
      </c>
      <c r="X42" s="515">
        <f t="shared" si="5"/>
        <v>23.3</v>
      </c>
      <c r="Y42" s="196">
        <v>2.33E-3</v>
      </c>
      <c r="Z42" s="306">
        <v>22.1</v>
      </c>
      <c r="AA42" s="196"/>
      <c r="AB42" s="419">
        <v>23.3</v>
      </c>
      <c r="AC42" s="206" t="e">
        <f>_xll.qlSimpleQuoteSetValue(F42,AB42/10000,Trigger)</f>
        <v>#N/A</v>
      </c>
      <c r="AD42" s="164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1"/>
      <c r="AE43" s="13"/>
      <c r="AF43" s="13"/>
      <c r="AG43" s="13"/>
      <c r="AH43" s="13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topLeftCell="G1" workbookViewId="0">
      <selection activeCell="J2" sqref="J2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29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28"/>
      <c r="I2" s="227"/>
      <c r="J2" s="116" t="s">
        <v>24</v>
      </c>
      <c r="K2" s="196"/>
      <c r="L2" s="196"/>
      <c r="M2" s="196"/>
      <c r="N2" s="196"/>
      <c r="O2" s="196"/>
      <c r="P2" s="196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6"/>
      <c r="J3" s="196"/>
      <c r="K3" s="196"/>
      <c r="L3" s="196"/>
      <c r="M3" s="196"/>
      <c r="N3" s="196"/>
      <c r="O3" s="226"/>
      <c r="P3" s="225">
        <f>_xll.ohTrigger(P5:P18)</f>
        <v>3</v>
      </c>
      <c r="Q3" s="164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2"/>
      <c r="J4" s="191" t="str">
        <f>_xll.RData(J8:J22,K4,,ReutersRtMode,,K8)</f>
        <v>Updated at 10:07:41</v>
      </c>
      <c r="K4" s="224" t="str">
        <f>VLOOKUP(Contributor,ContributorTable,5,FALSE)</f>
        <v>LAST</v>
      </c>
      <c r="L4" s="196"/>
      <c r="M4" s="223" t="s">
        <v>229</v>
      </c>
      <c r="N4" s="196"/>
      <c r="O4" s="222" t="s">
        <v>227</v>
      </c>
      <c r="P4" s="221" t="s">
        <v>226</v>
      </c>
      <c r="Q4" s="164"/>
      <c r="R4" s="13"/>
      <c r="S4" s="220" t="s">
        <v>225</v>
      </c>
      <c r="T4" s="219" t="s">
        <v>224</v>
      </c>
      <c r="U4" s="219" t="s">
        <v>223</v>
      </c>
      <c r="V4" s="219" t="s">
        <v>222</v>
      </c>
      <c r="W4" s="218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17" t="s">
        <v>187</v>
      </c>
      <c r="J5" s="216" t="str">
        <f t="array" ref="J5:J7">Currency&amp;VLOOKUP(U25,ContributorTable,2,FALSE)&amp;I5:I7&amp;VLOOKUP(U25,ContributorTable,3,FALSE)&amp;"="&amp;VLOOKUP(U25,ContributorTable,4,FALSE)</f>
        <v>USDOND=CKCC</v>
      </c>
      <c r="K5" s="215">
        <f>W28</f>
        <v>0.27999999999999997</v>
      </c>
      <c r="L5" s="196"/>
      <c r="M5" s="214">
        <v>0.23</v>
      </c>
      <c r="N5" s="196"/>
      <c r="O5" s="268">
        <f t="array" ref="O5:O22">QuoteLive</f>
        <v>0.27999999999999997</v>
      </c>
      <c r="P5" s="212">
        <f>_xll.qlSimpleQuoteSetValue(D5,O5/100,Trigger)</f>
        <v>0</v>
      </c>
      <c r="Q5" s="164"/>
      <c r="R5" s="13"/>
      <c r="S5" s="205" t="s">
        <v>220</v>
      </c>
      <c r="T5" s="58" t="s">
        <v>219</v>
      </c>
      <c r="U5" s="58" t="s">
        <v>203</v>
      </c>
      <c r="V5" s="58" t="str">
        <f>""</f>
        <v/>
      </c>
      <c r="W5" s="204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0" t="s">
        <v>218</v>
      </c>
      <c r="J6" s="199" t="str">
        <v>USDTND=CKCC</v>
      </c>
      <c r="K6" s="198">
        <f t="shared" ref="K6:K7" si="1">W29</f>
        <v>0.27999999999999997</v>
      </c>
      <c r="L6" s="196"/>
      <c r="M6" s="197">
        <v>0.23</v>
      </c>
      <c r="N6" s="196"/>
      <c r="O6" s="261">
        <v>0.27999999999999997</v>
      </c>
      <c r="P6" s="193">
        <f>_xll.qlSimpleQuoteSetValue(D6,O6/100,Trigger)</f>
        <v>0</v>
      </c>
      <c r="Q6" s="164"/>
      <c r="R6" s="13"/>
      <c r="S6" s="205" t="s">
        <v>24</v>
      </c>
      <c r="T6" s="58"/>
      <c r="U6" s="58" t="s">
        <v>217</v>
      </c>
      <c r="V6" s="58"/>
      <c r="W6" s="204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1" t="s">
        <v>215</v>
      </c>
      <c r="J7" s="210" t="str">
        <v>USDSND=CKCC</v>
      </c>
      <c r="K7" s="209">
        <f t="shared" si="1"/>
        <v>0.27999999999999997</v>
      </c>
      <c r="L7" s="196"/>
      <c r="M7" s="208">
        <v>0.23</v>
      </c>
      <c r="N7" s="196"/>
      <c r="O7" s="254">
        <v>0.27999999999999997</v>
      </c>
      <c r="P7" s="206">
        <f>_xll.qlSimpleQuoteSetValue(D7,O7/100,Trigger)</f>
        <v>0</v>
      </c>
      <c r="Q7" s="164"/>
      <c r="R7" s="13"/>
      <c r="S7" s="205" t="s">
        <v>214</v>
      </c>
      <c r="T7" s="58"/>
      <c r="U7" s="58" t="s">
        <v>203</v>
      </c>
      <c r="V7" s="58"/>
      <c r="W7" s="204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0" t="s">
        <v>22</v>
      </c>
      <c r="J8" s="199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198">
        <v>0.13399999999999998</v>
      </c>
      <c r="L8" s="196"/>
      <c r="M8" s="197">
        <v>0.12</v>
      </c>
      <c r="N8" s="196"/>
      <c r="O8" s="261">
        <v>0.13399999999999998</v>
      </c>
      <c r="P8" s="193">
        <f>_xll.qlSimpleQuoteSetValue(D8,O8/100,Trigger)</f>
        <v>0</v>
      </c>
      <c r="Q8" s="164"/>
      <c r="R8" s="13"/>
      <c r="S8" s="205" t="s">
        <v>201</v>
      </c>
      <c r="T8" s="58"/>
      <c r="U8" s="58" t="s">
        <v>203</v>
      </c>
      <c r="V8" s="58" t="s">
        <v>213</v>
      </c>
      <c r="W8" s="204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0" t="s">
        <v>21</v>
      </c>
      <c r="J9" s="199" t="str">
        <v>USD2WFSR=</v>
      </c>
      <c r="K9" s="198">
        <v>0</v>
      </c>
      <c r="L9" s="196"/>
      <c r="M9" s="197">
        <v>0</v>
      </c>
      <c r="N9" s="196"/>
      <c r="O9" s="261">
        <v>0</v>
      </c>
      <c r="P9" s="193">
        <f>_xll.qlSimpleQuoteSetValue(D9,O9/100,Trigger)</f>
        <v>0</v>
      </c>
      <c r="Q9" s="164"/>
      <c r="R9" s="13"/>
      <c r="S9" s="205" t="s">
        <v>212</v>
      </c>
      <c r="T9" s="58"/>
      <c r="U9" s="58" t="s">
        <v>203</v>
      </c>
      <c r="V9" s="58" t="s">
        <v>212</v>
      </c>
      <c r="W9" s="204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0" t="s">
        <v>20</v>
      </c>
      <c r="J10" s="199" t="str">
        <v>USD3WFSR=</v>
      </c>
      <c r="K10" s="198" t="s">
        <v>211</v>
      </c>
      <c r="L10" s="196"/>
      <c r="M10" s="197" t="s">
        <v>211</v>
      </c>
      <c r="N10" s="196"/>
      <c r="O10" s="261" t="str">
        <v>The record could not be found</v>
      </c>
      <c r="P10" s="193">
        <f>_xll.qlSimpleQuoteSetValue(D10,O10/100,Trigger)</f>
        <v>0</v>
      </c>
      <c r="Q10" s="164"/>
      <c r="R10" s="13"/>
      <c r="S10" s="205" t="s">
        <v>210</v>
      </c>
      <c r="T10" s="58"/>
      <c r="U10" s="58" t="s">
        <v>203</v>
      </c>
      <c r="V10" s="58" t="s">
        <v>209</v>
      </c>
      <c r="W10" s="204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0" t="s">
        <v>19</v>
      </c>
      <c r="J11" s="199" t="str">
        <v>USD1MFSR=</v>
      </c>
      <c r="K11" s="198">
        <v>0.17219999999999999</v>
      </c>
      <c r="L11" s="196"/>
      <c r="M11" s="197">
        <v>0.1527</v>
      </c>
      <c r="N11" s="196"/>
      <c r="O11" s="261">
        <v>0.17219999999999999</v>
      </c>
      <c r="P11" s="193">
        <f>_xll.qlSimpleQuoteSetValue(D11,O11/100,Trigger)</f>
        <v>0</v>
      </c>
      <c r="Q11" s="164"/>
      <c r="R11" s="13"/>
      <c r="S11" s="205" t="s">
        <v>208</v>
      </c>
      <c r="T11" s="58"/>
      <c r="U11" s="58" t="s">
        <v>203</v>
      </c>
      <c r="V11" s="58" t="s">
        <v>207</v>
      </c>
      <c r="W11" s="204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0" t="s">
        <v>18</v>
      </c>
      <c r="J12" s="199" t="str">
        <v>USD2MFSR=</v>
      </c>
      <c r="K12" s="198">
        <v>0.2112</v>
      </c>
      <c r="L12" s="196"/>
      <c r="M12" s="197">
        <v>0.19539999999999999</v>
      </c>
      <c r="N12" s="196"/>
      <c r="O12" s="261">
        <v>0.2112</v>
      </c>
      <c r="P12" s="193">
        <f>_xll.qlSimpleQuoteSetValue(D12,O12/100,Trigger)</f>
        <v>0</v>
      </c>
      <c r="Q12" s="164"/>
      <c r="R12" s="13"/>
      <c r="S12" s="205" t="s">
        <v>206</v>
      </c>
      <c r="T12" s="58"/>
      <c r="U12" s="58" t="s">
        <v>203</v>
      </c>
      <c r="V12" s="58" t="s">
        <v>205</v>
      </c>
      <c r="W12" s="204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0" t="s">
        <v>17</v>
      </c>
      <c r="J13" s="199" t="str">
        <v>USD3MFSR=</v>
      </c>
      <c r="K13" s="198">
        <v>0.25834999999999997</v>
      </c>
      <c r="L13" s="196"/>
      <c r="M13" s="197">
        <v>0.2291</v>
      </c>
      <c r="N13" s="196"/>
      <c r="O13" s="261">
        <v>0.25834999999999997</v>
      </c>
      <c r="P13" s="193">
        <f>_xll.qlSimpleQuoteSetValue(D13,O13/100,Trigger)</f>
        <v>0</v>
      </c>
      <c r="Q13" s="164"/>
      <c r="R13" s="13"/>
      <c r="S13" s="203" t="s">
        <v>204</v>
      </c>
      <c r="T13" s="202"/>
      <c r="U13" s="202" t="s">
        <v>203</v>
      </c>
      <c r="V13" s="202" t="s">
        <v>202</v>
      </c>
      <c r="W13" s="201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0" t="s">
        <v>16</v>
      </c>
      <c r="J14" s="199" t="str">
        <v>USD4MFSR=</v>
      </c>
      <c r="K14" s="198">
        <v>0</v>
      </c>
      <c r="L14" s="196"/>
      <c r="M14" s="197">
        <v>0</v>
      </c>
      <c r="N14" s="196"/>
      <c r="O14" s="261">
        <v>0</v>
      </c>
      <c r="P14" s="193">
        <f>_xll.qlSimpleQuoteSetValue(D14,O14/100,Trigger)</f>
        <v>0</v>
      </c>
      <c r="Q14" s="164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0" t="s">
        <v>15</v>
      </c>
      <c r="J15" s="199" t="str">
        <v>USD5MFSR=</v>
      </c>
      <c r="K15" s="198">
        <v>0</v>
      </c>
      <c r="L15" s="196"/>
      <c r="M15" s="197">
        <v>0</v>
      </c>
      <c r="N15" s="196"/>
      <c r="O15" s="261">
        <v>0</v>
      </c>
      <c r="P15" s="193">
        <f>_xll.qlSimpleQuoteSetValue(D15,O15/100,Trigger)</f>
        <v>0</v>
      </c>
      <c r="Q15" s="164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0" t="s">
        <v>14</v>
      </c>
      <c r="J16" s="199" t="str">
        <v>USD6MFSR=</v>
      </c>
      <c r="K16" s="198">
        <v>0.37340000000000001</v>
      </c>
      <c r="L16" s="196"/>
      <c r="M16" s="197">
        <v>0.31940000000000002</v>
      </c>
      <c r="N16" s="196"/>
      <c r="O16" s="261">
        <v>0.37340000000000001</v>
      </c>
      <c r="P16" s="193">
        <f>_xll.qlSimpleQuoteSetValue(D16,O16/100,Trigger)</f>
        <v>0</v>
      </c>
      <c r="Q16" s="164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0" t="s">
        <v>13</v>
      </c>
      <c r="J17" s="199" t="str">
        <v>USD7MFSR=</v>
      </c>
      <c r="K17" s="198">
        <v>0</v>
      </c>
      <c r="L17" s="196"/>
      <c r="M17" s="197">
        <v>0</v>
      </c>
      <c r="N17" s="196"/>
      <c r="O17" s="261">
        <v>0</v>
      </c>
      <c r="P17" s="193">
        <f>_xll.qlSimpleQuoteSetValue(D17,O17/100,Trigger)</f>
        <v>0</v>
      </c>
      <c r="Q17" s="164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0" t="s">
        <v>12</v>
      </c>
      <c r="J18" s="199" t="str">
        <v>USD8MFSR=</v>
      </c>
      <c r="K18" s="198">
        <v>0</v>
      </c>
      <c r="L18" s="196"/>
      <c r="M18" s="197">
        <v>0</v>
      </c>
      <c r="N18" s="196"/>
      <c r="O18" s="261">
        <v>0</v>
      </c>
      <c r="P18" s="193">
        <f>_xll.qlSimpleQuoteSetValue(D18,O18/100,Trigger)</f>
        <v>0</v>
      </c>
      <c r="Q18" s="164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0" t="s">
        <v>11</v>
      </c>
      <c r="J19" s="199" t="str">
        <v>USD9MFSR=</v>
      </c>
      <c r="K19" s="198">
        <v>0</v>
      </c>
      <c r="L19" s="196"/>
      <c r="M19" s="197">
        <v>0</v>
      </c>
      <c r="N19" s="196"/>
      <c r="O19" s="261">
        <v>0</v>
      </c>
      <c r="P19" s="193">
        <f>_xll.qlSimpleQuoteSetValue(D19,O19/100,Trigger)</f>
        <v>0</v>
      </c>
      <c r="Q19" s="164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0" t="s">
        <v>10</v>
      </c>
      <c r="J20" s="199" t="str">
        <v>USD10MFSR=</v>
      </c>
      <c r="K20" s="198">
        <v>0</v>
      </c>
      <c r="L20" s="196"/>
      <c r="M20" s="197">
        <v>0</v>
      </c>
      <c r="N20" s="196"/>
      <c r="O20" s="261">
        <v>0</v>
      </c>
      <c r="P20" s="193">
        <f>_xll.qlSimpleQuoteSetValue(D20,O20/100,Trigger)</f>
        <v>0</v>
      </c>
      <c r="Q20" s="164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0" t="s">
        <v>9</v>
      </c>
      <c r="J21" s="199" t="str">
        <v>USD11MFSR=</v>
      </c>
      <c r="K21" s="198">
        <v>0</v>
      </c>
      <c r="L21" s="196"/>
      <c r="M21" s="197">
        <v>0</v>
      </c>
      <c r="N21" s="196"/>
      <c r="O21" s="261">
        <v>0</v>
      </c>
      <c r="P21" s="193">
        <f>_xll.qlSimpleQuoteSetValue(D21,O21/100,Trigger)</f>
        <v>0</v>
      </c>
      <c r="Q21" s="164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0" t="s">
        <v>8</v>
      </c>
      <c r="J22" s="199" t="str">
        <v>USD1YFSR=</v>
      </c>
      <c r="K22" s="198">
        <v>0.65599999999999992</v>
      </c>
      <c r="L22" s="196"/>
      <c r="M22" s="197">
        <v>0.55054999999999998</v>
      </c>
      <c r="N22" s="196"/>
      <c r="O22" s="254">
        <v>0.65599999999999992</v>
      </c>
      <c r="P22" s="206">
        <f>_xll.qlSimpleQuoteSetValue(D22,O22/100,Trigger)</f>
        <v>0</v>
      </c>
      <c r="Q22" s="164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2"/>
      <c r="J23" s="192"/>
      <c r="K23" s="192"/>
      <c r="L23" s="21"/>
      <c r="M23" s="192"/>
      <c r="N23" s="21"/>
      <c r="O23" s="192"/>
      <c r="P23" s="192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1" t="str">
        <f>_xll.RData(J5:J7,V27:W27,"RTFEED:IDN",ReutersRtMode,,V28)</f>
        <v>Updated at 10:05:48</v>
      </c>
      <c r="V27" s="432" t="s">
        <v>199</v>
      </c>
      <c r="W27" s="432" t="s">
        <v>198</v>
      </c>
      <c r="X27" s="432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3">
        <v>0.18</v>
      </c>
      <c r="W28" s="433">
        <v>0.27999999999999997</v>
      </c>
      <c r="X28" s="433">
        <f>(V28+W28)/2</f>
        <v>0.22999999999999998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4">
        <v>0.18</v>
      </c>
      <c r="W29" s="434">
        <v>0.27999999999999997</v>
      </c>
      <c r="X29" s="434">
        <f>(V29+W29)/2</f>
        <v>0.22999999999999998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5">
        <v>0.18</v>
      </c>
      <c r="W30" s="435">
        <v>0.27999999999999997</v>
      </c>
      <c r="X30" s="435">
        <f>(V30+W30)/2</f>
        <v>0.22999999999999998</v>
      </c>
    </row>
  </sheetData>
  <conditionalFormatting sqref="P5:P2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2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28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6"/>
      <c r="T4" s="196"/>
      <c r="U4" s="196"/>
      <c r="V4" s="196"/>
      <c r="W4" s="196"/>
      <c r="X4" s="109"/>
      <c r="Y4" s="23"/>
      <c r="Z4" s="13"/>
      <c r="AA4" s="247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6"/>
      <c r="K5" s="109"/>
      <c r="L5" s="109"/>
      <c r="M5" s="109"/>
      <c r="N5" s="109"/>
      <c r="O5" s="109"/>
      <c r="P5" s="109"/>
      <c r="Q5" s="109"/>
      <c r="R5" s="109"/>
      <c r="S5" s="109"/>
      <c r="T5" s="196"/>
      <c r="U5" s="196"/>
      <c r="V5" s="196"/>
      <c r="W5" s="109"/>
      <c r="X5" s="225">
        <f>_xll.ohTrigger(X7:X33)</f>
        <v>0</v>
      </c>
      <c r="Y5" s="164"/>
      <c r="Z5" s="13"/>
      <c r="AA5" s="230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0"/>
      <c r="K6" s="143"/>
      <c r="L6" s="143"/>
      <c r="M6" s="143"/>
      <c r="N6" s="191" t="str">
        <f>_xll.RData(N7:N33,O6:R6,"RTFEED:IDN",ReutersRtMode,,O7)</f>
        <v>Updated at 10:08:06</v>
      </c>
      <c r="O6" s="249" t="s">
        <v>199</v>
      </c>
      <c r="P6" s="249" t="s">
        <v>198</v>
      </c>
      <c r="Q6" s="249" t="s">
        <v>216</v>
      </c>
      <c r="R6" s="249" t="s">
        <v>234</v>
      </c>
      <c r="S6" s="221" t="s">
        <v>233</v>
      </c>
      <c r="T6" s="196"/>
      <c r="U6" s="223" t="s">
        <v>229</v>
      </c>
      <c r="V6" s="196"/>
      <c r="W6" s="416" t="s">
        <v>227</v>
      </c>
      <c r="X6" s="67" t="s">
        <v>226</v>
      </c>
      <c r="Y6" s="164"/>
      <c r="Z6" s="13"/>
      <c r="AA6" s="230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0">
        <f>K7+3</f>
        <v>4</v>
      </c>
      <c r="K7" s="241">
        <f t="shared" ref="K7:K12" si="1">B7</f>
        <v>1</v>
      </c>
      <c r="L7" s="241" t="s">
        <v>231</v>
      </c>
      <c r="M7" s="239" t="str">
        <f t="shared" ref="M7:M33" si="2">Currency&amp;$K7&amp;$L7&amp;$J7&amp;"F"</f>
        <v>USD1X4F</v>
      </c>
      <c r="N7" s="239" t="str">
        <f t="array" ref="N7:N33">Instruments&amp;"="&amp;VLOOKUP(ContributorFRA,ContributorTable,2,FALSE)</f>
        <v>USD1X4F=GCMN</v>
      </c>
      <c r="O7" s="240">
        <v>0.255</v>
      </c>
      <c r="P7" s="240">
        <v>0.29500000000000004</v>
      </c>
      <c r="Q7" s="239">
        <v>0.255</v>
      </c>
      <c r="R7" s="239">
        <v>0.255</v>
      </c>
      <c r="S7" s="198">
        <f>_xll.qlMidSafe($O7,$P7)</f>
        <v>0.27500000000000002</v>
      </c>
      <c r="T7" s="196"/>
      <c r="U7" s="243">
        <v>0.22699999999999998</v>
      </c>
      <c r="V7" s="196"/>
      <c r="W7" s="268">
        <f t="array" ref="W7:W33">QuoteLive</f>
        <v>0.27500000000000002</v>
      </c>
      <c r="X7" s="212">
        <f>_xll.qlSimpleQuoteSetValue(E7,W7/100,Trigger)</f>
        <v>0</v>
      </c>
      <c r="Y7" s="164"/>
      <c r="Z7" s="13"/>
      <c r="AA7" s="230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0">
        <f t="shared" ref="J8:J12" si="3">K8+3</f>
        <v>5</v>
      </c>
      <c r="K8" s="241">
        <f t="shared" si="1"/>
        <v>2</v>
      </c>
      <c r="L8" s="241" t="s">
        <v>231</v>
      </c>
      <c r="M8" s="239" t="str">
        <f t="shared" si="2"/>
        <v>USD2X5F</v>
      </c>
      <c r="N8" s="239" t="str">
        <v>USD2X5F=GCMN</v>
      </c>
      <c r="O8" s="240">
        <v>0.28799999999999998</v>
      </c>
      <c r="P8" s="240">
        <v>0.32799999999999996</v>
      </c>
      <c r="Q8" s="239">
        <v>0.28799999999999998</v>
      </c>
      <c r="R8" s="239">
        <v>0.29399999999999998</v>
      </c>
      <c r="S8" s="198">
        <f>_xll.qlMidSafe($O8,$P8)</f>
        <v>0.30799999999999994</v>
      </c>
      <c r="T8" s="196"/>
      <c r="U8" s="238">
        <v>0.23199999999999998</v>
      </c>
      <c r="V8" s="196"/>
      <c r="W8" s="261">
        <v>0.30799999999999994</v>
      </c>
      <c r="X8" s="193">
        <f>_xll.qlSimpleQuoteSetValue(E8,W8/100,Trigger)</f>
        <v>0</v>
      </c>
      <c r="Y8" s="164"/>
      <c r="Z8" s="13"/>
      <c r="AA8" s="230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0">
        <f t="shared" si="3"/>
        <v>6</v>
      </c>
      <c r="K9" s="241">
        <f t="shared" si="1"/>
        <v>3</v>
      </c>
      <c r="L9" s="241" t="s">
        <v>231</v>
      </c>
      <c r="M9" s="239" t="str">
        <f t="shared" si="2"/>
        <v>USD3X6F</v>
      </c>
      <c r="N9" s="239" t="str">
        <v>USD3X6F=GCMN</v>
      </c>
      <c r="O9" s="240">
        <v>0.33300000000000002</v>
      </c>
      <c r="P9" s="240">
        <v>0.373</v>
      </c>
      <c r="Q9" s="239">
        <v>0.33300000000000002</v>
      </c>
      <c r="R9" s="239">
        <v>0.33900000000000002</v>
      </c>
      <c r="S9" s="198">
        <f>_xll.qlMidSafe($O9,$P9)</f>
        <v>0.35299999999999998</v>
      </c>
      <c r="T9" s="196"/>
      <c r="U9" s="238">
        <v>0.24199999999999999</v>
      </c>
      <c r="V9" s="196"/>
      <c r="W9" s="261">
        <v>0.35299999999999998</v>
      </c>
      <c r="X9" s="193">
        <f>_xll.qlSimpleQuoteSetValue(E9,W9/100,Trigger)</f>
        <v>0</v>
      </c>
      <c r="Y9" s="164"/>
      <c r="Z9" s="13"/>
      <c r="AA9" s="230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0">
        <f t="shared" si="3"/>
        <v>7</v>
      </c>
      <c r="K10" s="241">
        <f t="shared" si="1"/>
        <v>4</v>
      </c>
      <c r="L10" s="241" t="s">
        <v>231</v>
      </c>
      <c r="M10" s="239" t="str">
        <f t="shared" si="2"/>
        <v>USD4X7F</v>
      </c>
      <c r="N10" s="239" t="str">
        <v>USD4X7F=GCMN</v>
      </c>
      <c r="O10" s="240">
        <v>0.39100000000000001</v>
      </c>
      <c r="P10" s="240">
        <v>0.43099999999999994</v>
      </c>
      <c r="Q10" s="239">
        <v>0.39100000000000001</v>
      </c>
      <c r="R10" s="239">
        <v>0.39699999999999996</v>
      </c>
      <c r="S10" s="198">
        <f>_xll.qlMidSafe($O10,$P10)</f>
        <v>0.41099999999999998</v>
      </c>
      <c r="T10" s="196"/>
      <c r="U10" s="238">
        <v>0.255</v>
      </c>
      <c r="V10" s="196"/>
      <c r="W10" s="261">
        <v>0.41099999999999998</v>
      </c>
      <c r="X10" s="193">
        <f>_xll.qlSimpleQuoteSetValue(E10,W10/100,Trigger)</f>
        <v>0</v>
      </c>
      <c r="Y10" s="164"/>
      <c r="Z10" s="13"/>
      <c r="AA10" s="230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0">
        <f t="shared" si="3"/>
        <v>8</v>
      </c>
      <c r="K11" s="241">
        <f t="shared" si="1"/>
        <v>5</v>
      </c>
      <c r="L11" s="241" t="s">
        <v>231</v>
      </c>
      <c r="M11" s="239" t="str">
        <f t="shared" si="2"/>
        <v>USD5X8F</v>
      </c>
      <c r="N11" s="239" t="str">
        <v>USD5X8F=GCMN</v>
      </c>
      <c r="O11" s="240">
        <v>0.45400000000000001</v>
      </c>
      <c r="P11" s="240">
        <v>0.49400000000000005</v>
      </c>
      <c r="Q11" s="239">
        <v>0.45400000000000001</v>
      </c>
      <c r="R11" s="239">
        <v>0.46299999999999997</v>
      </c>
      <c r="S11" s="198">
        <f>_xll.qlMidSafe($O11,$P11)</f>
        <v>0.47400000000000003</v>
      </c>
      <c r="T11" s="196"/>
      <c r="U11" s="238">
        <v>0.27500000000000002</v>
      </c>
      <c r="V11" s="196"/>
      <c r="W11" s="261">
        <v>0.47400000000000003</v>
      </c>
      <c r="X11" s="193">
        <f>_xll.qlSimpleQuoteSetValue(E11,W11/100,Trigger)</f>
        <v>0</v>
      </c>
      <c r="Y11" s="164"/>
      <c r="Z11" s="13"/>
      <c r="AA11" s="230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1">
        <f t="shared" si="3"/>
        <v>9</v>
      </c>
      <c r="K12" s="236">
        <f t="shared" si="1"/>
        <v>6</v>
      </c>
      <c r="L12" s="236" t="s">
        <v>231</v>
      </c>
      <c r="M12" s="234" t="str">
        <f t="shared" si="2"/>
        <v>USD6X9F</v>
      </c>
      <c r="N12" s="234" t="str">
        <v>USD6X9F=GCMN</v>
      </c>
      <c r="O12" s="235">
        <v>0.51800000000000002</v>
      </c>
      <c r="P12" s="235">
        <v>0.55800000000000005</v>
      </c>
      <c r="Q12" s="234">
        <v>0.51800000000000002</v>
      </c>
      <c r="R12" s="234">
        <v>0.52699999999999991</v>
      </c>
      <c r="S12" s="209">
        <f>_xll.qlMidSafe($O12,$P12)</f>
        <v>0.53800000000000003</v>
      </c>
      <c r="T12" s="196"/>
      <c r="U12" s="233">
        <v>0.309</v>
      </c>
      <c r="V12" s="196"/>
      <c r="W12" s="254">
        <v>0.53800000000000003</v>
      </c>
      <c r="X12" s="206">
        <f>_xll.qlSimpleQuoteSetValue(E12,W12/100,Trigger)</f>
        <v>0</v>
      </c>
      <c r="Y12" s="164"/>
      <c r="Z12" s="13"/>
      <c r="AA12" s="230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17">
        <f>K13+6</f>
        <v>7</v>
      </c>
      <c r="K13" s="246">
        <f>B13</f>
        <v>1</v>
      </c>
      <c r="L13" s="246" t="s">
        <v>231</v>
      </c>
      <c r="M13" s="244" t="str">
        <f t="shared" si="2"/>
        <v>USD1X7F</v>
      </c>
      <c r="N13" s="244" t="str">
        <v>USD1X7F=GCMN</v>
      </c>
      <c r="O13" s="245">
        <v>0.39200000000000002</v>
      </c>
      <c r="P13" s="245">
        <v>0.43200000000000005</v>
      </c>
      <c r="Q13" s="244">
        <v>0.39200000000000002</v>
      </c>
      <c r="R13" s="244">
        <v>0.39400000000000002</v>
      </c>
      <c r="S13" s="215">
        <f>_xll.qlMidSafe($O13,$P13)</f>
        <v>0.41200000000000003</v>
      </c>
      <c r="T13" s="196"/>
      <c r="U13" s="243">
        <v>0.32599999999999996</v>
      </c>
      <c r="V13" s="196"/>
      <c r="W13" s="268">
        <v>0.41200000000000003</v>
      </c>
      <c r="X13" s="212">
        <f>_xll.qlSimpleQuoteSetValue(E13,W13/100,Trigger)</f>
        <v>0</v>
      </c>
      <c r="Y13" s="164"/>
      <c r="Z13" s="13"/>
      <c r="AA13" s="230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0">
        <f t="shared" ref="J14:J21" si="5">K14+6</f>
        <v>8</v>
      </c>
      <c r="K14" s="241">
        <f t="shared" ref="K14:K33" si="6">B14</f>
        <v>2</v>
      </c>
      <c r="L14" s="241" t="s">
        <v>231</v>
      </c>
      <c r="M14" s="239" t="str">
        <f t="shared" si="2"/>
        <v>USD2X8F</v>
      </c>
      <c r="N14" s="239" t="str">
        <v>USD2X8F=GCMN</v>
      </c>
      <c r="O14" s="240">
        <v>0.441</v>
      </c>
      <c r="P14" s="240">
        <v>0.48099999999999998</v>
      </c>
      <c r="Q14" s="239">
        <v>0.441</v>
      </c>
      <c r="R14" s="239">
        <v>0.44699999999999995</v>
      </c>
      <c r="S14" s="198">
        <f>_xll.qlMidSafe($O14,$P14)</f>
        <v>0.46099999999999997</v>
      </c>
      <c r="T14" s="196"/>
      <c r="U14" s="238">
        <v>0.33999999999999997</v>
      </c>
      <c r="V14" s="196"/>
      <c r="W14" s="261">
        <v>0.46099999999999997</v>
      </c>
      <c r="X14" s="193">
        <f>_xll.qlSimpleQuoteSetValue(E14,W14/100,Trigger)</f>
        <v>0</v>
      </c>
      <c r="Y14" s="164"/>
      <c r="Z14" s="13"/>
      <c r="AA14" s="230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0">
        <f t="shared" si="5"/>
        <v>9</v>
      </c>
      <c r="K15" s="241">
        <f t="shared" si="6"/>
        <v>3</v>
      </c>
      <c r="L15" s="241" t="s">
        <v>231</v>
      </c>
      <c r="M15" s="239" t="str">
        <f t="shared" si="2"/>
        <v>USD3X9F</v>
      </c>
      <c r="N15" s="239" t="str">
        <v>USD3X9F=GCMN</v>
      </c>
      <c r="O15" s="240">
        <v>0.495</v>
      </c>
      <c r="P15" s="240">
        <v>0.53499999999999992</v>
      </c>
      <c r="Q15" s="239">
        <v>0.495</v>
      </c>
      <c r="R15" s="239">
        <v>0.503</v>
      </c>
      <c r="S15" s="198">
        <f>_xll.qlMidSafe($O15,$P15)</f>
        <v>0.5149999999999999</v>
      </c>
      <c r="T15" s="196"/>
      <c r="U15" s="238">
        <v>0.36099999999999999</v>
      </c>
      <c r="V15" s="196"/>
      <c r="W15" s="261">
        <v>0.5149999999999999</v>
      </c>
      <c r="X15" s="193">
        <f>_xll.qlSimpleQuoteSetValue(E15,W15/100,Trigger)</f>
        <v>0</v>
      </c>
      <c r="Y15" s="164"/>
      <c r="Z15" s="13"/>
      <c r="AA15" s="230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0">
        <f t="shared" si="5"/>
        <v>10</v>
      </c>
      <c r="K16" s="241">
        <f t="shared" si="6"/>
        <v>4</v>
      </c>
      <c r="L16" s="241" t="s">
        <v>231</v>
      </c>
      <c r="M16" s="239" t="str">
        <f t="shared" si="2"/>
        <v>USD4X10F</v>
      </c>
      <c r="N16" s="239" t="str">
        <v>USD4X10F=GCMN</v>
      </c>
      <c r="O16" s="240">
        <v>0.56100000000000005</v>
      </c>
      <c r="P16" s="240">
        <v>0.60099999999999998</v>
      </c>
      <c r="Q16" s="239">
        <v>0.56100000000000005</v>
      </c>
      <c r="R16" s="239">
        <v>0.56799999999999995</v>
      </c>
      <c r="S16" s="198">
        <f>_xll.qlMidSafe($O16,$P16)</f>
        <v>0.58099999999999996</v>
      </c>
      <c r="T16" s="196"/>
      <c r="U16" s="238">
        <v>0.39300000000000002</v>
      </c>
      <c r="V16" s="196"/>
      <c r="W16" s="261">
        <v>0.58099999999999996</v>
      </c>
      <c r="X16" s="193">
        <f>_xll.qlSimpleQuoteSetValue(E16,W16/100,Trigger)</f>
        <v>0</v>
      </c>
      <c r="Y16" s="164"/>
      <c r="Z16" s="13"/>
      <c r="AA16" s="230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0">
        <f t="shared" si="5"/>
        <v>11</v>
      </c>
      <c r="K17" s="241">
        <f t="shared" si="6"/>
        <v>5</v>
      </c>
      <c r="L17" s="241" t="s">
        <v>231</v>
      </c>
      <c r="M17" s="239" t="str">
        <f t="shared" si="2"/>
        <v>USD5X11F</v>
      </c>
      <c r="N17" s="239" t="str">
        <v>USD5X11F=GCMN</v>
      </c>
      <c r="O17" s="240">
        <v>0.63100000000000001</v>
      </c>
      <c r="P17" s="240">
        <v>0.67100000000000004</v>
      </c>
      <c r="Q17" s="239">
        <v>0.63100000000000001</v>
      </c>
      <c r="R17" s="239">
        <v>0.64300000000000002</v>
      </c>
      <c r="S17" s="198">
        <f>_xll.qlMidSafe($O17,$P17)</f>
        <v>0.65100000000000002</v>
      </c>
      <c r="T17" s="196"/>
      <c r="U17" s="238">
        <v>0.432</v>
      </c>
      <c r="V17" s="196"/>
      <c r="W17" s="261">
        <v>0.65100000000000002</v>
      </c>
      <c r="X17" s="193">
        <f>_xll.qlSimpleQuoteSetValue(E17,W17/100,Trigger)</f>
        <v>0</v>
      </c>
      <c r="Y17" s="164"/>
      <c r="Z17" s="13"/>
      <c r="AA17" s="230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0">
        <f t="shared" si="5"/>
        <v>12</v>
      </c>
      <c r="K18" s="241">
        <f t="shared" si="6"/>
        <v>6</v>
      </c>
      <c r="L18" s="241" t="s">
        <v>231</v>
      </c>
      <c r="M18" s="239" t="str">
        <f t="shared" si="2"/>
        <v>USD6X12F</v>
      </c>
      <c r="N18" s="239" t="str">
        <v>USD6X12F=GCMN</v>
      </c>
      <c r="O18" s="240">
        <v>0.70199999999999996</v>
      </c>
      <c r="P18" s="240">
        <v>0.74199999999999999</v>
      </c>
      <c r="Q18" s="239">
        <v>0.70199999999999996</v>
      </c>
      <c r="R18" s="239">
        <v>0.71399999999999997</v>
      </c>
      <c r="S18" s="198">
        <f>_xll.qlMidSafe($O18,$P18)</f>
        <v>0.72199999999999998</v>
      </c>
      <c r="T18" s="196"/>
      <c r="U18" s="238">
        <v>0.48099999999999998</v>
      </c>
      <c r="V18" s="196"/>
      <c r="W18" s="261">
        <v>0.72199999999999998</v>
      </c>
      <c r="X18" s="193">
        <f>_xll.qlSimpleQuoteSetValue(E18,W18/100,Trigger)</f>
        <v>-1.0000000000001327E-5</v>
      </c>
      <c r="Y18" s="164"/>
      <c r="Z18" s="13"/>
      <c r="AA18" s="230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0">
        <f t="shared" si="5"/>
        <v>15</v>
      </c>
      <c r="K19" s="241">
        <f t="shared" si="6"/>
        <v>9</v>
      </c>
      <c r="L19" s="241" t="s">
        <v>231</v>
      </c>
      <c r="M19" s="239" t="str">
        <f t="shared" si="2"/>
        <v>USD9X15F</v>
      </c>
      <c r="N19" s="239" t="str">
        <v>USD9X15F=GCMN</v>
      </c>
      <c r="O19" s="240">
        <v>0.92899999999999994</v>
      </c>
      <c r="P19" s="240">
        <v>0.96899999999999997</v>
      </c>
      <c r="Q19" s="239">
        <v>0.92899999999999994</v>
      </c>
      <c r="R19" s="239">
        <v>0.94700000000000006</v>
      </c>
      <c r="S19" s="198">
        <f>_xll.qlMidSafe($O19,$P19)</f>
        <v>0.94899999999999995</v>
      </c>
      <c r="T19" s="196"/>
      <c r="U19" s="238">
        <v>0.68300000000000005</v>
      </c>
      <c r="V19" s="196"/>
      <c r="W19" s="261">
        <v>0.94899999999999995</v>
      </c>
      <c r="X19" s="193">
        <f>_xll.qlSimpleQuoteSetValue(E19,W19/100,Trigger)</f>
        <v>-2.000000000000092E-5</v>
      </c>
      <c r="Y19" s="164"/>
      <c r="Z19" s="13"/>
      <c r="AA19" s="230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0">
        <f t="shared" si="5"/>
        <v>18</v>
      </c>
      <c r="K20" s="241">
        <f t="shared" si="6"/>
        <v>12</v>
      </c>
      <c r="L20" s="241" t="s">
        <v>231</v>
      </c>
      <c r="M20" s="239" t="str">
        <f t="shared" si="2"/>
        <v>USD12X18F</v>
      </c>
      <c r="N20" s="239" t="str">
        <v>USD12X18F=GCMN</v>
      </c>
      <c r="O20" s="240">
        <v>1.163</v>
      </c>
      <c r="P20" s="240">
        <v>1.2030000000000001</v>
      </c>
      <c r="Q20" s="239">
        <v>1.163</v>
      </c>
      <c r="R20" s="239">
        <v>1.181</v>
      </c>
      <c r="S20" s="198">
        <f>_xll.qlMidSafe($O20,$P20)</f>
        <v>1.1830000000000001</v>
      </c>
      <c r="T20" s="196"/>
      <c r="U20" s="238">
        <v>0.92599999999999993</v>
      </c>
      <c r="V20" s="196"/>
      <c r="W20" s="261">
        <v>1.1830000000000001</v>
      </c>
      <c r="X20" s="193">
        <f>_xll.qlSimpleQuoteSetValue(E20,W20/100,Trigger)</f>
        <v>-9.9999999999995925E-6</v>
      </c>
      <c r="Y20" s="164"/>
      <c r="Z20" s="13"/>
      <c r="AA20" s="230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1">
        <f t="shared" si="5"/>
        <v>24</v>
      </c>
      <c r="K21" s="236">
        <f t="shared" si="6"/>
        <v>18</v>
      </c>
      <c r="L21" s="236" t="s">
        <v>231</v>
      </c>
      <c r="M21" s="234" t="str">
        <f t="shared" si="2"/>
        <v>USD18X24F</v>
      </c>
      <c r="N21" s="234" t="str">
        <v>USD18X24F=GCMN</v>
      </c>
      <c r="O21" s="235">
        <v>1.554</v>
      </c>
      <c r="P21" s="235">
        <v>1.5940000000000001</v>
      </c>
      <c r="Q21" s="234">
        <v>1.554</v>
      </c>
      <c r="R21" s="234">
        <v>1.5740000000000001</v>
      </c>
      <c r="S21" s="209">
        <f>_xll.qlMidSafe($O21,$P21)</f>
        <v>1.5740000000000001</v>
      </c>
      <c r="T21" s="196"/>
      <c r="U21" s="233">
        <v>1.425</v>
      </c>
      <c r="V21" s="196"/>
      <c r="W21" s="254">
        <v>1.5740000000000001</v>
      </c>
      <c r="X21" s="206">
        <f>_xll.qlSimpleQuoteSetValue(E21,W21/100,Trigger)</f>
        <v>-9.9999999999995925E-6</v>
      </c>
      <c r="Y21" s="164"/>
      <c r="Z21" s="13"/>
      <c r="AA21" s="230"/>
    </row>
    <row r="22" spans="1:27" x14ac:dyDescent="0.2">
      <c r="A22" s="94"/>
      <c r="B22" s="98">
        <v>1</v>
      </c>
      <c r="C22" s="507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17">
        <f>K22+12</f>
        <v>13</v>
      </c>
      <c r="K22" s="246">
        <f t="shared" si="6"/>
        <v>1</v>
      </c>
      <c r="L22" s="246" t="s">
        <v>231</v>
      </c>
      <c r="M22" s="244" t="str">
        <f t="shared" si="2"/>
        <v>USD1X13F</v>
      </c>
      <c r="N22" s="244" t="str">
        <v>USD1X13F=GCMN</v>
      </c>
      <c r="O22" s="245">
        <v>0.71900000000000008</v>
      </c>
      <c r="P22" s="245">
        <v>0.75900000000000001</v>
      </c>
      <c r="Q22" s="244">
        <v>0.71900000000000008</v>
      </c>
      <c r="R22" s="244">
        <v>0.72499999999999998</v>
      </c>
      <c r="S22" s="215">
        <f>_xll.qlMidSafe($O22,$P22)</f>
        <v>0.7390000000000001</v>
      </c>
      <c r="T22" s="196"/>
      <c r="U22" s="243">
        <v>0.6</v>
      </c>
      <c r="V22" s="196"/>
      <c r="W22" s="268">
        <v>0.7390000000000001</v>
      </c>
      <c r="X22" s="212">
        <f>_xll.qlSimpleQuoteSetValue(E22,W22/100,Trigger)</f>
        <v>0</v>
      </c>
      <c r="Y22" s="164"/>
    </row>
    <row r="23" spans="1:27" x14ac:dyDescent="0.2">
      <c r="A23" s="94"/>
      <c r="B23" s="102">
        <v>2</v>
      </c>
      <c r="C23" s="508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0">
        <f t="shared" ref="J23:J33" si="8">K23+12</f>
        <v>14</v>
      </c>
      <c r="K23" s="241">
        <f t="shared" si="6"/>
        <v>2</v>
      </c>
      <c r="L23" s="241" t="s">
        <v>231</v>
      </c>
      <c r="M23" s="239" t="str">
        <f t="shared" si="2"/>
        <v>USD2X14F</v>
      </c>
      <c r="N23" s="239" t="str">
        <v>USD2X14F=GCMN</v>
      </c>
      <c r="O23" s="240">
        <v>0.80899999999999994</v>
      </c>
      <c r="P23" s="240">
        <v>0.84899999999999998</v>
      </c>
      <c r="Q23" s="239">
        <v>0.80899999999999994</v>
      </c>
      <c r="R23" s="239">
        <v>0.82200000000000006</v>
      </c>
      <c r="S23" s="198">
        <f>_xll.qlMidSafe($O23,$P23)</f>
        <v>0.82899999999999996</v>
      </c>
      <c r="T23" s="196"/>
      <c r="U23" s="238">
        <v>0.64500000000000002</v>
      </c>
      <c r="V23" s="196"/>
      <c r="W23" s="261">
        <v>0.82899999999999996</v>
      </c>
      <c r="X23" s="193">
        <f>_xll.qlSimpleQuoteSetValue(E23,W23/100,Trigger)</f>
        <v>-1.0000000000001327E-5</v>
      </c>
      <c r="Y23" s="164"/>
    </row>
    <row r="24" spans="1:27" x14ac:dyDescent="0.2">
      <c r="A24" s="94"/>
      <c r="B24" s="102">
        <v>3</v>
      </c>
      <c r="C24" s="508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0">
        <f t="shared" si="8"/>
        <v>15</v>
      </c>
      <c r="K24" s="241">
        <f t="shared" si="6"/>
        <v>3</v>
      </c>
      <c r="L24" s="241" t="s">
        <v>231</v>
      </c>
      <c r="M24" s="239" t="str">
        <f t="shared" si="2"/>
        <v>USD3X15F</v>
      </c>
      <c r="N24" s="239" t="str">
        <v>USD3X15F=GCMN</v>
      </c>
      <c r="O24" s="240">
        <v>0.9</v>
      </c>
      <c r="P24" s="240">
        <v>0.94000000000000006</v>
      </c>
      <c r="Q24" s="239">
        <v>0.9</v>
      </c>
      <c r="R24" s="239">
        <v>0.91199999999999992</v>
      </c>
      <c r="S24" s="198">
        <f>_xll.qlMidSafe($O24,$P24)</f>
        <v>0.92</v>
      </c>
      <c r="T24" s="196"/>
      <c r="U24" s="238">
        <v>0.69700000000000006</v>
      </c>
      <c r="V24" s="196"/>
      <c r="W24" s="261">
        <v>0.92</v>
      </c>
      <c r="X24" s="193">
        <f>_xll.qlSimpleQuoteSetValue(E24,W24/100,Trigger)</f>
        <v>-1.0000000000001327E-5</v>
      </c>
      <c r="Y24" s="164"/>
    </row>
    <row r="25" spans="1:27" x14ac:dyDescent="0.2">
      <c r="A25" s="94"/>
      <c r="B25" s="102">
        <v>4</v>
      </c>
      <c r="C25" s="508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0">
        <f t="shared" si="8"/>
        <v>16</v>
      </c>
      <c r="K25" s="241">
        <f t="shared" si="6"/>
        <v>4</v>
      </c>
      <c r="L25" s="241" t="s">
        <v>231</v>
      </c>
      <c r="M25" s="239" t="str">
        <f t="shared" si="2"/>
        <v>USD4X16F</v>
      </c>
      <c r="N25" s="239" t="str">
        <v>USD4X16F=GCMN</v>
      </c>
      <c r="O25" s="240">
        <v>0.97200000000000009</v>
      </c>
      <c r="P25" s="240">
        <v>1.012</v>
      </c>
      <c r="Q25" s="239">
        <v>0.97200000000000009</v>
      </c>
      <c r="R25" s="239">
        <v>0.98499999999999999</v>
      </c>
      <c r="S25" s="198">
        <f>_xll.qlMidSafe($O25,$P25)</f>
        <v>0.99199999999999999</v>
      </c>
      <c r="T25" s="196"/>
      <c r="U25" s="238">
        <v>0.755</v>
      </c>
      <c r="V25" s="196"/>
      <c r="W25" s="261">
        <v>0.99199999999999999</v>
      </c>
      <c r="X25" s="193">
        <f>_xll.qlSimpleQuoteSetValue(E25,W25/100,Trigger)</f>
        <v>0</v>
      </c>
      <c r="Y25" s="164"/>
    </row>
    <row r="26" spans="1:27" x14ac:dyDescent="0.2">
      <c r="A26" s="94"/>
      <c r="B26" s="102">
        <v>5</v>
      </c>
      <c r="C26" s="508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0">
        <f t="shared" si="8"/>
        <v>17</v>
      </c>
      <c r="K26" s="241">
        <f t="shared" si="6"/>
        <v>5</v>
      </c>
      <c r="L26" s="241" t="s">
        <v>231</v>
      </c>
      <c r="M26" s="239" t="str">
        <f t="shared" si="2"/>
        <v>USD5X17F</v>
      </c>
      <c r="N26" s="239" t="str">
        <v>USD5X17F=GCMN</v>
      </c>
      <c r="O26" s="240">
        <v>1.042</v>
      </c>
      <c r="P26" s="240">
        <v>1.0820000000000001</v>
      </c>
      <c r="Q26" s="239">
        <v>1.042</v>
      </c>
      <c r="R26" s="239">
        <v>1.0569999999999999</v>
      </c>
      <c r="S26" s="198">
        <f>_xll.qlMidSafe($O26,$P26)</f>
        <v>1.0620000000000001</v>
      </c>
      <c r="T26" s="196"/>
      <c r="U26" s="238">
        <v>0.80899999999999994</v>
      </c>
      <c r="V26" s="196"/>
      <c r="W26" s="261">
        <v>1.0620000000000001</v>
      </c>
      <c r="X26" s="193">
        <f>_xll.qlSimpleQuoteSetValue(E26,W26/100,Trigger)</f>
        <v>0</v>
      </c>
      <c r="Y26" s="164"/>
    </row>
    <row r="27" spans="1:27" x14ac:dyDescent="0.2">
      <c r="A27" s="94"/>
      <c r="B27" s="102">
        <v>6</v>
      </c>
      <c r="C27" s="508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0">
        <f t="shared" si="8"/>
        <v>18</v>
      </c>
      <c r="K27" s="241">
        <f t="shared" si="6"/>
        <v>6</v>
      </c>
      <c r="L27" s="241" t="s">
        <v>231</v>
      </c>
      <c r="M27" s="239" t="str">
        <f t="shared" si="2"/>
        <v>USD6X18F</v>
      </c>
      <c r="N27" s="239" t="str">
        <v>USD6X18F=GCMN</v>
      </c>
      <c r="O27" s="240">
        <v>1.113</v>
      </c>
      <c r="P27" s="240">
        <v>1.153</v>
      </c>
      <c r="Q27" s="239">
        <v>1.113</v>
      </c>
      <c r="R27" s="239">
        <v>1.1280000000000001</v>
      </c>
      <c r="S27" s="198">
        <f>_xll.qlMidSafe($O27,$P27)</f>
        <v>1.133</v>
      </c>
      <c r="T27" s="196"/>
      <c r="U27" s="238">
        <v>0.874</v>
      </c>
      <c r="V27" s="196"/>
      <c r="W27" s="261">
        <v>1.133</v>
      </c>
      <c r="X27" s="193">
        <f>_xll.qlSimpleQuoteSetValue(E27,W27/100,Trigger)</f>
        <v>-9.9999999999995925E-6</v>
      </c>
      <c r="Y27" s="164"/>
    </row>
    <row r="28" spans="1:27" x14ac:dyDescent="0.2">
      <c r="A28" s="94"/>
      <c r="B28" s="102">
        <v>7</v>
      </c>
      <c r="C28" s="508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0">
        <f t="shared" si="8"/>
        <v>19</v>
      </c>
      <c r="K28" s="241">
        <f t="shared" si="6"/>
        <v>7</v>
      </c>
      <c r="L28" s="241" t="s">
        <v>231</v>
      </c>
      <c r="M28" s="239" t="str">
        <f t="shared" si="2"/>
        <v>USD7X19F</v>
      </c>
      <c r="N28" s="239" t="str">
        <v>USD7X19F=GCMN</v>
      </c>
      <c r="O28" s="240" t="s">
        <v>211</v>
      </c>
      <c r="P28" s="240" t="s">
        <v>211</v>
      </c>
      <c r="Q28" s="239" t="s">
        <v>211</v>
      </c>
      <c r="R28" s="239" t="s">
        <v>211</v>
      </c>
      <c r="S28" s="198" t="e">
        <f>_xll.qlMidSafe($O28,$P28)</f>
        <v>#NUM!</v>
      </c>
      <c r="T28" s="196"/>
      <c r="U28" s="238" t="e">
        <v>#NUM!</v>
      </c>
      <c r="V28" s="196"/>
      <c r="W28" s="261" t="e">
        <v>#NUM!</v>
      </c>
      <c r="X28" s="193">
        <f>_xll.qlSimpleQuoteSetValue(E28,W28/100,Trigger)</f>
        <v>0</v>
      </c>
      <c r="Y28" s="164"/>
    </row>
    <row r="29" spans="1:27" x14ac:dyDescent="0.2">
      <c r="A29" s="94"/>
      <c r="B29" s="102">
        <v>8</v>
      </c>
      <c r="C29" s="508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0">
        <f t="shared" si="8"/>
        <v>20</v>
      </c>
      <c r="K29" s="241">
        <f t="shared" si="6"/>
        <v>8</v>
      </c>
      <c r="L29" s="241" t="s">
        <v>231</v>
      </c>
      <c r="M29" s="239" t="str">
        <f t="shared" si="2"/>
        <v>USD8X20F</v>
      </c>
      <c r="N29" s="239" t="str">
        <v>USD8X20F=GCMN</v>
      </c>
      <c r="O29" s="240" t="s">
        <v>211</v>
      </c>
      <c r="P29" s="240" t="s">
        <v>211</v>
      </c>
      <c r="Q29" s="239" t="s">
        <v>211</v>
      </c>
      <c r="R29" s="239" t="s">
        <v>211</v>
      </c>
      <c r="S29" s="198" t="e">
        <f>_xll.qlMidSafe($O29,$P29)</f>
        <v>#NUM!</v>
      </c>
      <c r="T29" s="196"/>
      <c r="U29" s="238" t="e">
        <v>#NUM!</v>
      </c>
      <c r="V29" s="196"/>
      <c r="W29" s="261" t="e">
        <v>#NUM!</v>
      </c>
      <c r="X29" s="193">
        <f>_xll.qlSimpleQuoteSetValue(E29,W29/100,Trigger)</f>
        <v>0</v>
      </c>
      <c r="Y29" s="164"/>
    </row>
    <row r="30" spans="1:27" x14ac:dyDescent="0.2">
      <c r="A30" s="94"/>
      <c r="B30" s="102">
        <v>9</v>
      </c>
      <c r="C30" s="508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0">
        <f t="shared" si="8"/>
        <v>21</v>
      </c>
      <c r="K30" s="241">
        <f t="shared" si="6"/>
        <v>9</v>
      </c>
      <c r="L30" s="241" t="s">
        <v>231</v>
      </c>
      <c r="M30" s="239" t="str">
        <f t="shared" si="2"/>
        <v>USD9X21F</v>
      </c>
      <c r="N30" s="239" t="str">
        <v>USD9X21F=GCMN</v>
      </c>
      <c r="O30" s="240">
        <v>1.329</v>
      </c>
      <c r="P30" s="240">
        <v>1.369</v>
      </c>
      <c r="Q30" s="239">
        <v>1.329</v>
      </c>
      <c r="R30" s="239">
        <v>1.349</v>
      </c>
      <c r="S30" s="198">
        <f>_xll.qlMidSafe($O30,$P30)</f>
        <v>1.349</v>
      </c>
      <c r="T30" s="196"/>
      <c r="U30" s="238">
        <v>1.0960000000000001</v>
      </c>
      <c r="V30" s="196"/>
      <c r="W30" s="261">
        <v>1.349</v>
      </c>
      <c r="X30" s="193">
        <f>_xll.qlSimpleQuoteSetValue(E30,W30/100,Trigger)</f>
        <v>-1.0000000000001327E-5</v>
      </c>
      <c r="Y30" s="164"/>
    </row>
    <row r="31" spans="1:27" x14ac:dyDescent="0.2">
      <c r="A31" s="94"/>
      <c r="B31" s="102">
        <v>10</v>
      </c>
      <c r="C31" s="508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0">
        <f t="shared" si="8"/>
        <v>22</v>
      </c>
      <c r="K31" s="241">
        <f t="shared" si="6"/>
        <v>10</v>
      </c>
      <c r="L31" s="241" t="s">
        <v>231</v>
      </c>
      <c r="M31" s="239" t="str">
        <f t="shared" si="2"/>
        <v>USD10X22F</v>
      </c>
      <c r="N31" s="239" t="str">
        <v>USD10X22F=GCMN</v>
      </c>
      <c r="O31" s="240" t="s">
        <v>211</v>
      </c>
      <c r="P31" s="240" t="s">
        <v>211</v>
      </c>
      <c r="Q31" s="239" t="s">
        <v>211</v>
      </c>
      <c r="R31" s="239" t="s">
        <v>211</v>
      </c>
      <c r="S31" s="198" t="e">
        <f>_xll.qlMidSafe($O31,$P31)</f>
        <v>#NUM!</v>
      </c>
      <c r="T31" s="196"/>
      <c r="U31" s="238" t="e">
        <v>#NUM!</v>
      </c>
      <c r="V31" s="196"/>
      <c r="W31" s="261" t="e">
        <v>#NUM!</v>
      </c>
      <c r="X31" s="193">
        <f>_xll.qlSimpleQuoteSetValue(E31,W31/100,Trigger)</f>
        <v>0</v>
      </c>
      <c r="Y31" s="164"/>
    </row>
    <row r="32" spans="1:27" x14ac:dyDescent="0.2">
      <c r="A32" s="94"/>
      <c r="B32" s="102">
        <v>11</v>
      </c>
      <c r="C32" s="508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0">
        <f t="shared" si="8"/>
        <v>23</v>
      </c>
      <c r="K32" s="241">
        <f t="shared" si="6"/>
        <v>11</v>
      </c>
      <c r="L32" s="241" t="s">
        <v>231</v>
      </c>
      <c r="M32" s="239" t="str">
        <f t="shared" si="2"/>
        <v>USD11X23F</v>
      </c>
      <c r="N32" s="239" t="str">
        <v>USD11X23F=GCMN</v>
      </c>
      <c r="O32" s="240" t="s">
        <v>211</v>
      </c>
      <c r="P32" s="240" t="s">
        <v>211</v>
      </c>
      <c r="Q32" s="239" t="s">
        <v>211</v>
      </c>
      <c r="R32" s="239" t="s">
        <v>211</v>
      </c>
      <c r="S32" s="198" t="e">
        <f>_xll.qlMidSafe($O32,$P32)</f>
        <v>#NUM!</v>
      </c>
      <c r="T32" s="196"/>
      <c r="U32" s="238" t="e">
        <v>#NUM!</v>
      </c>
      <c r="V32" s="196"/>
      <c r="W32" s="261" t="e">
        <v>#NUM!</v>
      </c>
      <c r="X32" s="193">
        <f>_xll.qlSimpleQuoteSetValue(E32,W32/100,Trigger)</f>
        <v>0</v>
      </c>
      <c r="Y32" s="164"/>
    </row>
    <row r="33" spans="1:25" x14ac:dyDescent="0.2">
      <c r="A33" s="94"/>
      <c r="B33" s="93">
        <v>12</v>
      </c>
      <c r="C33" s="509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1">
        <f t="shared" si="8"/>
        <v>24</v>
      </c>
      <c r="K33" s="236">
        <f t="shared" si="6"/>
        <v>12</v>
      </c>
      <c r="L33" s="236" t="s">
        <v>231</v>
      </c>
      <c r="M33" s="234" t="str">
        <f t="shared" si="2"/>
        <v>USD12X24F</v>
      </c>
      <c r="N33" s="234" t="str">
        <v>USD12X24F=GCMN</v>
      </c>
      <c r="O33" s="235">
        <v>1.53</v>
      </c>
      <c r="P33" s="235">
        <v>1.57</v>
      </c>
      <c r="Q33" s="234">
        <v>1.53</v>
      </c>
      <c r="R33" s="234">
        <v>1.55</v>
      </c>
      <c r="S33" s="209">
        <f>_xll.qlMidSafe($O33,$P33)</f>
        <v>1.55</v>
      </c>
      <c r="T33" s="196"/>
      <c r="U33" s="233">
        <v>1.337</v>
      </c>
      <c r="V33" s="196"/>
      <c r="W33" s="254">
        <v>1.55</v>
      </c>
      <c r="X33" s="206">
        <f>_xll.qlSimpleQuoteSetValue(E33,W33/100,Trigger)</f>
        <v>-9.9999999999995925E-6</v>
      </c>
      <c r="Y33" s="164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1"/>
    </row>
  </sheetData>
  <conditionalFormatting sqref="X7:X3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I1" workbookViewId="0">
      <selection activeCell="O5" sqref="O5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29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77"/>
      <c r="W1" s="277"/>
      <c r="X1" s="148"/>
      <c r="Y1" s="148"/>
      <c r="Z1" s="148"/>
      <c r="AA1" s="276"/>
      <c r="AB1" s="13"/>
      <c r="AC1" s="13"/>
      <c r="AD1" s="13"/>
      <c r="AE1" s="13"/>
      <c r="AH1" s="125" t="s">
        <v>197</v>
      </c>
      <c r="AP1" s="275"/>
    </row>
    <row r="2" spans="1:43" x14ac:dyDescent="0.2">
      <c r="J2" s="228"/>
      <c r="K2" s="109"/>
      <c r="L2" s="227"/>
      <c r="M2" s="227"/>
      <c r="N2" s="109"/>
      <c r="O2" s="109"/>
      <c r="P2" s="109"/>
      <c r="Q2" s="109"/>
      <c r="R2" s="109"/>
      <c r="S2" s="109"/>
      <c r="T2" s="109"/>
      <c r="U2" s="109"/>
      <c r="V2" s="196"/>
      <c r="W2" s="196"/>
      <c r="X2" s="109"/>
      <c r="Y2" s="196"/>
      <c r="Z2" s="109"/>
      <c r="AA2" s="275"/>
      <c r="AB2" s="13"/>
      <c r="AC2" s="13"/>
      <c r="AD2" s="13"/>
      <c r="AE2" s="13"/>
      <c r="AF2" s="13"/>
      <c r="AH2" s="125"/>
      <c r="AL2" s="190" t="s">
        <v>196</v>
      </c>
      <c r="AM2" s="189" t="str">
        <f>PROPER(Currency)&amp;"HW_Volatility_Quote"</f>
        <v>UsdHW_Volatility_Quote</v>
      </c>
      <c r="AP2" s="275"/>
    </row>
    <row r="3" spans="1:43" ht="12" thickBot="1" x14ac:dyDescent="0.25">
      <c r="J3" s="228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6"/>
      <c r="W3" s="196"/>
      <c r="X3" s="109"/>
      <c r="Y3" s="109"/>
      <c r="Z3" s="109"/>
      <c r="AA3" s="275"/>
      <c r="AB3" s="13"/>
      <c r="AC3" s="13"/>
      <c r="AD3" s="13"/>
      <c r="AE3" s="13"/>
      <c r="AF3" s="13"/>
      <c r="AH3" s="125"/>
      <c r="AL3" s="190" t="s">
        <v>195</v>
      </c>
      <c r="AM3" s="189" t="str">
        <f>PROPER(Currency)&amp;"HW_MeanReversion_Quote"</f>
        <v>UsdHW_MeanReversion_Quote</v>
      </c>
      <c r="AP3" s="275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28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6"/>
      <c r="W4" s="196"/>
      <c r="X4" s="109"/>
      <c r="Y4" s="109"/>
      <c r="Z4" s="225">
        <f>_xll.ohTrigger(Z6:Z17)</f>
        <v>2</v>
      </c>
      <c r="AA4" s="275"/>
      <c r="AB4" s="13"/>
      <c r="AC4" s="13"/>
      <c r="AD4" s="13"/>
      <c r="AE4" s="13"/>
      <c r="AF4" s="13"/>
      <c r="AH4" s="125"/>
      <c r="AL4" s="190" t="s">
        <v>90</v>
      </c>
      <c r="AM4" s="189" t="str">
        <f>PROPER(Currency)&amp;FamilyName&amp;$AN$4</f>
        <v>UsdLibor1M</v>
      </c>
      <c r="AN4" s="188" t="s">
        <v>19</v>
      </c>
      <c r="AP4" s="275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28"/>
      <c r="K5" s="274" t="s">
        <v>149</v>
      </c>
      <c r="L5" s="249" t="s">
        <v>148</v>
      </c>
      <c r="M5" s="249" t="s">
        <v>147</v>
      </c>
      <c r="N5" s="249" t="s">
        <v>240</v>
      </c>
      <c r="O5" s="191" t="str">
        <f>_xll.RData(O6:O17,P5:T5,"RTFEED:IDN",ReutersRtMode,,P6)</f>
        <v>Updated at 10:05:48</v>
      </c>
      <c r="P5" s="249" t="s">
        <v>239</v>
      </c>
      <c r="Q5" s="249" t="s">
        <v>199</v>
      </c>
      <c r="R5" s="249" t="s">
        <v>198</v>
      </c>
      <c r="S5" s="249" t="s">
        <v>216</v>
      </c>
      <c r="T5" s="249" t="s">
        <v>234</v>
      </c>
      <c r="U5" s="221" t="s">
        <v>233</v>
      </c>
      <c r="V5" s="196"/>
      <c r="W5" s="223" t="s">
        <v>229</v>
      </c>
      <c r="X5" s="196"/>
      <c r="Y5" s="425" t="s">
        <v>227</v>
      </c>
      <c r="Z5" s="224" t="s">
        <v>226</v>
      </c>
      <c r="AA5" s="23"/>
      <c r="AB5" s="13"/>
      <c r="AC5" s="154" t="s">
        <v>238</v>
      </c>
      <c r="AD5" s="152" t="s">
        <v>237</v>
      </c>
      <c r="AE5" s="13"/>
      <c r="AF5" s="247" t="s">
        <v>232</v>
      </c>
      <c r="AH5" s="125"/>
      <c r="AP5" s="275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G5</v>
      </c>
      <c r="E6" s="115" t="str">
        <f t="shared" ref="E6:E17" si="0">Currency&amp;$D$4&amp;$E$4&amp;$D6&amp;QuoteSuffix</f>
        <v>USDFUT1MG5_Quote</v>
      </c>
      <c r="F6" s="121" t="str">
        <f>_xll.qlSimpleQuote(E6,,PriceTickValue,Permanent,Trigger,ObjectOverwrite)</f>
        <v>USDFUT1MG5_Quote#0000</v>
      </c>
      <c r="G6" s="120" t="str">
        <f>_xll.ohRangeRetrieveError(F6)</f>
        <v/>
      </c>
      <c r="H6" s="113"/>
      <c r="J6" s="260"/>
      <c r="K6" s="273">
        <v>1</v>
      </c>
      <c r="L6" s="272" t="b">
        <v>0</v>
      </c>
      <c r="M6" s="213" t="str">
        <f t="array" ref="M6:M17">_xll.qlIMMcode(FuturesDates)</f>
        <v>G5</v>
      </c>
      <c r="N6" s="271">
        <f t="array" ref="N6:N17">_xll.qlIMMNextDates(_xll.qlSettingsEvaluationDate(Trigger)-1,$L6:$L17)</f>
        <v>42053</v>
      </c>
      <c r="O6" s="213" t="str">
        <f t="array" ref="O6:O17">VLOOKUP(Currency,LiffeCodes,2)&amp;FuturesCodes</f>
        <v>EMG5</v>
      </c>
      <c r="P6" s="270">
        <v>42051</v>
      </c>
      <c r="Q6" s="213">
        <v>0</v>
      </c>
      <c r="R6" s="213">
        <v>0</v>
      </c>
      <c r="S6" s="213">
        <v>0</v>
      </c>
      <c r="T6" s="213">
        <v>99.834999999999994</v>
      </c>
      <c r="U6" s="215" t="e">
        <f>_xll.qlMidSafe($Q6,$R6)</f>
        <v>#NUM!</v>
      </c>
      <c r="V6" s="196"/>
      <c r="W6" s="269" t="e">
        <v>#NUM!</v>
      </c>
      <c r="X6" s="196"/>
      <c r="Y6" s="268" t="e">
        <f t="array" ref="Y6:Y17">QuoteLive</f>
        <v>#NUM!</v>
      </c>
      <c r="Z6" s="215">
        <f>_xll.qlSimpleQuoteSetValue(F6,Y6,Trigger)</f>
        <v>0</v>
      </c>
      <c r="AA6" s="23"/>
      <c r="AB6" s="13"/>
      <c r="AC6" s="59" t="s">
        <v>104</v>
      </c>
      <c r="AD6" s="57"/>
      <c r="AE6" s="13"/>
      <c r="AF6" s="230" t="e">
        <f t="shared" ref="AF6:AF17" si="1">(R6-U6)/50</f>
        <v>#NUM!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5"/>
    </row>
    <row r="7" spans="1:43" x14ac:dyDescent="0.2">
      <c r="A7" s="119"/>
      <c r="B7" s="118">
        <v>2</v>
      </c>
      <c r="C7" s="117" t="b">
        <v>0</v>
      </c>
      <c r="D7" s="116" t="str">
        <v>H5</v>
      </c>
      <c r="E7" s="115" t="str">
        <f t="shared" si="0"/>
        <v>USDFUT1MH5_Quote</v>
      </c>
      <c r="F7" s="114" t="str">
        <f>_xll.qlSimpleQuote(E7,,PriceTickValue,Permanent,Trigger,ObjectOverwrite)</f>
        <v>USDFUT1MH5_Quote#0000</v>
      </c>
      <c r="G7" s="79" t="str">
        <f>_xll.ohRangeRetrieveError(F7)</f>
        <v/>
      </c>
      <c r="H7" s="113"/>
      <c r="J7" s="260"/>
      <c r="K7" s="266">
        <v>2</v>
      </c>
      <c r="L7" s="265" t="b">
        <v>0</v>
      </c>
      <c r="M7" s="194" t="str">
        <v>H5</v>
      </c>
      <c r="N7" s="264">
        <v>42081</v>
      </c>
      <c r="O7" s="194" t="str">
        <v>EMH5</v>
      </c>
      <c r="P7" s="263">
        <v>42079</v>
      </c>
      <c r="Q7" s="194">
        <v>0</v>
      </c>
      <c r="R7" s="194">
        <v>0</v>
      </c>
      <c r="S7" s="194">
        <v>0</v>
      </c>
      <c r="T7" s="194">
        <v>99.822500000000005</v>
      </c>
      <c r="U7" s="198" t="e">
        <f>_xll.qlMidSafe($Q7,$R7)</f>
        <v>#NUM!</v>
      </c>
      <c r="V7" s="196"/>
      <c r="W7" s="267" t="e">
        <v>#NUM!</v>
      </c>
      <c r="X7" s="196"/>
      <c r="Y7" s="261" t="e">
        <v>#NUM!</v>
      </c>
      <c r="Z7" s="198">
        <f>_xll.qlSimpleQuoteSetValue(F7,Y7,Trigger)</f>
        <v>0</v>
      </c>
      <c r="AA7" s="23"/>
      <c r="AB7" s="13"/>
      <c r="AC7" s="59" t="s">
        <v>103</v>
      </c>
      <c r="AD7" s="57"/>
      <c r="AE7" s="13"/>
      <c r="AF7" s="230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G5</v>
      </c>
      <c r="AL7" s="186" t="str">
        <f t="shared" ref="AL7:AL18" si="2">Currency&amp;"FUT"&amp;$AN$4&amp;$AK7&amp;QuoteSuffix</f>
        <v>USDFUT1MG5_Quote</v>
      </c>
      <c r="AM7" s="187" t="str">
        <f t="shared" ref="AM7:AM18" si="3">Currency&amp;"FUT"&amp;$AN$4&amp;$AK7&amp;"ConvAdj"&amp;QuoteSuffix</f>
        <v>USDFUT1MG5ConvAdj_Quote</v>
      </c>
      <c r="AN7" s="186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'USDFUT1MG5_Quote'</v>
      </c>
      <c r="AP7" s="275"/>
    </row>
    <row r="8" spans="1:43" x14ac:dyDescent="0.2">
      <c r="A8" s="119"/>
      <c r="B8" s="118">
        <v>3</v>
      </c>
      <c r="C8" s="117" t="b">
        <v>0</v>
      </c>
      <c r="D8" s="116" t="str">
        <v>J5</v>
      </c>
      <c r="E8" s="115" t="str">
        <f t="shared" si="0"/>
        <v>USDFUT1MJ5_Quote</v>
      </c>
      <c r="F8" s="114" t="str">
        <f>_xll.qlSimpleQuote(E8,,PriceTickValue,Permanent,Trigger,ObjectOverwrite)</f>
        <v>USDFUT1MJ5_Quote#0000</v>
      </c>
      <c r="G8" s="79" t="str">
        <f>_xll.ohRangeRetrieveError(F8)</f>
        <v/>
      </c>
      <c r="H8" s="113"/>
      <c r="J8" s="260"/>
      <c r="K8" s="266">
        <v>3</v>
      </c>
      <c r="L8" s="265" t="b">
        <v>0</v>
      </c>
      <c r="M8" s="194" t="str">
        <v>J5</v>
      </c>
      <c r="N8" s="264">
        <v>42109</v>
      </c>
      <c r="O8" s="194" t="str">
        <v>EMJ5</v>
      </c>
      <c r="P8" s="263">
        <v>42107</v>
      </c>
      <c r="Q8" s="194">
        <v>0</v>
      </c>
      <c r="R8" s="194">
        <v>0</v>
      </c>
      <c r="S8" s="194">
        <v>0</v>
      </c>
      <c r="T8" s="194">
        <v>99.8125</v>
      </c>
      <c r="U8" s="198" t="e">
        <f>_xll.qlMidSafe($Q8,$R8)</f>
        <v>#NUM!</v>
      </c>
      <c r="V8" s="196"/>
      <c r="W8" s="267" t="e">
        <v>#NUM!</v>
      </c>
      <c r="X8" s="196"/>
      <c r="Y8" s="261" t="e">
        <v>#NUM!</v>
      </c>
      <c r="Z8" s="198">
        <f>_xll.qlSimpleQuoteSetValue(F8,Y8,Trigger)</f>
        <v>0</v>
      </c>
      <c r="AA8" s="23"/>
      <c r="AB8" s="13"/>
      <c r="AC8" s="59" t="s">
        <v>100</v>
      </c>
      <c r="AD8" s="57"/>
      <c r="AE8" s="13"/>
      <c r="AF8" s="230" t="e">
        <f t="shared" si="1"/>
        <v>#NUM!</v>
      </c>
      <c r="AH8" s="119"/>
      <c r="AI8" s="118">
        <v>2</v>
      </c>
      <c r="AJ8" s="116" t="b">
        <v>0</v>
      </c>
      <c r="AK8" s="116" t="str">
        <v>H5</v>
      </c>
      <c r="AL8" s="186" t="str">
        <f t="shared" si="2"/>
        <v>USDFUT1MH5_Quote</v>
      </c>
      <c r="AM8" s="187" t="str">
        <f t="shared" si="3"/>
        <v>USDFUT1MH5ConvAdj_Quote</v>
      </c>
      <c r="AN8" s="186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'USDFUT1MH5_Quote'</v>
      </c>
      <c r="AP8" s="275"/>
    </row>
    <row r="9" spans="1:43" x14ac:dyDescent="0.2">
      <c r="A9" s="119"/>
      <c r="B9" s="118">
        <v>4</v>
      </c>
      <c r="C9" s="117" t="b">
        <v>0</v>
      </c>
      <c r="D9" s="116" t="str">
        <v>K5</v>
      </c>
      <c r="E9" s="115" t="str">
        <f t="shared" si="0"/>
        <v>USDFUT1MK5_Quote</v>
      </c>
      <c r="F9" s="114" t="str">
        <f>_xll.qlSimpleQuote(E9,,PriceTickValue,Permanent,Trigger,ObjectOverwrite)</f>
        <v>USDFUT1MK5_Quote#0000</v>
      </c>
      <c r="G9" s="79" t="str">
        <f>_xll.ohRangeRetrieveError(F9)</f>
        <v/>
      </c>
      <c r="H9" s="113"/>
      <c r="J9" s="260"/>
      <c r="K9" s="266">
        <v>4</v>
      </c>
      <c r="L9" s="265" t="b">
        <v>0</v>
      </c>
      <c r="M9" s="194" t="str">
        <v>K5</v>
      </c>
      <c r="N9" s="264">
        <v>42144</v>
      </c>
      <c r="O9" s="194" t="str">
        <v>EMK5</v>
      </c>
      <c r="P9" s="263">
        <v>42142</v>
      </c>
      <c r="Q9" s="194">
        <v>0</v>
      </c>
      <c r="R9" s="194">
        <v>0</v>
      </c>
      <c r="S9" s="194">
        <v>0</v>
      </c>
      <c r="T9" s="194">
        <v>99.782499999999999</v>
      </c>
      <c r="U9" s="198" t="e">
        <f>_xll.qlMidSafe($Q9,$R9)</f>
        <v>#NUM!</v>
      </c>
      <c r="V9" s="196"/>
      <c r="W9" s="267" t="e">
        <v>#NUM!</v>
      </c>
      <c r="X9" s="196"/>
      <c r="Y9" s="261" t="e">
        <v>#NUM!</v>
      </c>
      <c r="Z9" s="198">
        <f>_xll.qlSimpleQuoteSetValue(F9,Y9,Trigger)</f>
        <v>0</v>
      </c>
      <c r="AA9" s="23"/>
      <c r="AB9" s="13"/>
      <c r="AC9" s="59" t="s">
        <v>99</v>
      </c>
      <c r="AD9" s="57"/>
      <c r="AE9" s="13"/>
      <c r="AF9" s="230" t="e">
        <f t="shared" si="1"/>
        <v>#NUM!</v>
      </c>
      <c r="AH9" s="119"/>
      <c r="AI9" s="118">
        <v>3</v>
      </c>
      <c r="AJ9" s="116" t="b">
        <v>0</v>
      </c>
      <c r="AK9" s="116" t="str">
        <v>J5</v>
      </c>
      <c r="AL9" s="186" t="str">
        <f t="shared" si="2"/>
        <v>USDFUT1MJ5_Quote</v>
      </c>
      <c r="AM9" s="187" t="str">
        <f t="shared" si="3"/>
        <v>USDFUT1MJ5ConvAdj_Quote</v>
      </c>
      <c r="AN9" s="186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'USDFUT1MJ5_Quote'</v>
      </c>
      <c r="AP9" s="275"/>
      <c r="AQ9" s="421"/>
    </row>
    <row r="10" spans="1:43" ht="12" thickBot="1" x14ac:dyDescent="0.25">
      <c r="A10" s="119"/>
      <c r="B10" s="118">
        <v>5</v>
      </c>
      <c r="C10" s="117" t="b">
        <v>0</v>
      </c>
      <c r="D10" s="116" t="str">
        <v>M5</v>
      </c>
      <c r="E10" s="115" t="str">
        <f t="shared" si="0"/>
        <v>USDFUT1MM5_Quote</v>
      </c>
      <c r="F10" s="114" t="str">
        <f>_xll.qlSimpleQuote(E10,,PriceTickValue,Permanent,Trigger,ObjectOverwrite)</f>
        <v>USDFUT1MM5_Quote#0000</v>
      </c>
      <c r="G10" s="79" t="str">
        <f>_xll.ohRangeRetrieveError(F10)</f>
        <v/>
      </c>
      <c r="H10" s="113"/>
      <c r="J10" s="260"/>
      <c r="K10" s="266">
        <v>5</v>
      </c>
      <c r="L10" s="265" t="b">
        <v>0</v>
      </c>
      <c r="M10" s="194" t="str">
        <v>M5</v>
      </c>
      <c r="N10" s="264">
        <v>42172</v>
      </c>
      <c r="O10" s="194" t="str">
        <v>EMM5</v>
      </c>
      <c r="P10" s="263">
        <v>42170</v>
      </c>
      <c r="Q10" s="194">
        <v>0</v>
      </c>
      <c r="R10" s="194">
        <v>0</v>
      </c>
      <c r="S10" s="194">
        <v>0</v>
      </c>
      <c r="T10" s="194">
        <v>99.71</v>
      </c>
      <c r="U10" s="198" t="e">
        <f>_xll.qlMidSafe($Q10,$R10)</f>
        <v>#NUM!</v>
      </c>
      <c r="V10" s="196"/>
      <c r="W10" s="262" t="e">
        <v>#NUM!</v>
      </c>
      <c r="X10" s="196"/>
      <c r="Y10" s="261" t="e">
        <v>#NUM!</v>
      </c>
      <c r="Z10" s="198">
        <f>_xll.qlSimpleQuoteSetValue(F10,Y10,Trigger)</f>
        <v>0</v>
      </c>
      <c r="AA10" s="23"/>
      <c r="AB10" s="13"/>
      <c r="AC10" s="56" t="s">
        <v>94</v>
      </c>
      <c r="AD10" s="54" t="s">
        <v>236</v>
      </c>
      <c r="AE10" s="13"/>
      <c r="AF10" s="230" t="e">
        <f t="shared" si="1"/>
        <v>#NUM!</v>
      </c>
      <c r="AH10" s="119"/>
      <c r="AI10" s="118">
        <v>4</v>
      </c>
      <c r="AJ10" s="116" t="b">
        <v>0</v>
      </c>
      <c r="AK10" s="116" t="str">
        <v>K5</v>
      </c>
      <c r="AL10" s="186" t="str">
        <f t="shared" si="2"/>
        <v>USDFUT1MK5_Quote</v>
      </c>
      <c r="AM10" s="187" t="str">
        <f t="shared" si="3"/>
        <v>USDFUT1MK5ConvAdj_Quote</v>
      </c>
      <c r="AN10" s="186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'USDFUT1MK5_Quote'</v>
      </c>
      <c r="AP10" s="275"/>
    </row>
    <row r="11" spans="1:43" x14ac:dyDescent="0.2">
      <c r="A11" s="119"/>
      <c r="B11" s="118">
        <v>6</v>
      </c>
      <c r="C11" s="117" t="b">
        <v>0</v>
      </c>
      <c r="D11" s="116" t="str">
        <v>N5</v>
      </c>
      <c r="E11" s="115" t="str">
        <f t="shared" si="0"/>
        <v>USDFUT1MN5_Quote</v>
      </c>
      <c r="F11" s="114" t="str">
        <f>_xll.qlSimpleQuote(E11,,PriceTickValue,Permanent,Trigger,ObjectOverwrite)</f>
        <v>USDFUT1MN5_Quote#0000</v>
      </c>
      <c r="G11" s="79" t="str">
        <f>_xll.ohRangeRetrieveError(F11)</f>
        <v/>
      </c>
      <c r="H11" s="113"/>
      <c r="J11" s="260"/>
      <c r="K11" s="266">
        <v>6</v>
      </c>
      <c r="L11" s="265" t="b">
        <v>0</v>
      </c>
      <c r="M11" s="194" t="str">
        <v>N5</v>
      </c>
      <c r="N11" s="264">
        <v>42200</v>
      </c>
      <c r="O11" s="194" t="str">
        <v>EMN5</v>
      </c>
      <c r="P11" s="263">
        <v>42198</v>
      </c>
      <c r="Q11" s="194">
        <v>0</v>
      </c>
      <c r="R11" s="194">
        <v>0</v>
      </c>
      <c r="S11" s="194">
        <v>0</v>
      </c>
      <c r="T11" s="194">
        <v>99.652500000000003</v>
      </c>
      <c r="U11" s="198" t="e">
        <f>_xll.qlMidSafe($Q11,$R11)</f>
        <v>#NUM!</v>
      </c>
      <c r="V11" s="196"/>
      <c r="W11" s="262" t="e">
        <v>#NUM!</v>
      </c>
      <c r="X11" s="196"/>
      <c r="Y11" s="261" t="e">
        <v>#NUM!</v>
      </c>
      <c r="Z11" s="198">
        <f>_xll.qlSimpleQuoteSetValue(F11,Y11,Trigger)</f>
        <v>0</v>
      </c>
      <c r="AA11" s="23"/>
      <c r="AB11" s="13"/>
      <c r="AC11" s="13"/>
      <c r="AD11" s="13"/>
      <c r="AE11" s="13"/>
      <c r="AF11" s="230" t="e">
        <f t="shared" si="1"/>
        <v>#NUM!</v>
      </c>
      <c r="AH11" s="119"/>
      <c r="AI11" s="118">
        <v>5</v>
      </c>
      <c r="AJ11" s="116" t="b">
        <v>0</v>
      </c>
      <c r="AK11" s="116" t="str">
        <v>M5</v>
      </c>
      <c r="AL11" s="186" t="str">
        <f t="shared" si="2"/>
        <v>USDFUT1MM5_Quote</v>
      </c>
      <c r="AM11" s="187" t="str">
        <f t="shared" si="3"/>
        <v>USDFUT1MM5ConvAdj_Quote</v>
      </c>
      <c r="AN11" s="186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'USDFUT1MM5_Quote'</v>
      </c>
      <c r="AP11" s="275"/>
    </row>
    <row r="12" spans="1:43" x14ac:dyDescent="0.2">
      <c r="A12" s="119"/>
      <c r="B12" s="118">
        <v>7</v>
      </c>
      <c r="C12" s="117" t="b">
        <v>0</v>
      </c>
      <c r="D12" s="116" t="str">
        <v>Q5</v>
      </c>
      <c r="E12" s="115" t="str">
        <f t="shared" si="0"/>
        <v>USDFUT1MQ5_Quote</v>
      </c>
      <c r="F12" s="114" t="str">
        <f>_xll.qlSimpleQuote(E12,,PriceTickValue,Permanent,Trigger,ObjectOverwrite)</f>
        <v>USDFUT1MQ5_Quote#0000</v>
      </c>
      <c r="G12" s="79" t="str">
        <f>_xll.ohRangeRetrieveError(F12)</f>
        <v/>
      </c>
      <c r="H12" s="113"/>
      <c r="J12" s="260"/>
      <c r="K12" s="266">
        <v>7</v>
      </c>
      <c r="L12" s="265" t="b">
        <v>0</v>
      </c>
      <c r="M12" s="194" t="str">
        <v>Q5</v>
      </c>
      <c r="N12" s="264">
        <v>42235</v>
      </c>
      <c r="O12" s="194" t="str">
        <v>EMQ5</v>
      </c>
      <c r="P12" s="263">
        <v>42233</v>
      </c>
      <c r="Q12" s="194">
        <v>0</v>
      </c>
      <c r="R12" s="194">
        <v>0</v>
      </c>
      <c r="S12" s="194">
        <v>0</v>
      </c>
      <c r="T12" s="194">
        <v>99.635000000000005</v>
      </c>
      <c r="U12" s="198" t="e">
        <f>_xll.qlMidSafe($Q12,$R12)</f>
        <v>#NUM!</v>
      </c>
      <c r="V12" s="196"/>
      <c r="W12" s="262" t="e">
        <v>#NUM!</v>
      </c>
      <c r="X12" s="196"/>
      <c r="Y12" s="261" t="e">
        <v>#NUM!</v>
      </c>
      <c r="Z12" s="198">
        <f>_xll.qlSimpleQuoteSetValue(F12,Y12,Trigger)</f>
        <v>0</v>
      </c>
      <c r="AA12" s="23"/>
      <c r="AB12" s="13"/>
      <c r="AC12" s="13"/>
      <c r="AD12" s="13"/>
      <c r="AE12" s="13"/>
      <c r="AF12" s="230" t="e">
        <f t="shared" si="1"/>
        <v>#NUM!</v>
      </c>
      <c r="AH12" s="119"/>
      <c r="AI12" s="118">
        <v>6</v>
      </c>
      <c r="AJ12" s="116" t="b">
        <v>0</v>
      </c>
      <c r="AK12" s="116" t="str">
        <v>N5</v>
      </c>
      <c r="AL12" s="186" t="str">
        <f t="shared" si="2"/>
        <v>USDFUT1MN5_Quote</v>
      </c>
      <c r="AM12" s="187" t="str">
        <f t="shared" si="3"/>
        <v>USDFUT1MN5ConvAdj_Quote</v>
      </c>
      <c r="AN12" s="186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'USDFUT1MN5_Quote'</v>
      </c>
      <c r="AP12" s="275"/>
    </row>
    <row r="13" spans="1:43" x14ac:dyDescent="0.2">
      <c r="A13" s="119"/>
      <c r="B13" s="118">
        <v>8</v>
      </c>
      <c r="C13" s="117" t="b">
        <v>0</v>
      </c>
      <c r="D13" s="116" t="str">
        <v>U5</v>
      </c>
      <c r="E13" s="115" t="str">
        <f t="shared" si="0"/>
        <v>USDFUT1MU5_Quote</v>
      </c>
      <c r="F13" s="114" t="str">
        <f>_xll.qlSimpleQuote(E13,,PriceTickValue,Permanent,Trigger,ObjectOverwrite)</f>
        <v>USDFUT1MU5_Quote#0000</v>
      </c>
      <c r="G13" s="79" t="str">
        <f>_xll.ohRangeRetrieveError(F13)</f>
        <v/>
      </c>
      <c r="H13" s="113"/>
      <c r="J13" s="260"/>
      <c r="K13" s="266">
        <v>8</v>
      </c>
      <c r="L13" s="265" t="b">
        <v>0</v>
      </c>
      <c r="M13" s="194" t="str">
        <v>U5</v>
      </c>
      <c r="N13" s="264">
        <v>42263</v>
      </c>
      <c r="O13" s="194" t="str">
        <v>EMU5</v>
      </c>
      <c r="P13" s="263">
        <v>42261</v>
      </c>
      <c r="Q13" s="194">
        <v>0</v>
      </c>
      <c r="R13" s="194">
        <v>0</v>
      </c>
      <c r="S13" s="194">
        <v>0</v>
      </c>
      <c r="T13" s="194">
        <v>99.522499999999994</v>
      </c>
      <c r="U13" s="198" t="e">
        <f>_xll.qlMidSafe($Q13,$R13)</f>
        <v>#NUM!</v>
      </c>
      <c r="V13" s="196"/>
      <c r="W13" s="262" t="e">
        <v>#NUM!</v>
      </c>
      <c r="X13" s="196"/>
      <c r="Y13" s="261" t="e">
        <v>#NUM!</v>
      </c>
      <c r="Z13" s="198">
        <f>_xll.qlSimpleQuoteSetValue(F13,Y13,Trigger)</f>
        <v>0</v>
      </c>
      <c r="AA13" s="23"/>
      <c r="AB13" s="13"/>
      <c r="AC13" s="13"/>
      <c r="AD13" s="13"/>
      <c r="AE13" s="13"/>
      <c r="AF13" s="230" t="e">
        <f t="shared" si="1"/>
        <v>#NUM!</v>
      </c>
      <c r="AH13" s="119"/>
      <c r="AI13" s="118">
        <v>7</v>
      </c>
      <c r="AJ13" s="116" t="b">
        <v>0</v>
      </c>
      <c r="AK13" s="116" t="str">
        <v>Q5</v>
      </c>
      <c r="AL13" s="186" t="str">
        <f t="shared" si="2"/>
        <v>USDFUT1MQ5_Quote</v>
      </c>
      <c r="AM13" s="187" t="str">
        <f t="shared" si="3"/>
        <v>USDFUT1MQ5ConvAdj_Quote</v>
      </c>
      <c r="AN13" s="186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'USDFUT1MQ5_Quote'</v>
      </c>
      <c r="AP13" s="275"/>
    </row>
    <row r="14" spans="1:43" x14ac:dyDescent="0.2">
      <c r="A14" s="119"/>
      <c r="B14" s="118">
        <v>9</v>
      </c>
      <c r="C14" s="117" t="b">
        <v>0</v>
      </c>
      <c r="D14" s="116" t="str">
        <v>V5</v>
      </c>
      <c r="E14" s="115" t="str">
        <f t="shared" si="0"/>
        <v>USDFUT1MV5_Quote</v>
      </c>
      <c r="F14" s="114" t="str">
        <f>_xll.qlSimpleQuote(E14,,PriceTickValue,Permanent,Trigger,ObjectOverwrite)</f>
        <v>USDFUT1MV5_Quote#0000</v>
      </c>
      <c r="G14" s="79" t="str">
        <f>_xll.ohRangeRetrieveError(F14)</f>
        <v/>
      </c>
      <c r="H14" s="113"/>
      <c r="J14" s="260"/>
      <c r="K14" s="266">
        <v>9</v>
      </c>
      <c r="L14" s="265" t="b">
        <v>0</v>
      </c>
      <c r="M14" s="194" t="str">
        <v>V5</v>
      </c>
      <c r="N14" s="264">
        <v>42298</v>
      </c>
      <c r="O14" s="194" t="str">
        <v>EMV5</v>
      </c>
      <c r="P14" s="263">
        <v>42296</v>
      </c>
      <c r="Q14" s="194">
        <v>0</v>
      </c>
      <c r="R14" s="194">
        <v>0</v>
      </c>
      <c r="S14" s="194">
        <v>0</v>
      </c>
      <c r="T14" s="194">
        <v>99.45</v>
      </c>
      <c r="U14" s="198" t="e">
        <f>_xll.qlMidSafe($Q14,$R14)</f>
        <v>#NUM!</v>
      </c>
      <c r="V14" s="196"/>
      <c r="W14" s="262" t="e">
        <v>#NUM!</v>
      </c>
      <c r="X14" s="196"/>
      <c r="Y14" s="261" t="e">
        <v>#NUM!</v>
      </c>
      <c r="Z14" s="198">
        <f>_xll.qlSimpleQuoteSetValue(F14,Y14,Trigger)</f>
        <v>0</v>
      </c>
      <c r="AA14" s="23"/>
      <c r="AB14" s="13"/>
      <c r="AC14" s="13"/>
      <c r="AD14" s="13"/>
      <c r="AE14" s="13"/>
      <c r="AF14" s="230" t="e">
        <f t="shared" si="1"/>
        <v>#NUM!</v>
      </c>
      <c r="AH14" s="119"/>
      <c r="AI14" s="118">
        <v>8</v>
      </c>
      <c r="AJ14" s="116" t="b">
        <v>0</v>
      </c>
      <c r="AK14" s="116" t="str">
        <v>U5</v>
      </c>
      <c r="AL14" s="186" t="str">
        <f t="shared" si="2"/>
        <v>USDFUT1MU5_Quote</v>
      </c>
      <c r="AM14" s="187" t="str">
        <f t="shared" si="3"/>
        <v>USDFUT1MU5ConvAdj_Quote</v>
      </c>
      <c r="AN14" s="186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'USDFUT1MU5_Quote'</v>
      </c>
      <c r="AP14" s="275"/>
    </row>
    <row r="15" spans="1:43" x14ac:dyDescent="0.2">
      <c r="A15" s="119"/>
      <c r="B15" s="118">
        <v>10</v>
      </c>
      <c r="C15" s="117" t="b">
        <v>0</v>
      </c>
      <c r="D15" s="116" t="str">
        <v>X5</v>
      </c>
      <c r="E15" s="115" t="str">
        <f t="shared" si="0"/>
        <v>USDFUT1MX5_Quote</v>
      </c>
      <c r="F15" s="114" t="str">
        <f>_xll.qlSimpleQuote(E15,,PriceTickValue,Permanent,Trigger,ObjectOverwrite)</f>
        <v>USDFUT1MX5_Quote#0000</v>
      </c>
      <c r="G15" s="79" t="str">
        <f>_xll.ohRangeRetrieveError(F15)</f>
        <v/>
      </c>
      <c r="H15" s="113"/>
      <c r="J15" s="260"/>
      <c r="K15" s="266">
        <v>10</v>
      </c>
      <c r="L15" s="265" t="b">
        <v>0</v>
      </c>
      <c r="M15" s="194" t="str">
        <v>X5</v>
      </c>
      <c r="N15" s="264">
        <v>42326</v>
      </c>
      <c r="O15" s="194" t="str">
        <v>EMX5</v>
      </c>
      <c r="P15" s="263">
        <v>42324</v>
      </c>
      <c r="Q15" s="194">
        <v>0</v>
      </c>
      <c r="R15" s="194">
        <v>0</v>
      </c>
      <c r="S15" s="194">
        <v>0</v>
      </c>
      <c r="T15" s="194">
        <v>99.427499999999995</v>
      </c>
      <c r="U15" s="198" t="e">
        <f>_xll.qlMidSafe($Q15,$R15)</f>
        <v>#NUM!</v>
      </c>
      <c r="V15" s="196"/>
      <c r="W15" s="262" t="e">
        <v>#NUM!</v>
      </c>
      <c r="X15" s="196"/>
      <c r="Y15" s="261" t="e">
        <v>#NUM!</v>
      </c>
      <c r="Z15" s="198">
        <f>_xll.qlSimpleQuoteSetValue(F15,Y15,Trigger)</f>
        <v>0</v>
      </c>
      <c r="AA15" s="23"/>
      <c r="AB15" s="13"/>
      <c r="AC15" s="13"/>
      <c r="AD15" s="13"/>
      <c r="AE15" s="13"/>
      <c r="AF15" s="230" t="e">
        <f t="shared" si="1"/>
        <v>#NUM!</v>
      </c>
      <c r="AH15" s="119"/>
      <c r="AI15" s="118">
        <v>9</v>
      </c>
      <c r="AJ15" s="116" t="b">
        <v>0</v>
      </c>
      <c r="AK15" s="116" t="str">
        <v>V5</v>
      </c>
      <c r="AL15" s="186" t="str">
        <f t="shared" si="2"/>
        <v>USDFUT1MV5_Quote</v>
      </c>
      <c r="AM15" s="187" t="str">
        <f t="shared" si="3"/>
        <v>USDFUT1MV5ConvAdj_Quote</v>
      </c>
      <c r="AN15" s="186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'USDFUT1MV5_Quote'</v>
      </c>
      <c r="AP15" s="275"/>
    </row>
    <row r="16" spans="1:43" x14ac:dyDescent="0.2">
      <c r="A16" s="119"/>
      <c r="B16" s="118">
        <v>11</v>
      </c>
      <c r="C16" s="117" t="b">
        <v>0</v>
      </c>
      <c r="D16" s="116" t="str">
        <v>Z5</v>
      </c>
      <c r="E16" s="115" t="str">
        <f t="shared" si="0"/>
        <v>USDFUT1MZ5_Quote</v>
      </c>
      <c r="F16" s="114" t="str">
        <f>_xll.qlSimpleQuote(E16,,PriceTickValue,Permanent,Trigger,ObjectOverwrite)</f>
        <v>USDFUT1MZ5_Quote#0000</v>
      </c>
      <c r="G16" s="79" t="str">
        <f>_xll.ohRangeRetrieveError(F16)</f>
        <v/>
      </c>
      <c r="H16" s="113"/>
      <c r="J16" s="260"/>
      <c r="K16" s="266">
        <v>11</v>
      </c>
      <c r="L16" s="265" t="b">
        <v>0</v>
      </c>
      <c r="M16" s="194" t="str">
        <v>Z5</v>
      </c>
      <c r="N16" s="264">
        <v>42354</v>
      </c>
      <c r="O16" s="194" t="str">
        <v>EMZ5</v>
      </c>
      <c r="P16" s="263">
        <v>42352</v>
      </c>
      <c r="Q16" s="194">
        <v>0</v>
      </c>
      <c r="R16" s="194">
        <v>0</v>
      </c>
      <c r="S16" s="194">
        <v>0</v>
      </c>
      <c r="T16" s="194">
        <v>99.317499999999995</v>
      </c>
      <c r="U16" s="198" t="e">
        <f>_xll.qlMidSafe($Q16,$R16)</f>
        <v>#NUM!</v>
      </c>
      <c r="V16" s="196"/>
      <c r="W16" s="262" t="e">
        <v>#NUM!</v>
      </c>
      <c r="X16" s="196"/>
      <c r="Y16" s="261" t="e">
        <v>#NUM!</v>
      </c>
      <c r="Z16" s="198">
        <f>_xll.qlSimpleQuoteSetValue(F16,Y16,Trigger)</f>
        <v>0</v>
      </c>
      <c r="AA16" s="23"/>
      <c r="AB16" s="13"/>
      <c r="AC16" s="13"/>
      <c r="AD16" s="13"/>
      <c r="AE16" s="13"/>
      <c r="AF16" s="230" t="e">
        <f t="shared" si="1"/>
        <v>#NUM!</v>
      </c>
      <c r="AH16" s="119"/>
      <c r="AI16" s="118">
        <v>10</v>
      </c>
      <c r="AJ16" s="116" t="b">
        <v>0</v>
      </c>
      <c r="AK16" s="116" t="str">
        <v>X5</v>
      </c>
      <c r="AL16" s="186" t="str">
        <f t="shared" si="2"/>
        <v>USDFUT1MX5_Quote</v>
      </c>
      <c r="AM16" s="187" t="str">
        <f t="shared" si="3"/>
        <v>USDFUT1MX5ConvAdj_Quote</v>
      </c>
      <c r="AN16" s="186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'USDFUT1MX5_Quote'</v>
      </c>
      <c r="AP16" s="275"/>
    </row>
    <row r="17" spans="1:42" x14ac:dyDescent="0.2">
      <c r="A17" s="119"/>
      <c r="B17" s="118">
        <v>12</v>
      </c>
      <c r="C17" s="117" t="b">
        <v>0</v>
      </c>
      <c r="D17" s="116" t="str">
        <v>F6</v>
      </c>
      <c r="E17" s="115" t="str">
        <f t="shared" si="0"/>
        <v>USDFUT1MF6_Quote</v>
      </c>
      <c r="F17" s="114" t="str">
        <f>_xll.qlSimpleQuote(E17,,PriceTickValue,Permanent,Trigger,ObjectOverwrite)</f>
        <v>USDFUT1MF6_Quote#0000</v>
      </c>
      <c r="G17" s="79" t="str">
        <f>_xll.ohRangeRetrieveError(F17)</f>
        <v/>
      </c>
      <c r="H17" s="113"/>
      <c r="J17" s="260"/>
      <c r="K17" s="259">
        <v>12</v>
      </c>
      <c r="L17" s="258" t="b">
        <v>0</v>
      </c>
      <c r="M17" s="207" t="str">
        <v>F6</v>
      </c>
      <c r="N17" s="257">
        <v>42389</v>
      </c>
      <c r="O17" s="207" t="str">
        <v>EMF6</v>
      </c>
      <c r="P17" s="256">
        <v>42387</v>
      </c>
      <c r="Q17" s="207">
        <v>0</v>
      </c>
      <c r="R17" s="207">
        <v>0</v>
      </c>
      <c r="S17" s="207">
        <v>0</v>
      </c>
      <c r="T17" s="207">
        <v>99.227500000000006</v>
      </c>
      <c r="U17" s="209" t="e">
        <f>_xll.qlMidSafe($Q17,$R17)</f>
        <v>#NUM!</v>
      </c>
      <c r="V17" s="196"/>
      <c r="W17" s="255" t="e">
        <v>#NUM!</v>
      </c>
      <c r="X17" s="196"/>
      <c r="Y17" s="254" t="e">
        <v>#NUM!</v>
      </c>
      <c r="Z17" s="209">
        <f>_xll.qlSimpleQuoteSetValue(F17,Y17,Trigger)</f>
        <v>0</v>
      </c>
      <c r="AA17" s="23"/>
      <c r="AB17" s="13"/>
      <c r="AC17" s="13"/>
      <c r="AD17" s="13"/>
      <c r="AE17" s="13"/>
      <c r="AF17" s="230" t="e">
        <f t="shared" si="1"/>
        <v>#NUM!</v>
      </c>
      <c r="AH17" s="119"/>
      <c r="AI17" s="118">
        <v>11</v>
      </c>
      <c r="AJ17" s="116" t="b">
        <v>0</v>
      </c>
      <c r="AK17" s="116" t="str">
        <v>Z5</v>
      </c>
      <c r="AL17" s="186" t="str">
        <f t="shared" si="2"/>
        <v>USDFUT1MZ5_Quote</v>
      </c>
      <c r="AM17" s="187" t="str">
        <f t="shared" si="3"/>
        <v>USDFUT1MZ5ConvAdj_Quote</v>
      </c>
      <c r="AN17" s="186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'USDFUT1MZ5_Quote'</v>
      </c>
      <c r="AP17" s="275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F6</v>
      </c>
      <c r="AL18" s="186" t="str">
        <f t="shared" si="2"/>
        <v>USDFUT1MF6_Quote</v>
      </c>
      <c r="AM18" s="187" t="str">
        <f t="shared" si="3"/>
        <v>USDFUT1MF6ConvAdj_Quote</v>
      </c>
      <c r="AN18" s="186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'USDFUT1MF6_Quote'</v>
      </c>
      <c r="AP18" s="275"/>
    </row>
    <row r="19" spans="1:42" ht="12" thickBot="1" x14ac:dyDescent="0.25">
      <c r="AH19" s="253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1"/>
    </row>
  </sheetData>
  <conditionalFormatting sqref="Z6:Z17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I1" workbookViewId="0">
      <selection activeCell="O5" sqref="O5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29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77"/>
      <c r="W1" s="277"/>
      <c r="X1" s="148"/>
      <c r="Y1" s="148"/>
      <c r="Z1" s="148"/>
      <c r="AA1" s="276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28"/>
      <c r="K2" s="109"/>
      <c r="L2" s="227"/>
      <c r="M2" s="227"/>
      <c r="N2" s="109"/>
      <c r="O2" s="109"/>
      <c r="P2" s="109"/>
      <c r="Q2" s="109"/>
      <c r="R2" s="109"/>
      <c r="S2" s="109"/>
      <c r="T2" s="109"/>
      <c r="U2" s="109"/>
      <c r="V2" s="196"/>
      <c r="W2" s="196"/>
      <c r="X2" s="109"/>
      <c r="Y2" s="196"/>
      <c r="Z2" s="109"/>
      <c r="AA2" s="275"/>
      <c r="AB2" s="13"/>
      <c r="AC2" s="13"/>
      <c r="AD2" s="13"/>
      <c r="AE2" s="13"/>
      <c r="AF2" s="13"/>
      <c r="AH2" s="125"/>
      <c r="AL2" s="190" t="s">
        <v>196</v>
      </c>
      <c r="AM2" s="189" t="str">
        <f>FuturesHWConvAdj!C5</f>
        <v>USDHW_Volatility_Quote#0000</v>
      </c>
      <c r="AO2" s="23"/>
    </row>
    <row r="3" spans="1:41" ht="12" thickBot="1" x14ac:dyDescent="0.25">
      <c r="J3" s="228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6"/>
      <c r="W3" s="196"/>
      <c r="X3" s="109"/>
      <c r="Y3" s="109"/>
      <c r="Z3" s="109"/>
      <c r="AA3" s="275"/>
      <c r="AB3" s="13"/>
      <c r="AC3" s="13"/>
      <c r="AD3" s="13"/>
      <c r="AE3" s="13"/>
      <c r="AF3" s="13"/>
      <c r="AH3" s="125"/>
      <c r="AL3" s="190" t="s">
        <v>195</v>
      </c>
      <c r="AM3" s="189" t="str">
        <f>FuturesHWConvAdj!C6</f>
        <v>USDHW_MeanReversion_Quote#0000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28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6"/>
      <c r="W4" s="196"/>
      <c r="X4" s="109"/>
      <c r="Y4" s="109"/>
      <c r="Z4" s="225">
        <f>_xll.ohTrigger(Z6:Z47)</f>
        <v>74</v>
      </c>
      <c r="AA4" s="275"/>
      <c r="AB4" s="13"/>
      <c r="AC4" s="13"/>
      <c r="AD4" s="13"/>
      <c r="AE4" s="13"/>
      <c r="AF4" s="13"/>
      <c r="AH4" s="125"/>
      <c r="AL4" s="190" t="s">
        <v>90</v>
      </c>
      <c r="AM4" s="189" t="str">
        <f>Libor!E10</f>
        <v>UsdLibor3M#0000</v>
      </c>
      <c r="AN4" s="188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28"/>
      <c r="K5" s="283" t="s">
        <v>149</v>
      </c>
      <c r="L5" s="279" t="s">
        <v>148</v>
      </c>
      <c r="M5" s="279" t="s">
        <v>147</v>
      </c>
      <c r="N5" s="279" t="s">
        <v>240</v>
      </c>
      <c r="O5" s="282" t="str">
        <f>_xll.RData(O6:O47,P5:T5,"RTFEED:IDN",ReutersRtMode,,P6)</f>
        <v>Updated at 10:08:07</v>
      </c>
      <c r="P5" s="279" t="s">
        <v>239</v>
      </c>
      <c r="Q5" s="279" t="s">
        <v>199</v>
      </c>
      <c r="R5" s="279" t="s">
        <v>198</v>
      </c>
      <c r="S5" s="279" t="s">
        <v>216</v>
      </c>
      <c r="T5" s="279" t="s">
        <v>234</v>
      </c>
      <c r="U5" s="281" t="s">
        <v>233</v>
      </c>
      <c r="V5" s="196"/>
      <c r="W5" s="280" t="s">
        <v>229</v>
      </c>
      <c r="X5" s="196"/>
      <c r="Y5" s="283" t="s">
        <v>227</v>
      </c>
      <c r="Z5" s="278" t="s">
        <v>226</v>
      </c>
      <c r="AA5" s="23"/>
      <c r="AB5" s="13"/>
      <c r="AC5" s="154" t="s">
        <v>238</v>
      </c>
      <c r="AD5" s="152" t="s">
        <v>237</v>
      </c>
      <c r="AE5" s="13"/>
      <c r="AF5" s="247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G5</v>
      </c>
      <c r="E6" s="115" t="str">
        <f t="shared" ref="E6:E37" si="0">Currency&amp;$D$4&amp;$E$4&amp;$D6&amp;QuoteSuffix</f>
        <v>USDFUT3MG5_Quote</v>
      </c>
      <c r="F6" s="121" t="str">
        <f>_xll.qlSimpleQuote(E6,,PriceTickValue,Permanent,Trigger,ObjectOverwrite)</f>
        <v>USDFUT3MG5_Quote#0000</v>
      </c>
      <c r="G6" s="120" t="str">
        <f>_xll.ohRangeRetrieveError(F6)</f>
        <v/>
      </c>
      <c r="H6" s="113"/>
      <c r="J6" s="260"/>
      <c r="K6" s="273">
        <v>1</v>
      </c>
      <c r="L6" s="272" t="b">
        <v>0</v>
      </c>
      <c r="M6" s="213" t="str">
        <f t="array" ref="M6:M47">_xll.qlIMMcode(FuturesDates)</f>
        <v>G5</v>
      </c>
      <c r="N6" s="271">
        <f t="array" ref="N6:N47">_xll.qlIMMNextDates(_xll.qlSettingsEvaluationDate(Trigger)-1,$L6:$L47)</f>
        <v>42053</v>
      </c>
      <c r="O6" s="213" t="str">
        <f t="array" ref="O6:O47">VLOOKUP(Currency,LiffeCodes,2)&amp;FuturesCodes</f>
        <v>EDG5</v>
      </c>
      <c r="P6" s="270">
        <v>42051</v>
      </c>
      <c r="Q6" s="213">
        <v>99.737499999999997</v>
      </c>
      <c r="R6" s="213">
        <v>99.74</v>
      </c>
      <c r="S6" s="213">
        <v>0</v>
      </c>
      <c r="T6" s="213">
        <v>99.74</v>
      </c>
      <c r="U6" s="215">
        <f>_xll.qlMidSafe(Q6,R6,Trigger)</f>
        <v>99.738749999999996</v>
      </c>
      <c r="V6" s="196"/>
      <c r="W6" s="269">
        <v>99.771249999999995</v>
      </c>
      <c r="X6" s="196"/>
      <c r="Y6" s="268">
        <f t="array" ref="Y6:Y47">QuoteLive</f>
        <v>99.738749999999996</v>
      </c>
      <c r="Z6" s="215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0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G5</v>
      </c>
      <c r="AL6" s="187" t="str">
        <f t="shared" ref="AL6:AL47" si="2">Currency&amp;"FUT"&amp;$AN$4&amp;$AK6&amp;"ConvAdj"&amp;QuoteSuffix</f>
        <v>USDFUT3MG5ConvAdj_Quote</v>
      </c>
      <c r="AM6" s="186" t="str">
        <f>_xll.qlFuturesConvAdjustmentQuote(AL6,IborIndex,AK6,F6,Volatility,MeanReversion,Permanent,AND(ISERROR(Z6),ISERROR(FuturesHWConvAdj!Q5:Q6)),ObjectOverwrite)</f>
        <v>USDFUT3MG5ConvAdj_Quote#0085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H5</v>
      </c>
      <c r="E7" s="115" t="str">
        <f t="shared" si="0"/>
        <v>USDFUT3MH5_Quote</v>
      </c>
      <c r="F7" s="114" t="str">
        <f>_xll.qlSimpleQuote(E7,,PriceTickValue,Permanent,Trigger,ObjectOverwrite)</f>
        <v>USDFUT3MH5_Quote#0000</v>
      </c>
      <c r="G7" s="79" t="str">
        <f>_xll.ohRangeRetrieveError(F7)</f>
        <v/>
      </c>
      <c r="H7" s="113"/>
      <c r="J7" s="260"/>
      <c r="K7" s="266">
        <v>2</v>
      </c>
      <c r="L7" s="265" t="b">
        <v>0</v>
      </c>
      <c r="M7" s="194" t="str">
        <v>H5</v>
      </c>
      <c r="N7" s="264">
        <v>42081</v>
      </c>
      <c r="O7" s="194" t="str">
        <v>EDH5</v>
      </c>
      <c r="P7" s="263">
        <v>42079</v>
      </c>
      <c r="Q7" s="194">
        <v>99.715000000000003</v>
      </c>
      <c r="R7" s="194">
        <v>99.72</v>
      </c>
      <c r="S7" s="194">
        <v>99.72</v>
      </c>
      <c r="T7" s="194">
        <v>99.72</v>
      </c>
      <c r="U7" s="198">
        <f>_xll.qlMidSafe(Q7,R7,Trigger)</f>
        <v>99.717500000000001</v>
      </c>
      <c r="V7" s="196"/>
      <c r="W7" s="267">
        <v>99.772500000000008</v>
      </c>
      <c r="X7" s="196"/>
      <c r="Y7" s="261">
        <v>99.717500000000001</v>
      </c>
      <c r="Z7" s="198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0">
        <f t="shared" si="1"/>
        <v>4.9999999999954527E-5</v>
      </c>
      <c r="AH7" s="119"/>
      <c r="AI7" s="118">
        <v>2</v>
      </c>
      <c r="AJ7" s="116" t="b">
        <v>0</v>
      </c>
      <c r="AK7" s="116" t="str">
        <v>H5</v>
      </c>
      <c r="AL7" s="187" t="str">
        <f t="shared" si="2"/>
        <v>USDFUT3MH5ConvAdj_Quote</v>
      </c>
      <c r="AM7" s="186" t="str">
        <f>_xll.qlFuturesConvAdjustmentQuote(AL7,IborIndex,AK7,F7,Volatility,MeanReversion,Permanent,AND(ISERROR(Z7),ISERROR(FuturesHWConvAdj!Q6:Q7)),ObjectOverwrite)</f>
        <v>USDFUT3MH5ConvAdj_Quote#0075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J5</v>
      </c>
      <c r="E8" s="115" t="str">
        <f t="shared" si="0"/>
        <v>USDFUT3MJ5_Quote</v>
      </c>
      <c r="F8" s="114" t="str">
        <f>_xll.qlSimpleQuote(E8,,PriceTickValue,Permanent,Trigger,ObjectOverwrite)</f>
        <v>USDFUT3MJ5_Quote#0000</v>
      </c>
      <c r="G8" s="79" t="str">
        <f>_xll.ohRangeRetrieveError(F8)</f>
        <v/>
      </c>
      <c r="H8" s="113"/>
      <c r="J8" s="260"/>
      <c r="K8" s="266">
        <v>3</v>
      </c>
      <c r="L8" s="265" t="b">
        <v>0</v>
      </c>
      <c r="M8" s="194" t="str">
        <v>J5</v>
      </c>
      <c r="N8" s="264">
        <v>42109</v>
      </c>
      <c r="O8" s="194" t="str">
        <v>EDJ5</v>
      </c>
      <c r="P8" s="263">
        <v>42107</v>
      </c>
      <c r="Q8" s="194">
        <v>99.685000000000002</v>
      </c>
      <c r="R8" s="194">
        <v>99.694999999999993</v>
      </c>
      <c r="S8" s="194">
        <v>0</v>
      </c>
      <c r="T8" s="194">
        <v>99.69</v>
      </c>
      <c r="U8" s="198">
        <f>_xll.qlMidSafe(Q8,R8,Trigger)</f>
        <v>99.69</v>
      </c>
      <c r="V8" s="196"/>
      <c r="W8" s="267">
        <v>99.767499999999998</v>
      </c>
      <c r="X8" s="196"/>
      <c r="Y8" s="261">
        <v>99.69</v>
      </c>
      <c r="Z8" s="198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0">
        <f t="shared" si="1"/>
        <v>9.9999999999909054E-5</v>
      </c>
      <c r="AH8" s="119"/>
      <c r="AI8" s="118">
        <v>3</v>
      </c>
      <c r="AJ8" s="116" t="b">
        <v>0</v>
      </c>
      <c r="AK8" s="116" t="str">
        <v>J5</v>
      </c>
      <c r="AL8" s="187" t="str">
        <f t="shared" si="2"/>
        <v>USDFUT3MJ5ConvAdj_Quote</v>
      </c>
      <c r="AM8" s="186" t="str">
        <f>_xll.qlFuturesConvAdjustmentQuote(AL8,IborIndex,AK8,F8,Volatility,MeanReversion,Permanent,AND(ISERROR(Z8),ISERROR(FuturesHWConvAdj!Q7:Q8)),ObjectOverwrite)</f>
        <v>USDFUT3MJ5ConvAdj_Quote#0075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K5</v>
      </c>
      <c r="E9" s="115" t="str">
        <f t="shared" si="0"/>
        <v>USDFUT3MK5_Quote</v>
      </c>
      <c r="F9" s="114" t="str">
        <f>_xll.qlSimpleQuote(E9,,PriceTickValue,Permanent,Trigger,ObjectOverwrite)</f>
        <v>USDFUT3MK5_Quote#0000</v>
      </c>
      <c r="G9" s="79" t="str">
        <f>_xll.ohRangeRetrieveError(F9)</f>
        <v/>
      </c>
      <c r="H9" s="113"/>
      <c r="J9" s="260"/>
      <c r="K9" s="266">
        <v>4</v>
      </c>
      <c r="L9" s="265" t="b">
        <v>0</v>
      </c>
      <c r="M9" s="194" t="str">
        <v>K5</v>
      </c>
      <c r="N9" s="264">
        <v>42144</v>
      </c>
      <c r="O9" s="194" t="str">
        <v>EDK5</v>
      </c>
      <c r="P9" s="263">
        <v>42142</v>
      </c>
      <c r="Q9" s="194">
        <v>0</v>
      </c>
      <c r="R9" s="194">
        <v>0</v>
      </c>
      <c r="S9" s="194">
        <v>0</v>
      </c>
      <c r="T9" s="194">
        <v>99.63</v>
      </c>
      <c r="U9" s="198" t="e">
        <f>_xll.qlMidSafe(Q9,R9,Trigger)</f>
        <v>#NUM!</v>
      </c>
      <c r="V9" s="196"/>
      <c r="W9" s="267">
        <v>99.757499999999993</v>
      </c>
      <c r="X9" s="196"/>
      <c r="Y9" s="261" t="e">
        <v>#NUM!</v>
      </c>
      <c r="Z9" s="198">
        <f>_xll.qlSimpleQuoteSetValue(F9,Y9,Trigger)</f>
        <v>0</v>
      </c>
      <c r="AA9" s="23"/>
      <c r="AB9" s="13"/>
      <c r="AC9" s="59" t="s">
        <v>99</v>
      </c>
      <c r="AD9" s="57"/>
      <c r="AE9" s="13"/>
      <c r="AF9" s="230" t="e">
        <f t="shared" si="1"/>
        <v>#NUM!</v>
      </c>
      <c r="AH9" s="119"/>
      <c r="AI9" s="118">
        <v>4</v>
      </c>
      <c r="AJ9" s="116" t="b">
        <v>0</v>
      </c>
      <c r="AK9" s="116" t="str">
        <v>K5</v>
      </c>
      <c r="AL9" s="187" t="str">
        <f t="shared" si="2"/>
        <v>USDFUT3MK5ConvAdj_Quote</v>
      </c>
      <c r="AM9" s="186" t="str">
        <f>_xll.qlFuturesConvAdjustmentQuote(AL9,IborIndex,AK9,F9,Volatility,MeanReversion,Permanent,AND(ISERROR(Z9),ISERROR(FuturesHWConvAdj!Q8:Q9)),ObjectOverwrite)</f>
        <v>USDFUT3MK5ConvAdj_Quote#0073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M5</v>
      </c>
      <c r="E10" s="115" t="str">
        <f t="shared" si="0"/>
        <v>USDFUT3MM5_Quote</v>
      </c>
      <c r="F10" s="114" t="str">
        <f>_xll.qlSimpleQuote(E10,,PriceTickValue,Permanent,Trigger,ObjectOverwrite)</f>
        <v>USDFUT3MM5_Quote#0000</v>
      </c>
      <c r="G10" s="79" t="str">
        <f>_xll.ohRangeRetrieveError(F10)</f>
        <v/>
      </c>
      <c r="H10" s="113"/>
      <c r="I10" s="421"/>
      <c r="J10" s="260"/>
      <c r="K10" s="266">
        <v>5</v>
      </c>
      <c r="L10" s="265" t="b">
        <v>0</v>
      </c>
      <c r="M10" s="194" t="str">
        <v>M5</v>
      </c>
      <c r="N10" s="264">
        <v>42172</v>
      </c>
      <c r="O10" s="194" t="str">
        <v>EDM5</v>
      </c>
      <c r="P10" s="263">
        <v>42170</v>
      </c>
      <c r="Q10" s="194">
        <v>99.575000000000003</v>
      </c>
      <c r="R10" s="194">
        <v>99.58</v>
      </c>
      <c r="S10" s="194">
        <v>99.575000000000003</v>
      </c>
      <c r="T10" s="194">
        <v>99.575000000000003</v>
      </c>
      <c r="U10" s="198">
        <f>_xll.qlMidSafe(Q10,R10,Trigger)</f>
        <v>99.577500000000001</v>
      </c>
      <c r="V10" s="196"/>
      <c r="W10" s="262">
        <v>99.72</v>
      </c>
      <c r="X10" s="196"/>
      <c r="Y10" s="261">
        <v>99.577500000000001</v>
      </c>
      <c r="Z10" s="198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0">
        <f t="shared" si="1"/>
        <v>4.9999999999954527E-5</v>
      </c>
      <c r="AH10" s="119"/>
      <c r="AI10" s="118">
        <v>5</v>
      </c>
      <c r="AJ10" s="116" t="b">
        <v>0</v>
      </c>
      <c r="AK10" s="116" t="str">
        <v>M5</v>
      </c>
      <c r="AL10" s="187" t="str">
        <f t="shared" si="2"/>
        <v>USDFUT3MM5ConvAdj_Quote</v>
      </c>
      <c r="AM10" s="186" t="str">
        <f>_xll.qlFuturesConvAdjustmentQuote(AL10,IborIndex,AK10,F10,Volatility,MeanReversion,Permanent,AND(ISERROR(Z10),ISERROR(FuturesHWConvAdj!Q9:Q10)),ObjectOverwrite)</f>
        <v>USDFUT3MM5ConvAdj_Quote#0075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N5</v>
      </c>
      <c r="E11" s="115" t="str">
        <f t="shared" si="0"/>
        <v>USDFUT3MN5_Quote</v>
      </c>
      <c r="F11" s="114" t="str">
        <f>_xll.qlSimpleQuote(E11,,PriceTickValue,Permanent,Trigger,ObjectOverwrite)</f>
        <v>USDFUT3MN5_Quote#0000</v>
      </c>
      <c r="G11" s="79" t="str">
        <f>_xll.ohRangeRetrieveError(F11)</f>
        <v/>
      </c>
      <c r="H11" s="113"/>
      <c r="J11" s="260"/>
      <c r="K11" s="266">
        <v>6</v>
      </c>
      <c r="L11" s="265" t="b">
        <v>0</v>
      </c>
      <c r="M11" s="194" t="str">
        <v>N5</v>
      </c>
      <c r="N11" s="264">
        <v>42200</v>
      </c>
      <c r="O11" s="194" t="str">
        <v>EDN5</v>
      </c>
      <c r="P11" s="263">
        <v>42198</v>
      </c>
      <c r="Q11" s="194">
        <v>0</v>
      </c>
      <c r="R11" s="194">
        <v>0</v>
      </c>
      <c r="S11" s="194">
        <v>0</v>
      </c>
      <c r="T11" s="194">
        <v>99.51</v>
      </c>
      <c r="U11" s="198" t="e">
        <f>_xll.qlMidSafe(Q11,R11,Trigger)</f>
        <v>#NUM!</v>
      </c>
      <c r="V11" s="196"/>
      <c r="W11" s="262">
        <v>99.722499999999997</v>
      </c>
      <c r="X11" s="196"/>
      <c r="Y11" s="261" t="e">
        <v>#NUM!</v>
      </c>
      <c r="Z11" s="198">
        <f>_xll.qlSimpleQuoteSetValue(F11,Y11,Trigger)</f>
        <v>0</v>
      </c>
      <c r="AA11" s="23"/>
      <c r="AB11" s="13"/>
      <c r="AC11" s="13"/>
      <c r="AD11" s="13"/>
      <c r="AE11" s="13"/>
      <c r="AF11" s="230" t="e">
        <f t="shared" si="1"/>
        <v>#NUM!</v>
      </c>
      <c r="AH11" s="119"/>
      <c r="AI11" s="118">
        <v>6</v>
      </c>
      <c r="AJ11" s="116" t="b">
        <v>0</v>
      </c>
      <c r="AK11" s="116" t="str">
        <v>N5</v>
      </c>
      <c r="AL11" s="187" t="str">
        <f t="shared" si="2"/>
        <v>USDFUT3MN5ConvAdj_Quote</v>
      </c>
      <c r="AM11" s="186" t="str">
        <f>_xll.qlFuturesConvAdjustmentQuote(AL11,IborIndex,AK11,F11,Volatility,MeanReversion,Permanent,AND(ISERROR(Z11),ISERROR(FuturesHWConvAdj!Q10:Q11)),ObjectOverwrite)</f>
        <v>USDFUT3MN5ConvAdj_Quote#0075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Q5</v>
      </c>
      <c r="E12" s="115" t="str">
        <f t="shared" si="0"/>
        <v>USDFUT3MQ5_Quote</v>
      </c>
      <c r="F12" s="114" t="str">
        <f>_xll.qlSimpleQuote(E12,,PriceTickValue,Permanent,Trigger,ObjectOverwrite)</f>
        <v>USDFUT3MQ5_Quote#0000</v>
      </c>
      <c r="G12" s="79" t="str">
        <f>_xll.ohRangeRetrieveError(F12)</f>
        <v/>
      </c>
      <c r="H12" s="113"/>
      <c r="J12" s="260"/>
      <c r="K12" s="266">
        <v>7</v>
      </c>
      <c r="L12" s="265" t="b">
        <v>0</v>
      </c>
      <c r="M12" s="194" t="str">
        <v>Q5</v>
      </c>
      <c r="N12" s="264">
        <v>42235</v>
      </c>
      <c r="O12" s="194" t="str">
        <v>EDQ5</v>
      </c>
      <c r="P12" s="263" t="s">
        <v>211</v>
      </c>
      <c r="Q12" s="194" t="s">
        <v>211</v>
      </c>
      <c r="R12" s="194" t="s">
        <v>211</v>
      </c>
      <c r="S12" s="194" t="s">
        <v>211</v>
      </c>
      <c r="T12" s="194" t="s">
        <v>211</v>
      </c>
      <c r="U12" s="198" t="e">
        <f>_xll.qlMidSafe(Q12,R12,Trigger)</f>
        <v>#NUM!</v>
      </c>
      <c r="V12" s="196"/>
      <c r="W12" s="262" t="e">
        <v>#NUM!</v>
      </c>
      <c r="X12" s="196"/>
      <c r="Y12" s="261" t="e">
        <v>#NUM!</v>
      </c>
      <c r="Z12" s="198">
        <f>_xll.qlSimpleQuoteSetValue(F12,Y12,Trigger)</f>
        <v>0</v>
      </c>
      <c r="AA12" s="23"/>
      <c r="AB12" s="13"/>
      <c r="AC12" s="13"/>
      <c r="AD12" s="13"/>
      <c r="AE12" s="13"/>
      <c r="AF12" s="230" t="e">
        <f t="shared" si="1"/>
        <v>#VALUE!</v>
      </c>
      <c r="AH12" s="119"/>
      <c r="AI12" s="118">
        <v>7</v>
      </c>
      <c r="AJ12" s="116" t="b">
        <v>0</v>
      </c>
      <c r="AK12" s="116" t="str">
        <v>Q5</v>
      </c>
      <c r="AL12" s="187" t="str">
        <f t="shared" si="2"/>
        <v>USDFUT3MQ5ConvAdj_Quote</v>
      </c>
      <c r="AM12" s="186" t="str">
        <f>_xll.qlFuturesConvAdjustmentQuote(AL12,IborIndex,AK12,F12,Volatility,MeanReversion,Permanent,AND(ISERROR(Z12),ISERROR(FuturesHWConvAdj!Q11:Q12)),ObjectOverwrite)</f>
        <v>USDFUT3MQ5ConvAdj_Quote#0075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U5</v>
      </c>
      <c r="E13" s="115" t="str">
        <f t="shared" si="0"/>
        <v>USDFUT3MU5_Quote</v>
      </c>
      <c r="F13" s="114" t="str">
        <f>_xll.qlSimpleQuote(E13,,PriceTickValue,Permanent,Trigger,ObjectOverwrite)</f>
        <v>USDFUT3MU5_Quote#0000</v>
      </c>
      <c r="G13" s="79" t="str">
        <f>_xll.ohRangeRetrieveError(F13)</f>
        <v/>
      </c>
      <c r="H13" s="113"/>
      <c r="J13" s="260"/>
      <c r="K13" s="266">
        <v>8</v>
      </c>
      <c r="L13" s="265" t="b">
        <v>0</v>
      </c>
      <c r="M13" s="194" t="str">
        <v>U5</v>
      </c>
      <c r="N13" s="264">
        <v>42263</v>
      </c>
      <c r="O13" s="194" t="str">
        <v>EDU5</v>
      </c>
      <c r="P13" s="263">
        <v>42261</v>
      </c>
      <c r="Q13" s="194">
        <v>99.375</v>
      </c>
      <c r="R13" s="194">
        <v>99.38</v>
      </c>
      <c r="S13" s="194">
        <v>99.38</v>
      </c>
      <c r="T13" s="194">
        <v>99.375</v>
      </c>
      <c r="U13" s="198">
        <f>_xll.qlMidSafe(Q13,R13,Trigger)</f>
        <v>99.377499999999998</v>
      </c>
      <c r="V13" s="196"/>
      <c r="W13" s="262" t="e">
        <v>#NUM!</v>
      </c>
      <c r="X13" s="196"/>
      <c r="Y13" s="261">
        <v>99.377499999999998</v>
      </c>
      <c r="Z13" s="198">
        <f>_xll.qlSimpleQuoteSetValue(F13,Y13,Trigger)</f>
        <v>0</v>
      </c>
      <c r="AA13" s="23"/>
      <c r="AB13" s="13"/>
      <c r="AC13" s="13"/>
      <c r="AD13" s="13"/>
      <c r="AE13" s="13"/>
      <c r="AF13" s="230">
        <f t="shared" si="1"/>
        <v>4.9999999999954527E-5</v>
      </c>
      <c r="AH13" s="119"/>
      <c r="AI13" s="118">
        <v>8</v>
      </c>
      <c r="AJ13" s="116" t="b">
        <v>0</v>
      </c>
      <c r="AK13" s="116" t="str">
        <v>U5</v>
      </c>
      <c r="AL13" s="187" t="str">
        <f t="shared" si="2"/>
        <v>USDFUT3MU5ConvAdj_Quote</v>
      </c>
      <c r="AM13" s="186" t="str">
        <f>_xll.qlFuturesConvAdjustmentQuote(AL13,IborIndex,AK13,F13,Volatility,MeanReversion,Permanent,AND(ISERROR(Z13),ISERROR(FuturesHWConvAdj!Q12:Q13)),ObjectOverwrite)</f>
        <v>USDFUT3MU5ConvAdj_Quote#0074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V5</v>
      </c>
      <c r="E14" s="115" t="str">
        <f t="shared" si="0"/>
        <v>USDFUT3MV5_Quote</v>
      </c>
      <c r="F14" s="114" t="str">
        <f>_xll.qlSimpleQuote(E14,,PriceTickValue,Permanent,Trigger,ObjectOverwrite)</f>
        <v>USDFUT3MV5_Quote#0000</v>
      </c>
      <c r="G14" s="79" t="str">
        <f>_xll.ohRangeRetrieveError(F14)</f>
        <v/>
      </c>
      <c r="H14" s="113"/>
      <c r="J14" s="260"/>
      <c r="K14" s="266">
        <v>9</v>
      </c>
      <c r="L14" s="265" t="b">
        <v>0</v>
      </c>
      <c r="M14" s="194" t="str">
        <v>V5</v>
      </c>
      <c r="N14" s="264">
        <v>42298</v>
      </c>
      <c r="O14" s="194" t="str">
        <v>EDV5</v>
      </c>
      <c r="P14" s="263" t="s">
        <v>211</v>
      </c>
      <c r="Q14" s="194" t="s">
        <v>211</v>
      </c>
      <c r="R14" s="194" t="s">
        <v>211</v>
      </c>
      <c r="S14" s="194" t="s">
        <v>211</v>
      </c>
      <c r="T14" s="194" t="s">
        <v>211</v>
      </c>
      <c r="U14" s="198" t="e">
        <f>_xll.qlMidSafe(Q14,R14,Trigger)</f>
        <v>#NUM!</v>
      </c>
      <c r="V14" s="196"/>
      <c r="W14" s="262">
        <v>99.577500000000001</v>
      </c>
      <c r="X14" s="196"/>
      <c r="Y14" s="261" t="e">
        <v>#NUM!</v>
      </c>
      <c r="Z14" s="198">
        <f>_xll.qlSimpleQuoteSetValue(F14,Y14,Trigger)</f>
        <v>0</v>
      </c>
      <c r="AA14" s="23"/>
      <c r="AB14" s="13"/>
      <c r="AC14" s="13"/>
      <c r="AD14" s="13"/>
      <c r="AE14" s="13"/>
      <c r="AF14" s="230" t="e">
        <f t="shared" si="1"/>
        <v>#VALUE!</v>
      </c>
      <c r="AH14" s="119"/>
      <c r="AI14" s="118">
        <v>9</v>
      </c>
      <c r="AJ14" s="116" t="b">
        <v>0</v>
      </c>
      <c r="AK14" s="116" t="str">
        <v>V5</v>
      </c>
      <c r="AL14" s="187" t="str">
        <f t="shared" si="2"/>
        <v>USDFUT3MV5ConvAdj_Quote</v>
      </c>
      <c r="AM14" s="186" t="str">
        <f>_xll.qlFuturesConvAdjustmentQuote(AL14,IborIndex,AK14,F14,Volatility,MeanReversion,Permanent,AND(ISERROR(Z14),ISERROR(FuturesHWConvAdj!Q13:Q14)),ObjectOverwrite)</f>
        <v>USDFUT3MV5ConvAdj_Quote#0073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X5</v>
      </c>
      <c r="E15" s="115" t="str">
        <f t="shared" si="0"/>
        <v>USDFUT3MX5_Quote</v>
      </c>
      <c r="F15" s="114" t="str">
        <f>_xll.qlSimpleQuote(E15,,PriceTickValue,Permanent,Trigger,ObjectOverwrite)</f>
        <v>USDFUT3MX5_Quote#0000</v>
      </c>
      <c r="G15" s="79" t="str">
        <f>_xll.ohRangeRetrieveError(F15)</f>
        <v/>
      </c>
      <c r="H15" s="113"/>
      <c r="J15" s="260"/>
      <c r="K15" s="266">
        <v>10</v>
      </c>
      <c r="L15" s="265" t="b">
        <v>0</v>
      </c>
      <c r="M15" s="194" t="str">
        <v>X5</v>
      </c>
      <c r="N15" s="264">
        <v>42326</v>
      </c>
      <c r="O15" s="194" t="str">
        <v>EDX5</v>
      </c>
      <c r="P15" s="263" t="s">
        <v>211</v>
      </c>
      <c r="Q15" s="194" t="s">
        <v>211</v>
      </c>
      <c r="R15" s="194" t="s">
        <v>211</v>
      </c>
      <c r="S15" s="194" t="s">
        <v>211</v>
      </c>
      <c r="T15" s="194" t="s">
        <v>211</v>
      </c>
      <c r="U15" s="198" t="e">
        <f>_xll.qlMidSafe(Q15,R15,Trigger)</f>
        <v>#NUM!</v>
      </c>
      <c r="V15" s="196"/>
      <c r="W15" s="262" t="e">
        <v>#NUM!</v>
      </c>
      <c r="X15" s="196"/>
      <c r="Y15" s="261" t="e">
        <v>#NUM!</v>
      </c>
      <c r="Z15" s="198">
        <f>_xll.qlSimpleQuoteSetValue(F15,Y15,Trigger)</f>
        <v>0</v>
      </c>
      <c r="AA15" s="23"/>
      <c r="AB15" s="13"/>
      <c r="AC15" s="13"/>
      <c r="AD15" s="13"/>
      <c r="AE15" s="13"/>
      <c r="AF15" s="230" t="e">
        <f t="shared" si="1"/>
        <v>#VALUE!</v>
      </c>
      <c r="AH15" s="119"/>
      <c r="AI15" s="118">
        <v>10</v>
      </c>
      <c r="AJ15" s="116" t="b">
        <v>0</v>
      </c>
      <c r="AK15" s="116" t="str">
        <v>X5</v>
      </c>
      <c r="AL15" s="187" t="str">
        <f t="shared" si="2"/>
        <v>USDFUT3MX5ConvAdj_Quote</v>
      </c>
      <c r="AM15" s="186" t="str">
        <f>_xll.qlFuturesConvAdjustmentQuote(AL15,IborIndex,AK15,F15,Volatility,MeanReversion,Permanent,AND(ISERROR(Z15),ISERROR(FuturesHWConvAdj!Q14:Q15)),ObjectOverwrite)</f>
        <v>USDFUT3MX5ConvAdj_Quote#0075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Z5</v>
      </c>
      <c r="E16" s="115" t="str">
        <f t="shared" si="0"/>
        <v>USDFUT3MZ5_Quote</v>
      </c>
      <c r="F16" s="114" t="str">
        <f>_xll.qlSimpleQuote(E16,,PriceTickValue,Permanent,Trigger,ObjectOverwrite)</f>
        <v>USDFUT3MZ5_Quote#0000</v>
      </c>
      <c r="G16" s="79" t="str">
        <f>_xll.ohRangeRetrieveError(F16)</f>
        <v/>
      </c>
      <c r="H16" s="113"/>
      <c r="J16" s="260"/>
      <c r="K16" s="266">
        <v>11</v>
      </c>
      <c r="L16" s="265" t="b">
        <v>0</v>
      </c>
      <c r="M16" s="194" t="str">
        <v>Z5</v>
      </c>
      <c r="N16" s="264">
        <v>42354</v>
      </c>
      <c r="O16" s="194" t="str">
        <v>EDZ5</v>
      </c>
      <c r="P16" s="263">
        <v>42352</v>
      </c>
      <c r="Q16" s="194">
        <v>99.144999999999996</v>
      </c>
      <c r="R16" s="194">
        <v>99.15</v>
      </c>
      <c r="S16" s="194">
        <v>99.144999999999996</v>
      </c>
      <c r="T16" s="194">
        <v>99.144999999999996</v>
      </c>
      <c r="U16" s="198">
        <f>_xll.qlMidSafe(Q16,R16,Trigger)</f>
        <v>99.147500000000008</v>
      </c>
      <c r="V16" s="196"/>
      <c r="W16" s="262" t="e">
        <v>#NUM!</v>
      </c>
      <c r="X16" s="196"/>
      <c r="Y16" s="261">
        <v>99.147500000000008</v>
      </c>
      <c r="Z16" s="198">
        <f>_xll.qlSimpleQuoteSetValue(F16,Y16,Trigger)</f>
        <v>0</v>
      </c>
      <c r="AA16" s="23"/>
      <c r="AB16" s="13"/>
      <c r="AC16" s="13"/>
      <c r="AD16" s="13"/>
      <c r="AE16" s="13"/>
      <c r="AF16" s="230">
        <f t="shared" si="1"/>
        <v>4.9999999999954527E-5</v>
      </c>
      <c r="AH16" s="119"/>
      <c r="AI16" s="118">
        <v>11</v>
      </c>
      <c r="AJ16" s="116" t="b">
        <v>0</v>
      </c>
      <c r="AK16" s="116" t="str">
        <v>Z5</v>
      </c>
      <c r="AL16" s="187" t="str">
        <f t="shared" si="2"/>
        <v>USDFUT3MZ5ConvAdj_Quote</v>
      </c>
      <c r="AM16" s="186" t="str">
        <f>_xll.qlFuturesConvAdjustmentQuote(AL16,IborIndex,AK16,F16,Volatility,MeanReversion,Permanent,AND(ISERROR(Z16),ISERROR(FuturesHWConvAdj!Q15:Q16)),ObjectOverwrite)</f>
        <v>USDFUT3MZ5ConvAdj_Quote#0075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F6</v>
      </c>
      <c r="E17" s="115" t="str">
        <f t="shared" si="0"/>
        <v>USDFUT3MF6_Quote</v>
      </c>
      <c r="F17" s="114" t="str">
        <f>_xll.qlSimpleQuote(E17,,PriceTickValue,Permanent,Trigger,ObjectOverwrite)</f>
        <v>USDFUT3MF6_Quote#0000</v>
      </c>
      <c r="G17" s="79" t="str">
        <f>_xll.ohRangeRetrieveError(F17)</f>
        <v/>
      </c>
      <c r="H17" s="113"/>
      <c r="J17" s="260"/>
      <c r="K17" s="266">
        <v>12</v>
      </c>
      <c r="L17" s="265" t="b">
        <v>0</v>
      </c>
      <c r="M17" s="194" t="str">
        <v>F6</v>
      </c>
      <c r="N17" s="264">
        <v>42389</v>
      </c>
      <c r="O17" s="194" t="str">
        <v>EDF6</v>
      </c>
      <c r="P17" s="263" t="s">
        <v>211</v>
      </c>
      <c r="Q17" s="194" t="s">
        <v>211</v>
      </c>
      <c r="R17" s="194" t="s">
        <v>211</v>
      </c>
      <c r="S17" s="194" t="s">
        <v>211</v>
      </c>
      <c r="T17" s="194" t="s">
        <v>211</v>
      </c>
      <c r="U17" s="198" t="e">
        <f>_xll.qlMidSafe(Q17,R17,Trigger)</f>
        <v>#NUM!</v>
      </c>
      <c r="V17" s="196"/>
      <c r="W17" s="262">
        <v>99.357500000000002</v>
      </c>
      <c r="X17" s="196"/>
      <c r="Y17" s="261" t="e">
        <v>#NUM!</v>
      </c>
      <c r="Z17" s="198">
        <f>_xll.qlSimpleQuoteSetValue(F17,Y17,Trigger)</f>
        <v>0</v>
      </c>
      <c r="AA17" s="23"/>
      <c r="AB17" s="13"/>
      <c r="AC17" s="13"/>
      <c r="AD17" s="13"/>
      <c r="AE17" s="13"/>
      <c r="AF17" s="230" t="e">
        <f t="shared" si="1"/>
        <v>#VALUE!</v>
      </c>
      <c r="AH17" s="119"/>
      <c r="AI17" s="118">
        <v>12</v>
      </c>
      <c r="AJ17" s="116" t="b">
        <v>0</v>
      </c>
      <c r="AK17" s="116" t="str">
        <v>F6</v>
      </c>
      <c r="AL17" s="187" t="str">
        <f t="shared" si="2"/>
        <v>USDFUT3MF6ConvAdj_Quote</v>
      </c>
      <c r="AM17" s="186" t="str">
        <f>_xll.qlFuturesConvAdjustmentQuote(AL17,IborIndex,AK17,F17,Volatility,MeanReversion,Permanent,AND(ISERROR(Z17),ISERROR(FuturesHWConvAdj!Q16:Q17)),ObjectOverwrite)</f>
        <v>USDFUT3MF6ConvAdj_Quote#0073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H6</v>
      </c>
      <c r="E18" s="115" t="str">
        <f t="shared" si="0"/>
        <v>USDFUT3MH6_Quote</v>
      </c>
      <c r="F18" s="114" t="str">
        <f>_xll.qlSimpleQuote(E18,,PriceTickValue,Permanent,Trigger,ObjectOverwrite)</f>
        <v>USDFUT3MH6_Quote#0000</v>
      </c>
      <c r="G18" s="79" t="str">
        <f>_xll.ohRangeRetrieveError(F18)</f>
        <v/>
      </c>
      <c r="H18" s="113"/>
      <c r="J18" s="260"/>
      <c r="K18" s="266">
        <v>13</v>
      </c>
      <c r="L18" s="265" t="b">
        <v>1</v>
      </c>
      <c r="M18" s="194" t="str">
        <v>H6</v>
      </c>
      <c r="N18" s="264">
        <v>42445</v>
      </c>
      <c r="O18" s="194" t="str">
        <v>EDH6</v>
      </c>
      <c r="P18" s="263">
        <v>42443</v>
      </c>
      <c r="Q18" s="194">
        <v>98.915000000000006</v>
      </c>
      <c r="R18" s="194">
        <v>98.92</v>
      </c>
      <c r="S18" s="194">
        <v>98.915000000000006</v>
      </c>
      <c r="T18" s="194">
        <v>98.92</v>
      </c>
      <c r="U18" s="198">
        <f>_xll.qlMidSafe(Q18,R18,Trigger)</f>
        <v>98.917500000000004</v>
      </c>
      <c r="V18" s="196"/>
      <c r="W18" s="262">
        <v>99.102499999999992</v>
      </c>
      <c r="X18" s="196"/>
      <c r="Y18" s="261">
        <v>98.917500000000004</v>
      </c>
      <c r="Z18" s="198">
        <f>_xll.qlSimpleQuoteSetValue(F18,Y18,Trigger)</f>
        <v>0</v>
      </c>
      <c r="AA18" s="23"/>
      <c r="AB18" s="13"/>
      <c r="AC18" s="13"/>
      <c r="AD18" s="13"/>
      <c r="AE18" s="13"/>
      <c r="AF18" s="230">
        <f t="shared" si="1"/>
        <v>4.9999999999954527E-5</v>
      </c>
      <c r="AH18" s="119"/>
      <c r="AI18" s="118">
        <v>13</v>
      </c>
      <c r="AJ18" s="116" t="b">
        <v>1</v>
      </c>
      <c r="AK18" s="116" t="str">
        <v>H6</v>
      </c>
      <c r="AL18" s="187" t="str">
        <f t="shared" si="2"/>
        <v>USDFUT3MH6ConvAdj_Quote</v>
      </c>
      <c r="AM18" s="186" t="str">
        <f>_xll.qlFuturesConvAdjustmentQuote(AL18,IborIndex,AK18,F18,Volatility,MeanReversion,Permanent,AND(ISERROR(Z18),ISERROR(FuturesHWConvAdj!Q17:Q18)),ObjectOverwrite)</f>
        <v>USDFUT3MH6ConvAdj_Quote#0074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M6</v>
      </c>
      <c r="E19" s="115" t="str">
        <f t="shared" si="0"/>
        <v>USDFUT3MM6_Quote</v>
      </c>
      <c r="F19" s="114" t="str">
        <f>_xll.qlSimpleQuote(E19,,PriceTickValue,Permanent,Trigger,ObjectOverwrite)</f>
        <v>USDFUT3MM6_Quote#0000</v>
      </c>
      <c r="G19" s="79" t="str">
        <f>_xll.ohRangeRetrieveError(F19)</f>
        <v/>
      </c>
      <c r="H19" s="113"/>
      <c r="J19" s="260"/>
      <c r="K19" s="266">
        <v>14</v>
      </c>
      <c r="L19" s="265" t="b">
        <v>1</v>
      </c>
      <c r="M19" s="194" t="str">
        <v>M6</v>
      </c>
      <c r="N19" s="264">
        <v>42536</v>
      </c>
      <c r="O19" s="194" t="str">
        <v>EDM6</v>
      </c>
      <c r="P19" s="263">
        <v>42534</v>
      </c>
      <c r="Q19" s="194">
        <v>98.694999999999993</v>
      </c>
      <c r="R19" s="194">
        <v>98.7</v>
      </c>
      <c r="S19" s="194">
        <v>98.7</v>
      </c>
      <c r="T19" s="194">
        <v>98.7</v>
      </c>
      <c r="U19" s="198">
        <f>_xll.qlMidSafe(Q19,R19,Trigger)</f>
        <v>98.697499999999991</v>
      </c>
      <c r="V19" s="196"/>
      <c r="W19" s="262">
        <v>98.842500000000001</v>
      </c>
      <c r="X19" s="196"/>
      <c r="Y19" s="261">
        <v>98.697499999999991</v>
      </c>
      <c r="Z19" s="198">
        <f>_xll.qlSimpleQuoteSetValue(F19,Y19,Trigger)</f>
        <v>0</v>
      </c>
      <c r="AA19" s="23"/>
      <c r="AB19" s="13"/>
      <c r="AC19" s="13"/>
      <c r="AD19" s="13"/>
      <c r="AE19" s="13"/>
      <c r="AF19" s="230">
        <f t="shared" si="1"/>
        <v>5.0000000000238744E-5</v>
      </c>
      <c r="AH19" s="119"/>
      <c r="AI19" s="118">
        <v>14</v>
      </c>
      <c r="AJ19" s="116" t="b">
        <v>1</v>
      </c>
      <c r="AK19" s="116" t="str">
        <v>M6</v>
      </c>
      <c r="AL19" s="187" t="str">
        <f t="shared" si="2"/>
        <v>USDFUT3MM6ConvAdj_Quote</v>
      </c>
      <c r="AM19" s="186" t="str">
        <f>_xll.qlFuturesConvAdjustmentQuote(AL19,IborIndex,AK19,F19,Volatility,MeanReversion,Permanent,AND(ISERROR(Z19),ISERROR(FuturesHWConvAdj!Q18:Q19)),ObjectOverwrite)</f>
        <v>USDFUT3MM6ConvAdj_Quote#0075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U6</v>
      </c>
      <c r="E20" s="115" t="str">
        <f t="shared" si="0"/>
        <v>USDFUT3MU6_Quote</v>
      </c>
      <c r="F20" s="114" t="str">
        <f>_xll.qlSimpleQuote(E20,,PriceTickValue,Permanent,Trigger,ObjectOverwrite)</f>
        <v>USDFUT3MU6_Quote#0000</v>
      </c>
      <c r="G20" s="79" t="str">
        <f>_xll.ohRangeRetrieveError(F20)</f>
        <v/>
      </c>
      <c r="H20" s="113"/>
      <c r="J20" s="260"/>
      <c r="K20" s="266">
        <v>15</v>
      </c>
      <c r="L20" s="265" t="b">
        <v>1</v>
      </c>
      <c r="M20" s="194" t="str">
        <v>U6</v>
      </c>
      <c r="N20" s="264">
        <v>42634</v>
      </c>
      <c r="O20" s="194" t="str">
        <v>EDU6</v>
      </c>
      <c r="P20" s="263">
        <v>42632</v>
      </c>
      <c r="Q20" s="194">
        <v>98.495000000000005</v>
      </c>
      <c r="R20" s="194">
        <v>98.5</v>
      </c>
      <c r="S20" s="194">
        <v>98.495000000000005</v>
      </c>
      <c r="T20" s="194">
        <v>98.5</v>
      </c>
      <c r="U20" s="198">
        <f>_xll.qlMidSafe(Q20,R20,Trigger)</f>
        <v>98.497500000000002</v>
      </c>
      <c r="V20" s="196"/>
      <c r="W20" s="262">
        <v>98.582499999999996</v>
      </c>
      <c r="X20" s="196"/>
      <c r="Y20" s="261">
        <v>98.497500000000002</v>
      </c>
      <c r="Z20" s="198">
        <f>_xll.qlSimpleQuoteSetValue(F20,Y20,Trigger)</f>
        <v>0</v>
      </c>
      <c r="AA20" s="23"/>
      <c r="AB20" s="13"/>
      <c r="AC20" s="13"/>
      <c r="AD20" s="13"/>
      <c r="AE20" s="13"/>
      <c r="AF20" s="230">
        <f t="shared" si="1"/>
        <v>4.9999999999954527E-5</v>
      </c>
      <c r="AH20" s="119"/>
      <c r="AI20" s="118">
        <v>15</v>
      </c>
      <c r="AJ20" s="116" t="b">
        <v>1</v>
      </c>
      <c r="AK20" s="116" t="str">
        <v>U6</v>
      </c>
      <c r="AL20" s="187" t="str">
        <f t="shared" si="2"/>
        <v>USDFUT3MU6ConvAdj_Quote</v>
      </c>
      <c r="AM20" s="186" t="str">
        <f>_xll.qlFuturesConvAdjustmentQuote(AL20,IborIndex,AK20,F20,Volatility,MeanReversion,Permanent,AND(ISERROR(Z20),ISERROR(FuturesHWConvAdj!Q19:Q20)),ObjectOverwrite)</f>
        <v>USDFUT3MU6ConvAdj_Quote#0075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Z6</v>
      </c>
      <c r="E21" s="115" t="str">
        <f t="shared" si="0"/>
        <v>USDFUT3MZ6_Quote</v>
      </c>
      <c r="F21" s="114" t="str">
        <f>_xll.qlSimpleQuote(E21,,PriceTickValue,Permanent,Trigger,ObjectOverwrite)</f>
        <v>USDFUT3MZ6_Quote#0000</v>
      </c>
      <c r="G21" s="79" t="str">
        <f>_xll.ohRangeRetrieveError(F21)</f>
        <v/>
      </c>
      <c r="H21" s="113"/>
      <c r="J21" s="260"/>
      <c r="K21" s="266">
        <v>16</v>
      </c>
      <c r="L21" s="265" t="b">
        <v>1</v>
      </c>
      <c r="M21" s="194" t="str">
        <v>Z6</v>
      </c>
      <c r="N21" s="264">
        <v>42725</v>
      </c>
      <c r="O21" s="194" t="str">
        <v>EDZ6</v>
      </c>
      <c r="P21" s="263">
        <v>42723</v>
      </c>
      <c r="Q21" s="194">
        <v>98.314999999999998</v>
      </c>
      <c r="R21" s="194">
        <v>98.32</v>
      </c>
      <c r="S21" s="194">
        <v>98.32</v>
      </c>
      <c r="T21" s="194">
        <v>98.32</v>
      </c>
      <c r="U21" s="198">
        <f>_xll.qlMidSafe(Q21,R21,Trigger)</f>
        <v>98.317499999999995</v>
      </c>
      <c r="V21" s="196"/>
      <c r="W21" s="262">
        <v>98.327500000000001</v>
      </c>
      <c r="X21" s="196"/>
      <c r="Y21" s="261">
        <v>98.317499999999995</v>
      </c>
      <c r="Z21" s="198">
        <f>_xll.qlSimpleQuoteSetValue(F21,Y21,Trigger)</f>
        <v>0</v>
      </c>
      <c r="AA21" s="23"/>
      <c r="AB21" s="13"/>
      <c r="AC21" s="13"/>
      <c r="AD21" s="13"/>
      <c r="AE21" s="13"/>
      <c r="AF21" s="230">
        <f t="shared" si="1"/>
        <v>4.9999999999954527E-5</v>
      </c>
      <c r="AH21" s="119"/>
      <c r="AI21" s="118">
        <v>16</v>
      </c>
      <c r="AJ21" s="116" t="b">
        <v>1</v>
      </c>
      <c r="AK21" s="116" t="str">
        <v>Z6</v>
      </c>
      <c r="AL21" s="187" t="str">
        <f t="shared" si="2"/>
        <v>USDFUT3MZ6ConvAdj_Quote</v>
      </c>
      <c r="AM21" s="186" t="str">
        <f>_xll.qlFuturesConvAdjustmentQuote(AL21,IborIndex,AK21,F21,Volatility,MeanReversion,Permanent,AND(ISERROR(Z21),ISERROR(FuturesHWConvAdj!Q20:Q21)),ObjectOverwrite)</f>
        <v>USDFUT3MZ6ConvAdj_Quote#0075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H7</v>
      </c>
      <c r="E22" s="115" t="str">
        <f t="shared" si="0"/>
        <v>USDFUT3MH7_Quote</v>
      </c>
      <c r="F22" s="114" t="str">
        <f>_xll.qlSimpleQuote(E22,,PriceTickValue,Permanent,Trigger,ObjectOverwrite)</f>
        <v>USDFUT3MH7_Quote#0000</v>
      </c>
      <c r="G22" s="79" t="str">
        <f>_xll.ohRangeRetrieveError(F22)</f>
        <v/>
      </c>
      <c r="H22" s="113"/>
      <c r="J22" s="260"/>
      <c r="K22" s="266">
        <v>17</v>
      </c>
      <c r="L22" s="265" t="b">
        <v>1</v>
      </c>
      <c r="M22" s="194" t="str">
        <v>H7</v>
      </c>
      <c r="N22" s="264">
        <v>42809</v>
      </c>
      <c r="O22" s="194" t="str">
        <v>EDH7</v>
      </c>
      <c r="P22" s="263">
        <v>42807</v>
      </c>
      <c r="Q22" s="194">
        <v>98.17</v>
      </c>
      <c r="R22" s="194">
        <v>98.18</v>
      </c>
      <c r="S22" s="194">
        <v>98.174999999999997</v>
      </c>
      <c r="T22" s="194">
        <v>98.18</v>
      </c>
      <c r="U22" s="198">
        <f>_xll.qlMidSafe(Q22,R22,Trigger)</f>
        <v>98.175000000000011</v>
      </c>
      <c r="V22" s="196"/>
      <c r="W22" s="262">
        <v>98.092500000000001</v>
      </c>
      <c r="X22" s="196"/>
      <c r="Y22" s="261">
        <v>98.175000000000011</v>
      </c>
      <c r="Z22" s="198">
        <f>_xll.qlSimpleQuoteSetValue(F22,Y22,Trigger)</f>
        <v>-2.4999999999977263E-3</v>
      </c>
      <c r="AA22" s="23"/>
      <c r="AB22" s="13"/>
      <c r="AC22" s="13"/>
      <c r="AD22" s="13"/>
      <c r="AE22" s="13"/>
      <c r="AF22" s="230">
        <f t="shared" si="1"/>
        <v>9.9999999999909054E-5</v>
      </c>
      <c r="AH22" s="119"/>
      <c r="AI22" s="118">
        <v>17</v>
      </c>
      <c r="AJ22" s="116" t="b">
        <v>1</v>
      </c>
      <c r="AK22" s="116" t="str">
        <v>H7</v>
      </c>
      <c r="AL22" s="187" t="str">
        <f t="shared" si="2"/>
        <v>USDFUT3MH7ConvAdj_Quote</v>
      </c>
      <c r="AM22" s="186" t="str">
        <f>_xll.qlFuturesConvAdjustmentQuote(AL22,IborIndex,AK22,F22,Volatility,MeanReversion,Permanent,AND(ISERROR(Z22),ISERROR(FuturesHWConvAdj!Q21:Q22)),ObjectOverwrite)</f>
        <v>USDFUT3MH7ConvAdj_Quote#0073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M7</v>
      </c>
      <c r="E23" s="115" t="str">
        <f t="shared" si="0"/>
        <v>USDFUT3MM7_Quote</v>
      </c>
      <c r="F23" s="114" t="str">
        <f>_xll.qlSimpleQuote(E23,,PriceTickValue,Permanent,Trigger,ObjectOverwrite)</f>
        <v>USDFUT3MM7_Quote#0000</v>
      </c>
      <c r="G23" s="79" t="str">
        <f>_xll.ohRangeRetrieveError(F23)</f>
        <v/>
      </c>
      <c r="H23" s="113"/>
      <c r="J23" s="260"/>
      <c r="K23" s="266">
        <v>18</v>
      </c>
      <c r="L23" s="265" t="b">
        <v>1</v>
      </c>
      <c r="M23" s="194" t="str">
        <v>M7</v>
      </c>
      <c r="N23" s="264">
        <v>42907</v>
      </c>
      <c r="O23" s="194" t="str">
        <v>EDM7</v>
      </c>
      <c r="P23" s="263">
        <v>42905</v>
      </c>
      <c r="Q23" s="194">
        <v>98.04</v>
      </c>
      <c r="R23" s="194">
        <v>98.045000000000002</v>
      </c>
      <c r="S23" s="194">
        <v>98.045000000000002</v>
      </c>
      <c r="T23" s="194">
        <v>98.05</v>
      </c>
      <c r="U23" s="198">
        <f>_xll.qlMidSafe(Q23,R23,Trigger)</f>
        <v>98.042500000000004</v>
      </c>
      <c r="V23" s="196"/>
      <c r="W23" s="262">
        <v>97.892499999999998</v>
      </c>
      <c r="X23" s="196"/>
      <c r="Y23" s="261">
        <v>98.042500000000004</v>
      </c>
      <c r="Z23" s="198">
        <f>_xll.qlSimpleQuoteSetValue(F23,Y23,Trigger)</f>
        <v>0</v>
      </c>
      <c r="AA23" s="23"/>
      <c r="AB23" s="13"/>
      <c r="AC23" s="13"/>
      <c r="AD23" s="13"/>
      <c r="AE23" s="13"/>
      <c r="AF23" s="230">
        <f t="shared" si="1"/>
        <v>4.9999999999954527E-5</v>
      </c>
      <c r="AH23" s="119"/>
      <c r="AI23" s="118">
        <v>18</v>
      </c>
      <c r="AJ23" s="116" t="b">
        <v>1</v>
      </c>
      <c r="AK23" s="116" t="str">
        <v>M7</v>
      </c>
      <c r="AL23" s="187" t="str">
        <f t="shared" si="2"/>
        <v>USDFUT3MM7ConvAdj_Quote</v>
      </c>
      <c r="AM23" s="186" t="str">
        <f>_xll.qlFuturesConvAdjustmentQuote(AL23,IborIndex,AK23,F23,Volatility,MeanReversion,Permanent,AND(ISERROR(Z23),ISERROR(FuturesHWConvAdj!Q22:Q23)),ObjectOverwrite)</f>
        <v>USDFUT3MM7ConvAdj_Quote#0075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U7</v>
      </c>
      <c r="E24" s="115" t="str">
        <f t="shared" si="0"/>
        <v>USDFUT3MU7_Quote</v>
      </c>
      <c r="F24" s="114" t="str">
        <f>_xll.qlSimpleQuote(E24,,PriceTickValue,Permanent,Trigger,ObjectOverwrite)</f>
        <v>USDFUT3MU7_Quote#0000</v>
      </c>
      <c r="G24" s="79" t="str">
        <f>_xll.ohRangeRetrieveError(F24)</f>
        <v/>
      </c>
      <c r="H24" s="113"/>
      <c r="J24" s="260"/>
      <c r="K24" s="266">
        <v>19</v>
      </c>
      <c r="L24" s="265" t="b">
        <v>1</v>
      </c>
      <c r="M24" s="194" t="str">
        <v>U7</v>
      </c>
      <c r="N24" s="264">
        <v>42998</v>
      </c>
      <c r="O24" s="194" t="str">
        <v>EDU7</v>
      </c>
      <c r="P24" s="263">
        <v>42996</v>
      </c>
      <c r="Q24" s="194">
        <v>97.935000000000002</v>
      </c>
      <c r="R24" s="194">
        <v>97.94</v>
      </c>
      <c r="S24" s="194">
        <v>97.94</v>
      </c>
      <c r="T24" s="194">
        <v>97.944999999999993</v>
      </c>
      <c r="U24" s="198">
        <f>_xll.qlMidSafe(Q24,R24,Trigger)</f>
        <v>97.9375</v>
      </c>
      <c r="V24" s="196"/>
      <c r="W24" s="262">
        <v>97.712500000000006</v>
      </c>
      <c r="X24" s="196"/>
      <c r="Y24" s="261">
        <v>97.9375</v>
      </c>
      <c r="Z24" s="198">
        <f>_xll.qlSimpleQuoteSetValue(F24,Y24,Trigger)</f>
        <v>0</v>
      </c>
      <c r="AA24" s="23"/>
      <c r="AB24" s="13"/>
      <c r="AC24" s="13"/>
      <c r="AD24" s="13"/>
      <c r="AE24" s="13"/>
      <c r="AF24" s="230">
        <f t="shared" si="1"/>
        <v>4.9999999999954527E-5</v>
      </c>
      <c r="AH24" s="119"/>
      <c r="AI24" s="118">
        <v>19</v>
      </c>
      <c r="AJ24" s="116" t="b">
        <v>1</v>
      </c>
      <c r="AK24" s="116" t="str">
        <v>U7</v>
      </c>
      <c r="AL24" s="187" t="str">
        <f t="shared" si="2"/>
        <v>USDFUT3MU7ConvAdj_Quote</v>
      </c>
      <c r="AM24" s="186" t="str">
        <f>_xll.qlFuturesConvAdjustmentQuote(AL24,IborIndex,AK24,F24,Volatility,MeanReversion,Permanent,AND(ISERROR(Z24),ISERROR(FuturesHWConvAdj!Q23:Q24)),ObjectOverwrite)</f>
        <v>USDFUT3MU7ConvAdj_Quote#0075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Z7</v>
      </c>
      <c r="E25" s="115" t="str">
        <f t="shared" si="0"/>
        <v>USDFUT3MZ7_Quote</v>
      </c>
      <c r="F25" s="114" t="str">
        <f>_xll.qlSimpleQuote(E25,,PriceTickValue,Permanent,Trigger,ObjectOverwrite)</f>
        <v>USDFUT3MZ7_Quote#0000</v>
      </c>
      <c r="G25" s="79" t="str">
        <f>_xll.ohRangeRetrieveError(F25)</f>
        <v/>
      </c>
      <c r="H25" s="113"/>
      <c r="J25" s="260"/>
      <c r="K25" s="266">
        <v>20</v>
      </c>
      <c r="L25" s="265" t="b">
        <v>1</v>
      </c>
      <c r="M25" s="194" t="str">
        <v>Z7</v>
      </c>
      <c r="N25" s="264">
        <v>43089</v>
      </c>
      <c r="O25" s="194" t="str">
        <v>EDZ7</v>
      </c>
      <c r="P25" s="263">
        <v>43087</v>
      </c>
      <c r="Q25" s="194">
        <v>97.84</v>
      </c>
      <c r="R25" s="194">
        <v>97.844999999999999</v>
      </c>
      <c r="S25" s="194">
        <v>97.844999999999999</v>
      </c>
      <c r="T25" s="194">
        <v>97.85</v>
      </c>
      <c r="U25" s="198">
        <f>_xll.qlMidSafe(Q25,R25,Trigger)</f>
        <v>97.842500000000001</v>
      </c>
      <c r="V25" s="196"/>
      <c r="W25" s="262">
        <v>97.567499999999995</v>
      </c>
      <c r="X25" s="196"/>
      <c r="Y25" s="261">
        <v>97.842500000000001</v>
      </c>
      <c r="Z25" s="198">
        <f>_xll.qlSimpleQuoteSetValue(F25,Y25,Trigger)</f>
        <v>0</v>
      </c>
      <c r="AA25" s="23"/>
      <c r="AB25" s="13"/>
      <c r="AC25" s="13"/>
      <c r="AD25" s="13"/>
      <c r="AE25" s="13"/>
      <c r="AF25" s="230">
        <f t="shared" si="1"/>
        <v>4.9999999999954527E-5</v>
      </c>
      <c r="AH25" s="119"/>
      <c r="AI25" s="118">
        <v>20</v>
      </c>
      <c r="AJ25" s="116" t="b">
        <v>1</v>
      </c>
      <c r="AK25" s="116" t="str">
        <v>Z7</v>
      </c>
      <c r="AL25" s="187" t="str">
        <f t="shared" si="2"/>
        <v>USDFUT3MZ7ConvAdj_Quote</v>
      </c>
      <c r="AM25" s="186" t="str">
        <f>_xll.qlFuturesConvAdjustmentQuote(AL25,IborIndex,AK25,F25,Volatility,MeanReversion,Permanent,AND(ISERROR(Z25),ISERROR(FuturesHWConvAdj!Q24:Q25)),ObjectOverwrite)</f>
        <v>USDFUT3MZ7ConvAdj_Quote#0075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H8</v>
      </c>
      <c r="E26" s="115" t="str">
        <f t="shared" si="0"/>
        <v>USDFUT3MH8_Quote</v>
      </c>
      <c r="F26" s="114" t="str">
        <f>_xll.qlSimpleQuote(E26,,PriceTickValue,Permanent,Trigger,ObjectOverwrite)</f>
        <v>USDFUT3MH8_Quote#0000</v>
      </c>
      <c r="G26" s="79" t="str">
        <f>_xll.ohRangeRetrieveError(F26)</f>
        <v/>
      </c>
      <c r="H26" s="113"/>
      <c r="J26" s="260"/>
      <c r="K26" s="266">
        <v>21</v>
      </c>
      <c r="L26" s="265" t="b">
        <v>1</v>
      </c>
      <c r="M26" s="194" t="str">
        <v>H8</v>
      </c>
      <c r="N26" s="264">
        <v>43180</v>
      </c>
      <c r="O26" s="194" t="str">
        <v>EDH8</v>
      </c>
      <c r="P26" s="263">
        <v>43178</v>
      </c>
      <c r="Q26" s="194">
        <v>97.77</v>
      </c>
      <c r="R26" s="194">
        <v>97.775000000000006</v>
      </c>
      <c r="S26" s="194">
        <v>97.775000000000006</v>
      </c>
      <c r="T26" s="194">
        <v>97.784999999999997</v>
      </c>
      <c r="U26" s="198">
        <f>_xll.qlMidSafe(Q26,R26,Trigger)</f>
        <v>97.772500000000008</v>
      </c>
      <c r="V26" s="196"/>
      <c r="W26" s="262">
        <v>97.4375</v>
      </c>
      <c r="X26" s="196"/>
      <c r="Y26" s="261">
        <v>97.772500000000008</v>
      </c>
      <c r="Z26" s="198">
        <f>_xll.qlSimpleQuoteSetValue(F26,Y26,Trigger)</f>
        <v>-4.9999999999954525E-3</v>
      </c>
      <c r="AA26" s="23"/>
      <c r="AB26" s="13"/>
      <c r="AC26" s="13"/>
      <c r="AD26" s="13"/>
      <c r="AE26" s="13"/>
      <c r="AF26" s="230">
        <f t="shared" si="1"/>
        <v>4.9999999999954527E-5</v>
      </c>
      <c r="AH26" s="119"/>
      <c r="AI26" s="118">
        <v>21</v>
      </c>
      <c r="AJ26" s="116" t="b">
        <v>1</v>
      </c>
      <c r="AK26" s="116" t="str">
        <v>H8</v>
      </c>
      <c r="AL26" s="187" t="str">
        <f t="shared" si="2"/>
        <v>USDFUT3MH8ConvAdj_Quote</v>
      </c>
      <c r="AM26" s="186" t="str">
        <f>_xll.qlFuturesConvAdjustmentQuote(AL26,IborIndex,AK26,F26,Volatility,MeanReversion,Permanent,AND(ISERROR(Z26),ISERROR(FuturesHWConvAdj!Q25:Q26)),ObjectOverwrite)</f>
        <v>USDFUT3MH8ConvAdj_Quote#0074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M8</v>
      </c>
      <c r="E27" s="115" t="str">
        <f t="shared" si="0"/>
        <v>USDFUT3MM8_Quote</v>
      </c>
      <c r="F27" s="114" t="str">
        <f>_xll.qlSimpleQuote(E27,,PriceTickValue,Permanent,Trigger,ObjectOverwrite)</f>
        <v>USDFUT3MM8_Quote#0000</v>
      </c>
      <c r="G27" s="79" t="str">
        <f>_xll.ohRangeRetrieveError(F27)</f>
        <v/>
      </c>
      <c r="H27" s="113"/>
      <c r="J27" s="260"/>
      <c r="K27" s="266">
        <v>22</v>
      </c>
      <c r="L27" s="265" t="b">
        <v>1</v>
      </c>
      <c r="M27" s="194" t="str">
        <v>M8</v>
      </c>
      <c r="N27" s="264">
        <v>43271</v>
      </c>
      <c r="O27" s="194" t="str">
        <v>EDM8</v>
      </c>
      <c r="P27" s="263">
        <v>43269</v>
      </c>
      <c r="Q27" s="194">
        <v>97.704999999999998</v>
      </c>
      <c r="R27" s="194">
        <v>97.71</v>
      </c>
      <c r="S27" s="194">
        <v>97.71</v>
      </c>
      <c r="T27" s="194">
        <v>97.72</v>
      </c>
      <c r="U27" s="198">
        <f>_xll.qlMidSafe(Q27,R27,Trigger)</f>
        <v>97.707499999999996</v>
      </c>
      <c r="V27" s="196"/>
      <c r="W27" s="262">
        <v>97.337500000000006</v>
      </c>
      <c r="X27" s="196"/>
      <c r="Y27" s="261">
        <v>97.707499999999996</v>
      </c>
      <c r="Z27" s="198">
        <f>_xll.qlSimpleQuoteSetValue(F27,Y27,Trigger)</f>
        <v>0</v>
      </c>
      <c r="AA27" s="23"/>
      <c r="AB27" s="13"/>
      <c r="AC27" s="13"/>
      <c r="AD27" s="13"/>
      <c r="AE27" s="13"/>
      <c r="AF27" s="230">
        <f t="shared" si="1"/>
        <v>4.9999999999954527E-5</v>
      </c>
      <c r="AH27" s="119"/>
      <c r="AI27" s="118">
        <v>22</v>
      </c>
      <c r="AJ27" s="116" t="b">
        <v>1</v>
      </c>
      <c r="AK27" s="116" t="str">
        <v>M8</v>
      </c>
      <c r="AL27" s="187" t="str">
        <f t="shared" si="2"/>
        <v>USDFUT3MM8ConvAdj_Quote</v>
      </c>
      <c r="AM27" s="186" t="str">
        <f>_xll.qlFuturesConvAdjustmentQuote(AL27,IborIndex,AK27,F27,Volatility,MeanReversion,Permanent,AND(ISERROR(Z27),ISERROR(FuturesHWConvAdj!Q26:Q27)),ObjectOverwrite)</f>
        <v>USDFUT3MM8ConvAdj_Quote#0074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U8</v>
      </c>
      <c r="E28" s="115" t="str">
        <f t="shared" si="0"/>
        <v>USDFUT3MU8_Quote</v>
      </c>
      <c r="F28" s="114" t="str">
        <f>_xll.qlSimpleQuote(E28,,PriceTickValue,Permanent,Trigger,ObjectOverwrite)</f>
        <v>USDFUT3MU8_Quote#0000</v>
      </c>
      <c r="G28" s="79" t="str">
        <f>_xll.ohRangeRetrieveError(F28)</f>
        <v/>
      </c>
      <c r="H28" s="113"/>
      <c r="J28" s="260"/>
      <c r="K28" s="266">
        <v>23</v>
      </c>
      <c r="L28" s="265" t="b">
        <v>1</v>
      </c>
      <c r="M28" s="194" t="str">
        <v>U8</v>
      </c>
      <c r="N28" s="264">
        <v>43362</v>
      </c>
      <c r="O28" s="194" t="str">
        <v>EDU8</v>
      </c>
      <c r="P28" s="263">
        <v>43360</v>
      </c>
      <c r="Q28" s="194">
        <v>97.644999999999996</v>
      </c>
      <c r="R28" s="194">
        <v>97.655000000000001</v>
      </c>
      <c r="S28" s="194">
        <v>97.65</v>
      </c>
      <c r="T28" s="194">
        <v>97.665000000000006</v>
      </c>
      <c r="U28" s="198">
        <f>_xll.qlMidSafe(Q28,R28,Trigger)</f>
        <v>97.65</v>
      </c>
      <c r="V28" s="196"/>
      <c r="W28" s="262">
        <v>97.252499999999998</v>
      </c>
      <c r="X28" s="196"/>
      <c r="Y28" s="261">
        <v>97.65</v>
      </c>
      <c r="Z28" s="198">
        <f>_xll.qlSimpleQuoteSetValue(F28,Y28,Trigger)</f>
        <v>-2.4999999999977263E-3</v>
      </c>
      <c r="AA28" s="23"/>
      <c r="AB28" s="13"/>
      <c r="AC28" s="13"/>
      <c r="AD28" s="13"/>
      <c r="AE28" s="13"/>
      <c r="AF28" s="230">
        <f t="shared" si="1"/>
        <v>9.9999999999909054E-5</v>
      </c>
      <c r="AH28" s="119"/>
      <c r="AI28" s="118">
        <v>23</v>
      </c>
      <c r="AJ28" s="116" t="b">
        <v>1</v>
      </c>
      <c r="AK28" s="116" t="str">
        <v>U8</v>
      </c>
      <c r="AL28" s="187" t="str">
        <f t="shared" si="2"/>
        <v>USDFUT3MU8ConvAdj_Quote</v>
      </c>
      <c r="AM28" s="186" t="str">
        <f>_xll.qlFuturesConvAdjustmentQuote(AL28,IborIndex,AK28,F28,Volatility,MeanReversion,Permanent,AND(ISERROR(Z28),ISERROR(FuturesHWConvAdj!Q27:Q28)),ObjectOverwrite)</f>
        <v>USDFUT3MU8ConvAdj_Quote#0075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Z8</v>
      </c>
      <c r="E29" s="115" t="str">
        <f t="shared" si="0"/>
        <v>USDFUT3MZ8_Quote</v>
      </c>
      <c r="F29" s="114" t="str">
        <f>_xll.qlSimpleQuote(E29,,PriceTickValue,Permanent,Trigger,ObjectOverwrite)</f>
        <v>USDFUT3MZ8_Quote#0000</v>
      </c>
      <c r="G29" s="79" t="str">
        <f>_xll.ohRangeRetrieveError(F29)</f>
        <v/>
      </c>
      <c r="H29" s="113"/>
      <c r="J29" s="260"/>
      <c r="K29" s="266">
        <v>24</v>
      </c>
      <c r="L29" s="265" t="b">
        <v>1</v>
      </c>
      <c r="M29" s="194" t="str">
        <v>Z8</v>
      </c>
      <c r="N29" s="264">
        <v>43453</v>
      </c>
      <c r="O29" s="194" t="str">
        <v>EDZ8</v>
      </c>
      <c r="P29" s="263">
        <v>43451</v>
      </c>
      <c r="Q29" s="194">
        <v>97.59</v>
      </c>
      <c r="R29" s="194">
        <v>97.594999999999999</v>
      </c>
      <c r="S29" s="194">
        <v>97.59</v>
      </c>
      <c r="T29" s="194">
        <v>97.61</v>
      </c>
      <c r="U29" s="198">
        <f>_xll.qlMidSafe(Q29,R29,Trigger)</f>
        <v>97.592500000000001</v>
      </c>
      <c r="V29" s="196"/>
      <c r="W29" s="262">
        <v>97.17</v>
      </c>
      <c r="X29" s="196"/>
      <c r="Y29" s="261">
        <v>97.592500000000001</v>
      </c>
      <c r="Z29" s="198">
        <f>_xll.qlSimpleQuoteSetValue(F29,Y29,Trigger)</f>
        <v>0</v>
      </c>
      <c r="AA29" s="23"/>
      <c r="AB29" s="13"/>
      <c r="AC29" s="13"/>
      <c r="AD29" s="13"/>
      <c r="AE29" s="13"/>
      <c r="AF29" s="230">
        <f t="shared" si="1"/>
        <v>4.9999999999954527E-5</v>
      </c>
      <c r="AH29" s="119"/>
      <c r="AI29" s="118">
        <v>24</v>
      </c>
      <c r="AJ29" s="116" t="b">
        <v>1</v>
      </c>
      <c r="AK29" s="116" t="str">
        <v>Z8</v>
      </c>
      <c r="AL29" s="187" t="str">
        <f t="shared" si="2"/>
        <v>USDFUT3MZ8ConvAdj_Quote</v>
      </c>
      <c r="AM29" s="186" t="str">
        <f>_xll.qlFuturesConvAdjustmentQuote(AL29,IborIndex,AK29,F29,Volatility,MeanReversion,Permanent,AND(ISERROR(Z29),ISERROR(FuturesHWConvAdj!Q28:Q29)),ObjectOverwrite)</f>
        <v>USDFUT3MZ8ConvAdj_Quote#0075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H9</v>
      </c>
      <c r="E30" s="115" t="str">
        <f t="shared" si="0"/>
        <v>USDFUT3MH9_Quote</v>
      </c>
      <c r="F30" s="114" t="str">
        <f>_xll.qlSimpleQuote(E30,,PriceTickValue,Permanent,Trigger,ObjectOverwrite)</f>
        <v>USDFUT3MH9_Quote#0000</v>
      </c>
      <c r="G30" s="79" t="str">
        <f>_xll.ohRangeRetrieveError(F30)</f>
        <v/>
      </c>
      <c r="H30" s="113"/>
      <c r="J30" s="260"/>
      <c r="K30" s="266">
        <v>25</v>
      </c>
      <c r="L30" s="265" t="b">
        <v>1</v>
      </c>
      <c r="M30" s="194" t="str">
        <v>H9</v>
      </c>
      <c r="N30" s="264">
        <v>43544</v>
      </c>
      <c r="O30" s="194" t="str">
        <v>EDH9</v>
      </c>
      <c r="P30" s="263">
        <v>43542</v>
      </c>
      <c r="Q30" s="194">
        <v>97.545000000000002</v>
      </c>
      <c r="R30" s="194">
        <v>97.555000000000007</v>
      </c>
      <c r="S30" s="194">
        <v>97.55</v>
      </c>
      <c r="T30" s="194">
        <v>97.57</v>
      </c>
      <c r="U30" s="198">
        <f>_xll.qlMidSafe(Q30,R30,Trigger)</f>
        <v>97.550000000000011</v>
      </c>
      <c r="V30" s="196"/>
      <c r="W30" s="262">
        <v>97.09</v>
      </c>
      <c r="X30" s="196"/>
      <c r="Y30" s="261">
        <v>97.550000000000011</v>
      </c>
      <c r="Z30" s="198">
        <f>_xll.qlSimpleQuoteSetValue(F30,Y30,Trigger)</f>
        <v>-2.4999999999977263E-3</v>
      </c>
      <c r="AA30" s="23"/>
      <c r="AB30" s="13"/>
      <c r="AC30" s="13"/>
      <c r="AD30" s="13"/>
      <c r="AE30" s="13"/>
      <c r="AF30" s="230">
        <f t="shared" si="1"/>
        <v>9.9999999999909054E-5</v>
      </c>
      <c r="AH30" s="119"/>
      <c r="AI30" s="118">
        <v>25</v>
      </c>
      <c r="AJ30" s="116" t="b">
        <v>1</v>
      </c>
      <c r="AK30" s="116" t="str">
        <v>H9</v>
      </c>
      <c r="AL30" s="187" t="str">
        <f t="shared" si="2"/>
        <v>USDFUT3MH9ConvAdj_Quote</v>
      </c>
      <c r="AM30" s="186" t="str">
        <f>_xll.qlFuturesConvAdjustmentQuote(AL30,IborIndex,AK30,F30,Volatility,MeanReversion,Permanent,AND(ISERROR(Z30),ISERROR(FuturesHWConvAdj!Q29:Q30)),ObjectOverwrite)</f>
        <v>USDFUT3MH9ConvAdj_Quote#0075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M9</v>
      </c>
      <c r="E31" s="115" t="str">
        <f t="shared" si="0"/>
        <v>USDFUT3MM9_Quote</v>
      </c>
      <c r="F31" s="114" t="str">
        <f>_xll.qlSimpleQuote(E31,,PriceTickValue,Permanent,Trigger,ObjectOverwrite)</f>
        <v>USDFUT3MM9_Quote#0000</v>
      </c>
      <c r="G31" s="79" t="str">
        <f>_xll.ohRangeRetrieveError(F31)</f>
        <v/>
      </c>
      <c r="H31" s="113"/>
      <c r="J31" s="260"/>
      <c r="K31" s="266">
        <v>26</v>
      </c>
      <c r="L31" s="265" t="b">
        <v>1</v>
      </c>
      <c r="M31" s="194" t="str">
        <v>M9</v>
      </c>
      <c r="N31" s="264">
        <v>43635</v>
      </c>
      <c r="O31" s="194" t="str">
        <v>EDM9</v>
      </c>
      <c r="P31" s="263">
        <v>43633</v>
      </c>
      <c r="Q31" s="194">
        <v>97.5</v>
      </c>
      <c r="R31" s="194">
        <v>97.51</v>
      </c>
      <c r="S31" s="194">
        <v>97.504999999999995</v>
      </c>
      <c r="T31" s="194">
        <v>97.53</v>
      </c>
      <c r="U31" s="198">
        <f>_xll.qlMidSafe(Q31,R31,Trigger)</f>
        <v>97.504999999999995</v>
      </c>
      <c r="V31" s="196"/>
      <c r="W31" s="262">
        <v>97.027500000000003</v>
      </c>
      <c r="X31" s="196"/>
      <c r="Y31" s="261">
        <v>97.504999999999995</v>
      </c>
      <c r="Z31" s="198">
        <f>_xll.qlSimpleQuoteSetValue(F31,Y31,Trigger)</f>
        <v>-2.4999999999977263E-3</v>
      </c>
      <c r="AA31" s="23"/>
      <c r="AB31" s="13"/>
      <c r="AC31" s="13"/>
      <c r="AD31" s="13"/>
      <c r="AE31" s="13"/>
      <c r="AF31" s="230">
        <f t="shared" si="1"/>
        <v>1.0000000000019326E-4</v>
      </c>
      <c r="AH31" s="119"/>
      <c r="AI31" s="118">
        <v>26</v>
      </c>
      <c r="AJ31" s="116" t="b">
        <v>1</v>
      </c>
      <c r="AK31" s="116" t="str">
        <v>M9</v>
      </c>
      <c r="AL31" s="187" t="str">
        <f t="shared" si="2"/>
        <v>USDFUT3MM9ConvAdj_Quote</v>
      </c>
      <c r="AM31" s="186" t="str">
        <f>_xll.qlFuturesConvAdjustmentQuote(AL31,IborIndex,AK31,F31,Volatility,MeanReversion,Permanent,AND(ISERROR(Z31),ISERROR(FuturesHWConvAdj!Q30:Q31)),ObjectOverwrite)</f>
        <v>USDFUT3MM9ConvAdj_Quote#0073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U9</v>
      </c>
      <c r="E32" s="115" t="str">
        <f t="shared" si="0"/>
        <v>USDFUT3MU9_Quote</v>
      </c>
      <c r="F32" s="114" t="str">
        <f>_xll.qlSimpleQuote(E32,,PriceTickValue,Permanent,Trigger,ObjectOverwrite)</f>
        <v>USDFUT3MU9_Quote#0000</v>
      </c>
      <c r="G32" s="79" t="str">
        <f>_xll.ohRangeRetrieveError(F32)</f>
        <v/>
      </c>
      <c r="H32" s="113"/>
      <c r="J32" s="260"/>
      <c r="K32" s="266">
        <v>27</v>
      </c>
      <c r="L32" s="265" t="b">
        <v>1</v>
      </c>
      <c r="M32" s="194" t="str">
        <v>U9</v>
      </c>
      <c r="N32" s="264">
        <v>43726</v>
      </c>
      <c r="O32" s="194" t="str">
        <v>EDU9</v>
      </c>
      <c r="P32" s="263">
        <v>43724</v>
      </c>
      <c r="Q32" s="194">
        <v>97.46</v>
      </c>
      <c r="R32" s="194">
        <v>97.465000000000003</v>
      </c>
      <c r="S32" s="194">
        <v>97.465000000000003</v>
      </c>
      <c r="T32" s="194">
        <v>97.49</v>
      </c>
      <c r="U32" s="198">
        <f>_xll.qlMidSafe(Q32,R32,Trigger)</f>
        <v>97.462500000000006</v>
      </c>
      <c r="V32" s="196"/>
      <c r="W32" s="262">
        <v>96.965000000000003</v>
      </c>
      <c r="X32" s="196"/>
      <c r="Y32" s="261">
        <v>97.462500000000006</v>
      </c>
      <c r="Z32" s="198">
        <f>_xll.qlSimpleQuoteSetValue(F32,Y32,Trigger)</f>
        <v>-4.9999999999954525E-3</v>
      </c>
      <c r="AA32" s="23"/>
      <c r="AB32" s="13"/>
      <c r="AC32" s="13"/>
      <c r="AD32" s="13"/>
      <c r="AE32" s="13"/>
      <c r="AF32" s="230">
        <f t="shared" si="1"/>
        <v>4.9999999999954527E-5</v>
      </c>
      <c r="AH32" s="119"/>
      <c r="AI32" s="118">
        <v>27</v>
      </c>
      <c r="AJ32" s="116" t="b">
        <v>1</v>
      </c>
      <c r="AK32" s="116" t="str">
        <v>U9</v>
      </c>
      <c r="AL32" s="187" t="str">
        <f t="shared" si="2"/>
        <v>USDFUT3MU9ConvAdj_Quote</v>
      </c>
      <c r="AM32" s="186" t="str">
        <f>_xll.qlFuturesConvAdjustmentQuote(AL32,IborIndex,AK32,F32,Volatility,MeanReversion,Permanent,AND(ISERROR(Z32),ISERROR(FuturesHWConvAdj!Q31:Q32)),ObjectOverwrite)</f>
        <v>USDFUT3MU9ConvAdj_Quote#0073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Z9</v>
      </c>
      <c r="E33" s="115" t="str">
        <f t="shared" si="0"/>
        <v>USDFUT3MZ9_Quote</v>
      </c>
      <c r="F33" s="114" t="str">
        <f>_xll.qlSimpleQuote(E33,,PriceTickValue,Permanent,Trigger,ObjectOverwrite)</f>
        <v>USDFUT3MZ9_Quote#0000</v>
      </c>
      <c r="G33" s="79" t="str">
        <f>_xll.ohRangeRetrieveError(F33)</f>
        <v/>
      </c>
      <c r="H33" s="113"/>
      <c r="J33" s="260"/>
      <c r="K33" s="266">
        <v>28</v>
      </c>
      <c r="L33" s="265" t="b">
        <v>1</v>
      </c>
      <c r="M33" s="194" t="str">
        <v>Z9</v>
      </c>
      <c r="N33" s="264">
        <v>43817</v>
      </c>
      <c r="O33" s="194" t="str">
        <v>EDZ9</v>
      </c>
      <c r="P33" s="263">
        <v>43815</v>
      </c>
      <c r="Q33" s="194">
        <v>97.415000000000006</v>
      </c>
      <c r="R33" s="194">
        <v>97.424999999999997</v>
      </c>
      <c r="S33" s="194">
        <v>97.42</v>
      </c>
      <c r="T33" s="194">
        <v>97.45</v>
      </c>
      <c r="U33" s="198">
        <f>_xll.qlMidSafe(Q33,R33,Trigger)</f>
        <v>97.42</v>
      </c>
      <c r="V33" s="196"/>
      <c r="W33" s="262">
        <v>96.9</v>
      </c>
      <c r="X33" s="196"/>
      <c r="Y33" s="261">
        <v>97.42</v>
      </c>
      <c r="Z33" s="198">
        <f>_xll.qlSimpleQuoteSetValue(F33,Y33,Trigger)</f>
        <v>-2.4999999999977263E-3</v>
      </c>
      <c r="AA33" s="23"/>
      <c r="AB33" s="13"/>
      <c r="AC33" s="13"/>
      <c r="AD33" s="13"/>
      <c r="AE33" s="13"/>
      <c r="AF33" s="230">
        <f t="shared" si="1"/>
        <v>9.9999999999909054E-5</v>
      </c>
      <c r="AH33" s="119"/>
      <c r="AI33" s="118">
        <v>28</v>
      </c>
      <c r="AJ33" s="116" t="b">
        <v>1</v>
      </c>
      <c r="AK33" s="116" t="str">
        <v>Z9</v>
      </c>
      <c r="AL33" s="187" t="str">
        <f t="shared" si="2"/>
        <v>USDFUT3MZ9ConvAdj_Quote</v>
      </c>
      <c r="AM33" s="186" t="str">
        <f>_xll.qlFuturesConvAdjustmentQuote(AL33,IborIndex,AK33,F33,Volatility,MeanReversion,Permanent,AND(ISERROR(Z33),ISERROR(FuturesHWConvAdj!Q32:Q33)),ObjectOverwrite)</f>
        <v>USDFUT3MZ9ConvAdj_Quote#0073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H0</v>
      </c>
      <c r="E34" s="115" t="str">
        <f t="shared" si="0"/>
        <v>USDFUT3MH0_Quote</v>
      </c>
      <c r="F34" s="114" t="str">
        <f>_xll.qlSimpleQuote(E34,,PriceTickValue,Permanent,Trigger,ObjectOverwrite)</f>
        <v>USDFUT3MH0_Quote#0000</v>
      </c>
      <c r="G34" s="79" t="str">
        <f>_xll.ohRangeRetrieveError(F34)</f>
        <v/>
      </c>
      <c r="H34" s="113"/>
      <c r="J34" s="260"/>
      <c r="K34" s="266">
        <v>29</v>
      </c>
      <c r="L34" s="265" t="b">
        <v>1</v>
      </c>
      <c r="M34" s="194" t="str">
        <v>H0</v>
      </c>
      <c r="N34" s="264">
        <v>43908</v>
      </c>
      <c r="O34" s="194" t="str">
        <v>EDH0</v>
      </c>
      <c r="P34" s="263">
        <v>43906</v>
      </c>
      <c r="Q34" s="194">
        <v>97.38</v>
      </c>
      <c r="R34" s="194">
        <v>97.39</v>
      </c>
      <c r="S34" s="194">
        <v>97.385000000000005</v>
      </c>
      <c r="T34" s="194">
        <v>97.415000000000006</v>
      </c>
      <c r="U34" s="198">
        <f>_xll.qlMidSafe(Q34,R34,Trigger)</f>
        <v>97.384999999999991</v>
      </c>
      <c r="V34" s="196"/>
      <c r="W34" s="262">
        <v>96.835000000000008</v>
      </c>
      <c r="X34" s="196"/>
      <c r="Y34" s="261">
        <v>97.384999999999991</v>
      </c>
      <c r="Z34" s="198">
        <f>_xll.qlSimpleQuoteSetValue(F34,Y34,Trigger)</f>
        <v>-2.5000000000119371E-3</v>
      </c>
      <c r="AA34" s="23"/>
      <c r="AB34" s="13"/>
      <c r="AC34" s="13"/>
      <c r="AD34" s="13"/>
      <c r="AE34" s="13"/>
      <c r="AF34" s="230">
        <f t="shared" si="1"/>
        <v>1.0000000000019326E-4</v>
      </c>
      <c r="AH34" s="119"/>
      <c r="AI34" s="118">
        <v>29</v>
      </c>
      <c r="AJ34" s="116" t="b">
        <v>1</v>
      </c>
      <c r="AK34" s="116" t="str">
        <v>H0</v>
      </c>
      <c r="AL34" s="187" t="str">
        <f t="shared" si="2"/>
        <v>USDFUT3MH0ConvAdj_Quote</v>
      </c>
      <c r="AM34" s="186" t="str">
        <f>_xll.qlFuturesConvAdjustmentQuote(AL34,IborIndex,AK34,F34,Volatility,MeanReversion,Permanent,AND(ISERROR(Z34),ISERROR(FuturesHWConvAdj!Q33:Q34)),ObjectOverwrite)</f>
        <v>USDFUT3MH0ConvAdj_Quote#0073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M0</v>
      </c>
      <c r="E35" s="115" t="str">
        <f t="shared" si="0"/>
        <v>USDFUT3MM0_Quote</v>
      </c>
      <c r="F35" s="114" t="str">
        <f>_xll.qlSimpleQuote(E35,,PriceTickValue,Permanent,Trigger,ObjectOverwrite)</f>
        <v>USDFUT3MM0_Quote#0000</v>
      </c>
      <c r="G35" s="79" t="str">
        <f>_xll.ohRangeRetrieveError(F35)</f>
        <v/>
      </c>
      <c r="H35" s="113"/>
      <c r="J35" s="260"/>
      <c r="K35" s="266">
        <v>30</v>
      </c>
      <c r="L35" s="265" t="b">
        <v>1</v>
      </c>
      <c r="M35" s="194" t="str">
        <v>M0</v>
      </c>
      <c r="N35" s="264">
        <v>43999</v>
      </c>
      <c r="O35" s="194" t="str">
        <v>EDM0</v>
      </c>
      <c r="P35" s="263">
        <v>43997</v>
      </c>
      <c r="Q35" s="194">
        <v>97.34</v>
      </c>
      <c r="R35" s="194">
        <v>97.35</v>
      </c>
      <c r="S35" s="194">
        <v>97.344999999999999</v>
      </c>
      <c r="T35" s="194">
        <v>97.38</v>
      </c>
      <c r="U35" s="198">
        <f>_xll.qlMidSafe(Q35,R35,Trigger)</f>
        <v>97.344999999999999</v>
      </c>
      <c r="V35" s="196"/>
      <c r="W35" s="262">
        <v>96.777500000000003</v>
      </c>
      <c r="X35" s="196"/>
      <c r="Y35" s="261">
        <v>97.344999999999999</v>
      </c>
      <c r="Z35" s="198">
        <f>_xll.qlSimpleQuoteSetValue(F35,Y35,Trigger)</f>
        <v>-2.4999999999977263E-3</v>
      </c>
      <c r="AA35" s="23"/>
      <c r="AB35" s="13"/>
      <c r="AC35" s="13"/>
      <c r="AD35" s="13"/>
      <c r="AE35" s="13"/>
      <c r="AF35" s="230">
        <f t="shared" si="1"/>
        <v>9.9999999999909054E-5</v>
      </c>
      <c r="AH35" s="119"/>
      <c r="AI35" s="118">
        <v>30</v>
      </c>
      <c r="AJ35" s="116" t="b">
        <v>1</v>
      </c>
      <c r="AK35" s="116" t="str">
        <v>M0</v>
      </c>
      <c r="AL35" s="187" t="str">
        <f t="shared" si="2"/>
        <v>USDFUT3MM0ConvAdj_Quote</v>
      </c>
      <c r="AM35" s="186" t="str">
        <f>_xll.qlFuturesConvAdjustmentQuote(AL35,IborIndex,AK35,F35,Volatility,MeanReversion,Permanent,AND(ISERROR(Z35),ISERROR(FuturesHWConvAdj!Q34:Q35)),ObjectOverwrite)</f>
        <v>USDFUT3MM0ConvAdj_Quote#0073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U0</v>
      </c>
      <c r="E36" s="115" t="str">
        <f t="shared" si="0"/>
        <v>USDFUT3MU0_Quote</v>
      </c>
      <c r="F36" s="114" t="str">
        <f>_xll.qlSimpleQuote(E36,,PriceTickValue,Permanent,Trigger,ObjectOverwrite)</f>
        <v>USDFUT3MU0_Quote#0000</v>
      </c>
      <c r="G36" s="79" t="str">
        <f>_xll.ohRangeRetrieveError(F36)</f>
        <v/>
      </c>
      <c r="H36" s="113"/>
      <c r="J36" s="260"/>
      <c r="K36" s="266">
        <v>31</v>
      </c>
      <c r="L36" s="265" t="b">
        <v>1</v>
      </c>
      <c r="M36" s="194" t="str">
        <v>U0</v>
      </c>
      <c r="N36" s="264">
        <v>44090</v>
      </c>
      <c r="O36" s="194" t="str">
        <v>EDU0</v>
      </c>
      <c r="P36" s="263">
        <v>44088</v>
      </c>
      <c r="Q36" s="194">
        <v>97.3</v>
      </c>
      <c r="R36" s="194">
        <v>97.31</v>
      </c>
      <c r="S36" s="194">
        <v>97.31</v>
      </c>
      <c r="T36" s="194">
        <v>97.344999999999999</v>
      </c>
      <c r="U36" s="198">
        <f>_xll.qlMidSafe(Q36,R36,Trigger)</f>
        <v>97.305000000000007</v>
      </c>
      <c r="V36" s="196"/>
      <c r="W36" s="262">
        <v>96.72</v>
      </c>
      <c r="X36" s="196"/>
      <c r="Y36" s="261">
        <v>97.305000000000007</v>
      </c>
      <c r="Z36" s="198">
        <f>_xll.qlSimpleQuoteSetValue(F36,Y36,Trigger)</f>
        <v>-4.9999999999954525E-3</v>
      </c>
      <c r="AA36" s="23"/>
      <c r="AB36" s="13"/>
      <c r="AC36" s="13"/>
      <c r="AD36" s="13"/>
      <c r="AE36" s="13"/>
      <c r="AF36" s="230">
        <f t="shared" si="1"/>
        <v>9.9999999999909054E-5</v>
      </c>
      <c r="AH36" s="119"/>
      <c r="AI36" s="118">
        <v>31</v>
      </c>
      <c r="AJ36" s="116" t="b">
        <v>1</v>
      </c>
      <c r="AK36" s="116" t="str">
        <v>U0</v>
      </c>
      <c r="AL36" s="187" t="str">
        <f t="shared" si="2"/>
        <v>USDFUT3MU0ConvAdj_Quote</v>
      </c>
      <c r="AM36" s="186" t="str">
        <f>_xll.qlFuturesConvAdjustmentQuote(AL36,IborIndex,AK36,F36,Volatility,MeanReversion,Permanent,AND(ISERROR(Z36),ISERROR(FuturesHWConvAdj!Q35:Q36)),ObjectOverwrite)</f>
        <v>USDFUT3MU0ConvAdj_Quote#0075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Z0</v>
      </c>
      <c r="E37" s="115" t="str">
        <f t="shared" si="0"/>
        <v>USDFUT3MZ0_Quote</v>
      </c>
      <c r="F37" s="114" t="str">
        <f>_xll.qlSimpleQuote(E37,,PriceTickValue,Permanent,Trigger,ObjectOverwrite)</f>
        <v>USDFUT3MZ0_Quote#0000</v>
      </c>
      <c r="G37" s="79" t="str">
        <f>_xll.ohRangeRetrieveError(F37)</f>
        <v/>
      </c>
      <c r="H37" s="113"/>
      <c r="J37" s="260"/>
      <c r="K37" s="266">
        <v>32</v>
      </c>
      <c r="L37" s="265" t="b">
        <v>1</v>
      </c>
      <c r="M37" s="194" t="str">
        <v>Z0</v>
      </c>
      <c r="N37" s="264">
        <v>44181</v>
      </c>
      <c r="O37" s="194" t="str">
        <v>EDZ0</v>
      </c>
      <c r="P37" s="263">
        <v>44179</v>
      </c>
      <c r="Q37" s="194">
        <v>97.265000000000001</v>
      </c>
      <c r="R37" s="194">
        <v>97.275000000000006</v>
      </c>
      <c r="S37" s="194">
        <v>97.27</v>
      </c>
      <c r="T37" s="194">
        <v>97.31</v>
      </c>
      <c r="U37" s="198">
        <f>_xll.qlMidSafe(Q37,R37,Trigger)</f>
        <v>97.27000000000001</v>
      </c>
      <c r="V37" s="196"/>
      <c r="W37" s="262">
        <v>96.664999999999992</v>
      </c>
      <c r="X37" s="196"/>
      <c r="Y37" s="261">
        <v>97.27000000000001</v>
      </c>
      <c r="Z37" s="198">
        <f>_xll.qlSimpleQuoteSetValue(F37,Y37,Trigger)</f>
        <v>0</v>
      </c>
      <c r="AA37" s="23"/>
      <c r="AB37" s="13"/>
      <c r="AC37" s="13"/>
      <c r="AD37" s="13"/>
      <c r="AE37" s="13"/>
      <c r="AF37" s="230">
        <f t="shared" si="1"/>
        <v>9.9999999999909054E-5</v>
      </c>
      <c r="AH37" s="119"/>
      <c r="AI37" s="118">
        <v>32</v>
      </c>
      <c r="AJ37" s="116" t="b">
        <v>1</v>
      </c>
      <c r="AK37" s="116" t="str">
        <v>Z0</v>
      </c>
      <c r="AL37" s="187" t="str">
        <f t="shared" si="2"/>
        <v>USDFUT3MZ0ConvAdj_Quote</v>
      </c>
      <c r="AM37" s="186" t="str">
        <f>_xll.qlFuturesConvAdjustmentQuote(AL37,IborIndex,AK37,F37,Volatility,MeanReversion,Permanent,AND(ISERROR(Z37),ISERROR(FuturesHWConvAdj!Q36:Q37)),ObjectOverwrite)</f>
        <v>USDFUT3MZ0ConvAdj_Quote#0074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H1</v>
      </c>
      <c r="E38" s="115" t="str">
        <f t="shared" ref="E38:E47" si="3">Currency&amp;$D$4&amp;$E$4&amp;$D38&amp;QuoteSuffix</f>
        <v>USDFUT3MH1_Quote</v>
      </c>
      <c r="F38" s="114" t="str">
        <f>_xll.qlSimpleQuote(E38,,PriceTickValue,Permanent,Trigger,ObjectOverwrite)</f>
        <v>USDFUT3MH1_Quote#0000</v>
      </c>
      <c r="G38" s="79" t="str">
        <f>_xll.ohRangeRetrieveError(F38)</f>
        <v/>
      </c>
      <c r="H38" s="113"/>
      <c r="J38" s="260"/>
      <c r="K38" s="266">
        <v>33</v>
      </c>
      <c r="L38" s="265" t="b">
        <v>1</v>
      </c>
      <c r="M38" s="194" t="str">
        <v>H1</v>
      </c>
      <c r="N38" s="264">
        <v>44272</v>
      </c>
      <c r="O38" s="194" t="str">
        <v>EDH1</v>
      </c>
      <c r="P38" s="263">
        <v>44270</v>
      </c>
      <c r="Q38" s="194">
        <v>97.234999999999999</v>
      </c>
      <c r="R38" s="194">
        <v>97.25</v>
      </c>
      <c r="S38" s="194">
        <v>97.24</v>
      </c>
      <c r="T38" s="194">
        <v>97.284999999999997</v>
      </c>
      <c r="U38" s="198">
        <f>_xll.qlMidSafe(Q38,R38,Trigger)</f>
        <v>97.242500000000007</v>
      </c>
      <c r="V38" s="196"/>
      <c r="W38" s="262">
        <v>96.615000000000009</v>
      </c>
      <c r="X38" s="196"/>
      <c r="Y38" s="261">
        <v>97.242500000000007</v>
      </c>
      <c r="Z38" s="198">
        <f>_xll.qlSimpleQuoteSetValue(F38,Y38,Trigger)</f>
        <v>-2.4999999999977263E-3</v>
      </c>
      <c r="AA38" s="23"/>
      <c r="AB38" s="13"/>
      <c r="AC38" s="13"/>
      <c r="AD38" s="13"/>
      <c r="AE38" s="13"/>
      <c r="AF38" s="230">
        <f t="shared" si="1"/>
        <v>1.4999999999986357E-4</v>
      </c>
      <c r="AH38" s="119"/>
      <c r="AI38" s="118">
        <v>33</v>
      </c>
      <c r="AJ38" s="116" t="b">
        <v>1</v>
      </c>
      <c r="AK38" s="116" t="str">
        <v>H1</v>
      </c>
      <c r="AL38" s="187" t="str">
        <f t="shared" si="2"/>
        <v>USDFUT3MH1ConvAdj_Quote</v>
      </c>
      <c r="AM38" s="186" t="str">
        <f>_xll.qlFuturesConvAdjustmentQuote(AL38,IborIndex,AK38,F38,Volatility,MeanReversion,Permanent,AND(ISERROR(Z38),ISERROR(FuturesHWConvAdj!Q37:Q38)),ObjectOverwrite)</f>
        <v>USDFUT3MH1ConvAdj_Quote#0074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M1</v>
      </c>
      <c r="E39" s="115" t="str">
        <f t="shared" si="3"/>
        <v>USDFUT3MM1_Quote</v>
      </c>
      <c r="F39" s="114" t="str">
        <f>_xll.qlSimpleQuote(E39,,PriceTickValue,Permanent,Trigger,ObjectOverwrite)</f>
        <v>USDFUT3MM1_Quote#0000</v>
      </c>
      <c r="G39" s="79" t="str">
        <f>_xll.ohRangeRetrieveError(F39)</f>
        <v/>
      </c>
      <c r="H39" s="113"/>
      <c r="J39" s="260"/>
      <c r="K39" s="266">
        <v>34</v>
      </c>
      <c r="L39" s="265" t="b">
        <v>1</v>
      </c>
      <c r="M39" s="194" t="str">
        <v>M1</v>
      </c>
      <c r="N39" s="264">
        <v>44363</v>
      </c>
      <c r="O39" s="194" t="str">
        <v>EDM1</v>
      </c>
      <c r="P39" s="263">
        <v>44361</v>
      </c>
      <c r="Q39" s="194">
        <v>97.21</v>
      </c>
      <c r="R39" s="194">
        <v>97.22</v>
      </c>
      <c r="S39" s="194">
        <v>97.21</v>
      </c>
      <c r="T39" s="194">
        <v>97.26</v>
      </c>
      <c r="U39" s="198">
        <f>_xll.qlMidSafe(Q39,R39,Trigger)</f>
        <v>97.215000000000003</v>
      </c>
      <c r="V39" s="196"/>
      <c r="W39" s="262">
        <v>96.577499999999986</v>
      </c>
      <c r="X39" s="196"/>
      <c r="Y39" s="261">
        <v>97.215000000000003</v>
      </c>
      <c r="Z39" s="198">
        <f>_xll.qlSimpleQuoteSetValue(F39,Y39,Trigger)</f>
        <v>-4.9999999999954525E-3</v>
      </c>
      <c r="AA39" s="23"/>
      <c r="AB39" s="13"/>
      <c r="AC39" s="13"/>
      <c r="AD39" s="13"/>
      <c r="AE39" s="13"/>
      <c r="AF39" s="230">
        <f t="shared" si="1"/>
        <v>9.9999999999909054E-5</v>
      </c>
      <c r="AH39" s="119"/>
      <c r="AI39" s="118">
        <v>34</v>
      </c>
      <c r="AJ39" s="116" t="b">
        <v>1</v>
      </c>
      <c r="AK39" s="116" t="str">
        <v>M1</v>
      </c>
      <c r="AL39" s="187" t="str">
        <f t="shared" si="2"/>
        <v>USDFUT3MM1ConvAdj_Quote</v>
      </c>
      <c r="AM39" s="186" t="str">
        <f>_xll.qlFuturesConvAdjustmentQuote(AL39,IborIndex,AK39,F39,Volatility,MeanReversion,Permanent,AND(ISERROR(Z39),ISERROR(FuturesHWConvAdj!Q38:Q39)),ObjectOverwrite)</f>
        <v>USDFUT3MM1ConvAdj_Quote#0075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U1</v>
      </c>
      <c r="E40" s="115" t="str">
        <f t="shared" si="3"/>
        <v>USDFUT3MU1_Quote</v>
      </c>
      <c r="F40" s="114" t="str">
        <f>_xll.qlSimpleQuote(E40,,PriceTickValue,Permanent,Trigger,ObjectOverwrite)</f>
        <v>USDFUT3MU1_Quote#0000</v>
      </c>
      <c r="G40" s="79" t="str">
        <f>_xll.ohRangeRetrieveError(F40)</f>
        <v/>
      </c>
      <c r="H40" s="113"/>
      <c r="J40" s="260"/>
      <c r="K40" s="266">
        <v>35</v>
      </c>
      <c r="L40" s="265" t="b">
        <v>1</v>
      </c>
      <c r="M40" s="194" t="str">
        <v>U1</v>
      </c>
      <c r="N40" s="264">
        <v>44454</v>
      </c>
      <c r="O40" s="194" t="str">
        <v>EDU1</v>
      </c>
      <c r="P40" s="263">
        <v>44452</v>
      </c>
      <c r="Q40" s="194">
        <v>97.185000000000002</v>
      </c>
      <c r="R40" s="194">
        <v>97.2</v>
      </c>
      <c r="S40" s="194">
        <v>0</v>
      </c>
      <c r="T40" s="194">
        <v>97.234999999999999</v>
      </c>
      <c r="U40" s="198">
        <f>_xll.qlMidSafe(Q40,R40,Trigger)</f>
        <v>97.192499999999995</v>
      </c>
      <c r="V40" s="196"/>
      <c r="W40" s="262">
        <v>96.532499999999999</v>
      </c>
      <c r="X40" s="196"/>
      <c r="Y40" s="261">
        <v>97.192499999999995</v>
      </c>
      <c r="Z40" s="198">
        <f>_xll.qlSimpleQuoteSetValue(F40,Y40,Trigger)</f>
        <v>0</v>
      </c>
      <c r="AA40" s="23"/>
      <c r="AB40" s="13"/>
      <c r="AC40" s="13"/>
      <c r="AD40" s="13"/>
      <c r="AE40" s="13"/>
      <c r="AF40" s="230">
        <f t="shared" si="1"/>
        <v>1.5000000000014779E-4</v>
      </c>
      <c r="AH40" s="119"/>
      <c r="AI40" s="118">
        <v>35</v>
      </c>
      <c r="AJ40" s="116" t="b">
        <v>1</v>
      </c>
      <c r="AK40" s="116" t="str">
        <v>U1</v>
      </c>
      <c r="AL40" s="187" t="str">
        <f t="shared" si="2"/>
        <v>USDFUT3MU1ConvAdj_Quote</v>
      </c>
      <c r="AM40" s="186" t="str">
        <f>_xll.qlFuturesConvAdjustmentQuote(AL40,IborIndex,AK40,F40,Volatility,MeanReversion,Permanent,AND(ISERROR(Z40),ISERROR(FuturesHWConvAdj!Q39:Q40)),ObjectOverwrite)</f>
        <v>USDFUT3MU1ConvAdj_Quote#0075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Z1</v>
      </c>
      <c r="E41" s="115" t="str">
        <f t="shared" si="3"/>
        <v>USDFUT3MZ1_Quote</v>
      </c>
      <c r="F41" s="114" t="str">
        <f>_xll.qlSimpleQuote(E41,,PriceTickValue,Permanent,Trigger,ObjectOverwrite)</f>
        <v>USDFUT3MZ1_Quote#0000</v>
      </c>
      <c r="G41" s="79" t="str">
        <f>_xll.ohRangeRetrieveError(F41)</f>
        <v/>
      </c>
      <c r="H41" s="113"/>
      <c r="J41" s="260"/>
      <c r="K41" s="266">
        <v>36</v>
      </c>
      <c r="L41" s="265" t="b">
        <v>1</v>
      </c>
      <c r="M41" s="194" t="str">
        <v>Z1</v>
      </c>
      <c r="N41" s="264">
        <v>44545</v>
      </c>
      <c r="O41" s="194" t="str">
        <v>EDZ1</v>
      </c>
      <c r="P41" s="263">
        <v>44543</v>
      </c>
      <c r="Q41" s="194">
        <v>97.155000000000001</v>
      </c>
      <c r="R41" s="194">
        <v>97.17</v>
      </c>
      <c r="S41" s="194">
        <v>0</v>
      </c>
      <c r="T41" s="194">
        <v>97.21</v>
      </c>
      <c r="U41" s="198">
        <f>_xll.qlMidSafe(Q41,R41,Trigger)</f>
        <v>97.162499999999994</v>
      </c>
      <c r="V41" s="196"/>
      <c r="W41" s="262">
        <v>96.502499999999998</v>
      </c>
      <c r="X41" s="196"/>
      <c r="Y41" s="261">
        <v>97.162499999999994</v>
      </c>
      <c r="Z41" s="198">
        <f>_xll.qlSimpleQuoteSetValue(F41,Y41,Trigger)</f>
        <v>-4.9999999999954525E-3</v>
      </c>
      <c r="AA41" s="23"/>
      <c r="AB41" s="13"/>
      <c r="AC41" s="13"/>
      <c r="AD41" s="13"/>
      <c r="AE41" s="13"/>
      <c r="AF41" s="230">
        <f t="shared" si="1"/>
        <v>1.5000000000014779E-4</v>
      </c>
      <c r="AH41" s="119"/>
      <c r="AI41" s="118">
        <v>36</v>
      </c>
      <c r="AJ41" s="116" t="b">
        <v>1</v>
      </c>
      <c r="AK41" s="116" t="str">
        <v>Z1</v>
      </c>
      <c r="AL41" s="187" t="str">
        <f t="shared" si="2"/>
        <v>USDFUT3MZ1ConvAdj_Quote</v>
      </c>
      <c r="AM41" s="186" t="str">
        <f>_xll.qlFuturesConvAdjustmentQuote(AL41,IborIndex,AK41,F41,Volatility,MeanReversion,Permanent,AND(ISERROR(Z41),ISERROR(FuturesHWConvAdj!Q40:Q41)),ObjectOverwrite)</f>
        <v>USDFUT3MZ1ConvAdj_Quote#0074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H2</v>
      </c>
      <c r="E42" s="115" t="str">
        <f t="shared" si="3"/>
        <v>USDFUT3MH2_Quote</v>
      </c>
      <c r="F42" s="114" t="str">
        <f>_xll.qlSimpleQuote(E42,,PriceTickValue,Permanent,Trigger,ObjectOverwrite)</f>
        <v>USDFUT3MH2_Quote#0000</v>
      </c>
      <c r="G42" s="79" t="str">
        <f>_xll.ohRangeRetrieveError(F42)</f>
        <v/>
      </c>
      <c r="H42" s="113"/>
      <c r="J42" s="260"/>
      <c r="K42" s="266">
        <v>37</v>
      </c>
      <c r="L42" s="265" t="b">
        <v>1</v>
      </c>
      <c r="M42" s="194" t="str">
        <v>H2</v>
      </c>
      <c r="N42" s="264">
        <v>44636</v>
      </c>
      <c r="O42" s="194" t="str">
        <v>EDH2</v>
      </c>
      <c r="P42" s="263">
        <v>44634</v>
      </c>
      <c r="Q42" s="194">
        <v>97.125</v>
      </c>
      <c r="R42" s="194">
        <v>97.165000000000006</v>
      </c>
      <c r="S42" s="194">
        <v>0</v>
      </c>
      <c r="T42" s="194">
        <v>97.194999999999993</v>
      </c>
      <c r="U42" s="198">
        <f>_xll.qlMidSafe(Q42,R42,Trigger)</f>
        <v>97.14500000000001</v>
      </c>
      <c r="V42" s="196"/>
      <c r="W42" s="262">
        <v>96.457499999999996</v>
      </c>
      <c r="X42" s="196"/>
      <c r="Y42" s="261">
        <v>97.14500000000001</v>
      </c>
      <c r="Z42" s="198">
        <f>_xll.qlSimpleQuoteSetValue(F42,Y42,Trigger)</f>
        <v>-7.4999999999931788E-3</v>
      </c>
      <c r="AA42" s="23"/>
      <c r="AB42" s="13"/>
      <c r="AC42" s="13"/>
      <c r="AD42" s="13"/>
      <c r="AE42" s="13"/>
      <c r="AF42" s="230">
        <f t="shared" si="1"/>
        <v>3.9999999999992044E-4</v>
      </c>
      <c r="AH42" s="119"/>
      <c r="AI42" s="118">
        <v>37</v>
      </c>
      <c r="AJ42" s="116" t="b">
        <v>1</v>
      </c>
      <c r="AK42" s="116" t="str">
        <v>H2</v>
      </c>
      <c r="AL42" s="187" t="str">
        <f t="shared" si="2"/>
        <v>USDFUT3MH2ConvAdj_Quote</v>
      </c>
      <c r="AM42" s="186" t="str">
        <f>_xll.qlFuturesConvAdjustmentQuote(AL42,IborIndex,AK42,F42,Volatility,MeanReversion,Permanent,AND(ISERROR(Z42),ISERROR(FuturesHWConvAdj!Q41:Q42)),ObjectOverwrite)</f>
        <v>USDFUT3MH2ConvAdj_Quote#0074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M2</v>
      </c>
      <c r="E43" s="115" t="str">
        <f t="shared" si="3"/>
        <v>USDFUT3MM2_Quote</v>
      </c>
      <c r="F43" s="114" t="str">
        <f>_xll.qlSimpleQuote(E43,,PriceTickValue,Permanent,Trigger,ObjectOverwrite)</f>
        <v>USDFUT3MM2_Quote#0000</v>
      </c>
      <c r="G43" s="79" t="str">
        <f>_xll.ohRangeRetrieveError(F43)</f>
        <v/>
      </c>
      <c r="H43" s="113"/>
      <c r="J43" s="260"/>
      <c r="K43" s="266">
        <v>38</v>
      </c>
      <c r="L43" s="265" t="b">
        <v>1</v>
      </c>
      <c r="M43" s="194" t="str">
        <v>M2</v>
      </c>
      <c r="N43" s="264">
        <v>44727</v>
      </c>
      <c r="O43" s="194" t="str">
        <v>EDM2</v>
      </c>
      <c r="P43" s="263">
        <v>44725</v>
      </c>
      <c r="Q43" s="194">
        <v>97.114999999999995</v>
      </c>
      <c r="R43" s="194">
        <v>97.155000000000001</v>
      </c>
      <c r="S43" s="194">
        <v>0</v>
      </c>
      <c r="T43" s="194">
        <v>97.174999999999997</v>
      </c>
      <c r="U43" s="198">
        <f>_xll.qlMidSafe(Q43,R43,Trigger)</f>
        <v>97.134999999999991</v>
      </c>
      <c r="V43" s="196"/>
      <c r="W43" s="262">
        <v>96.367500000000007</v>
      </c>
      <c r="X43" s="196"/>
      <c r="Y43" s="261">
        <v>97.134999999999991</v>
      </c>
      <c r="Z43" s="198">
        <f>_xll.qlSimpleQuoteSetValue(F43,Y43,Trigger)</f>
        <v>4.9999999999954525E-3</v>
      </c>
      <c r="AA43" s="23"/>
      <c r="AB43" s="13"/>
      <c r="AC43" s="13"/>
      <c r="AD43" s="13"/>
      <c r="AE43" s="13"/>
      <c r="AF43" s="230">
        <f t="shared" si="1"/>
        <v>4.0000000000020466E-4</v>
      </c>
      <c r="AH43" s="119"/>
      <c r="AI43" s="118">
        <v>38</v>
      </c>
      <c r="AJ43" s="116" t="b">
        <v>1</v>
      </c>
      <c r="AK43" s="116" t="str">
        <v>M2</v>
      </c>
      <c r="AL43" s="187" t="str">
        <f t="shared" si="2"/>
        <v>USDFUT3MM2ConvAdj_Quote</v>
      </c>
      <c r="AM43" s="186" t="str">
        <f>_xll.qlFuturesConvAdjustmentQuote(AL43,IborIndex,AK43,F43,Volatility,MeanReversion,Permanent,AND(ISERROR(Z43),ISERROR(FuturesHWConvAdj!Q42:Q43)),ObjectOverwrite)</f>
        <v>USDFUT3MM2ConvAdj_Quote#0075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U2</v>
      </c>
      <c r="E44" s="115" t="str">
        <f t="shared" si="3"/>
        <v>USDFUT3MU2_Quote</v>
      </c>
      <c r="F44" s="114" t="str">
        <f>_xll.qlSimpleQuote(E44,,PriceTickValue,Permanent,Trigger,ObjectOverwrite)</f>
        <v>USDFUT3MU2_Quote#0000</v>
      </c>
      <c r="G44" s="79" t="str">
        <f>_xll.ohRangeRetrieveError(F44)</f>
        <v/>
      </c>
      <c r="H44" s="113"/>
      <c r="J44" s="260"/>
      <c r="K44" s="266">
        <v>39</v>
      </c>
      <c r="L44" s="265" t="b">
        <v>1</v>
      </c>
      <c r="M44" s="194" t="str">
        <v>U2</v>
      </c>
      <c r="N44" s="264">
        <v>44825</v>
      </c>
      <c r="O44" s="194" t="str">
        <v>EDU2</v>
      </c>
      <c r="P44" s="263">
        <v>44823</v>
      </c>
      <c r="Q44" s="194">
        <v>97.094999999999999</v>
      </c>
      <c r="R44" s="194">
        <v>97.13</v>
      </c>
      <c r="S44" s="194">
        <v>0</v>
      </c>
      <c r="T44" s="194">
        <v>97.16</v>
      </c>
      <c r="U44" s="198">
        <f>_xll.qlMidSafe(Q44,R44,Trigger)</f>
        <v>97.112499999999997</v>
      </c>
      <c r="V44" s="196"/>
      <c r="W44" s="262">
        <v>96.39</v>
      </c>
      <c r="X44" s="196"/>
      <c r="Y44" s="261">
        <v>97.112499999999997</v>
      </c>
      <c r="Z44" s="198">
        <f>_xll.qlSimpleQuoteSetValue(F44,Y44,Trigger)</f>
        <v>-5.0000000000096634E-3</v>
      </c>
      <c r="AA44" s="23"/>
      <c r="AB44" s="13"/>
      <c r="AC44" s="13"/>
      <c r="AD44" s="13"/>
      <c r="AE44" s="13"/>
      <c r="AF44" s="230">
        <f t="shared" si="1"/>
        <v>3.499999999999659E-4</v>
      </c>
      <c r="AH44" s="119"/>
      <c r="AI44" s="118">
        <v>39</v>
      </c>
      <c r="AJ44" s="116" t="b">
        <v>1</v>
      </c>
      <c r="AK44" s="116" t="str">
        <v>U2</v>
      </c>
      <c r="AL44" s="187" t="str">
        <f t="shared" si="2"/>
        <v>USDFUT3MU2ConvAdj_Quote</v>
      </c>
      <c r="AM44" s="186" t="str">
        <f>_xll.qlFuturesConvAdjustmentQuote(AL44,IborIndex,AK44,F44,Volatility,MeanReversion,Permanent,AND(ISERROR(Z44),ISERROR(FuturesHWConvAdj!Q43:Q44)),ObjectOverwrite)</f>
        <v>USDFUT3MU2ConvAdj_Quote#0073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Z2</v>
      </c>
      <c r="E45" s="115" t="str">
        <f t="shared" si="3"/>
        <v>USDFUT3MZ2_Quote</v>
      </c>
      <c r="F45" s="114" t="str">
        <f>_xll.qlSimpleQuote(E45,,PriceTickValue,Permanent,Trigger,ObjectOverwrite)</f>
        <v>USDFUT3MZ2_Quote#0000</v>
      </c>
      <c r="G45" s="79" t="str">
        <f>_xll.ohRangeRetrieveError(F45)</f>
        <v/>
      </c>
      <c r="H45" s="113"/>
      <c r="J45" s="260"/>
      <c r="K45" s="266">
        <v>40</v>
      </c>
      <c r="L45" s="265" t="b">
        <v>1</v>
      </c>
      <c r="M45" s="194" t="str">
        <v>Z2</v>
      </c>
      <c r="N45" s="264">
        <v>44916</v>
      </c>
      <c r="O45" s="194" t="str">
        <v>EDZ2</v>
      </c>
      <c r="P45" s="263">
        <v>44914</v>
      </c>
      <c r="Q45" s="194">
        <v>97.064999999999998</v>
      </c>
      <c r="R45" s="194">
        <v>97.11</v>
      </c>
      <c r="S45" s="194">
        <v>0</v>
      </c>
      <c r="T45" s="194">
        <v>97.135000000000005</v>
      </c>
      <c r="U45" s="198">
        <f>_xll.qlMidSafe(Q45,R45,Trigger)</f>
        <v>97.087500000000006</v>
      </c>
      <c r="V45" s="196"/>
      <c r="W45" s="262">
        <v>96.297499999999999</v>
      </c>
      <c r="X45" s="196"/>
      <c r="Y45" s="261">
        <v>97.087500000000006</v>
      </c>
      <c r="Z45" s="198">
        <f>_xll.qlSimpleQuoteSetValue(F45,Y45,Trigger)</f>
        <v>-4.9999999999954525E-3</v>
      </c>
      <c r="AA45" s="23"/>
      <c r="AB45" s="13"/>
      <c r="AC45" s="13"/>
      <c r="AD45" s="13"/>
      <c r="AE45" s="13"/>
      <c r="AF45" s="230">
        <f t="shared" si="1"/>
        <v>4.4999999999987492E-4</v>
      </c>
      <c r="AH45" s="119"/>
      <c r="AI45" s="118">
        <v>40</v>
      </c>
      <c r="AJ45" s="116" t="b">
        <v>1</v>
      </c>
      <c r="AK45" s="116" t="str">
        <v>Z2</v>
      </c>
      <c r="AL45" s="187" t="str">
        <f t="shared" si="2"/>
        <v>USDFUT3MZ2ConvAdj_Quote</v>
      </c>
      <c r="AM45" s="186" t="str">
        <f>_xll.qlFuturesConvAdjustmentQuote(AL45,IborIndex,AK45,F45,Volatility,MeanReversion,Permanent,AND(ISERROR(Z45),ISERROR(FuturesHWConvAdj!Q44:Q45)),ObjectOverwrite)</f>
        <v>USDFUT3MZ2ConvAdj_Quote#0075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H3</v>
      </c>
      <c r="E46" s="115" t="str">
        <f t="shared" si="3"/>
        <v>USDFUT3MH3_Quote</v>
      </c>
      <c r="F46" s="114" t="str">
        <f>_xll.qlSimpleQuote(E46,,PriceTickValue,Permanent,Trigger,ObjectOverwrite)</f>
        <v>USDFUT3MH3_Quote#0000</v>
      </c>
      <c r="G46" s="79" t="str">
        <f>_xll.ohRangeRetrieveError(F46)</f>
        <v/>
      </c>
      <c r="H46" s="113"/>
      <c r="J46" s="260"/>
      <c r="K46" s="266">
        <v>41</v>
      </c>
      <c r="L46" s="265" t="b">
        <v>1</v>
      </c>
      <c r="M46" s="194" t="str">
        <v>H3</v>
      </c>
      <c r="N46" s="264">
        <v>45000</v>
      </c>
      <c r="O46" s="194" t="str">
        <v>EDH3</v>
      </c>
      <c r="P46" s="263">
        <v>44998</v>
      </c>
      <c r="Q46" s="194">
        <v>97.055000000000007</v>
      </c>
      <c r="R46" s="194">
        <v>97.1</v>
      </c>
      <c r="S46" s="194">
        <v>0</v>
      </c>
      <c r="T46" s="194">
        <v>97.12</v>
      </c>
      <c r="U46" s="198">
        <f>_xll.qlMidSafe(Q46,R46,Trigger)</f>
        <v>97.077500000000001</v>
      </c>
      <c r="V46" s="196"/>
      <c r="W46" s="262">
        <v>96.33</v>
      </c>
      <c r="X46" s="196"/>
      <c r="Y46" s="261">
        <v>97.077500000000001</v>
      </c>
      <c r="Z46" s="198">
        <f>_xll.qlSimpleQuoteSetValue(F46,Y46,Trigger)</f>
        <v>-4.9999999999954525E-3</v>
      </c>
      <c r="AA46" s="23"/>
      <c r="AB46" s="13"/>
      <c r="AC46" s="13"/>
      <c r="AD46" s="13"/>
      <c r="AE46" s="13"/>
      <c r="AF46" s="230">
        <f t="shared" si="1"/>
        <v>4.4999999999987492E-4</v>
      </c>
      <c r="AH46" s="119"/>
      <c r="AI46" s="118">
        <v>41</v>
      </c>
      <c r="AJ46" s="116" t="b">
        <v>1</v>
      </c>
      <c r="AK46" s="116" t="str">
        <v>H3</v>
      </c>
      <c r="AL46" s="187" t="str">
        <f t="shared" si="2"/>
        <v>USDFUT3MH3ConvAdj_Quote</v>
      </c>
      <c r="AM46" s="186" t="str">
        <f>_xll.qlFuturesConvAdjustmentQuote(AL46,IborIndex,AK46,F46,Volatility,MeanReversion,Permanent,AND(ISERROR(Z46),ISERROR(FuturesHWConvAdj!Q45:Q46)),ObjectOverwrite)</f>
        <v>USDFUT3MH3ConvAdj_Quote#0074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M3</v>
      </c>
      <c r="E47" s="115" t="str">
        <f t="shared" si="3"/>
        <v>USDFUT3MM3_Quote</v>
      </c>
      <c r="F47" s="114" t="str">
        <f>_xll.qlSimpleQuote(E47,,PriceTickValue,Permanent,Trigger,ObjectOverwrite)</f>
        <v>USDFUT3MM3_Quote#0000</v>
      </c>
      <c r="G47" s="79" t="str">
        <f>_xll.ohRangeRetrieveError(F47)</f>
        <v/>
      </c>
      <c r="H47" s="113"/>
      <c r="J47" s="260"/>
      <c r="K47" s="259">
        <v>42</v>
      </c>
      <c r="L47" s="258" t="b">
        <v>1</v>
      </c>
      <c r="M47" s="207" t="str">
        <v>M3</v>
      </c>
      <c r="N47" s="257">
        <v>45098</v>
      </c>
      <c r="O47" s="207" t="str">
        <v>EDM3</v>
      </c>
      <c r="P47" s="256">
        <v>45096</v>
      </c>
      <c r="Q47" s="207">
        <v>96.76</v>
      </c>
      <c r="R47" s="207">
        <v>97.084999999999994</v>
      </c>
      <c r="S47" s="207">
        <v>0</v>
      </c>
      <c r="T47" s="207">
        <v>97.1</v>
      </c>
      <c r="U47" s="209">
        <f>_xll.qlMidSafe(Q47,R47,Trigger)</f>
        <v>96.922499999999999</v>
      </c>
      <c r="V47" s="196"/>
      <c r="W47" s="255">
        <v>95.795000000000002</v>
      </c>
      <c r="X47" s="196"/>
      <c r="Y47" s="254">
        <v>96.922499999999999</v>
      </c>
      <c r="Z47" s="209">
        <f>_xll.qlSimpleQuoteSetValue(F47,Y47,Trigger)</f>
        <v>-0.13500000000000512</v>
      </c>
      <c r="AA47" s="23"/>
      <c r="AB47" s="13"/>
      <c r="AC47" s="13"/>
      <c r="AD47" s="13"/>
      <c r="AE47" s="13"/>
      <c r="AF47" s="230">
        <f t="shared" si="1"/>
        <v>3.2499999999998862E-3</v>
      </c>
      <c r="AH47" s="119"/>
      <c r="AI47" s="118">
        <v>42</v>
      </c>
      <c r="AJ47" s="116" t="b">
        <v>1</v>
      </c>
      <c r="AK47" s="116" t="str">
        <v>M3</v>
      </c>
      <c r="AL47" s="187" t="str">
        <f t="shared" si="2"/>
        <v>USDFUT3MM3ConvAdj_Quote</v>
      </c>
      <c r="AM47" s="186" t="str">
        <f>_xll.qlFuturesConvAdjustmentQuote(AL47,IborIndex,AK47,F47,Volatility,MeanReversion,Permanent,AND(ISERROR(Z47),ISERROR(FuturesHWConvAdj!Q46:Q47)),ObjectOverwrite)</f>
        <v>USDFUT3MM3ConvAdj_Quote#0075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3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" sqref="F2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G5</v>
      </c>
      <c r="E3" s="115" t="str">
        <f t="shared" ref="E3:E34" si="0">Currency&amp;$D$1&amp;$E$1&amp;$D3&amp;QuoteSuffix</f>
        <v>USDIMMFRA6MG5_Quote</v>
      </c>
      <c r="F3" s="121" t="str">
        <f>_xll.qlSimpleQuote(E3,,PriceTickValue,Permanent,Trigger,ObjectOverwrite)</f>
        <v>USDIMMFRA6MG5_Quote#0000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H5</v>
      </c>
      <c r="E4" s="115" t="str">
        <f t="shared" si="0"/>
        <v>USDIMMFRA6MH5_Quote</v>
      </c>
      <c r="F4" s="114" t="str">
        <f>_xll.qlSimpleQuote(E4,,PriceTickValue,Permanent,Trigger,ObjectOverwrite)</f>
        <v>USDIMMFRA6MH5_Quote#0000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J5</v>
      </c>
      <c r="E5" s="115" t="str">
        <f t="shared" si="0"/>
        <v>USDIMMFRA6MJ5_Quote</v>
      </c>
      <c r="F5" s="114" t="str">
        <f>_xll.qlSimpleQuote(E5,,PriceTickValue,Permanent,Trigger,ObjectOverwrite)</f>
        <v>USDIMMFRA6MJ5_Quote#0000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K5</v>
      </c>
      <c r="E6" s="115" t="str">
        <f t="shared" si="0"/>
        <v>USDIMMFRA6MK5_Quote</v>
      </c>
      <c r="F6" s="114" t="str">
        <f>_xll.qlSimpleQuote(E6,,PriceTickValue,Permanent,Trigger,ObjectOverwrite)</f>
        <v>USDIMMFRA6MK5_Quote#0000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M5</v>
      </c>
      <c r="E7" s="115" t="str">
        <f t="shared" si="0"/>
        <v>USDIMMFRA6MM5_Quote</v>
      </c>
      <c r="F7" s="114" t="str">
        <f>_xll.qlSimpleQuote(E7,,PriceTickValue,Permanent,Trigger,ObjectOverwrite)</f>
        <v>USDIMMFRA6MM5_Quote#0000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N5</v>
      </c>
      <c r="E8" s="115" t="str">
        <f t="shared" si="0"/>
        <v>USDIMMFRA6MN5_Quote</v>
      </c>
      <c r="F8" s="114" t="str">
        <f>_xll.qlSimpleQuote(E8,,PriceTickValue,Permanent,Trigger,ObjectOverwrite)</f>
        <v>USDIMMFRA6MN5_Quote#0000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Q5</v>
      </c>
      <c r="E9" s="115" t="str">
        <f t="shared" si="0"/>
        <v>USDIMMFRA6MQ5_Quote</v>
      </c>
      <c r="F9" s="114" t="str">
        <f>_xll.qlSimpleQuote(E9,,PriceTickValue,Permanent,Trigger,ObjectOverwrite)</f>
        <v>USDIMMFRA6MQ5_Quote#0000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U5</v>
      </c>
      <c r="E10" s="115" t="str">
        <f t="shared" si="0"/>
        <v>USDIMMFRA6MU5_Quote</v>
      </c>
      <c r="F10" s="114" t="str">
        <f>_xll.qlSimpleQuote(E10,,PriceTickValue,Permanent,Trigger,ObjectOverwrite)</f>
        <v>USDIMMFRA6MU5_Quote#0000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V5</v>
      </c>
      <c r="E11" s="115" t="str">
        <f t="shared" si="0"/>
        <v>USDIMMFRA6MV5_Quote</v>
      </c>
      <c r="F11" s="114" t="str">
        <f>_xll.qlSimpleQuote(E11,,PriceTickValue,Permanent,Trigger,ObjectOverwrite)</f>
        <v>USDIMMFRA6MV5_Quote#0000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X5</v>
      </c>
      <c r="E12" s="115" t="str">
        <f t="shared" si="0"/>
        <v>USDIMMFRA6MX5_Quote</v>
      </c>
      <c r="F12" s="114" t="str">
        <f>_xll.qlSimpleQuote(E12,,PriceTickValue,Permanent,Trigger,ObjectOverwrite)</f>
        <v>USDIMMFRA6MX5_Quote#0000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Z5</v>
      </c>
      <c r="E13" s="115" t="str">
        <f t="shared" si="0"/>
        <v>USDIMMFRA6MZ5_Quote</v>
      </c>
      <c r="F13" s="114" t="str">
        <f>_xll.qlSimpleQuote(E13,,PriceTickValue,Permanent,Trigger,ObjectOverwrite)</f>
        <v>USDIMMFRA6MZ5_Quote#0000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F6</v>
      </c>
      <c r="E14" s="115" t="str">
        <f t="shared" si="0"/>
        <v>USDIMMFRA6MF6_Quote</v>
      </c>
      <c r="F14" s="114" t="str">
        <f>_xll.qlSimpleQuote(E14,,PriceTickValue,Permanent,Trigger,ObjectOverwrite)</f>
        <v>USDIMMFRA6MF6_Quote#0000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G6</v>
      </c>
      <c r="E15" s="115" t="str">
        <f t="shared" si="0"/>
        <v>USDIMMFRA6MG6_Quote</v>
      </c>
      <c r="F15" s="114" t="str">
        <f>_xll.qlSimpleQuote(E15,,PriceTickValue,Permanent,Trigger,ObjectOverwrite)</f>
        <v>USDIMMFRA6MG6_Quote#0000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H6</v>
      </c>
      <c r="E16" s="115" t="str">
        <f t="shared" si="0"/>
        <v>USDIMMFRA6MH6_Quote</v>
      </c>
      <c r="F16" s="114" t="str">
        <f>_xll.qlSimpleQuote(E16,,PriceTickValue,Permanent,Trigger,ObjectOverwrite)</f>
        <v>USDIMMFRA6MH6_Quote#0000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J6</v>
      </c>
      <c r="E17" s="115" t="str">
        <f t="shared" si="0"/>
        <v>USDIMMFRA6MJ6_Quote</v>
      </c>
      <c r="F17" s="114" t="str">
        <f>_xll.qlSimpleQuote(E17,,PriceTickValue,Permanent,Trigger,ObjectOverwrite)</f>
        <v>USDIMMFRA6MJ6_Quote#0000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K6</v>
      </c>
      <c r="E18" s="115" t="str">
        <f t="shared" si="0"/>
        <v>USDIMMFRA6MK6_Quote</v>
      </c>
      <c r="F18" s="114" t="str">
        <f>_xll.qlSimpleQuote(E18,,PriceTickValue,Permanent,Trigger,ObjectOverwrite)</f>
        <v>USDIMMFRA6MK6_Quote#0000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M6</v>
      </c>
      <c r="E19" s="115" t="str">
        <f t="shared" si="0"/>
        <v>USDIMMFRA6MM6_Quote</v>
      </c>
      <c r="F19" s="114" t="str">
        <f>_xll.qlSimpleQuote(E19,,PriceTickValue,Permanent,Trigger,ObjectOverwrite)</f>
        <v>USDIMMFRA6MM6_Quote#0000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N6</v>
      </c>
      <c r="E20" s="115" t="str">
        <f t="shared" si="0"/>
        <v>USDIMMFRA6MN6_Quote</v>
      </c>
      <c r="F20" s="114" t="str">
        <f>_xll.qlSimpleQuote(E20,,PriceTickValue,Permanent,Trigger,ObjectOverwrite)</f>
        <v>USDIMMFRA6MN6_Quote#0000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Q6</v>
      </c>
      <c r="E21" s="115" t="str">
        <f t="shared" si="0"/>
        <v>USDIMMFRA6MQ6_Quote</v>
      </c>
      <c r="F21" s="114" t="str">
        <f>_xll.qlSimpleQuote(E21,,PriceTickValue,Permanent,Trigger,ObjectOverwrite)</f>
        <v>USDIMMFRA6MQ6_Quote#0000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U6</v>
      </c>
      <c r="E22" s="115" t="str">
        <f t="shared" si="0"/>
        <v>USDIMMFRA6MU6_Quote</v>
      </c>
      <c r="F22" s="114" t="str">
        <f>_xll.qlSimpleQuote(E22,,PriceTickValue,Permanent,Trigger,ObjectOverwrite)</f>
        <v>USDIMMFRA6MU6_Quote#0000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V6</v>
      </c>
      <c r="E23" s="115" t="str">
        <f t="shared" si="0"/>
        <v>USDIMMFRA6MV6_Quote</v>
      </c>
      <c r="F23" s="114" t="str">
        <f>_xll.qlSimpleQuote(E23,,PriceTickValue,Permanent,Trigger,ObjectOverwrite)</f>
        <v>USDIMMFRA6MV6_Quote#0000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X6</v>
      </c>
      <c r="E24" s="115" t="str">
        <f t="shared" si="0"/>
        <v>USDIMMFRA6MX6_Quote</v>
      </c>
      <c r="F24" s="114" t="str">
        <f>_xll.qlSimpleQuote(E24,,PriceTickValue,Permanent,Trigger,ObjectOverwrite)</f>
        <v>USDIMMFRA6MX6_Quote#0000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Z6</v>
      </c>
      <c r="E25" s="115" t="str">
        <f t="shared" si="0"/>
        <v>USDIMMFRA6MZ6_Quote</v>
      </c>
      <c r="F25" s="114" t="str">
        <f>_xll.qlSimpleQuote(E25,,PriceTickValue,Permanent,Trigger,ObjectOverwrite)</f>
        <v>USDIMMFRA6MZ6_Quote#0000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F7</v>
      </c>
      <c r="E26" s="115" t="str">
        <f t="shared" si="0"/>
        <v>USDIMMFRA6MF7_Quote</v>
      </c>
      <c r="F26" s="114" t="str">
        <f>_xll.qlSimpleQuote(E26,,PriceTickValue,Permanent,Trigger,ObjectOverwrite)</f>
        <v>USDIMMFRA6MF7_Quote#0000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G7</v>
      </c>
      <c r="E27" s="115" t="str">
        <f t="shared" si="0"/>
        <v>USDIMMFRA6MG7_Quote</v>
      </c>
      <c r="F27" s="114" t="str">
        <f>_xll.qlSimpleQuote(E27,,PriceTickValue,Permanent,Trigger,ObjectOverwrite)</f>
        <v>USDIMMFRA6MG7_Quote#0000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H7</v>
      </c>
      <c r="E28" s="115" t="str">
        <f t="shared" si="0"/>
        <v>USDIMMFRA6MH7_Quote</v>
      </c>
      <c r="F28" s="114" t="str">
        <f>_xll.qlSimpleQuote(E28,,PriceTickValue,Permanent,Trigger,ObjectOverwrite)</f>
        <v>USDIMMFRA6MH7_Quote#0000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J7</v>
      </c>
      <c r="E29" s="115" t="str">
        <f t="shared" si="0"/>
        <v>USDIMMFRA6MJ7_Quote</v>
      </c>
      <c r="F29" s="114" t="str">
        <f>_xll.qlSimpleQuote(E29,,PriceTickValue,Permanent,Trigger,ObjectOverwrite)</f>
        <v>USDIMMFRA6MJ7_Quote#0000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K7</v>
      </c>
      <c r="E30" s="115" t="str">
        <f t="shared" si="0"/>
        <v>USDIMMFRA6MK7_Quote</v>
      </c>
      <c r="F30" s="114" t="str">
        <f>_xll.qlSimpleQuote(E30,,PriceTickValue,Permanent,Trigger,ObjectOverwrite)</f>
        <v>USDIMMFRA6MK7_Quote#0000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M7</v>
      </c>
      <c r="E31" s="115" t="str">
        <f t="shared" si="0"/>
        <v>USDIMMFRA6MM7_Quote</v>
      </c>
      <c r="F31" s="114" t="str">
        <f>_xll.qlSimpleQuote(E31,,PriceTickValue,Permanent,Trigger,ObjectOverwrite)</f>
        <v>USDIMMFRA6MM7_Quote#0000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N7</v>
      </c>
      <c r="E32" s="115" t="str">
        <f t="shared" si="0"/>
        <v>USDIMMFRA6MN7_Quote</v>
      </c>
      <c r="F32" s="114" t="str">
        <f>_xll.qlSimpleQuote(E32,,PriceTickValue,Permanent,Trigger,ObjectOverwrite)</f>
        <v>USDIMMFRA6MN7_Quote#0000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Q7</v>
      </c>
      <c r="E33" s="115" t="str">
        <f t="shared" si="0"/>
        <v>USDIMMFRA6MQ7_Quote</v>
      </c>
      <c r="F33" s="114" t="str">
        <f>_xll.qlSimpleQuote(E33,,PriceTickValue,Permanent,Trigger,ObjectOverwrite)</f>
        <v>USDIMMFRA6MQ7_Quote#0000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U7</v>
      </c>
      <c r="E34" s="115" t="str">
        <f t="shared" si="0"/>
        <v>USDIMMFRA6MU7_Quote</v>
      </c>
      <c r="F34" s="114" t="str">
        <f>_xll.qlSimpleQuote(E34,,PriceTickValue,Permanent,Trigger,ObjectOverwrite)</f>
        <v>USDIMMFRA6MU7_Quote#0000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V7</v>
      </c>
      <c r="E35" s="115" t="str">
        <f t="shared" ref="E35:E66" si="1">Currency&amp;$D$1&amp;$E$1&amp;$D35&amp;QuoteSuffix</f>
        <v>USDIMMFRA6MV7_Quote</v>
      </c>
      <c r="F35" s="114" t="str">
        <f>_xll.qlSimpleQuote(E35,,PriceTickValue,Permanent,Trigger,ObjectOverwrite)</f>
        <v>USDIMMFRA6MV7_Quote#0000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X7</v>
      </c>
      <c r="E36" s="115" t="str">
        <f t="shared" si="1"/>
        <v>USDIMMFRA6MX7_Quote</v>
      </c>
      <c r="F36" s="114" t="str">
        <f>_xll.qlSimpleQuote(E36,,PriceTickValue,Permanent,Trigger,ObjectOverwrite)</f>
        <v>USDIMMFRA6MX7_Quote#0000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Z7</v>
      </c>
      <c r="E37" s="115" t="str">
        <f t="shared" si="1"/>
        <v>USDIMMFRA6MZ7_Quote</v>
      </c>
      <c r="F37" s="114" t="str">
        <f>_xll.qlSimpleQuote(E37,,PriceTickValue,Permanent,Trigger,ObjectOverwrite)</f>
        <v>USDIMMFRA6MZ7_Quote#0000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F8</v>
      </c>
      <c r="E38" s="115" t="str">
        <f t="shared" si="1"/>
        <v>USDIMMFRA6MF8_Quote</v>
      </c>
      <c r="F38" s="114" t="str">
        <f>_xll.qlSimpleQuote(E38,,PriceTickValue,Permanent,Trigger,ObjectOverwrite)</f>
        <v>USDIMMFRA6MF8_Quote#0000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G8</v>
      </c>
      <c r="E39" s="115" t="str">
        <f t="shared" si="1"/>
        <v>USDIMMFRA6MG8_Quote</v>
      </c>
      <c r="F39" s="114" t="str">
        <f>_xll.qlSimpleQuote(E39,,PriceTickValue,Permanent,Trigger,ObjectOverwrite)</f>
        <v>USDIMMFRA6MG8_Quote#0000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H8</v>
      </c>
      <c r="E40" s="115" t="str">
        <f t="shared" si="1"/>
        <v>USDIMMFRA6MH8_Quote</v>
      </c>
      <c r="F40" s="114" t="str">
        <f>_xll.qlSimpleQuote(E40,,PriceTickValue,Permanent,Trigger,ObjectOverwrite)</f>
        <v>USDIMMFRA6MH8_Quote#0000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J8</v>
      </c>
      <c r="E41" s="115" t="str">
        <f t="shared" si="1"/>
        <v>USDIMMFRA6MJ8_Quote</v>
      </c>
      <c r="F41" s="114" t="str">
        <f>_xll.qlSimpleQuote(E41,,PriceTickValue,Permanent,Trigger,ObjectOverwrite)</f>
        <v>USDIMMFRA6MJ8_Quote#0000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K8</v>
      </c>
      <c r="E42" s="115" t="str">
        <f t="shared" si="1"/>
        <v>USDIMMFRA6MK8_Quote</v>
      </c>
      <c r="F42" s="114" t="str">
        <f>_xll.qlSimpleQuote(E42,,PriceTickValue,Permanent,Trigger,ObjectOverwrite)</f>
        <v>USDIMMFRA6MK8_Quote#0000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M8</v>
      </c>
      <c r="E43" s="115" t="str">
        <f t="shared" si="1"/>
        <v>USDIMMFRA6MM8_Quote</v>
      </c>
      <c r="F43" s="114" t="str">
        <f>_xll.qlSimpleQuote(E43,,PriceTickValue,Permanent,Trigger,ObjectOverwrite)</f>
        <v>USDIMMFRA6MM8_Quote#0000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N8</v>
      </c>
      <c r="E44" s="115" t="str">
        <f t="shared" si="1"/>
        <v>USDIMMFRA6MN8_Quote</v>
      </c>
      <c r="F44" s="114" t="str">
        <f>_xll.qlSimpleQuote(E44,,PriceTickValue,Permanent,Trigger,ObjectOverwrite)</f>
        <v>USDIMMFRA6MN8_Quote#0000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Q8</v>
      </c>
      <c r="E45" s="115" t="str">
        <f t="shared" si="1"/>
        <v>USDIMMFRA6MQ8_Quote</v>
      </c>
      <c r="F45" s="114" t="str">
        <f>_xll.qlSimpleQuote(E45,,PriceTickValue,Permanent,Trigger,ObjectOverwrite)</f>
        <v>USDIMMFRA6MQ8_Quote#0000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U8</v>
      </c>
      <c r="E46" s="115" t="str">
        <f t="shared" si="1"/>
        <v>USDIMMFRA6MU8_Quote</v>
      </c>
      <c r="F46" s="114" t="str">
        <f>_xll.qlSimpleQuote(E46,,PriceTickValue,Permanent,Trigger,ObjectOverwrite)</f>
        <v>USDIMMFRA6MU8_Quote#0000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V8</v>
      </c>
      <c r="E47" s="115" t="str">
        <f t="shared" si="1"/>
        <v>USDIMMFRA6MV8_Quote</v>
      </c>
      <c r="F47" s="114" t="str">
        <f>_xll.qlSimpleQuote(E47,,PriceTickValue,Permanent,Trigger,ObjectOverwrite)</f>
        <v>USDIMMFRA6MV8_Quote#0000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X8</v>
      </c>
      <c r="E48" s="115" t="str">
        <f t="shared" si="1"/>
        <v>USDIMMFRA6MX8_Quote</v>
      </c>
      <c r="F48" s="114" t="str">
        <f>_xll.qlSimpleQuote(E48,,PriceTickValue,Permanent,Trigger,ObjectOverwrite)</f>
        <v>USDIMMFRA6MX8_Quote#0000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Z8</v>
      </c>
      <c r="E49" s="115" t="str">
        <f t="shared" si="1"/>
        <v>USDIMMFRA6MZ8_Quote</v>
      </c>
      <c r="F49" s="114" t="str">
        <f>_xll.qlSimpleQuote(E49,,PriceTickValue,Permanent,Trigger,ObjectOverwrite)</f>
        <v>USDIMMFRA6MZ8_Quote#0000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F9</v>
      </c>
      <c r="E50" s="115" t="str">
        <f t="shared" si="1"/>
        <v>USDIMMFRA6MF9_Quote</v>
      </c>
      <c r="F50" s="114" t="str">
        <f>_xll.qlSimpleQuote(E50,,PriceTickValue,Permanent,Trigger,ObjectOverwrite)</f>
        <v>USDIMMFRA6MF9_Quote#0000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G9</v>
      </c>
      <c r="E51" s="115" t="str">
        <f t="shared" si="1"/>
        <v>USDIMMFRA6MG9_Quote</v>
      </c>
      <c r="F51" s="114" t="str">
        <f>_xll.qlSimpleQuote(E51,,PriceTickValue,Permanent,Trigger,ObjectOverwrite)</f>
        <v>USDIMMFRA6MG9_Quote#0000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H9</v>
      </c>
      <c r="E52" s="115" t="str">
        <f t="shared" si="1"/>
        <v>USDIMMFRA6MH9_Quote</v>
      </c>
      <c r="F52" s="114" t="str">
        <f>_xll.qlSimpleQuote(E52,,PriceTickValue,Permanent,Trigger,ObjectOverwrite)</f>
        <v>USDIMMFRA6MH9_Quote#0000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J9</v>
      </c>
      <c r="E53" s="115" t="str">
        <f t="shared" si="1"/>
        <v>USDIMMFRA6MJ9_Quote</v>
      </c>
      <c r="F53" s="114" t="str">
        <f>_xll.qlSimpleQuote(E53,,PriceTickValue,Permanent,Trigger,ObjectOverwrite)</f>
        <v>USDIMMFRA6MJ9_Quote#0000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K9</v>
      </c>
      <c r="E54" s="115" t="str">
        <f t="shared" si="1"/>
        <v>USDIMMFRA6MK9_Quote</v>
      </c>
      <c r="F54" s="114" t="str">
        <f>_xll.qlSimpleQuote(E54,,PriceTickValue,Permanent,Trigger,ObjectOverwrite)</f>
        <v>USDIMMFRA6MK9_Quote#0000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M9</v>
      </c>
      <c r="E55" s="115" t="str">
        <f t="shared" si="1"/>
        <v>USDIMMFRA6MM9_Quote</v>
      </c>
      <c r="F55" s="114" t="str">
        <f>_xll.qlSimpleQuote(E55,,PriceTickValue,Permanent,Trigger,ObjectOverwrite)</f>
        <v>USDIMMFRA6MM9_Quote#0000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N9</v>
      </c>
      <c r="E56" s="115" t="str">
        <f t="shared" si="1"/>
        <v>USDIMMFRA6MN9_Quote</v>
      </c>
      <c r="F56" s="114" t="str">
        <f>_xll.qlSimpleQuote(E56,,PriceTickValue,Permanent,Trigger,ObjectOverwrite)</f>
        <v>USDIMMFRA6MN9_Quote#0000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Q9</v>
      </c>
      <c r="E57" s="115" t="str">
        <f t="shared" si="1"/>
        <v>USDIMMFRA6MQ9_Quote</v>
      </c>
      <c r="F57" s="114" t="str">
        <f>_xll.qlSimpleQuote(E57,,PriceTickValue,Permanent,Trigger,ObjectOverwrite)</f>
        <v>USDIMMFRA6MQ9_Quote#0000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U9</v>
      </c>
      <c r="E58" s="115" t="str">
        <f t="shared" si="1"/>
        <v>USDIMMFRA6MU9_Quote</v>
      </c>
      <c r="F58" s="114" t="str">
        <f>_xll.qlSimpleQuote(E58,,PriceTickValue,Permanent,Trigger,ObjectOverwrite)</f>
        <v>USDIMMFRA6MU9_Quote#0000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V9</v>
      </c>
      <c r="E59" s="115" t="str">
        <f t="shared" si="1"/>
        <v>USDIMMFRA6MV9_Quote</v>
      </c>
      <c r="F59" s="114" t="str">
        <f>_xll.qlSimpleQuote(E59,,PriceTickValue,Permanent,Trigger,ObjectOverwrite)</f>
        <v>USDIMMFRA6MV9_Quote#0000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X9</v>
      </c>
      <c r="E60" s="115" t="str">
        <f t="shared" si="1"/>
        <v>USDIMMFRA6MX9_Quote</v>
      </c>
      <c r="F60" s="114" t="str">
        <f>_xll.qlSimpleQuote(E60,,PriceTickValue,Permanent,Trigger,ObjectOverwrite)</f>
        <v>USDIMMFRA6MX9_Quote#0000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Z9</v>
      </c>
      <c r="E61" s="115" t="str">
        <f t="shared" si="1"/>
        <v>USDIMMFRA6MZ9_Quote</v>
      </c>
      <c r="F61" s="114" t="str">
        <f>_xll.qlSimpleQuote(E61,,PriceTickValue,Permanent,Trigger,ObjectOverwrite)</f>
        <v>USDIMMFRA6MZ9_Quote#0000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F0</v>
      </c>
      <c r="E62" s="115" t="str">
        <f t="shared" si="1"/>
        <v>USDIMMFRA6MF0_Quote</v>
      </c>
      <c r="F62" s="114" t="str">
        <f>_xll.qlSimpleQuote(E62,,PriceTickValue,Permanent,Trigger,ObjectOverwrite)</f>
        <v>USDIMMFRA6MF0_Quote#0000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G0</v>
      </c>
      <c r="E63" s="115" t="str">
        <f t="shared" si="1"/>
        <v>USDIMMFRA6MG0_Quote</v>
      </c>
      <c r="F63" s="114" t="str">
        <f>_xll.qlSimpleQuote(E63,,PriceTickValue,Permanent,Trigger,ObjectOverwrite)</f>
        <v>USDIMMFRA6MG0_Quote#0000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H0</v>
      </c>
      <c r="E64" s="115" t="str">
        <f t="shared" si="1"/>
        <v>USDIMMFRA6MH0_Quote</v>
      </c>
      <c r="F64" s="114" t="str">
        <f>_xll.qlSimpleQuote(E64,,PriceTickValue,Permanent,Trigger,ObjectOverwrite)</f>
        <v>USDIMMFRA6MH0_Quote#0000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J0</v>
      </c>
      <c r="E65" s="115" t="str">
        <f t="shared" si="1"/>
        <v>USDIMMFRA6MJ0_Quote</v>
      </c>
      <c r="F65" s="114" t="str">
        <f>_xll.qlSimpleQuote(E65,,PriceTickValue,Permanent,Trigger,ObjectOverwrite)</f>
        <v>USDIMMFRA6MJ0_Quote#0000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K0</v>
      </c>
      <c r="E66" s="115" t="str">
        <f t="shared" si="1"/>
        <v>USDIMMFRA6MK0_Quote</v>
      </c>
      <c r="F66" s="114" t="str">
        <f>_xll.qlSimpleQuote(E66,,PriceTickValue,Permanent,Trigger,ObjectOverwrite)</f>
        <v>USDIMMFRA6MK0_Quote#0000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M0</v>
      </c>
      <c r="E67" s="115" t="str">
        <f t="shared" ref="E67:E98" si="2">Currency&amp;$D$1&amp;$E$1&amp;$D67&amp;QuoteSuffix</f>
        <v>USDIMMFRA6MM0_Quote</v>
      </c>
      <c r="F67" s="114" t="str">
        <f>_xll.qlSimpleQuote(E67,,PriceTickValue,Permanent,Trigger,ObjectOverwrite)</f>
        <v>USDIMMFRA6MM0_Quote#0000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N0</v>
      </c>
      <c r="E68" s="115" t="str">
        <f t="shared" si="2"/>
        <v>USDIMMFRA6MN0_Quote</v>
      </c>
      <c r="F68" s="114" t="str">
        <f>_xll.qlSimpleQuote(E68,,PriceTickValue,Permanent,Trigger,ObjectOverwrite)</f>
        <v>USDIMMFRA6MN0_Quote#0000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Q0</v>
      </c>
      <c r="E69" s="115" t="str">
        <f t="shared" si="2"/>
        <v>USDIMMFRA6MQ0_Quote</v>
      </c>
      <c r="F69" s="114" t="str">
        <f>_xll.qlSimpleQuote(E69,,PriceTickValue,Permanent,Trigger,ObjectOverwrite)</f>
        <v>USDIMMFRA6MQ0_Quote#0000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U0</v>
      </c>
      <c r="E70" s="115" t="str">
        <f t="shared" si="2"/>
        <v>USDIMMFRA6MU0_Quote</v>
      </c>
      <c r="F70" s="114" t="str">
        <f>_xll.qlSimpleQuote(E70,,PriceTickValue,Permanent,Trigger,ObjectOverwrite)</f>
        <v>USDIMMFRA6MU0_Quote#0000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V0</v>
      </c>
      <c r="E71" s="115" t="str">
        <f t="shared" si="2"/>
        <v>USDIMMFRA6MV0_Quote</v>
      </c>
      <c r="F71" s="114" t="str">
        <f>_xll.qlSimpleQuote(E71,,PriceTickValue,Permanent,Trigger,ObjectOverwrite)</f>
        <v>USDIMMFRA6MV0_Quote#0000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X0</v>
      </c>
      <c r="E72" s="115" t="str">
        <f t="shared" si="2"/>
        <v>USDIMMFRA6MX0_Quote</v>
      </c>
      <c r="F72" s="114" t="str">
        <f>_xll.qlSimpleQuote(E72,,PriceTickValue,Permanent,Trigger,ObjectOverwrite)</f>
        <v>USDIMMFRA6MX0_Quote#0000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Z0</v>
      </c>
      <c r="E73" s="115" t="str">
        <f t="shared" si="2"/>
        <v>USDIMMFRA6MZ0_Quote</v>
      </c>
      <c r="F73" s="114" t="str">
        <f>_xll.qlSimpleQuote(E73,,PriceTickValue,Permanent,Trigger,ObjectOverwrite)</f>
        <v>USDIMMFRA6MZ0_Quote#0000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F1</v>
      </c>
      <c r="E74" s="115" t="str">
        <f t="shared" si="2"/>
        <v>USDIMMFRA6MF1_Quote</v>
      </c>
      <c r="F74" s="114" t="str">
        <f>_xll.qlSimpleQuote(E74,,PriceTickValue,Permanent,Trigger,ObjectOverwrite)</f>
        <v>USDIMMFRA6MF1_Quote#0000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G1</v>
      </c>
      <c r="E75" s="115" t="str">
        <f t="shared" si="2"/>
        <v>USDIMMFRA6MG1_Quote</v>
      </c>
      <c r="F75" s="114" t="str">
        <f>_xll.qlSimpleQuote(E75,,PriceTickValue,Permanent,Trigger,ObjectOverwrite)</f>
        <v>USDIMMFRA6MG1_Quote#0000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H1</v>
      </c>
      <c r="E76" s="115" t="str">
        <f t="shared" si="2"/>
        <v>USDIMMFRA6MH1_Quote</v>
      </c>
      <c r="F76" s="114" t="str">
        <f>_xll.qlSimpleQuote(E76,,PriceTickValue,Permanent,Trigger,ObjectOverwrite)</f>
        <v>USDIMMFRA6MH1_Quote#0000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J1</v>
      </c>
      <c r="E77" s="115" t="str">
        <f t="shared" si="2"/>
        <v>USDIMMFRA6MJ1_Quote</v>
      </c>
      <c r="F77" s="114" t="str">
        <f>_xll.qlSimpleQuote(E77,,PriceTickValue,Permanent,Trigger,ObjectOverwrite)</f>
        <v>USDIMMFRA6MJ1_Quote#0000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K1</v>
      </c>
      <c r="E78" s="115" t="str">
        <f t="shared" si="2"/>
        <v>USDIMMFRA6MK1_Quote</v>
      </c>
      <c r="F78" s="114" t="str">
        <f>_xll.qlSimpleQuote(E78,,PriceTickValue,Permanent,Trigger,ObjectOverwrite)</f>
        <v>USDIMMFRA6MK1_Quote#0000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M1</v>
      </c>
      <c r="E79" s="115" t="str">
        <f t="shared" si="2"/>
        <v>USDIMMFRA6MM1_Quote</v>
      </c>
      <c r="F79" s="114" t="str">
        <f>_xll.qlSimpleQuote(E79,,PriceTickValue,Permanent,Trigger,ObjectOverwrite)</f>
        <v>USDIMMFRA6MM1_Quote#0000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N1</v>
      </c>
      <c r="E80" s="115" t="str">
        <f t="shared" si="2"/>
        <v>USDIMMFRA6MN1_Quote</v>
      </c>
      <c r="F80" s="114" t="str">
        <f>_xll.qlSimpleQuote(E80,,PriceTickValue,Permanent,Trigger,ObjectOverwrite)</f>
        <v>USDIMMFRA6MN1_Quote#0000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Q1</v>
      </c>
      <c r="E81" s="115" t="str">
        <f t="shared" si="2"/>
        <v>USDIMMFRA6MQ1_Quote</v>
      </c>
      <c r="F81" s="114" t="str">
        <f>_xll.qlSimpleQuote(E81,,PriceTickValue,Permanent,Trigger,ObjectOverwrite)</f>
        <v>USDIMMFRA6MQ1_Quote#0000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U1</v>
      </c>
      <c r="E82" s="115" t="str">
        <f t="shared" si="2"/>
        <v>USDIMMFRA6MU1_Quote</v>
      </c>
      <c r="F82" s="114" t="str">
        <f>_xll.qlSimpleQuote(E82,,PriceTickValue,Permanent,Trigger,ObjectOverwrite)</f>
        <v>USDIMMFRA6MU1_Quote#0000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V1</v>
      </c>
      <c r="E83" s="115" t="str">
        <f t="shared" si="2"/>
        <v>USDIMMFRA6MV1_Quote</v>
      </c>
      <c r="F83" s="114" t="str">
        <f>_xll.qlSimpleQuote(E83,,PriceTickValue,Permanent,Trigger,ObjectOverwrite)</f>
        <v>USDIMMFRA6MV1_Quote#0000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X1</v>
      </c>
      <c r="E84" s="115" t="str">
        <f t="shared" si="2"/>
        <v>USDIMMFRA6MX1_Quote</v>
      </c>
      <c r="F84" s="114" t="str">
        <f>_xll.qlSimpleQuote(E84,,PriceTickValue,Permanent,Trigger,ObjectOverwrite)</f>
        <v>USDIMMFRA6MX1_Quote#0000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Z1</v>
      </c>
      <c r="E85" s="115" t="str">
        <f t="shared" si="2"/>
        <v>USDIMMFRA6MZ1_Quote</v>
      </c>
      <c r="F85" s="114" t="str">
        <f>_xll.qlSimpleQuote(E85,,PriceTickValue,Permanent,Trigger,ObjectOverwrite)</f>
        <v>USDIMMFRA6MZ1_Quote#0000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F2</v>
      </c>
      <c r="E86" s="115" t="str">
        <f t="shared" si="2"/>
        <v>USDIMMFRA6MF2_Quote</v>
      </c>
      <c r="F86" s="114" t="str">
        <f>_xll.qlSimpleQuote(E86,,PriceTickValue,Permanent,Trigger,ObjectOverwrite)</f>
        <v>USDIMMFRA6MF2_Quote#0000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G2</v>
      </c>
      <c r="E87" s="115" t="str">
        <f t="shared" si="2"/>
        <v>USDIMMFRA6MG2_Quote</v>
      </c>
      <c r="F87" s="114" t="str">
        <f>_xll.qlSimpleQuote(E87,,PriceTickValue,Permanent,Trigger,ObjectOverwrite)</f>
        <v>USDIMMFRA6MG2_Quote#0000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H2</v>
      </c>
      <c r="E88" s="115" t="str">
        <f t="shared" si="2"/>
        <v>USDIMMFRA6MH2_Quote</v>
      </c>
      <c r="F88" s="114" t="str">
        <f>_xll.qlSimpleQuote(E88,,PriceTickValue,Permanent,Trigger,ObjectOverwrite)</f>
        <v>USDIMMFRA6MH2_Quote#0000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J2</v>
      </c>
      <c r="E89" s="115" t="str">
        <f t="shared" si="2"/>
        <v>USDIMMFRA6MJ2_Quote</v>
      </c>
      <c r="F89" s="114" t="str">
        <f>_xll.qlSimpleQuote(E89,,PriceTickValue,Permanent,Trigger,ObjectOverwrite)</f>
        <v>USDIMMFRA6MJ2_Quote#0000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K2</v>
      </c>
      <c r="E90" s="115" t="str">
        <f t="shared" si="2"/>
        <v>USDIMMFRA6MK2_Quote</v>
      </c>
      <c r="F90" s="114" t="str">
        <f>_xll.qlSimpleQuote(E90,,PriceTickValue,Permanent,Trigger,ObjectOverwrite)</f>
        <v>USDIMMFRA6MK2_Quote#0000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M2</v>
      </c>
      <c r="E91" s="115" t="str">
        <f t="shared" si="2"/>
        <v>USDIMMFRA6MM2_Quote</v>
      </c>
      <c r="F91" s="114" t="str">
        <f>_xll.qlSimpleQuote(E91,,PriceTickValue,Permanent,Trigger,ObjectOverwrite)</f>
        <v>USDIMMFRA6MM2_Quote#0000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N2</v>
      </c>
      <c r="E92" s="115" t="str">
        <f t="shared" si="2"/>
        <v>USDIMMFRA6MN2_Quote</v>
      </c>
      <c r="F92" s="114" t="str">
        <f>_xll.qlSimpleQuote(E92,,PriceTickValue,Permanent,Trigger,ObjectOverwrite)</f>
        <v>USDIMMFRA6MN2_Quote#0000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Q2</v>
      </c>
      <c r="E93" s="115" t="str">
        <f t="shared" si="2"/>
        <v>USDIMMFRA6MQ2_Quote</v>
      </c>
      <c r="F93" s="114" t="str">
        <f>_xll.qlSimpleQuote(E93,,PriceTickValue,Permanent,Trigger,ObjectOverwrite)</f>
        <v>USDIMMFRA6MQ2_Quote#0000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U2</v>
      </c>
      <c r="E94" s="115" t="str">
        <f t="shared" si="2"/>
        <v>USDIMMFRA6MU2_Quote</v>
      </c>
      <c r="F94" s="114" t="str">
        <f>_xll.qlSimpleQuote(E94,,PriceTickValue,Permanent,Trigger,ObjectOverwrite)</f>
        <v>USDIMMFRA6MU2_Quote#0000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V2</v>
      </c>
      <c r="E95" s="115" t="str">
        <f t="shared" si="2"/>
        <v>USDIMMFRA6MV2_Quote</v>
      </c>
      <c r="F95" s="114" t="str">
        <f>_xll.qlSimpleQuote(E95,,PriceTickValue,Permanent,Trigger,ObjectOverwrite)</f>
        <v>USDIMMFRA6MV2_Quote#0000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X2</v>
      </c>
      <c r="E96" s="115" t="str">
        <f t="shared" si="2"/>
        <v>USDIMMFRA6MX2_Quote</v>
      </c>
      <c r="F96" s="114" t="str">
        <f>_xll.qlSimpleQuote(E96,,PriceTickValue,Permanent,Trigger,ObjectOverwrite)</f>
        <v>USDIMMFRA6MX2_Quote#0000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Z2</v>
      </c>
      <c r="E97" s="115" t="str">
        <f t="shared" si="2"/>
        <v>USDIMMFRA6MZ2_Quote</v>
      </c>
      <c r="F97" s="114" t="str">
        <f>_xll.qlSimpleQuote(E97,,PriceTickValue,Permanent,Trigger,ObjectOverwrite)</f>
        <v>USDIMMFRA6MZ2_Quote#0000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F3</v>
      </c>
      <c r="E98" s="115" t="str">
        <f t="shared" si="2"/>
        <v>USDIMMFRA6MF3_Quote</v>
      </c>
      <c r="F98" s="114" t="str">
        <f>_xll.qlSimpleQuote(E98,,PriceTickValue,Permanent,Trigger,ObjectOverwrite)</f>
        <v>USDIMMFRA6MF3_Quote#0000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G3</v>
      </c>
      <c r="E99" s="115" t="str">
        <f t="shared" ref="E99:E122" si="3">Currency&amp;$D$1&amp;$E$1&amp;$D99&amp;QuoteSuffix</f>
        <v>USDIMMFRA6MG3_Quote</v>
      </c>
      <c r="F99" s="114" t="str">
        <f>_xll.qlSimpleQuote(E99,,PriceTickValue,Permanent,Trigger,ObjectOverwrite)</f>
        <v>USDIMMFRA6MG3_Quote#0000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H3</v>
      </c>
      <c r="E100" s="115" t="str">
        <f t="shared" si="3"/>
        <v>USDIMMFRA6MH3_Quote</v>
      </c>
      <c r="F100" s="114" t="str">
        <f>_xll.qlSimpleQuote(E100,,PriceTickValue,Permanent,Trigger,ObjectOverwrite)</f>
        <v>USDIMMFRA6MH3_Quote#0000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J3</v>
      </c>
      <c r="E101" s="115" t="str">
        <f t="shared" si="3"/>
        <v>USDIMMFRA6MJ3_Quote</v>
      </c>
      <c r="F101" s="114" t="str">
        <f>_xll.qlSimpleQuote(E101,,PriceTickValue,Permanent,Trigger,ObjectOverwrite)</f>
        <v>USDIMMFRA6MJ3_Quote#0000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K3</v>
      </c>
      <c r="E102" s="115" t="str">
        <f t="shared" si="3"/>
        <v>USDIMMFRA6MK3_Quote</v>
      </c>
      <c r="F102" s="114" t="str">
        <f>_xll.qlSimpleQuote(E102,,PriceTickValue,Permanent,Trigger,ObjectOverwrite)</f>
        <v>USDIMMFRA6MK3_Quote#0000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M3</v>
      </c>
      <c r="E103" s="115" t="str">
        <f t="shared" si="3"/>
        <v>USDIMMFRA6MM3_Quote</v>
      </c>
      <c r="F103" s="114" t="str">
        <f>_xll.qlSimpleQuote(E103,,PriceTickValue,Permanent,Trigger,ObjectOverwrite)</f>
        <v>USDIMMFRA6MM3_Quote#0000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N3</v>
      </c>
      <c r="E104" s="115" t="str">
        <f t="shared" si="3"/>
        <v>USDIMMFRA6MN3_Quote</v>
      </c>
      <c r="F104" s="114" t="str">
        <f>_xll.qlSimpleQuote(E104,,PriceTickValue,Permanent,Trigger,ObjectOverwrite)</f>
        <v>USDIMMFRA6MN3_Quote#0000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Q3</v>
      </c>
      <c r="E105" s="115" t="str">
        <f t="shared" si="3"/>
        <v>USDIMMFRA6MQ3_Quote</v>
      </c>
      <c r="F105" s="114" t="str">
        <f>_xll.qlSimpleQuote(E105,,PriceTickValue,Permanent,Trigger,ObjectOverwrite)</f>
        <v>USDIMMFRA6MQ3_Quote#0000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U3</v>
      </c>
      <c r="E106" s="115" t="str">
        <f t="shared" si="3"/>
        <v>USDIMMFRA6MU3_Quote</v>
      </c>
      <c r="F106" s="114" t="str">
        <f>_xll.qlSimpleQuote(E106,,PriceTickValue,Permanent,Trigger,ObjectOverwrite)</f>
        <v>USDIMMFRA6MU3_Quote#0000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V3</v>
      </c>
      <c r="E107" s="115" t="str">
        <f t="shared" si="3"/>
        <v>USDIMMFRA6MV3_Quote</v>
      </c>
      <c r="F107" s="114" t="str">
        <f>_xll.qlSimpleQuote(E107,,PriceTickValue,Permanent,Trigger,ObjectOverwrite)</f>
        <v>USDIMMFRA6MV3_Quote#0000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X3</v>
      </c>
      <c r="E108" s="115" t="str">
        <f t="shared" si="3"/>
        <v>USDIMMFRA6MX3_Quote</v>
      </c>
      <c r="F108" s="114" t="str">
        <f>_xll.qlSimpleQuote(E108,,PriceTickValue,Permanent,Trigger,ObjectOverwrite)</f>
        <v>USDIMMFRA6MX3_Quote#0000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Z3</v>
      </c>
      <c r="E109" s="115" t="str">
        <f t="shared" si="3"/>
        <v>USDIMMFRA6MZ3_Quote</v>
      </c>
      <c r="F109" s="114" t="str">
        <f>_xll.qlSimpleQuote(E109,,PriceTickValue,Permanent,Trigger,ObjectOverwrite)</f>
        <v>USDIMMFRA6MZ3_Quote#0000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F4</v>
      </c>
      <c r="E110" s="115" t="str">
        <f t="shared" si="3"/>
        <v>USDIMMFRA6MF4_Quote</v>
      </c>
      <c r="F110" s="114" t="str">
        <f>_xll.qlSimpleQuote(E110,,PriceTickValue,Permanent,Trigger,ObjectOverwrite)</f>
        <v>USDIMMFRA6MF4_Quote#0000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G4</v>
      </c>
      <c r="E111" s="115" t="str">
        <f t="shared" si="3"/>
        <v>USDIMMFRA6MG4_Quote</v>
      </c>
      <c r="F111" s="114" t="str">
        <f>_xll.qlSimpleQuote(E111,,PriceTickValue,Permanent,Trigger,ObjectOverwrite)</f>
        <v>USDIMMFRA6MG4_Quote#0000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H4</v>
      </c>
      <c r="E112" s="115" t="str">
        <f t="shared" si="3"/>
        <v>USDIMMFRA6MH4_Quote</v>
      </c>
      <c r="F112" s="114" t="str">
        <f>_xll.qlSimpleQuote(E112,,PriceTickValue,Permanent,Trigger,ObjectOverwrite)</f>
        <v>USDIMMFRA6MH4_Quote#0000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J4</v>
      </c>
      <c r="E113" s="115" t="str">
        <f t="shared" si="3"/>
        <v>USDIMMFRA6MJ4_Quote</v>
      </c>
      <c r="F113" s="114" t="str">
        <f>_xll.qlSimpleQuote(E113,,PriceTickValue,Permanent,Trigger,ObjectOverwrite)</f>
        <v>USDIMMFRA6MJ4_Quote#0000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K4</v>
      </c>
      <c r="E114" s="115" t="str">
        <f t="shared" si="3"/>
        <v>USDIMMFRA6MK4_Quote</v>
      </c>
      <c r="F114" s="114" t="str">
        <f>_xll.qlSimpleQuote(E114,,PriceTickValue,Permanent,Trigger,ObjectOverwrite)</f>
        <v>USDIMMFRA6MK4_Quote#0000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M4</v>
      </c>
      <c r="E115" s="115" t="str">
        <f t="shared" si="3"/>
        <v>USDIMMFRA6MM4_Quote</v>
      </c>
      <c r="F115" s="114" t="str">
        <f>_xll.qlSimpleQuote(E115,,PriceTickValue,Permanent,Trigger,ObjectOverwrite)</f>
        <v>USDIMMFRA6MM4_Quote#0000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N4</v>
      </c>
      <c r="E116" s="115" t="str">
        <f t="shared" si="3"/>
        <v>USDIMMFRA6MN4_Quote</v>
      </c>
      <c r="F116" s="114" t="str">
        <f>_xll.qlSimpleQuote(E116,,PriceTickValue,Permanent,Trigger,ObjectOverwrite)</f>
        <v>USDIMMFRA6MN4_Quote#0000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Q4</v>
      </c>
      <c r="E117" s="115" t="str">
        <f t="shared" si="3"/>
        <v>USDIMMFRA6MQ4_Quote</v>
      </c>
      <c r="F117" s="114" t="str">
        <f>_xll.qlSimpleQuote(E117,,PriceTickValue,Permanent,Trigger,ObjectOverwrite)</f>
        <v>USDIMMFRA6MQ4_Quote#0000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U4</v>
      </c>
      <c r="E118" s="115" t="str">
        <f t="shared" si="3"/>
        <v>USDIMMFRA6MU4_Quote</v>
      </c>
      <c r="F118" s="114" t="str">
        <f>_xll.qlSimpleQuote(E118,,PriceTickValue,Permanent,Trigger,ObjectOverwrite)</f>
        <v>USDIMMFRA6MU4_Quote#0000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V4</v>
      </c>
      <c r="E119" s="115" t="str">
        <f t="shared" si="3"/>
        <v>USDIMMFRA6MV4_Quote</v>
      </c>
      <c r="F119" s="114" t="str">
        <f>_xll.qlSimpleQuote(E119,,PriceTickValue,Permanent,Trigger,ObjectOverwrite)</f>
        <v>USDIMMFRA6MV4_Quote#0000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X4</v>
      </c>
      <c r="E120" s="115" t="str">
        <f t="shared" si="3"/>
        <v>USDIMMFRA6MX4_Quote</v>
      </c>
      <c r="F120" s="114" t="str">
        <f>_xll.qlSimpleQuote(E120,,PriceTickValue,Permanent,Trigger,ObjectOverwrite)</f>
        <v>USDIMMFRA6MX4_Quote#0000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Z4</v>
      </c>
      <c r="E121" s="115" t="str">
        <f t="shared" si="3"/>
        <v>USDIMMFRA6MZ4_Quote</v>
      </c>
      <c r="F121" s="114" t="str">
        <f>_xll.qlSimpleQuote(E121,,PriceTickValue,Permanent,Trigger,ObjectOverwrite)</f>
        <v>USDIMMFRA6MZ4_Quote#0000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F5</v>
      </c>
      <c r="E122" s="115" t="str">
        <f t="shared" si="3"/>
        <v>USDIMMFRA6MF5_Quote</v>
      </c>
      <c r="F122" s="114" t="str">
        <f>_xll.qlSimpleQuote(E122,,PriceTickValue,Permanent,Trigger,ObjectOverwrite)</f>
        <v>USDIMMFRA6MF5_Quote#0000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topLeftCell="C1" workbookViewId="0">
      <selection activeCell="H2" sqref="H2"/>
    </sheetView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29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28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28"/>
      <c r="H3" s="109"/>
      <c r="I3" s="109"/>
      <c r="J3" s="109"/>
      <c r="K3" s="109"/>
      <c r="L3" s="109"/>
      <c r="M3" s="109"/>
      <c r="N3" s="109"/>
      <c r="O3" s="109"/>
      <c r="P3" s="109"/>
      <c r="Q3" s="225">
        <f>_xll.ohTrigger(Q5:Q9)</f>
        <v>37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28"/>
      <c r="H4" s="274" t="str">
        <f>_xll.RData(H5,I4,"RTFEED:IDN",ReutersRtMode,,I5)</f>
        <v>Updated at 10:05:48</v>
      </c>
      <c r="I4" s="301" t="s">
        <v>199</v>
      </c>
      <c r="J4" s="292"/>
      <c r="K4" s="552" t="s">
        <v>252</v>
      </c>
      <c r="L4" s="553"/>
      <c r="M4" s="292"/>
      <c r="N4" s="223" t="s">
        <v>229</v>
      </c>
      <c r="O4" s="290"/>
      <c r="P4" s="422" t="s">
        <v>227</v>
      </c>
      <c r="Q4" s="224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28"/>
      <c r="H5" s="300" t="str">
        <f>VLOOKUP(Currency,$T$5:$V$9,2)&amp;U3&amp;VLOOKUP(Currency,$T$5:$V$9,3)&amp;"ATM="&amp;VLOOKUP($H$2,ContributorTable,2,FALSE)</f>
        <v>US2Y3LATM=ICAP</v>
      </c>
      <c r="I5" s="299">
        <v>64.099999999999994</v>
      </c>
      <c r="J5" s="292"/>
      <c r="K5" s="298" t="s">
        <v>251</v>
      </c>
      <c r="L5" s="296">
        <f>I5/100*IF(ISNUMBER(Swap3M4Y),Swap3M4Y/100,Swap6M4Y/100)</f>
        <v>9.4098799999999989E-3</v>
      </c>
      <c r="M5" s="292"/>
      <c r="N5" s="297">
        <v>1.0229024000000001E-2</v>
      </c>
      <c r="O5" s="290"/>
      <c r="P5" s="423">
        <f t="array" ref="P5:P6">QuoteLive</f>
        <v>9.4098799999999989E-3</v>
      </c>
      <c r="Q5" s="296">
        <f>_xll.qlSimpleQuoteSetValue(C5,P5,Trigger)</f>
        <v>6.4100000000000962E-6</v>
      </c>
      <c r="R5" s="23"/>
      <c r="S5" s="13"/>
      <c r="T5" s="62" t="s">
        <v>104</v>
      </c>
      <c r="U5" s="183" t="s">
        <v>250</v>
      </c>
      <c r="V5" s="295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28"/>
      <c r="H6" s="289"/>
      <c r="I6" s="294"/>
      <c r="J6" s="292"/>
      <c r="K6" s="293" t="s">
        <v>249</v>
      </c>
      <c r="L6" s="288">
        <v>0.03</v>
      </c>
      <c r="M6" s="292"/>
      <c r="N6" s="291">
        <v>0.03</v>
      </c>
      <c r="O6" s="290"/>
      <c r="P6" s="424">
        <v>0.03</v>
      </c>
      <c r="Q6" s="288">
        <f>_xll.qlSimpleQuoteSetValue(C6,P6,Trigger)</f>
        <v>0</v>
      </c>
      <c r="R6" s="23"/>
      <c r="S6" s="13"/>
      <c r="T6" s="59" t="s">
        <v>103</v>
      </c>
      <c r="U6" s="287" t="s">
        <v>248</v>
      </c>
      <c r="V6" s="286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87" t="s">
        <v>247</v>
      </c>
      <c r="V7" s="286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87" t="s">
        <v>246</v>
      </c>
      <c r="V8" s="286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5" t="s">
        <v>245</v>
      </c>
      <c r="V9" s="284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D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2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28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6"/>
      <c r="V2" s="196"/>
      <c r="W2" s="196"/>
      <c r="X2" s="196"/>
      <c r="Y2" s="196"/>
      <c r="Z2" s="23"/>
    </row>
    <row r="3" spans="1:26" x14ac:dyDescent="0.2">
      <c r="A3" s="163" t="s">
        <v>184</v>
      </c>
      <c r="B3" s="148"/>
      <c r="C3" s="148"/>
      <c r="D3" s="148"/>
      <c r="E3" s="183"/>
      <c r="F3" s="445"/>
      <c r="G3" s="183"/>
      <c r="H3" s="145"/>
      <c r="J3" s="94"/>
      <c r="K3" s="196"/>
      <c r="L3" s="109"/>
      <c r="M3" s="109"/>
      <c r="N3" s="109"/>
      <c r="O3" s="109"/>
      <c r="P3" s="109"/>
      <c r="Q3" s="109"/>
      <c r="R3" s="109"/>
      <c r="S3" s="109"/>
      <c r="T3" s="109"/>
      <c r="U3" s="196"/>
      <c r="V3" s="196"/>
      <c r="W3" s="196"/>
      <c r="X3" s="109"/>
      <c r="Y3" s="225">
        <f>_xll.ohTrigger(Y5:Y24)</f>
        <v>0</v>
      </c>
      <c r="Z3" s="164"/>
    </row>
    <row r="4" spans="1:26" ht="22.5" x14ac:dyDescent="0.2">
      <c r="A4" s="94"/>
      <c r="B4" s="66"/>
      <c r="C4" s="66"/>
      <c r="D4" s="144"/>
      <c r="E4" s="436" t="str">
        <f>Currency&amp;"_010_"&amp;"OIS.xml"</f>
        <v>USD_010_OIS.xml</v>
      </c>
      <c r="F4" s="437" t="str">
        <f>IF(Serialize,_xll.ohObjectSave(_xll.ohPack(F5:F95),SerializationPath&amp;E4,FileOverwrite,Serialize),"---")</f>
        <v>---</v>
      </c>
      <c r="G4" s="438" t="str">
        <f>_xll.ohRangeRetrieveError(F4)</f>
        <v/>
      </c>
      <c r="H4" s="23"/>
      <c r="J4" s="94"/>
      <c r="K4" s="314"/>
      <c r="L4" s="107"/>
      <c r="M4" s="107"/>
      <c r="N4" s="107"/>
      <c r="O4" s="282" t="str">
        <f>_xll.RData(O5:O58,P4:S4,"RTFEED:IDN",ReutersRtMode,,P5)</f>
        <v>Updated at 10:08:06</v>
      </c>
      <c r="P4" s="279" t="s">
        <v>199</v>
      </c>
      <c r="Q4" s="279" t="s">
        <v>198</v>
      </c>
      <c r="R4" s="279" t="s">
        <v>216</v>
      </c>
      <c r="S4" s="279" t="s">
        <v>234</v>
      </c>
      <c r="T4" s="281" t="s">
        <v>255</v>
      </c>
      <c r="U4" s="196"/>
      <c r="V4" s="223" t="s">
        <v>229</v>
      </c>
      <c r="W4" s="196"/>
      <c r="X4" s="416" t="s">
        <v>227</v>
      </c>
      <c r="Y4" s="67" t="s">
        <v>226</v>
      </c>
      <c r="Z4" s="164"/>
    </row>
    <row r="5" spans="1:26" x14ac:dyDescent="0.2">
      <c r="A5" s="94"/>
      <c r="B5" s="139"/>
      <c r="C5" s="139" t="s">
        <v>153</v>
      </c>
      <c r="D5" s="439" t="s">
        <v>22</v>
      </c>
      <c r="E5" s="174" t="str">
        <f t="shared" ref="E5:E36" si="0">Currency&amp;$B5&amp;$C5&amp;$D5&amp;QuoteSuffix</f>
        <v>USDOISSW_Quote</v>
      </c>
      <c r="F5" s="174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17" t="s">
        <v>22</v>
      </c>
      <c r="L5" s="246"/>
      <c r="M5" s="246" t="s">
        <v>153</v>
      </c>
      <c r="N5" s="244" t="str">
        <f t="shared" ref="N5:N36" si="1">Currency&amp;$K5&amp;$L5&amp;$M5</f>
        <v>USDSWOIS</v>
      </c>
      <c r="O5" s="244" t="str">
        <f t="array" ref="O5:O58">Instruments&amp;"="&amp;VLOOKUP(Contributor,ContributorTable,2,FALSE)</f>
        <v>USDSWOIS=TTKL</v>
      </c>
      <c r="P5" s="213">
        <v>0.10800000000000001</v>
      </c>
      <c r="Q5" s="213">
        <v>0.13799999999999998</v>
      </c>
      <c r="R5" s="213">
        <v>0</v>
      </c>
      <c r="S5" s="213">
        <v>0</v>
      </c>
      <c r="T5" s="215">
        <f>_xll.qlMidEquivalent($P5,$Q5,$R5,$S5)</f>
        <v>0.123</v>
      </c>
      <c r="U5" s="196"/>
      <c r="V5" s="214">
        <v>8.5999999999999993E-2</v>
      </c>
      <c r="W5" s="196"/>
      <c r="X5" s="268">
        <f t="array" ref="X5:X58">QuoteLive</f>
        <v>0.123</v>
      </c>
      <c r="Y5" s="212">
        <f>_xll.qlSimpleQuoteSetValue(F5,X5/100,Trigger)</f>
        <v>0</v>
      </c>
      <c r="Z5" s="164"/>
    </row>
    <row r="6" spans="1:26" x14ac:dyDescent="0.2">
      <c r="A6" s="94"/>
      <c r="B6" s="139"/>
      <c r="C6" s="139" t="s">
        <v>153</v>
      </c>
      <c r="D6" s="439" t="s">
        <v>21</v>
      </c>
      <c r="E6" s="174" t="str">
        <f t="shared" si="0"/>
        <v>USDOIS2W_Quote</v>
      </c>
      <c r="F6" s="174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0" t="s">
        <v>21</v>
      </c>
      <c r="L6" s="241"/>
      <c r="M6" s="241" t="s">
        <v>153</v>
      </c>
      <c r="N6" s="239" t="str">
        <f t="shared" si="1"/>
        <v>USD2WOIS</v>
      </c>
      <c r="O6" s="239" t="str">
        <v>USD2WOIS=TTKL</v>
      </c>
      <c r="P6" s="194">
        <v>0.10800000000000001</v>
      </c>
      <c r="Q6" s="194">
        <v>0.13799999999999998</v>
      </c>
      <c r="R6" s="194">
        <v>0</v>
      </c>
      <c r="S6" s="194">
        <v>0</v>
      </c>
      <c r="T6" s="198">
        <f>_xll.qlMidEquivalent($P6,$Q6,$R6,$S6)</f>
        <v>0.123</v>
      </c>
      <c r="U6" s="196"/>
      <c r="V6" s="197">
        <v>8.5999999999999993E-2</v>
      </c>
      <c r="W6" s="196"/>
      <c r="X6" s="261">
        <v>0.123</v>
      </c>
      <c r="Y6" s="193">
        <f>_xll.qlSimpleQuoteSetValue(F6,X6/100,Trigger)</f>
        <v>0</v>
      </c>
      <c r="Z6" s="164"/>
    </row>
    <row r="7" spans="1:26" x14ac:dyDescent="0.2">
      <c r="A7" s="94"/>
      <c r="B7" s="139"/>
      <c r="C7" s="139" t="s">
        <v>153</v>
      </c>
      <c r="D7" s="439" t="s">
        <v>20</v>
      </c>
      <c r="E7" s="174" t="str">
        <f t="shared" si="0"/>
        <v>USDOIS3W_Quote</v>
      </c>
      <c r="F7" s="174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0" t="s">
        <v>20</v>
      </c>
      <c r="L7" s="241"/>
      <c r="M7" s="241" t="s">
        <v>153</v>
      </c>
      <c r="N7" s="239" t="str">
        <f t="shared" si="1"/>
        <v>USD3WOIS</v>
      </c>
      <c r="O7" s="239" t="str">
        <v>USD3WOIS=TTKL</v>
      </c>
      <c r="P7" s="194">
        <v>0.10800000000000001</v>
      </c>
      <c r="Q7" s="194">
        <v>0.13799999999999998</v>
      </c>
      <c r="R7" s="194">
        <v>0</v>
      </c>
      <c r="S7" s="194">
        <v>0</v>
      </c>
      <c r="T7" s="198">
        <f>_xll.qlMidEquivalent($P7,$Q7,$R7,$S7)</f>
        <v>0.123</v>
      </c>
      <c r="U7" s="196"/>
      <c r="V7" s="197">
        <v>8.5000000000000006E-2</v>
      </c>
      <c r="W7" s="196"/>
      <c r="X7" s="261">
        <v>0.123</v>
      </c>
      <c r="Y7" s="193">
        <f>_xll.qlSimpleQuoteSetValue(F7,X7/100,Trigger)</f>
        <v>0</v>
      </c>
      <c r="Z7" s="164"/>
    </row>
    <row r="8" spans="1:26" x14ac:dyDescent="0.2">
      <c r="A8" s="94"/>
      <c r="B8" s="139"/>
      <c r="C8" s="139" t="s">
        <v>153</v>
      </c>
      <c r="D8" s="439" t="s">
        <v>19</v>
      </c>
      <c r="E8" s="174" t="str">
        <f t="shared" si="0"/>
        <v>USDOIS1M_Quote</v>
      </c>
      <c r="F8" s="174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0" t="s">
        <v>19</v>
      </c>
      <c r="L8" s="241"/>
      <c r="M8" s="241" t="s">
        <v>153</v>
      </c>
      <c r="N8" s="239" t="str">
        <f t="shared" si="1"/>
        <v>USD1MOIS</v>
      </c>
      <c r="O8" s="239" t="str">
        <v>USD1MOIS=TTKL</v>
      </c>
      <c r="P8" s="194">
        <v>0.10800000000000001</v>
      </c>
      <c r="Q8" s="194">
        <v>0.13799999999999998</v>
      </c>
      <c r="R8" s="194">
        <v>0</v>
      </c>
      <c r="S8" s="194">
        <v>0</v>
      </c>
      <c r="T8" s="198">
        <f>_xll.qlMidEquivalent($P8,$Q8,$R8,$S8)</f>
        <v>0.123</v>
      </c>
      <c r="U8" s="196"/>
      <c r="V8" s="197">
        <v>8.5000000000000006E-2</v>
      </c>
      <c r="W8" s="196"/>
      <c r="X8" s="261">
        <v>0.123</v>
      </c>
      <c r="Y8" s="193">
        <f>_xll.qlSimpleQuoteSetValue(F8,X8/100,Trigger)</f>
        <v>0</v>
      </c>
      <c r="Z8" s="164"/>
    </row>
    <row r="9" spans="1:26" x14ac:dyDescent="0.2">
      <c r="A9" s="94"/>
      <c r="B9" s="139"/>
      <c r="C9" s="139" t="s">
        <v>153</v>
      </c>
      <c r="D9" s="439" t="s">
        <v>18</v>
      </c>
      <c r="E9" s="174" t="str">
        <f t="shared" si="0"/>
        <v>USDOIS2M_Quote</v>
      </c>
      <c r="F9" s="174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0" t="s">
        <v>18</v>
      </c>
      <c r="L9" s="241"/>
      <c r="M9" s="241" t="s">
        <v>153</v>
      </c>
      <c r="N9" s="239" t="str">
        <f t="shared" si="1"/>
        <v>USD2MOIS</v>
      </c>
      <c r="O9" s="239" t="str">
        <v>USD2MOIS=TTKL</v>
      </c>
      <c r="P9" s="194">
        <v>0.11200000000000002</v>
      </c>
      <c r="Q9" s="194">
        <v>0.14199999999999999</v>
      </c>
      <c r="R9" s="194">
        <v>0</v>
      </c>
      <c r="S9" s="194">
        <v>0</v>
      </c>
      <c r="T9" s="198">
        <f>_xll.qlMidEquivalent($P9,$Q9,$R9,$S9)</f>
        <v>0.127</v>
      </c>
      <c r="U9" s="196"/>
      <c r="V9" s="197">
        <v>8.5000000000000006E-2</v>
      </c>
      <c r="W9" s="196"/>
      <c r="X9" s="261">
        <v>0.127</v>
      </c>
      <c r="Y9" s="193">
        <f>_xll.qlSimpleQuoteSetValue(F9,X9/100,Trigger)</f>
        <v>0</v>
      </c>
      <c r="Z9" s="164"/>
    </row>
    <row r="10" spans="1:26" x14ac:dyDescent="0.2">
      <c r="A10" s="94"/>
      <c r="B10" s="139"/>
      <c r="C10" s="139" t="s">
        <v>153</v>
      </c>
      <c r="D10" s="439" t="s">
        <v>17</v>
      </c>
      <c r="E10" s="174" t="str">
        <f t="shared" si="0"/>
        <v>USDOIS3M_Quote</v>
      </c>
      <c r="F10" s="174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0" t="s">
        <v>17</v>
      </c>
      <c r="L10" s="241"/>
      <c r="M10" s="241" t="s">
        <v>153</v>
      </c>
      <c r="N10" s="239" t="str">
        <f t="shared" si="1"/>
        <v>USD3MOIS</v>
      </c>
      <c r="O10" s="239" t="str">
        <v>USD3MOIS=TTKL</v>
      </c>
      <c r="P10" s="194">
        <v>0.11599999999999999</v>
      </c>
      <c r="Q10" s="194">
        <v>0.14599999999999999</v>
      </c>
      <c r="R10" s="194">
        <v>0</v>
      </c>
      <c r="S10" s="194">
        <v>0</v>
      </c>
      <c r="T10" s="198">
        <f>_xll.qlMidEquivalent($P10,$Q10,$R10,$S10)</f>
        <v>0.13100000000000001</v>
      </c>
      <c r="U10" s="196"/>
      <c r="V10" s="197">
        <v>8.5000000000000006E-2</v>
      </c>
      <c r="W10" s="196"/>
      <c r="X10" s="261">
        <v>0.13100000000000001</v>
      </c>
      <c r="Y10" s="193">
        <f>_xll.qlSimpleQuoteSetValue(F10,X10/100,Trigger)</f>
        <v>0</v>
      </c>
      <c r="Z10" s="164"/>
    </row>
    <row r="11" spans="1:26" x14ac:dyDescent="0.2">
      <c r="A11" s="94"/>
      <c r="B11" s="139"/>
      <c r="C11" s="139" t="s">
        <v>153</v>
      </c>
      <c r="D11" s="439" t="s">
        <v>16</v>
      </c>
      <c r="E11" s="174" t="str">
        <f t="shared" si="0"/>
        <v>USDOIS4M_Quote</v>
      </c>
      <c r="F11" s="174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0" t="s">
        <v>16</v>
      </c>
      <c r="L11" s="241"/>
      <c r="M11" s="241" t="s">
        <v>153</v>
      </c>
      <c r="N11" s="239" t="str">
        <f t="shared" si="1"/>
        <v>USD4MOIS</v>
      </c>
      <c r="O11" s="239" t="str">
        <v>USD4MOIS=TTKL</v>
      </c>
      <c r="P11" s="194">
        <v>0.12</v>
      </c>
      <c r="Q11" s="194">
        <v>0.15</v>
      </c>
      <c r="R11" s="194">
        <v>0</v>
      </c>
      <c r="S11" s="194">
        <v>0</v>
      </c>
      <c r="T11" s="198">
        <f>_xll.qlMidEquivalent($P11,$Q11,$R11,$S11)</f>
        <v>0.13500000000000001</v>
      </c>
      <c r="U11" s="196"/>
      <c r="V11" s="197">
        <v>8.5999999999999993E-2</v>
      </c>
      <c r="W11" s="196"/>
      <c r="X11" s="261">
        <v>0.13500000000000001</v>
      </c>
      <c r="Y11" s="193">
        <f>_xll.qlSimpleQuoteSetValue(F11,X11/100,Trigger)</f>
        <v>0</v>
      </c>
      <c r="Z11" s="164"/>
    </row>
    <row r="12" spans="1:26" x14ac:dyDescent="0.2">
      <c r="A12" s="94"/>
      <c r="B12" s="139"/>
      <c r="C12" s="139" t="s">
        <v>153</v>
      </c>
      <c r="D12" s="439" t="s">
        <v>15</v>
      </c>
      <c r="E12" s="174" t="str">
        <f t="shared" si="0"/>
        <v>USDOIS5M_Quote</v>
      </c>
      <c r="F12" s="174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0" t="s">
        <v>15</v>
      </c>
      <c r="L12" s="241"/>
      <c r="M12" s="241" t="s">
        <v>153</v>
      </c>
      <c r="N12" s="239" t="str">
        <f t="shared" si="1"/>
        <v>USD5MOIS</v>
      </c>
      <c r="O12" s="239" t="str">
        <v>USD5MOIS=TTKL</v>
      </c>
      <c r="P12" s="194">
        <v>0.13799999999999998</v>
      </c>
      <c r="Q12" s="194">
        <v>0.16799999999999998</v>
      </c>
      <c r="R12" s="194">
        <v>0</v>
      </c>
      <c r="S12" s="194">
        <v>0</v>
      </c>
      <c r="T12" s="198">
        <f>_xll.qlMidEquivalent($P12,$Q12,$R12,$S12)</f>
        <v>0.15299999999999997</v>
      </c>
      <c r="U12" s="196"/>
      <c r="V12" s="197">
        <v>8.6999999999999994E-2</v>
      </c>
      <c r="W12" s="196"/>
      <c r="X12" s="261">
        <v>0.15299999999999997</v>
      </c>
      <c r="Y12" s="193">
        <f>_xll.qlSimpleQuoteSetValue(F12,X12/100,Trigger)</f>
        <v>0</v>
      </c>
      <c r="Z12" s="164"/>
    </row>
    <row r="13" spans="1:26" x14ac:dyDescent="0.2">
      <c r="A13" s="94"/>
      <c r="B13" s="139"/>
      <c r="C13" s="139" t="s">
        <v>153</v>
      </c>
      <c r="D13" s="439" t="s">
        <v>14</v>
      </c>
      <c r="E13" s="174" t="str">
        <f t="shared" si="0"/>
        <v>USDOIS6M_Quote</v>
      </c>
      <c r="F13" s="174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0" t="s">
        <v>14</v>
      </c>
      <c r="L13" s="241"/>
      <c r="M13" s="241" t="s">
        <v>153</v>
      </c>
      <c r="N13" s="239" t="str">
        <f t="shared" si="1"/>
        <v>USD6MOIS</v>
      </c>
      <c r="O13" s="239" t="str">
        <v>USD6MOIS=TTKL</v>
      </c>
      <c r="P13" s="194">
        <v>0.158</v>
      </c>
      <c r="Q13" s="194">
        <v>0.188</v>
      </c>
      <c r="R13" s="194">
        <v>0</v>
      </c>
      <c r="S13" s="194">
        <v>0</v>
      </c>
      <c r="T13" s="198">
        <f>_xll.qlMidEquivalent($P13,$Q13,$R13,$S13)</f>
        <v>0.17299999999999999</v>
      </c>
      <c r="U13" s="196"/>
      <c r="V13" s="197">
        <v>0.09</v>
      </c>
      <c r="W13" s="196"/>
      <c r="X13" s="261">
        <v>0.17299999999999999</v>
      </c>
      <c r="Y13" s="193">
        <f>_xll.qlSimpleQuoteSetValue(F13,X13/100,Trigger)</f>
        <v>0</v>
      </c>
      <c r="Z13" s="164"/>
    </row>
    <row r="14" spans="1:26" x14ac:dyDescent="0.2">
      <c r="A14" s="94"/>
      <c r="B14" s="139"/>
      <c r="C14" s="139" t="s">
        <v>153</v>
      </c>
      <c r="D14" s="439" t="s">
        <v>13</v>
      </c>
      <c r="E14" s="174" t="str">
        <f t="shared" si="0"/>
        <v>USDOIS7M_Quote</v>
      </c>
      <c r="F14" s="174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0" t="s">
        <v>13</v>
      </c>
      <c r="L14" s="241"/>
      <c r="M14" s="241" t="s">
        <v>153</v>
      </c>
      <c r="N14" s="239" t="str">
        <f t="shared" si="1"/>
        <v>USD7MOIS</v>
      </c>
      <c r="O14" s="239" t="str">
        <v>USD7MOIS=TTKL</v>
      </c>
      <c r="P14" s="194">
        <v>0.17699999999999999</v>
      </c>
      <c r="Q14" s="194">
        <v>0.20699999999999999</v>
      </c>
      <c r="R14" s="194">
        <v>0</v>
      </c>
      <c r="S14" s="194">
        <v>0</v>
      </c>
      <c r="T14" s="198">
        <f>_xll.qlMidEquivalent($P14,$Q14,$R14,$S14)</f>
        <v>0.192</v>
      </c>
      <c r="U14" s="196"/>
      <c r="V14" s="197">
        <v>9.5000000000000001E-2</v>
      </c>
      <c r="W14" s="196"/>
      <c r="X14" s="261">
        <v>0.192</v>
      </c>
      <c r="Y14" s="193">
        <f>_xll.qlSimpleQuoteSetValue(F14,X14/100,Trigger)</f>
        <v>0</v>
      </c>
      <c r="Z14" s="164"/>
    </row>
    <row r="15" spans="1:26" x14ac:dyDescent="0.2">
      <c r="A15" s="94"/>
      <c r="B15" s="139"/>
      <c r="C15" s="139" t="s">
        <v>153</v>
      </c>
      <c r="D15" s="439" t="s">
        <v>12</v>
      </c>
      <c r="E15" s="174" t="str">
        <f t="shared" si="0"/>
        <v>USDOIS8M_Quote</v>
      </c>
      <c r="F15" s="174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0" t="s">
        <v>12</v>
      </c>
      <c r="L15" s="241"/>
      <c r="M15" s="241" t="s">
        <v>153</v>
      </c>
      <c r="N15" s="239" t="str">
        <f t="shared" si="1"/>
        <v>USD8MOIS</v>
      </c>
      <c r="O15" s="239" t="str">
        <v>USD8MOIS=TTKL</v>
      </c>
      <c r="P15" s="194">
        <v>0.20200000000000001</v>
      </c>
      <c r="Q15" s="194">
        <v>0.23199999999999998</v>
      </c>
      <c r="R15" s="194">
        <v>0</v>
      </c>
      <c r="S15" s="194">
        <v>0</v>
      </c>
      <c r="T15" s="198">
        <f>_xll.qlMidEquivalent($P15,$Q15,$R15,$S15)</f>
        <v>0.217</v>
      </c>
      <c r="U15" s="196"/>
      <c r="V15" s="197">
        <v>0.1</v>
      </c>
      <c r="W15" s="196"/>
      <c r="X15" s="261">
        <v>0.217</v>
      </c>
      <c r="Y15" s="193">
        <f>_xll.qlSimpleQuoteSetValue(F15,X15/100,Trigger)</f>
        <v>-1.0000000000000026E-5</v>
      </c>
      <c r="Z15" s="164"/>
    </row>
    <row r="16" spans="1:26" x14ac:dyDescent="0.2">
      <c r="A16" s="94"/>
      <c r="B16" s="139"/>
      <c r="C16" s="139" t="s">
        <v>153</v>
      </c>
      <c r="D16" s="439" t="s">
        <v>11</v>
      </c>
      <c r="E16" s="174" t="str">
        <f t="shared" si="0"/>
        <v>USDOIS9M_Quote</v>
      </c>
      <c r="F16" s="174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0" t="s">
        <v>11</v>
      </c>
      <c r="L16" s="241"/>
      <c r="M16" s="241" t="s">
        <v>153</v>
      </c>
      <c r="N16" s="239" t="str">
        <f t="shared" si="1"/>
        <v>USD9MOIS</v>
      </c>
      <c r="O16" s="239" t="str">
        <v>USD9MOIS=TTKL</v>
      </c>
      <c r="P16" s="194">
        <v>0.22900000000000001</v>
      </c>
      <c r="Q16" s="194">
        <v>0.25900000000000001</v>
      </c>
      <c r="R16" s="194">
        <v>0</v>
      </c>
      <c r="S16" s="194">
        <v>0</v>
      </c>
      <c r="T16" s="198">
        <f>_xll.qlMidEquivalent($P16,$Q16,$R16,$S16)</f>
        <v>0.24399999999999999</v>
      </c>
      <c r="U16" s="196"/>
      <c r="V16" s="197">
        <v>0.113</v>
      </c>
      <c r="W16" s="196"/>
      <c r="X16" s="261">
        <v>0.24399999999999999</v>
      </c>
      <c r="Y16" s="193">
        <f>_xll.qlSimpleQuoteSetValue(F16,X16/100,Trigger)</f>
        <v>-1.0000000000000026E-5</v>
      </c>
      <c r="Z16" s="164"/>
    </row>
    <row r="17" spans="1:26" x14ac:dyDescent="0.2">
      <c r="A17" s="94"/>
      <c r="B17" s="139"/>
      <c r="C17" s="139" t="s">
        <v>153</v>
      </c>
      <c r="D17" s="439" t="s">
        <v>10</v>
      </c>
      <c r="E17" s="174" t="str">
        <f t="shared" si="0"/>
        <v>USDOIS10M_Quote</v>
      </c>
      <c r="F17" s="174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0" t="s">
        <v>10</v>
      </c>
      <c r="L17" s="241"/>
      <c r="M17" s="241" t="s">
        <v>153</v>
      </c>
      <c r="N17" s="239" t="str">
        <f t="shared" si="1"/>
        <v>USD10MOIS</v>
      </c>
      <c r="O17" s="239" t="str">
        <v>USD10MOIS=TTKL</v>
      </c>
      <c r="P17" s="194">
        <v>0.255</v>
      </c>
      <c r="Q17" s="194">
        <v>0.28500000000000003</v>
      </c>
      <c r="R17" s="194">
        <v>0</v>
      </c>
      <c r="S17" s="194">
        <v>0</v>
      </c>
      <c r="T17" s="198">
        <f>_xll.qlMidEquivalent($P17,$Q17,$R17,$S17)</f>
        <v>0.27</v>
      </c>
      <c r="U17" s="196"/>
      <c r="V17" s="197">
        <v>0.13</v>
      </c>
      <c r="W17" s="196"/>
      <c r="X17" s="261">
        <v>0.27</v>
      </c>
      <c r="Y17" s="193">
        <f>_xll.qlSimpleQuoteSetValue(F17,X17/100,Trigger)</f>
        <v>-2.0000000000000052E-5</v>
      </c>
      <c r="Z17" s="164"/>
    </row>
    <row r="18" spans="1:26" x14ac:dyDescent="0.2">
      <c r="A18" s="94"/>
      <c r="B18" s="139"/>
      <c r="C18" s="139" t="s">
        <v>153</v>
      </c>
      <c r="D18" s="439" t="s">
        <v>9</v>
      </c>
      <c r="E18" s="174" t="str">
        <f t="shared" si="0"/>
        <v>USDOIS11M_Quote</v>
      </c>
      <c r="F18" s="174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0" t="s">
        <v>9</v>
      </c>
      <c r="L18" s="241"/>
      <c r="M18" s="241" t="s">
        <v>153</v>
      </c>
      <c r="N18" s="239" t="str">
        <f t="shared" si="1"/>
        <v>USD11MOIS</v>
      </c>
      <c r="O18" s="239" t="str">
        <v>USD11MOIS=TTKL</v>
      </c>
      <c r="P18" s="194">
        <v>0.28500000000000003</v>
      </c>
      <c r="Q18" s="194">
        <v>0.315</v>
      </c>
      <c r="R18" s="194">
        <v>0</v>
      </c>
      <c r="S18" s="194">
        <v>0</v>
      </c>
      <c r="T18" s="198">
        <f>_xll.qlMidEquivalent($P18,$Q18,$R18,$S18)</f>
        <v>0.30000000000000004</v>
      </c>
      <c r="U18" s="196"/>
      <c r="V18" s="197">
        <v>0.14400000000000002</v>
      </c>
      <c r="W18" s="196"/>
      <c r="X18" s="261">
        <v>0.30000000000000004</v>
      </c>
      <c r="Y18" s="193">
        <f>_xll.qlSimpleQuoteSetValue(F18,X18/100,Trigger)</f>
        <v>-9.9999999999995925E-6</v>
      </c>
      <c r="Z18" s="164"/>
    </row>
    <row r="19" spans="1:26" x14ac:dyDescent="0.2">
      <c r="A19" s="94"/>
      <c r="B19" s="139"/>
      <c r="C19" s="139" t="s">
        <v>153</v>
      </c>
      <c r="D19" s="439" t="s">
        <v>8</v>
      </c>
      <c r="E19" s="174" t="str">
        <f t="shared" si="0"/>
        <v>USDOIS1Y_Quote</v>
      </c>
      <c r="F19" s="174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0" t="s">
        <v>8</v>
      </c>
      <c r="L19" s="241"/>
      <c r="M19" s="241" t="s">
        <v>153</v>
      </c>
      <c r="N19" s="239" t="str">
        <f t="shared" si="1"/>
        <v>USD1YOIS</v>
      </c>
      <c r="O19" s="239" t="str">
        <v>USD1YOIS=TTKL</v>
      </c>
      <c r="P19" s="194">
        <v>0.317</v>
      </c>
      <c r="Q19" s="194">
        <v>0.34700000000000003</v>
      </c>
      <c r="R19" s="194">
        <v>0</v>
      </c>
      <c r="S19" s="194">
        <v>0</v>
      </c>
      <c r="T19" s="198">
        <f>_xll.qlMidEquivalent($P19,$Q19,$R19,$S19)</f>
        <v>0.33200000000000002</v>
      </c>
      <c r="U19" s="196"/>
      <c r="V19" s="197">
        <v>0.16499999999999998</v>
      </c>
      <c r="W19" s="196"/>
      <c r="X19" s="261">
        <v>0.33200000000000002</v>
      </c>
      <c r="Y19" s="193">
        <f>_xll.qlSimpleQuoteSetValue(F19,X19/100,Trigger)</f>
        <v>-9.9999999999995925E-6</v>
      </c>
      <c r="Z19" s="164"/>
    </row>
    <row r="20" spans="1:26" x14ac:dyDescent="0.2">
      <c r="A20" s="94"/>
      <c r="B20" s="139"/>
      <c r="C20" s="139" t="s">
        <v>153</v>
      </c>
      <c r="D20" s="439" t="s">
        <v>171</v>
      </c>
      <c r="E20" s="174" t="str">
        <f t="shared" si="0"/>
        <v>USDOIS13M_Quote</v>
      </c>
      <c r="F20" s="174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0" t="s">
        <v>171</v>
      </c>
      <c r="L20" s="241"/>
      <c r="M20" s="241" t="s">
        <v>153</v>
      </c>
      <c r="N20" s="239" t="str">
        <f t="shared" si="1"/>
        <v>USD13MOIS</v>
      </c>
      <c r="O20" s="239" t="str">
        <v>USD13MOIS=TTKL</v>
      </c>
      <c r="P20" s="194">
        <v>0.34799999999999998</v>
      </c>
      <c r="Q20" s="194">
        <v>0.378</v>
      </c>
      <c r="R20" s="194">
        <v>0</v>
      </c>
      <c r="S20" s="194">
        <v>0</v>
      </c>
      <c r="T20" s="198">
        <f>_xll.qlMidEquivalent($P20,$Q20,$R20,$S20)</f>
        <v>0.36299999999999999</v>
      </c>
      <c r="U20" s="196"/>
      <c r="V20" s="197">
        <v>0.19</v>
      </c>
      <c r="W20" s="196"/>
      <c r="X20" s="261">
        <v>0.36299999999999999</v>
      </c>
      <c r="Y20" s="193">
        <f>_xll.qlSimpleQuoteSetValue(F20,X20/100,Trigger)</f>
        <v>-1.0000000000000026E-5</v>
      </c>
      <c r="Z20" s="164"/>
    </row>
    <row r="21" spans="1:26" x14ac:dyDescent="0.2">
      <c r="A21" s="94"/>
      <c r="B21" s="139"/>
      <c r="C21" s="139" t="s">
        <v>153</v>
      </c>
      <c r="D21" s="439" t="s">
        <v>170</v>
      </c>
      <c r="E21" s="174" t="str">
        <f t="shared" si="0"/>
        <v>USDOIS14M_Quote</v>
      </c>
      <c r="F21" s="174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0" t="s">
        <v>170</v>
      </c>
      <c r="L21" s="241"/>
      <c r="M21" s="241" t="s">
        <v>153</v>
      </c>
      <c r="N21" s="239" t="str">
        <f t="shared" si="1"/>
        <v>USD14MOIS</v>
      </c>
      <c r="O21" s="239" t="str">
        <v>USD14MOIS=TTKL</v>
      </c>
      <c r="P21" s="194">
        <v>0.38</v>
      </c>
      <c r="Q21" s="194">
        <v>0.41</v>
      </c>
      <c r="R21" s="194">
        <v>0</v>
      </c>
      <c r="S21" s="194">
        <v>0</v>
      </c>
      <c r="T21" s="198">
        <f>_xll.qlMidEquivalent($P21,$Q21,$R21,$S21)</f>
        <v>0.39500000000000002</v>
      </c>
      <c r="U21" s="196"/>
      <c r="V21" s="197">
        <v>0.21200000000000002</v>
      </c>
      <c r="W21" s="196"/>
      <c r="X21" s="261">
        <v>0.39500000000000002</v>
      </c>
      <c r="Y21" s="193">
        <f>_xll.qlSimpleQuoteSetValue(F21,X21/100,Trigger)</f>
        <v>-9.9999999999995925E-6</v>
      </c>
      <c r="Z21" s="164"/>
    </row>
    <row r="22" spans="1:26" x14ac:dyDescent="0.2">
      <c r="A22" s="94"/>
      <c r="B22" s="139"/>
      <c r="C22" s="139" t="s">
        <v>153</v>
      </c>
      <c r="D22" s="439" t="s">
        <v>107</v>
      </c>
      <c r="E22" s="174" t="str">
        <f t="shared" si="0"/>
        <v>USDOIS15M_Quote</v>
      </c>
      <c r="F22" s="174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0" t="s">
        <v>107</v>
      </c>
      <c r="L22" s="241"/>
      <c r="M22" s="241" t="s">
        <v>153</v>
      </c>
      <c r="N22" s="239" t="str">
        <f t="shared" si="1"/>
        <v>USD15MOIS</v>
      </c>
      <c r="O22" s="239" t="str">
        <v>USD15MOIS=TTKL</v>
      </c>
      <c r="P22" s="194">
        <v>0.41299999999999998</v>
      </c>
      <c r="Q22" s="194">
        <v>0.44299999999999995</v>
      </c>
      <c r="R22" s="194">
        <v>0</v>
      </c>
      <c r="S22" s="194">
        <v>0</v>
      </c>
      <c r="T22" s="198">
        <f>_xll.qlMidEquivalent($P22,$Q22,$R22,$S22)</f>
        <v>0.42799999999999994</v>
      </c>
      <c r="U22" s="196"/>
      <c r="V22" s="197">
        <v>0.24099999999999999</v>
      </c>
      <c r="W22" s="196"/>
      <c r="X22" s="261">
        <v>0.42799999999999994</v>
      </c>
      <c r="Y22" s="193">
        <f>_xll.qlSimpleQuoteSetValue(F22,X22/100,Trigger)</f>
        <v>-1.0000000000001327E-5</v>
      </c>
      <c r="Z22" s="164"/>
    </row>
    <row r="23" spans="1:26" x14ac:dyDescent="0.2">
      <c r="A23" s="94"/>
      <c r="B23" s="139"/>
      <c r="C23" s="139" t="s">
        <v>153</v>
      </c>
      <c r="D23" s="439" t="s">
        <v>169</v>
      </c>
      <c r="E23" s="174" t="str">
        <f t="shared" si="0"/>
        <v>USDOIS16M_Quote</v>
      </c>
      <c r="F23" s="174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0" t="s">
        <v>169</v>
      </c>
      <c r="L23" s="241"/>
      <c r="M23" s="241" t="s">
        <v>153</v>
      </c>
      <c r="N23" s="239" t="str">
        <f t="shared" si="1"/>
        <v>USD16MOIS</v>
      </c>
      <c r="O23" s="239" t="str">
        <v>USD16MOIS=TTKL</v>
      </c>
      <c r="P23" s="194">
        <v>0.44600000000000001</v>
      </c>
      <c r="Q23" s="194">
        <v>0.47599999999999998</v>
      </c>
      <c r="R23" s="194">
        <v>0</v>
      </c>
      <c r="S23" s="194">
        <v>0</v>
      </c>
      <c r="T23" s="198">
        <f>_xll.qlMidEquivalent($P23,$Q23,$R23,$S23)</f>
        <v>0.46099999999999997</v>
      </c>
      <c r="U23" s="196"/>
      <c r="V23" s="197">
        <v>0.27100000000000002</v>
      </c>
      <c r="W23" s="196"/>
      <c r="X23" s="261">
        <v>0.46099999999999997</v>
      </c>
      <c r="Y23" s="193">
        <f>_xll.qlSimpleQuoteSetValue(F23,X23/100,Trigger)</f>
        <v>-1.000000000000046E-5</v>
      </c>
      <c r="Z23" s="164"/>
    </row>
    <row r="24" spans="1:26" x14ac:dyDescent="0.2">
      <c r="A24" s="94"/>
      <c r="B24" s="139"/>
      <c r="C24" s="139" t="s">
        <v>153</v>
      </c>
      <c r="D24" s="439" t="s">
        <v>168</v>
      </c>
      <c r="E24" s="174" t="str">
        <f t="shared" si="0"/>
        <v>USDOIS17M_Quote</v>
      </c>
      <c r="F24" s="174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0" t="s">
        <v>168</v>
      </c>
      <c r="L24" s="241"/>
      <c r="M24" s="241" t="s">
        <v>153</v>
      </c>
      <c r="N24" s="239" t="str">
        <f t="shared" si="1"/>
        <v>USD17MOIS</v>
      </c>
      <c r="O24" s="239" t="str">
        <v>USD17MOIS=TTKL</v>
      </c>
      <c r="P24" s="194">
        <v>0.47800000000000004</v>
      </c>
      <c r="Q24" s="194">
        <v>0.50800000000000001</v>
      </c>
      <c r="R24" s="194">
        <v>0</v>
      </c>
      <c r="S24" s="194">
        <v>0</v>
      </c>
      <c r="T24" s="198">
        <f>_xll.qlMidEquivalent($P24,$Q24,$R24,$S24)</f>
        <v>0.49299999999999999</v>
      </c>
      <c r="U24" s="196"/>
      <c r="V24" s="197">
        <v>0.29699999999999999</v>
      </c>
      <c r="W24" s="196"/>
      <c r="X24" s="261">
        <v>0.49299999999999999</v>
      </c>
      <c r="Y24" s="193">
        <f>_xll.qlSimpleQuoteSetValue(F24,X24/100,Trigger)</f>
        <v>-9.9999999999995925E-6</v>
      </c>
      <c r="Z24" s="164"/>
    </row>
    <row r="25" spans="1:26" x14ac:dyDescent="0.2">
      <c r="A25" s="94"/>
      <c r="B25" s="139"/>
      <c r="C25" s="139" t="s">
        <v>153</v>
      </c>
      <c r="D25" s="439" t="s">
        <v>106</v>
      </c>
      <c r="E25" s="174" t="str">
        <f t="shared" si="0"/>
        <v>USDOIS18M_Quote</v>
      </c>
      <c r="F25" s="174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0" t="s">
        <v>106</v>
      </c>
      <c r="L25" s="241"/>
      <c r="M25" s="241" t="s">
        <v>153</v>
      </c>
      <c r="N25" s="239" t="str">
        <f t="shared" si="1"/>
        <v>USD18MOIS</v>
      </c>
      <c r="O25" s="239" t="str">
        <v>USD18MOIS=TTKL</v>
      </c>
      <c r="P25" s="194">
        <v>0.51200000000000001</v>
      </c>
      <c r="Q25" s="194">
        <v>0.54200000000000004</v>
      </c>
      <c r="R25" s="194">
        <v>0</v>
      </c>
      <c r="S25" s="194">
        <v>0</v>
      </c>
      <c r="T25" s="198">
        <f>_xll.qlMidEquivalent($P25,$Q25,$R25,$S25)</f>
        <v>0.52700000000000002</v>
      </c>
      <c r="U25" s="196"/>
      <c r="V25" s="197">
        <v>0.32800000000000001</v>
      </c>
      <c r="W25" s="196"/>
      <c r="X25" s="261">
        <v>0.52700000000000002</v>
      </c>
      <c r="Y25" s="193">
        <f>_xll.qlSimpleQuoteSetValue(F25,X25/100,Trigger)</f>
        <v>-9.9999999999995925E-6</v>
      </c>
      <c r="Z25" s="164"/>
    </row>
    <row r="26" spans="1:26" x14ac:dyDescent="0.2">
      <c r="A26" s="94"/>
      <c r="B26" s="139"/>
      <c r="C26" s="139" t="s">
        <v>153</v>
      </c>
      <c r="D26" s="439" t="s">
        <v>167</v>
      </c>
      <c r="E26" s="174" t="str">
        <f t="shared" si="0"/>
        <v>USDOIS19M_Quote</v>
      </c>
      <c r="F26" s="174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0" t="s">
        <v>167</v>
      </c>
      <c r="L26" s="241"/>
      <c r="M26" s="241" t="s">
        <v>153</v>
      </c>
      <c r="N26" s="239" t="str">
        <f t="shared" si="1"/>
        <v>USD19MOIS</v>
      </c>
      <c r="O26" s="239" t="str">
        <v>USD19MOIS=TTKL</v>
      </c>
      <c r="P26" s="194">
        <v>0.54600000000000004</v>
      </c>
      <c r="Q26" s="194">
        <v>0.57599999999999996</v>
      </c>
      <c r="R26" s="194">
        <v>0</v>
      </c>
      <c r="S26" s="194">
        <v>0</v>
      </c>
      <c r="T26" s="198">
        <f>_xll.qlMidEquivalent($P26,$Q26,$R26,$S26)</f>
        <v>0.56099999999999994</v>
      </c>
      <c r="U26" s="196"/>
      <c r="V26" s="197">
        <v>0.36099999999999999</v>
      </c>
      <c r="W26" s="196"/>
      <c r="X26" s="261">
        <v>0.56099999999999994</v>
      </c>
      <c r="Y26" s="193">
        <f>_xll.qlSimpleQuoteSetValue(F26,X26/100,Trigger)</f>
        <v>-9.9999999999995925E-6</v>
      </c>
      <c r="Z26" s="164"/>
    </row>
    <row r="27" spans="1:26" x14ac:dyDescent="0.2">
      <c r="A27" s="94"/>
      <c r="B27" s="139"/>
      <c r="C27" s="139" t="s">
        <v>153</v>
      </c>
      <c r="D27" s="439" t="s">
        <v>166</v>
      </c>
      <c r="E27" s="174" t="str">
        <f t="shared" si="0"/>
        <v>USDOIS20M_Quote</v>
      </c>
      <c r="F27" s="174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0" t="s">
        <v>166</v>
      </c>
      <c r="L27" s="241"/>
      <c r="M27" s="241" t="s">
        <v>153</v>
      </c>
      <c r="N27" s="239" t="str">
        <f t="shared" si="1"/>
        <v>USD20MOIS</v>
      </c>
      <c r="O27" s="239" t="str">
        <v>USD20MOIS=TTKL</v>
      </c>
      <c r="P27" s="194">
        <v>0.57800000000000007</v>
      </c>
      <c r="Q27" s="194">
        <v>0.60799999999999998</v>
      </c>
      <c r="R27" s="194">
        <v>0</v>
      </c>
      <c r="S27" s="194">
        <v>0</v>
      </c>
      <c r="T27" s="198">
        <f>_xll.qlMidEquivalent($P27,$Q27,$R27,$S27)</f>
        <v>0.59299999999999997</v>
      </c>
      <c r="U27" s="196"/>
      <c r="V27" s="197">
        <v>0.39400000000000002</v>
      </c>
      <c r="W27" s="196"/>
      <c r="X27" s="261">
        <v>0.59299999999999997</v>
      </c>
      <c r="Y27" s="193">
        <f>_xll.qlSimpleQuoteSetValue(F27,X27/100,Trigger)</f>
        <v>-1.000000000000046E-5</v>
      </c>
      <c r="Z27" s="164"/>
    </row>
    <row r="28" spans="1:26" x14ac:dyDescent="0.2">
      <c r="A28" s="94"/>
      <c r="B28" s="139"/>
      <c r="C28" s="139" t="s">
        <v>153</v>
      </c>
      <c r="D28" s="439" t="s">
        <v>105</v>
      </c>
      <c r="E28" s="174" t="str">
        <f t="shared" si="0"/>
        <v>USDOIS21M_Quote</v>
      </c>
      <c r="F28" s="174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0" t="s">
        <v>105</v>
      </c>
      <c r="L28" s="241"/>
      <c r="M28" s="241" t="s">
        <v>153</v>
      </c>
      <c r="N28" s="239" t="str">
        <f t="shared" si="1"/>
        <v>USD21MOIS</v>
      </c>
      <c r="O28" s="239" t="str">
        <v>USD21MOIS=TTKL</v>
      </c>
      <c r="P28" s="194">
        <v>0.61299999999999999</v>
      </c>
      <c r="Q28" s="194">
        <v>0.64300000000000002</v>
      </c>
      <c r="R28" s="194">
        <v>0</v>
      </c>
      <c r="S28" s="194">
        <v>0</v>
      </c>
      <c r="T28" s="198">
        <f>_xll.qlMidEquivalent($P28,$Q28,$R28,$S28)</f>
        <v>0.628</v>
      </c>
      <c r="U28" s="196"/>
      <c r="V28" s="197">
        <v>0.42699999999999999</v>
      </c>
      <c r="W28" s="196"/>
      <c r="X28" s="261">
        <v>0.628</v>
      </c>
      <c r="Y28" s="193">
        <f>_xll.qlSimpleQuoteSetValue(F28,X28/100,Trigger)</f>
        <v>0</v>
      </c>
      <c r="Z28" s="164"/>
    </row>
    <row r="29" spans="1:26" x14ac:dyDescent="0.2">
      <c r="A29" s="94"/>
      <c r="B29" s="139"/>
      <c r="C29" s="139" t="s">
        <v>153</v>
      </c>
      <c r="D29" s="439" t="s">
        <v>165</v>
      </c>
      <c r="E29" s="174" t="str">
        <f t="shared" si="0"/>
        <v>USDOIS22M_Quote</v>
      </c>
      <c r="F29" s="174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0" t="s">
        <v>165</v>
      </c>
      <c r="L29" s="241"/>
      <c r="M29" s="241" t="s">
        <v>153</v>
      </c>
      <c r="N29" s="239" t="str">
        <f t="shared" si="1"/>
        <v>USD22MOIS</v>
      </c>
      <c r="O29" s="239" t="str">
        <v>USD22MOIS=TTKL</v>
      </c>
      <c r="P29" s="194">
        <v>0.64100000000000001</v>
      </c>
      <c r="Q29" s="194">
        <v>0.67100000000000004</v>
      </c>
      <c r="R29" s="194">
        <v>0</v>
      </c>
      <c r="S29" s="194">
        <v>0</v>
      </c>
      <c r="T29" s="198">
        <f>_xll.qlMidEquivalent($P29,$Q29,$R29,$S29)</f>
        <v>0.65600000000000003</v>
      </c>
      <c r="U29" s="196"/>
      <c r="V29" s="197">
        <v>0.46199999999999997</v>
      </c>
      <c r="W29" s="196"/>
      <c r="X29" s="261">
        <v>0.65600000000000003</v>
      </c>
      <c r="Y29" s="193">
        <f>_xll.qlSimpleQuoteSetValue(F29,X29/100,Trigger)</f>
        <v>-1.000000000000046E-5</v>
      </c>
      <c r="Z29" s="164"/>
    </row>
    <row r="30" spans="1:26" x14ac:dyDescent="0.2">
      <c r="A30" s="94"/>
      <c r="B30" s="139"/>
      <c r="C30" s="139" t="s">
        <v>153</v>
      </c>
      <c r="D30" s="439" t="s">
        <v>164</v>
      </c>
      <c r="E30" s="174" t="str">
        <f t="shared" si="0"/>
        <v>USDOIS23M_Quote</v>
      </c>
      <c r="F30" s="174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0" t="s">
        <v>164</v>
      </c>
      <c r="L30" s="241"/>
      <c r="M30" s="241" t="s">
        <v>153</v>
      </c>
      <c r="N30" s="239" t="str">
        <f t="shared" si="1"/>
        <v>USD23MOIS</v>
      </c>
      <c r="O30" s="239" t="str">
        <v>USD23MOIS=TTKL</v>
      </c>
      <c r="P30" s="194">
        <v>0.67300000000000004</v>
      </c>
      <c r="Q30" s="194">
        <v>0.70300000000000007</v>
      </c>
      <c r="R30" s="194">
        <v>0</v>
      </c>
      <c r="S30" s="194">
        <v>0</v>
      </c>
      <c r="T30" s="198">
        <f>_xll.qlMidEquivalent($P30,$Q30,$R30,$S30)</f>
        <v>0.68800000000000006</v>
      </c>
      <c r="U30" s="196"/>
      <c r="V30" s="197">
        <v>0.497</v>
      </c>
      <c r="W30" s="196"/>
      <c r="X30" s="261">
        <v>0.68800000000000006</v>
      </c>
      <c r="Y30" s="193">
        <f>_xll.qlSimpleQuoteSetValue(F30,X30/100,Trigger)</f>
        <v>-9.9999999999995925E-6</v>
      </c>
      <c r="Z30" s="164"/>
    </row>
    <row r="31" spans="1:26" x14ac:dyDescent="0.2">
      <c r="A31" s="94"/>
      <c r="B31" s="139"/>
      <c r="C31" s="139" t="s">
        <v>153</v>
      </c>
      <c r="D31" s="439" t="s">
        <v>84</v>
      </c>
      <c r="E31" s="174" t="str">
        <f t="shared" si="0"/>
        <v>USDOIS2Y_Quote</v>
      </c>
      <c r="F31" s="174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0" t="s">
        <v>84</v>
      </c>
      <c r="L31" s="241"/>
      <c r="M31" s="241" t="s">
        <v>153</v>
      </c>
      <c r="N31" s="239" t="str">
        <f t="shared" si="1"/>
        <v>USD2YOIS</v>
      </c>
      <c r="O31" s="239" t="str">
        <v>USD2YOIS=TTKL</v>
      </c>
      <c r="P31" s="194">
        <v>0.70599999999999996</v>
      </c>
      <c r="Q31" s="194">
        <v>0.73599999999999999</v>
      </c>
      <c r="R31" s="194">
        <v>0</v>
      </c>
      <c r="S31" s="194">
        <v>0</v>
      </c>
      <c r="T31" s="198">
        <f>_xll.qlMidEquivalent($P31,$Q31,$R31,$S31)</f>
        <v>0.72099999999999997</v>
      </c>
      <c r="U31" s="196"/>
      <c r="V31" s="197">
        <v>0.53300000000000003</v>
      </c>
      <c r="W31" s="196"/>
      <c r="X31" s="261">
        <v>0.72099999999999997</v>
      </c>
      <c r="Y31" s="193">
        <f>_xll.qlSimpleQuoteSetValue(F31,X31/100,Trigger)</f>
        <v>-1.000000000000046E-5</v>
      </c>
      <c r="Z31" s="164"/>
    </row>
    <row r="32" spans="1:26" x14ac:dyDescent="0.2">
      <c r="A32" s="94"/>
      <c r="B32" s="139"/>
      <c r="C32" s="139" t="s">
        <v>153</v>
      </c>
      <c r="D32" s="439" t="s">
        <v>163</v>
      </c>
      <c r="E32" s="174" t="str">
        <f t="shared" si="0"/>
        <v>USDOIS27M_Quote</v>
      </c>
      <c r="F32" s="174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0" t="s">
        <v>163</v>
      </c>
      <c r="L32" s="241"/>
      <c r="M32" s="241" t="s">
        <v>153</v>
      </c>
      <c r="N32" s="239" t="str">
        <f t="shared" si="1"/>
        <v>USD27MOIS</v>
      </c>
      <c r="O32" s="239" t="str">
        <v>USD27MOIS=TTKL</v>
      </c>
      <c r="P32" s="194">
        <v>0.78200000000000003</v>
      </c>
      <c r="Q32" s="194">
        <v>0.83200000000000007</v>
      </c>
      <c r="R32" s="194">
        <v>0</v>
      </c>
      <c r="S32" s="194">
        <v>0</v>
      </c>
      <c r="T32" s="198">
        <f>_xll.qlMidEquivalent($P32,$Q32,$R32,$S32)</f>
        <v>0.80700000000000005</v>
      </c>
      <c r="U32" s="196"/>
      <c r="V32" s="197">
        <v>0.63900000000000001</v>
      </c>
      <c r="W32" s="196"/>
      <c r="X32" s="261">
        <v>0.80700000000000005</v>
      </c>
      <c r="Y32" s="193">
        <f>_xll.qlSimpleQuoteSetValue(F32,X32/100,Trigger)</f>
        <v>-9.9999999999995925E-6</v>
      </c>
      <c r="Z32" s="164"/>
    </row>
    <row r="33" spans="1:26" x14ac:dyDescent="0.2">
      <c r="A33" s="94"/>
      <c r="B33" s="139"/>
      <c r="C33" s="139" t="s">
        <v>153</v>
      </c>
      <c r="D33" s="439" t="s">
        <v>162</v>
      </c>
      <c r="E33" s="174" t="str">
        <f t="shared" si="0"/>
        <v>USDOIS30M_Quote</v>
      </c>
      <c r="F33" s="174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0" t="s">
        <v>162</v>
      </c>
      <c r="L33" s="241"/>
      <c r="M33" s="241" t="s">
        <v>153</v>
      </c>
      <c r="N33" s="239" t="str">
        <f t="shared" si="1"/>
        <v>USD30MOIS</v>
      </c>
      <c r="O33" s="239" t="str">
        <v>USD30MOIS=TTKL</v>
      </c>
      <c r="P33" s="194">
        <v>0.86799999999999999</v>
      </c>
      <c r="Q33" s="194">
        <v>0.91799999999999993</v>
      </c>
      <c r="R33" s="194">
        <v>0</v>
      </c>
      <c r="S33" s="194">
        <v>0</v>
      </c>
      <c r="T33" s="198">
        <f>_xll.qlMidEquivalent($P33,$Q33,$R33,$S33)</f>
        <v>0.89300000000000002</v>
      </c>
      <c r="U33" s="196"/>
      <c r="V33" s="197">
        <v>0.74199999999999999</v>
      </c>
      <c r="W33" s="196"/>
      <c r="X33" s="261">
        <v>0.89300000000000002</v>
      </c>
      <c r="Y33" s="193">
        <f>_xll.qlSimpleQuoteSetValue(F33,X33/100,Trigger)</f>
        <v>-9.9999999999978578E-6</v>
      </c>
      <c r="Z33" s="164"/>
    </row>
    <row r="34" spans="1:26" x14ac:dyDescent="0.2">
      <c r="A34" s="94"/>
      <c r="B34" s="139"/>
      <c r="C34" s="139" t="s">
        <v>153</v>
      </c>
      <c r="D34" s="439" t="s">
        <v>161</v>
      </c>
      <c r="E34" s="174" t="str">
        <f t="shared" si="0"/>
        <v>USDOIS33M_Quote</v>
      </c>
      <c r="F34" s="174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0" t="s">
        <v>161</v>
      </c>
      <c r="L34" s="241"/>
      <c r="M34" s="241" t="s">
        <v>153</v>
      </c>
      <c r="N34" s="239" t="str">
        <f t="shared" si="1"/>
        <v>USD33MOIS</v>
      </c>
      <c r="O34" s="239" t="str">
        <v>USD33MOIS=TTKL</v>
      </c>
      <c r="P34" s="194">
        <v>0.94399999999999995</v>
      </c>
      <c r="Q34" s="194">
        <v>0.99399999999999999</v>
      </c>
      <c r="R34" s="194">
        <v>0</v>
      </c>
      <c r="S34" s="194">
        <v>0</v>
      </c>
      <c r="T34" s="198">
        <f>_xll.qlMidEquivalent($P34,$Q34,$R34,$S34)</f>
        <v>0.96899999999999997</v>
      </c>
      <c r="U34" s="196"/>
      <c r="V34" s="197">
        <v>0.84499999999999997</v>
      </c>
      <c r="W34" s="196"/>
      <c r="X34" s="261">
        <v>0.96899999999999997</v>
      </c>
      <c r="Y34" s="193">
        <f>_xll.qlSimpleQuoteSetValue(F34,X34/100,Trigger)</f>
        <v>-1.0000000000001327E-5</v>
      </c>
      <c r="Z34" s="164"/>
    </row>
    <row r="35" spans="1:26" x14ac:dyDescent="0.2">
      <c r="A35" s="94"/>
      <c r="B35" s="139"/>
      <c r="C35" s="139" t="s">
        <v>153</v>
      </c>
      <c r="D35" s="439" t="s">
        <v>83</v>
      </c>
      <c r="E35" s="174" t="str">
        <f t="shared" si="0"/>
        <v>USDOIS3Y_Quote</v>
      </c>
      <c r="F35" s="174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0" t="s">
        <v>83</v>
      </c>
      <c r="L35" s="241"/>
      <c r="M35" s="241" t="s">
        <v>153</v>
      </c>
      <c r="N35" s="239" t="str">
        <f t="shared" si="1"/>
        <v>USD3YOIS</v>
      </c>
      <c r="O35" s="239" t="str">
        <v>USD3YOIS=TTKL</v>
      </c>
      <c r="P35" s="194">
        <v>1.014</v>
      </c>
      <c r="Q35" s="194">
        <v>1.0640000000000001</v>
      </c>
      <c r="R35" s="194">
        <v>0</v>
      </c>
      <c r="S35" s="194">
        <v>0</v>
      </c>
      <c r="T35" s="198">
        <f>_xll.qlMidEquivalent($P35,$Q35,$R35,$S35)</f>
        <v>1.0390000000000001</v>
      </c>
      <c r="U35" s="196"/>
      <c r="V35" s="197">
        <v>0.94199999999999995</v>
      </c>
      <c r="W35" s="196"/>
      <c r="X35" s="261">
        <v>1.0390000000000001</v>
      </c>
      <c r="Y35" s="193">
        <f>_xll.qlSimpleQuoteSetValue(F35,X35/100,Trigger)</f>
        <v>-9.9999999999978578E-6</v>
      </c>
      <c r="Z35" s="164"/>
    </row>
    <row r="36" spans="1:26" x14ac:dyDescent="0.2">
      <c r="A36" s="94"/>
      <c r="B36" s="139"/>
      <c r="C36" s="139" t="s">
        <v>153</v>
      </c>
      <c r="D36" s="439" t="s">
        <v>160</v>
      </c>
      <c r="E36" s="174" t="str">
        <f t="shared" si="0"/>
        <v>USDOIS39M_Quote</v>
      </c>
      <c r="F36" s="174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0" t="s">
        <v>160</v>
      </c>
      <c r="L36" s="241"/>
      <c r="M36" s="241" t="s">
        <v>153</v>
      </c>
      <c r="N36" s="239" t="str">
        <f t="shared" si="1"/>
        <v>USD39MOIS</v>
      </c>
      <c r="O36" s="239" t="str">
        <v>USD39MOIS=TTKL</v>
      </c>
      <c r="P36" s="194">
        <v>1.0780000000000001</v>
      </c>
      <c r="Q36" s="194">
        <v>1.1280000000000001</v>
      </c>
      <c r="R36" s="194">
        <v>0</v>
      </c>
      <c r="S36" s="194">
        <v>0</v>
      </c>
      <c r="T36" s="198">
        <f>_xll.qlMidEquivalent($P36,$Q36,$R36,$S36)</f>
        <v>1.1030000000000002</v>
      </c>
      <c r="U36" s="196"/>
      <c r="V36" s="197">
        <v>1.0339999999999998</v>
      </c>
      <c r="W36" s="196"/>
      <c r="X36" s="261">
        <v>1.1030000000000002</v>
      </c>
      <c r="Y36" s="193">
        <f>_xll.qlSimpleQuoteSetValue(F36,X36/100,Trigger)</f>
        <v>-9.9999999999995925E-6</v>
      </c>
      <c r="Z36" s="164"/>
    </row>
    <row r="37" spans="1:26" x14ac:dyDescent="0.2">
      <c r="A37" s="94"/>
      <c r="B37" s="139"/>
      <c r="C37" s="139" t="s">
        <v>153</v>
      </c>
      <c r="D37" s="439" t="s">
        <v>159</v>
      </c>
      <c r="E37" s="174" t="str">
        <f t="shared" ref="E37:E58" si="2">Currency&amp;$B37&amp;$C37&amp;$D37&amp;QuoteSuffix</f>
        <v>USDOIS42M_Quote</v>
      </c>
      <c r="F37" s="174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0" t="s">
        <v>159</v>
      </c>
      <c r="L37" s="241"/>
      <c r="M37" s="241" t="s">
        <v>153</v>
      </c>
      <c r="N37" s="239" t="str">
        <f t="shared" ref="N37:N58" si="3">Currency&amp;$K37&amp;$L37&amp;$M37</f>
        <v>USD42MOIS</v>
      </c>
      <c r="O37" s="239" t="str">
        <v>USD42MOIS=TTKL</v>
      </c>
      <c r="P37" s="194">
        <v>1.1379999999999999</v>
      </c>
      <c r="Q37" s="194">
        <v>1.1879999999999999</v>
      </c>
      <c r="R37" s="194">
        <v>0</v>
      </c>
      <c r="S37" s="194">
        <v>0</v>
      </c>
      <c r="T37" s="198">
        <f>_xll.qlMidEquivalent($P37,$Q37,$R37,$S37)</f>
        <v>1.1629999999999998</v>
      </c>
      <c r="U37" s="196"/>
      <c r="V37" s="197">
        <v>1.113</v>
      </c>
      <c r="W37" s="196"/>
      <c r="X37" s="261">
        <v>1.1629999999999998</v>
      </c>
      <c r="Y37" s="193">
        <f>_xll.qlSimpleQuoteSetValue(F37,X37/100,Trigger)</f>
        <v>-3.0000000000000512E-5</v>
      </c>
      <c r="Z37" s="164"/>
    </row>
    <row r="38" spans="1:26" x14ac:dyDescent="0.2">
      <c r="A38" s="94"/>
      <c r="B38" s="139"/>
      <c r="C38" s="139" t="s">
        <v>153</v>
      </c>
      <c r="D38" s="439" t="s">
        <v>158</v>
      </c>
      <c r="E38" s="174" t="str">
        <f t="shared" si="2"/>
        <v>USDOIS45M_Quote</v>
      </c>
      <c r="F38" s="174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0" t="s">
        <v>158</v>
      </c>
      <c r="L38" s="241"/>
      <c r="M38" s="241" t="s">
        <v>153</v>
      </c>
      <c r="N38" s="239" t="str">
        <f t="shared" si="3"/>
        <v>USD45MOIS</v>
      </c>
      <c r="O38" s="239" t="str">
        <v>USD45MOIS=TTKL</v>
      </c>
      <c r="P38" s="194">
        <v>1.1930000000000001</v>
      </c>
      <c r="Q38" s="194">
        <v>1.2430000000000001</v>
      </c>
      <c r="R38" s="194">
        <v>0</v>
      </c>
      <c r="S38" s="194">
        <v>0</v>
      </c>
      <c r="T38" s="198">
        <f>_xll.qlMidEquivalent($P38,$Q38,$R38,$S38)</f>
        <v>1.218</v>
      </c>
      <c r="U38" s="196"/>
      <c r="V38" s="197">
        <v>1.1989999999999998</v>
      </c>
      <c r="W38" s="196"/>
      <c r="X38" s="261">
        <v>1.218</v>
      </c>
      <c r="Y38" s="193">
        <f>_xll.qlSimpleQuoteSetValue(F38,X38/100,Trigger)</f>
        <v>-9.9999999999995925E-6</v>
      </c>
      <c r="Z38" s="164"/>
    </row>
    <row r="39" spans="1:26" x14ac:dyDescent="0.2">
      <c r="A39" s="94"/>
      <c r="B39" s="139"/>
      <c r="C39" s="139" t="s">
        <v>153</v>
      </c>
      <c r="D39" s="439" t="s">
        <v>82</v>
      </c>
      <c r="E39" s="174" t="str">
        <f t="shared" si="2"/>
        <v>USDOIS4Y_Quote</v>
      </c>
      <c r="F39" s="174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0" t="s">
        <v>82</v>
      </c>
      <c r="L39" s="241"/>
      <c r="M39" s="241" t="s">
        <v>153</v>
      </c>
      <c r="N39" s="239" t="str">
        <f t="shared" si="3"/>
        <v>USD4YOIS</v>
      </c>
      <c r="O39" s="239" t="str">
        <v>USD4YOIS=TTKL</v>
      </c>
      <c r="P39" s="194">
        <v>1.2410000000000001</v>
      </c>
      <c r="Q39" s="194">
        <v>1.2909999999999999</v>
      </c>
      <c r="R39" s="194">
        <v>0</v>
      </c>
      <c r="S39" s="194">
        <v>0</v>
      </c>
      <c r="T39" s="198">
        <f>_xll.qlMidEquivalent($P39,$Q39,$R39,$S39)</f>
        <v>1.266</v>
      </c>
      <c r="U39" s="196"/>
      <c r="V39" s="197">
        <v>1.2650000000000001</v>
      </c>
      <c r="W39" s="196"/>
      <c r="X39" s="261">
        <v>1.266</v>
      </c>
      <c r="Y39" s="193">
        <f>_xll.qlSimpleQuoteSetValue(F39,X39/100,Trigger)</f>
        <v>0</v>
      </c>
      <c r="Z39" s="164"/>
    </row>
    <row r="40" spans="1:26" x14ac:dyDescent="0.2">
      <c r="A40" s="94"/>
      <c r="B40" s="139"/>
      <c r="C40" s="139" t="s">
        <v>153</v>
      </c>
      <c r="D40" s="439" t="s">
        <v>157</v>
      </c>
      <c r="E40" s="174" t="str">
        <f t="shared" si="2"/>
        <v>USDOIS51M_Quote</v>
      </c>
      <c r="F40" s="174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0" t="s">
        <v>157</v>
      </c>
      <c r="L40" s="241"/>
      <c r="M40" s="241" t="s">
        <v>153</v>
      </c>
      <c r="N40" s="239" t="str">
        <f t="shared" si="3"/>
        <v>USD51MOIS</v>
      </c>
      <c r="O40" s="239" t="str">
        <v>USD51MOIS=TTKL</v>
      </c>
      <c r="P40" s="194">
        <v>1.2909999999999999</v>
      </c>
      <c r="Q40" s="194">
        <v>1.341</v>
      </c>
      <c r="R40" s="194">
        <v>0</v>
      </c>
      <c r="S40" s="194">
        <v>0</v>
      </c>
      <c r="T40" s="198">
        <f>_xll.qlMidEquivalent($P40,$Q40,$R40,$S40)</f>
        <v>1.3159999999999998</v>
      </c>
      <c r="U40" s="196"/>
      <c r="V40" s="197">
        <v>1.343</v>
      </c>
      <c r="W40" s="196"/>
      <c r="X40" s="261">
        <v>1.3159999999999998</v>
      </c>
      <c r="Y40" s="193">
        <f>_xll.qlSimpleQuoteSetValue(F40,X40/100,Trigger)</f>
        <v>-1.0000000000003062E-5</v>
      </c>
      <c r="Z40" s="164"/>
    </row>
    <row r="41" spans="1:26" x14ac:dyDescent="0.2">
      <c r="A41" s="94"/>
      <c r="B41" s="139"/>
      <c r="C41" s="139" t="s">
        <v>153</v>
      </c>
      <c r="D41" s="439" t="s">
        <v>156</v>
      </c>
      <c r="E41" s="174" t="str">
        <f t="shared" si="2"/>
        <v>USDOIS54M_Quote</v>
      </c>
      <c r="F41" s="174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0" t="s">
        <v>156</v>
      </c>
      <c r="L41" s="241"/>
      <c r="M41" s="241" t="s">
        <v>153</v>
      </c>
      <c r="N41" s="239" t="str">
        <f t="shared" si="3"/>
        <v>USD54MOIS</v>
      </c>
      <c r="O41" s="239" t="str">
        <v>USD54MOIS=TTKL</v>
      </c>
      <c r="P41" s="194">
        <v>1.329</v>
      </c>
      <c r="Q41" s="194">
        <v>1.379</v>
      </c>
      <c r="R41" s="194">
        <v>0</v>
      </c>
      <c r="S41" s="194">
        <v>0</v>
      </c>
      <c r="T41" s="198">
        <f>_xll.qlMidEquivalent($P41,$Q41,$R41,$S41)</f>
        <v>1.3540000000000001</v>
      </c>
      <c r="U41" s="196"/>
      <c r="V41" s="197">
        <v>1.3959999999999999</v>
      </c>
      <c r="W41" s="196"/>
      <c r="X41" s="261">
        <v>1.3540000000000001</v>
      </c>
      <c r="Y41" s="193">
        <f>_xll.qlSimpleQuoteSetValue(F41,X41/100,Trigger)</f>
        <v>0</v>
      </c>
      <c r="Z41" s="164"/>
    </row>
    <row r="42" spans="1:26" x14ac:dyDescent="0.2">
      <c r="A42" s="94"/>
      <c r="B42" s="139"/>
      <c r="C42" s="139" t="s">
        <v>153</v>
      </c>
      <c r="D42" s="439" t="s">
        <v>155</v>
      </c>
      <c r="E42" s="174" t="str">
        <f t="shared" si="2"/>
        <v>USDOIS57M_Quote</v>
      </c>
      <c r="F42" s="174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0" t="s">
        <v>155</v>
      </c>
      <c r="L42" s="241"/>
      <c r="M42" s="241" t="s">
        <v>153</v>
      </c>
      <c r="N42" s="239" t="str">
        <f t="shared" si="3"/>
        <v>USD57MOIS</v>
      </c>
      <c r="O42" s="239" t="str">
        <v>USD57MOIS=TTKL</v>
      </c>
      <c r="P42" s="194">
        <v>1.375</v>
      </c>
      <c r="Q42" s="194">
        <v>1.425</v>
      </c>
      <c r="R42" s="194">
        <v>0</v>
      </c>
      <c r="S42" s="194">
        <v>0</v>
      </c>
      <c r="T42" s="198">
        <f>_xll.qlMidEquivalent($P42,$Q42,$R42,$S42)</f>
        <v>1.4</v>
      </c>
      <c r="U42" s="196"/>
      <c r="V42" s="197">
        <v>1.4689999999999999</v>
      </c>
      <c r="W42" s="196"/>
      <c r="X42" s="261">
        <v>1.4</v>
      </c>
      <c r="Y42" s="193">
        <f>_xll.qlSimpleQuoteSetValue(F42,X42/100,Trigger)</f>
        <v>-9.9999999999995925E-6</v>
      </c>
      <c r="Z42" s="164"/>
    </row>
    <row r="43" spans="1:26" x14ac:dyDescent="0.2">
      <c r="A43" s="94"/>
      <c r="B43" s="139"/>
      <c r="C43" s="139" t="s">
        <v>153</v>
      </c>
      <c r="D43" s="439" t="s">
        <v>81</v>
      </c>
      <c r="E43" s="174" t="str">
        <f t="shared" si="2"/>
        <v>USDOIS5Y_Quote</v>
      </c>
      <c r="F43" s="174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0" t="s">
        <v>81</v>
      </c>
      <c r="L43" s="241"/>
      <c r="M43" s="241" t="s">
        <v>153</v>
      </c>
      <c r="N43" s="239" t="str">
        <f t="shared" si="3"/>
        <v>USD5YOIS</v>
      </c>
      <c r="O43" s="239" t="str">
        <v>USD5YOIS=TTKL</v>
      </c>
      <c r="P43" s="194">
        <v>1.407</v>
      </c>
      <c r="Q43" s="194">
        <v>1.4570000000000001</v>
      </c>
      <c r="R43" s="194">
        <v>0</v>
      </c>
      <c r="S43" s="194">
        <v>0</v>
      </c>
      <c r="T43" s="198">
        <f>_xll.qlMidEquivalent($P43,$Q43,$R43,$S43)</f>
        <v>1.4319999999999999</v>
      </c>
      <c r="U43" s="196"/>
      <c r="V43" s="197">
        <v>1.514</v>
      </c>
      <c r="W43" s="196"/>
      <c r="X43" s="261">
        <v>1.4319999999999999</v>
      </c>
      <c r="Y43" s="193">
        <f>_xll.qlSimpleQuoteSetValue(F43,X43/100,Trigger)</f>
        <v>0</v>
      </c>
      <c r="Z43" s="164"/>
    </row>
    <row r="44" spans="1:26" x14ac:dyDescent="0.2">
      <c r="A44" s="94"/>
      <c r="B44" s="139"/>
      <c r="C44" s="139" t="s">
        <v>153</v>
      </c>
      <c r="D44" s="439" t="s">
        <v>80</v>
      </c>
      <c r="E44" s="174" t="str">
        <f t="shared" si="2"/>
        <v>USDOIS6Y_Quote</v>
      </c>
      <c r="F44" s="174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0" t="s">
        <v>80</v>
      </c>
      <c r="L44" s="241"/>
      <c r="M44" s="241" t="s">
        <v>153</v>
      </c>
      <c r="N44" s="239" t="str">
        <f t="shared" si="3"/>
        <v>USD6YOIS</v>
      </c>
      <c r="O44" s="239" t="str">
        <v>USD6YOIS=TTKL</v>
      </c>
      <c r="P44" s="194">
        <v>1.5329999999999999</v>
      </c>
      <c r="Q44" s="194">
        <v>1.583</v>
      </c>
      <c r="R44" s="194">
        <v>0</v>
      </c>
      <c r="S44" s="194">
        <v>0</v>
      </c>
      <c r="T44" s="198">
        <f>_xll.qlMidEquivalent($P44,$Q44,$R44,$S44)</f>
        <v>1.5579999999999998</v>
      </c>
      <c r="U44" s="196"/>
      <c r="V44" s="197">
        <v>1.7050000000000001</v>
      </c>
      <c r="W44" s="196"/>
      <c r="X44" s="261">
        <v>1.5579999999999998</v>
      </c>
      <c r="Y44" s="193">
        <f>_xll.qlSimpleQuoteSetValue(F44,X44/100,Trigger)</f>
        <v>0</v>
      </c>
      <c r="Z44" s="164"/>
    </row>
    <row r="45" spans="1:26" x14ac:dyDescent="0.2">
      <c r="A45" s="94"/>
      <c r="B45" s="139"/>
      <c r="C45" s="139" t="s">
        <v>153</v>
      </c>
      <c r="D45" s="439" t="s">
        <v>79</v>
      </c>
      <c r="E45" s="174" t="str">
        <f t="shared" si="2"/>
        <v>USDOIS7Y_Quote</v>
      </c>
      <c r="F45" s="174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0" t="s">
        <v>79</v>
      </c>
      <c r="L45" s="241"/>
      <c r="M45" s="241" t="s">
        <v>153</v>
      </c>
      <c r="N45" s="239" t="str">
        <f t="shared" si="3"/>
        <v>USD7YOIS</v>
      </c>
      <c r="O45" s="239" t="str">
        <v>USD7YOIS=TTKL</v>
      </c>
      <c r="P45" s="194">
        <v>1.625</v>
      </c>
      <c r="Q45" s="194">
        <v>1.675</v>
      </c>
      <c r="R45" s="194">
        <v>0</v>
      </c>
      <c r="S45" s="194">
        <v>0</v>
      </c>
      <c r="T45" s="198">
        <f>_xll.qlMidEquivalent($P45,$Q45,$R45,$S45)</f>
        <v>1.65</v>
      </c>
      <c r="U45" s="196"/>
      <c r="V45" s="197">
        <v>1.863</v>
      </c>
      <c r="W45" s="196"/>
      <c r="X45" s="261">
        <v>1.65</v>
      </c>
      <c r="Y45" s="193">
        <f>_xll.qlSimpleQuoteSetValue(F45,X45/100,Trigger)</f>
        <v>-1.9999999999999185E-5</v>
      </c>
      <c r="Z45" s="164"/>
    </row>
    <row r="46" spans="1:26" x14ac:dyDescent="0.2">
      <c r="A46" s="94"/>
      <c r="B46" s="139"/>
      <c r="C46" s="139" t="s">
        <v>153</v>
      </c>
      <c r="D46" s="439" t="s">
        <v>78</v>
      </c>
      <c r="E46" s="174" t="str">
        <f t="shared" si="2"/>
        <v>USDOIS8Y_Quote</v>
      </c>
      <c r="F46" s="174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0" t="s">
        <v>78</v>
      </c>
      <c r="L46" s="241"/>
      <c r="M46" s="241" t="s">
        <v>153</v>
      </c>
      <c r="N46" s="239" t="str">
        <f t="shared" si="3"/>
        <v>USD8YOIS</v>
      </c>
      <c r="O46" s="239" t="str">
        <v>USD8YOIS=TTKL</v>
      </c>
      <c r="P46" s="194">
        <v>1.7090000000000001</v>
      </c>
      <c r="Q46" s="194">
        <v>1.7589999999999999</v>
      </c>
      <c r="R46" s="194">
        <v>0</v>
      </c>
      <c r="S46" s="194">
        <v>0</v>
      </c>
      <c r="T46" s="198">
        <f>_xll.qlMidEquivalent($P46,$Q46,$R46,$S46)</f>
        <v>1.734</v>
      </c>
      <c r="U46" s="196"/>
      <c r="V46" s="197">
        <v>1.9910000000000001</v>
      </c>
      <c r="W46" s="196"/>
      <c r="X46" s="261">
        <v>1.734</v>
      </c>
      <c r="Y46" s="193">
        <f>_xll.qlSimpleQuoteSetValue(F46,X46/100,Trigger)</f>
        <v>-9.9999999999961231E-6</v>
      </c>
      <c r="Z46" s="164"/>
    </row>
    <row r="47" spans="1:26" x14ac:dyDescent="0.2">
      <c r="A47" s="94"/>
      <c r="B47" s="139"/>
      <c r="C47" s="139" t="s">
        <v>153</v>
      </c>
      <c r="D47" s="439" t="s">
        <v>77</v>
      </c>
      <c r="E47" s="174" t="str">
        <f t="shared" si="2"/>
        <v>USDOIS9Y_Quote</v>
      </c>
      <c r="F47" s="174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0" t="s">
        <v>77</v>
      </c>
      <c r="L47" s="241"/>
      <c r="M47" s="241" t="s">
        <v>153</v>
      </c>
      <c r="N47" s="239" t="str">
        <f t="shared" si="3"/>
        <v>USD9YOIS</v>
      </c>
      <c r="O47" s="239" t="str">
        <v>USD9YOIS=TTKL</v>
      </c>
      <c r="P47" s="194">
        <v>1.78</v>
      </c>
      <c r="Q47" s="194">
        <v>1.83</v>
      </c>
      <c r="R47" s="194">
        <v>0</v>
      </c>
      <c r="S47" s="194">
        <v>0</v>
      </c>
      <c r="T47" s="198">
        <f>_xll.qlMidEquivalent($P47,$Q47,$R47,$S47)</f>
        <v>1.8050000000000002</v>
      </c>
      <c r="U47" s="196"/>
      <c r="V47" s="197">
        <v>2.1019999999999999</v>
      </c>
      <c r="W47" s="196"/>
      <c r="X47" s="261">
        <v>1.8050000000000002</v>
      </c>
      <c r="Y47" s="193">
        <f>_xll.qlSimpleQuoteSetValue(F47,X47/100,Trigger)</f>
        <v>0</v>
      </c>
      <c r="Z47" s="164"/>
    </row>
    <row r="48" spans="1:26" x14ac:dyDescent="0.2">
      <c r="A48" s="94"/>
      <c r="B48" s="139"/>
      <c r="C48" s="139" t="s">
        <v>153</v>
      </c>
      <c r="D48" s="439" t="s">
        <v>76</v>
      </c>
      <c r="E48" s="174" t="str">
        <f t="shared" si="2"/>
        <v>USDOIS10Y_Quote</v>
      </c>
      <c r="F48" s="174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0" t="s">
        <v>76</v>
      </c>
      <c r="L48" s="241"/>
      <c r="M48" s="241" t="s">
        <v>153</v>
      </c>
      <c r="N48" s="239" t="str">
        <f t="shared" si="3"/>
        <v>USD10YOIS</v>
      </c>
      <c r="O48" s="239" t="str">
        <v>USD10YOIS=TTKL</v>
      </c>
      <c r="P48" s="194">
        <v>1.833</v>
      </c>
      <c r="Q48" s="194">
        <v>1.883</v>
      </c>
      <c r="R48" s="194">
        <v>0</v>
      </c>
      <c r="S48" s="194">
        <v>0</v>
      </c>
      <c r="T48" s="198">
        <f>_xll.qlMidEquivalent($P48,$Q48,$R48,$S48)</f>
        <v>1.8580000000000001</v>
      </c>
      <c r="U48" s="196"/>
      <c r="V48" s="197">
        <v>2.1970000000000001</v>
      </c>
      <c r="W48" s="196"/>
      <c r="X48" s="261">
        <v>1.8580000000000001</v>
      </c>
      <c r="Y48" s="193">
        <f>_xll.qlSimpleQuoteSetValue(F48,X48/100,Trigger)</f>
        <v>0</v>
      </c>
      <c r="Z48" s="164"/>
    </row>
    <row r="49" spans="1:26" x14ac:dyDescent="0.2">
      <c r="A49" s="94"/>
      <c r="B49" s="139"/>
      <c r="C49" s="139" t="s">
        <v>153</v>
      </c>
      <c r="D49" s="439" t="s">
        <v>74</v>
      </c>
      <c r="E49" s="174" t="str">
        <f t="shared" si="2"/>
        <v>USDOIS12Y_Quote</v>
      </c>
      <c r="F49" s="174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0" t="s">
        <v>74</v>
      </c>
      <c r="L49" s="241"/>
      <c r="M49" s="241" t="s">
        <v>153</v>
      </c>
      <c r="N49" s="239" t="str">
        <f t="shared" si="3"/>
        <v>USD12YOIS</v>
      </c>
      <c r="O49" s="239" t="str">
        <v>USD12YOIS=TTKL</v>
      </c>
      <c r="P49" s="194">
        <v>1.9239999999999999</v>
      </c>
      <c r="Q49" s="194">
        <v>1.974</v>
      </c>
      <c r="R49" s="194">
        <v>0</v>
      </c>
      <c r="S49" s="194">
        <v>0</v>
      </c>
      <c r="T49" s="198">
        <f>_xll.qlMidEquivalent($P49,$Q49,$R49,$S49)</f>
        <v>1.9489999999999998</v>
      </c>
      <c r="U49" s="196"/>
      <c r="V49" s="197">
        <v>2.35</v>
      </c>
      <c r="W49" s="196"/>
      <c r="X49" s="261">
        <v>1.9489999999999998</v>
      </c>
      <c r="Y49" s="193">
        <f>_xll.qlSimpleQuoteSetValue(F49,X49/100,Trigger)</f>
        <v>0</v>
      </c>
      <c r="Z49" s="164"/>
    </row>
    <row r="50" spans="1:26" x14ac:dyDescent="0.2">
      <c r="A50" s="94"/>
      <c r="B50" s="139"/>
      <c r="C50" s="139" t="s">
        <v>153</v>
      </c>
      <c r="D50" s="439" t="s">
        <v>71</v>
      </c>
      <c r="E50" s="174" t="str">
        <f t="shared" si="2"/>
        <v>USDOIS15Y_Quote</v>
      </c>
      <c r="F50" s="174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0" t="s">
        <v>71</v>
      </c>
      <c r="L50" s="241"/>
      <c r="M50" s="241" t="s">
        <v>153</v>
      </c>
      <c r="N50" s="239" t="str">
        <f t="shared" si="3"/>
        <v>USD15YOIS</v>
      </c>
      <c r="O50" s="239" t="str">
        <v>USD15YOIS=TTKL</v>
      </c>
      <c r="P50" s="194">
        <v>2.0219999999999998</v>
      </c>
      <c r="Q50" s="194">
        <v>2.0720000000000001</v>
      </c>
      <c r="R50" s="194">
        <v>0</v>
      </c>
      <c r="S50" s="194">
        <v>0</v>
      </c>
      <c r="T50" s="198">
        <f>_xll.qlMidEquivalent($P50,$Q50,$R50,$S50)</f>
        <v>2.0469999999999997</v>
      </c>
      <c r="U50" s="196"/>
      <c r="V50" s="197">
        <v>2.5049999999999999</v>
      </c>
      <c r="W50" s="196"/>
      <c r="X50" s="261">
        <v>2.0469999999999997</v>
      </c>
      <c r="Y50" s="193">
        <f>_xll.qlSimpleQuoteSetValue(F50,X50/100,Trigger)</f>
        <v>0</v>
      </c>
      <c r="Z50" s="164"/>
    </row>
    <row r="51" spans="1:26" x14ac:dyDescent="0.2">
      <c r="A51" s="94"/>
      <c r="B51" s="139"/>
      <c r="C51" s="139" t="s">
        <v>153</v>
      </c>
      <c r="D51" s="439" t="s">
        <v>66</v>
      </c>
      <c r="E51" s="174" t="str">
        <f t="shared" si="2"/>
        <v>USDOIS20Y_Quote</v>
      </c>
      <c r="F51" s="174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0" t="s">
        <v>66</v>
      </c>
      <c r="L51" s="241"/>
      <c r="M51" s="241" t="s">
        <v>153</v>
      </c>
      <c r="N51" s="239" t="str">
        <f t="shared" si="3"/>
        <v>USD20YOIS</v>
      </c>
      <c r="O51" s="239" t="str">
        <v>USD20YOIS=TTKL</v>
      </c>
      <c r="P51" s="194">
        <v>2.1080000000000001</v>
      </c>
      <c r="Q51" s="194">
        <v>2.1579999999999999</v>
      </c>
      <c r="R51" s="194">
        <v>0</v>
      </c>
      <c r="S51" s="194">
        <v>0</v>
      </c>
      <c r="T51" s="198">
        <f>_xll.qlMidEquivalent($P51,$Q51,$R51,$S51)</f>
        <v>2.133</v>
      </c>
      <c r="U51" s="196"/>
      <c r="V51" s="197">
        <v>2.6619999999999999</v>
      </c>
      <c r="W51" s="196"/>
      <c r="X51" s="261">
        <v>2.133</v>
      </c>
      <c r="Y51" s="193">
        <f>_xll.qlSimpleQuoteSetValue(F51,X51/100,Trigger)</f>
        <v>0</v>
      </c>
      <c r="Z51" s="164"/>
    </row>
    <row r="52" spans="1:26" x14ac:dyDescent="0.2">
      <c r="A52" s="94"/>
      <c r="B52" s="139"/>
      <c r="C52" s="139" t="s">
        <v>153</v>
      </c>
      <c r="D52" s="439" t="s">
        <v>61</v>
      </c>
      <c r="E52" s="174" t="str">
        <f t="shared" si="2"/>
        <v>USDOIS25Y_Quote</v>
      </c>
      <c r="F52" s="174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0" t="s">
        <v>61</v>
      </c>
      <c r="L52" s="241"/>
      <c r="M52" s="241" t="s">
        <v>153</v>
      </c>
      <c r="N52" s="239" t="str">
        <f t="shared" si="3"/>
        <v>USD25YOIS</v>
      </c>
      <c r="O52" s="239" t="str">
        <v>USD25YOIS=TTKL</v>
      </c>
      <c r="P52" s="194">
        <v>2.1509999999999998</v>
      </c>
      <c r="Q52" s="194">
        <v>2.2010000000000001</v>
      </c>
      <c r="R52" s="194">
        <v>0</v>
      </c>
      <c r="S52" s="194">
        <v>0</v>
      </c>
      <c r="T52" s="198">
        <f>_xll.qlMidEquivalent($P52,$Q52,$R52,$S52)</f>
        <v>2.1760000000000002</v>
      </c>
      <c r="U52" s="196"/>
      <c r="V52" s="197">
        <v>2.7330000000000001</v>
      </c>
      <c r="W52" s="196"/>
      <c r="X52" s="261">
        <v>2.1760000000000002</v>
      </c>
      <c r="Y52" s="193">
        <f>_xll.qlSimpleQuoteSetValue(F52,X52/100,Trigger)</f>
        <v>0</v>
      </c>
      <c r="Z52" s="164"/>
    </row>
    <row r="53" spans="1:26" x14ac:dyDescent="0.2">
      <c r="A53" s="94"/>
      <c r="B53" s="139"/>
      <c r="C53" s="139" t="s">
        <v>153</v>
      </c>
      <c r="D53" s="439" t="s">
        <v>59</v>
      </c>
      <c r="E53" s="174" t="str">
        <f t="shared" si="2"/>
        <v>USDOIS27Y_Quote</v>
      </c>
      <c r="F53" s="174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0" t="s">
        <v>59</v>
      </c>
      <c r="L53" s="241"/>
      <c r="M53" s="241" t="s">
        <v>153</v>
      </c>
      <c r="N53" s="239" t="str">
        <f t="shared" si="3"/>
        <v>USD27YOIS</v>
      </c>
      <c r="O53" s="239" t="str">
        <v>USD27YOIS=TTKL</v>
      </c>
      <c r="P53" s="194" t="s">
        <v>211</v>
      </c>
      <c r="Q53" s="194" t="s">
        <v>211</v>
      </c>
      <c r="R53" s="194" t="s">
        <v>211</v>
      </c>
      <c r="S53" s="194" t="s">
        <v>211</v>
      </c>
      <c r="T53" s="198" t="e">
        <f>_xll.qlMidEquivalent($P53,$Q53,$R53,$S53)</f>
        <v>#NUM!</v>
      </c>
      <c r="U53" s="196"/>
      <c r="V53" s="197" t="e">
        <v>#NUM!</v>
      </c>
      <c r="W53" s="196"/>
      <c r="X53" s="261" t="e">
        <v>#NUM!</v>
      </c>
      <c r="Y53" s="193">
        <f>_xll.qlSimpleQuoteSetValue(F53,X53/100,Trigger)</f>
        <v>0</v>
      </c>
      <c r="Z53" s="164"/>
    </row>
    <row r="54" spans="1:26" x14ac:dyDescent="0.2">
      <c r="A54" s="94"/>
      <c r="B54" s="139"/>
      <c r="C54" s="139" t="s">
        <v>153</v>
      </c>
      <c r="D54" s="439" t="s">
        <v>56</v>
      </c>
      <c r="E54" s="174" t="str">
        <f t="shared" si="2"/>
        <v>USDOIS30Y_Quote</v>
      </c>
      <c r="F54" s="174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0" t="s">
        <v>56</v>
      </c>
      <c r="L54" s="241"/>
      <c r="M54" s="241" t="s">
        <v>153</v>
      </c>
      <c r="N54" s="239" t="str">
        <f t="shared" si="3"/>
        <v>USD30YOIS</v>
      </c>
      <c r="O54" s="239" t="str">
        <v>USD30YOIS=TTKL</v>
      </c>
      <c r="P54" s="194">
        <v>2.177</v>
      </c>
      <c r="Q54" s="194">
        <v>2.2269999999999999</v>
      </c>
      <c r="R54" s="194">
        <v>0</v>
      </c>
      <c r="S54" s="194">
        <v>0</v>
      </c>
      <c r="T54" s="198">
        <f>_xll.qlMidEquivalent($P54,$Q54,$R54,$S54)</f>
        <v>2.202</v>
      </c>
      <c r="U54" s="196"/>
      <c r="V54" s="197">
        <v>2.77</v>
      </c>
      <c r="W54" s="196"/>
      <c r="X54" s="261">
        <v>2.202</v>
      </c>
      <c r="Y54" s="193">
        <f>_xll.qlSimpleQuoteSetValue(F54,X54/100,Trigger)</f>
        <v>0</v>
      </c>
      <c r="Z54" s="164"/>
    </row>
    <row r="55" spans="1:26" x14ac:dyDescent="0.2">
      <c r="A55" s="94"/>
      <c r="B55" s="139"/>
      <c r="C55" s="139" t="s">
        <v>153</v>
      </c>
      <c r="D55" s="439" t="s">
        <v>51</v>
      </c>
      <c r="E55" s="174" t="str">
        <f t="shared" si="2"/>
        <v>USDOIS35Y_Quote</v>
      </c>
      <c r="F55" s="174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0" t="s">
        <v>51</v>
      </c>
      <c r="L55" s="241"/>
      <c r="M55" s="241" t="s">
        <v>153</v>
      </c>
      <c r="N55" s="239" t="str">
        <f t="shared" si="3"/>
        <v>USD35YOIS</v>
      </c>
      <c r="O55" s="239" t="str">
        <v>USD35YOIS=TTKL</v>
      </c>
      <c r="P55" s="194">
        <v>2.1850000000000001</v>
      </c>
      <c r="Q55" s="194">
        <v>2.2349999999999999</v>
      </c>
      <c r="R55" s="194">
        <v>0</v>
      </c>
      <c r="S55" s="194">
        <v>0</v>
      </c>
      <c r="T55" s="198">
        <f>_xll.qlMidEquivalent($P55,$Q55,$R55,$S55)</f>
        <v>2.21</v>
      </c>
      <c r="U55" s="196"/>
      <c r="V55" s="197">
        <v>2.794</v>
      </c>
      <c r="W55" s="196"/>
      <c r="X55" s="261">
        <v>2.21</v>
      </c>
      <c r="Y55" s="193">
        <f>_xll.qlSimpleQuoteSetValue(F55,X55/100,Trigger)</f>
        <v>0</v>
      </c>
      <c r="Z55" s="164"/>
    </row>
    <row r="56" spans="1:26" x14ac:dyDescent="0.2">
      <c r="A56" s="94"/>
      <c r="B56" s="139"/>
      <c r="C56" s="139" t="s">
        <v>153</v>
      </c>
      <c r="D56" s="439" t="s">
        <v>46</v>
      </c>
      <c r="E56" s="174" t="str">
        <f t="shared" si="2"/>
        <v>USDOIS40Y_Quote</v>
      </c>
      <c r="F56" s="174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0" t="s">
        <v>46</v>
      </c>
      <c r="L56" s="241"/>
      <c r="M56" s="241" t="s">
        <v>153</v>
      </c>
      <c r="N56" s="239" t="str">
        <f t="shared" si="3"/>
        <v>USD40YOIS</v>
      </c>
      <c r="O56" s="239" t="str">
        <v>USD40YOIS=TTKL</v>
      </c>
      <c r="P56" s="194">
        <v>2.1859999999999999</v>
      </c>
      <c r="Q56" s="194">
        <v>2.2359999999999998</v>
      </c>
      <c r="R56" s="194">
        <v>0</v>
      </c>
      <c r="S56" s="194">
        <v>0</v>
      </c>
      <c r="T56" s="198">
        <f>_xll.qlMidEquivalent($P56,$Q56,$R56,$S56)</f>
        <v>2.2109999999999999</v>
      </c>
      <c r="U56" s="196"/>
      <c r="V56" s="197">
        <v>2.7969999999999997</v>
      </c>
      <c r="W56" s="196"/>
      <c r="X56" s="261">
        <v>2.2109999999999999</v>
      </c>
      <c r="Y56" s="193">
        <f>_xll.qlSimpleQuoteSetValue(F56,X56/100,Trigger)</f>
        <v>0</v>
      </c>
      <c r="Z56" s="164"/>
    </row>
    <row r="57" spans="1:26" x14ac:dyDescent="0.2">
      <c r="A57" s="94"/>
      <c r="B57" s="139"/>
      <c r="C57" s="139" t="s">
        <v>153</v>
      </c>
      <c r="D57" s="439" t="s">
        <v>41</v>
      </c>
      <c r="E57" s="174" t="str">
        <f t="shared" si="2"/>
        <v>USDOIS45Y_Quote</v>
      </c>
      <c r="F57" s="174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0" t="s">
        <v>41</v>
      </c>
      <c r="L57" s="241"/>
      <c r="M57" s="241" t="s">
        <v>153</v>
      </c>
      <c r="N57" s="239" t="str">
        <f t="shared" si="3"/>
        <v>USD45YOIS</v>
      </c>
      <c r="O57" s="239" t="str">
        <v>USD45YOIS=TTKL</v>
      </c>
      <c r="P57" s="194">
        <v>2.1760000000000002</v>
      </c>
      <c r="Q57" s="194">
        <v>2.226</v>
      </c>
      <c r="R57" s="194">
        <v>0</v>
      </c>
      <c r="S57" s="194">
        <v>0</v>
      </c>
      <c r="T57" s="198">
        <f>_xll.qlMidEquivalent($P57,$Q57,$R57,$S57)</f>
        <v>2.2010000000000001</v>
      </c>
      <c r="U57" s="196"/>
      <c r="V57" s="197">
        <v>2.7880000000000003</v>
      </c>
      <c r="W57" s="196"/>
      <c r="X57" s="261">
        <v>2.2010000000000001</v>
      </c>
      <c r="Y57" s="193">
        <f>_xll.qlSimpleQuoteSetValue(F57,X57/100,Trigger)</f>
        <v>0</v>
      </c>
      <c r="Z57" s="164"/>
    </row>
    <row r="58" spans="1:26" x14ac:dyDescent="0.2">
      <c r="A58" s="94"/>
      <c r="B58" s="139"/>
      <c r="C58" s="139" t="s">
        <v>153</v>
      </c>
      <c r="D58" s="439" t="s">
        <v>36</v>
      </c>
      <c r="E58" s="174" t="str">
        <f t="shared" si="2"/>
        <v>USDOIS50Y_Quote</v>
      </c>
      <c r="F58" s="174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1" t="s">
        <v>36</v>
      </c>
      <c r="L58" s="236"/>
      <c r="M58" s="236" t="s">
        <v>153</v>
      </c>
      <c r="N58" s="234" t="str">
        <f t="shared" si="3"/>
        <v>USD50YOIS</v>
      </c>
      <c r="O58" s="234" t="str">
        <v>USD50YOIS=TTKL</v>
      </c>
      <c r="P58" s="207">
        <v>2.1659999999999999</v>
      </c>
      <c r="Q58" s="207">
        <v>2.2160000000000002</v>
      </c>
      <c r="R58" s="207">
        <v>0</v>
      </c>
      <c r="S58" s="207">
        <v>0</v>
      </c>
      <c r="T58" s="209">
        <f>_xll.qlMidEquivalent($P58,$Q58,$R58,$S58)</f>
        <v>2.1909999999999998</v>
      </c>
      <c r="U58" s="196"/>
      <c r="V58" s="197">
        <v>2.778</v>
      </c>
      <c r="W58" s="196"/>
      <c r="X58" s="254">
        <v>2.1909999999999998</v>
      </c>
      <c r="Y58" s="206">
        <f>_xll.qlSimpleQuoteSetValue(F58,X58/100,Trigger)</f>
        <v>0</v>
      </c>
      <c r="Z58" s="164"/>
    </row>
    <row r="59" spans="1:26" ht="12" thickBot="1" x14ac:dyDescent="0.25">
      <c r="A59" s="94"/>
      <c r="B59" s="440"/>
      <c r="C59" s="440"/>
      <c r="D59" s="441"/>
      <c r="E59" s="442"/>
      <c r="F59" s="442"/>
      <c r="G59" s="443"/>
      <c r="H59" s="23"/>
      <c r="J59" s="150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85"/>
      <c r="X59" s="285"/>
      <c r="Y59" s="285"/>
      <c r="Z59" s="284"/>
    </row>
    <row r="60" spans="1:26" x14ac:dyDescent="0.2">
      <c r="A60" s="94"/>
      <c r="B60" s="139" t="s">
        <v>154</v>
      </c>
      <c r="C60" s="139" t="s">
        <v>153</v>
      </c>
      <c r="D60" s="444" t="str">
        <f>_xll.qlECBNextCode(_xll.qlSettingsEvaluationDate(Trigger)-365)</f>
        <v>FEB14</v>
      </c>
      <c r="E60" s="174" t="str">
        <f t="shared" ref="E60:E95" si="4">Currency&amp;$B60&amp;$C60&amp;$D60&amp;QuoteSuffix</f>
        <v>USDFEDOISFEB14_Quote</v>
      </c>
      <c r="F60" s="174" t="str">
        <f>_xll.qlSimpleQuote(Currency&amp;$B60&amp;$C60&amp;$D60&amp;QuoteSuffix,,RateTickValue,Permanent,Trigger,ObjectOverwrite)</f>
        <v>USDFEDOISFEB14_Quote#0000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4" t="str">
        <f>_xll.qlECBNextCode(_xll.qlECBdate(D60))</f>
        <v>MAR14</v>
      </c>
      <c r="E61" s="174" t="str">
        <f t="shared" si="4"/>
        <v>USDFEDOISMAR14_Quote</v>
      </c>
      <c r="F61" s="174" t="str">
        <f>_xll.qlSimpleQuote(Currency&amp;$B61&amp;$C61&amp;$D61&amp;QuoteSuffix,,RateTickValue,Permanent,Trigger,ObjectOverwrite)</f>
        <v>USDFEDOISMAR14_Quote#0000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4" t="str">
        <f>_xll.qlECBNextCode(_xll.qlECBdate(D61))</f>
        <v>APR14</v>
      </c>
      <c r="E62" s="174" t="str">
        <f t="shared" si="4"/>
        <v>USDFEDOISAPR14_Quote</v>
      </c>
      <c r="F62" s="174" t="str">
        <f>_xll.qlSimpleQuote(Currency&amp;$B62&amp;$C62&amp;$D62&amp;QuoteSuffix,,RateTickValue,Permanent,Trigger,ObjectOverwrite)</f>
        <v>USDFEDOISAPR14_Quote#0000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4" t="str">
        <f>_xll.qlECBNextCode(_xll.qlECBdate(D62))</f>
        <v>MAY14</v>
      </c>
      <c r="E63" s="174" t="str">
        <f t="shared" si="4"/>
        <v>USDFEDOISMAY14_Quote</v>
      </c>
      <c r="F63" s="174" t="str">
        <f>_xll.qlSimpleQuote(Currency&amp;$B63&amp;$C63&amp;$D63&amp;QuoteSuffix,,RateTickValue,Permanent,Trigger,ObjectOverwrite)</f>
        <v>USDFEDOISMAY14_Quote#0000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4" t="str">
        <f>_xll.qlECBNextCode(_xll.qlECBdate(D63))</f>
        <v>JUN14</v>
      </c>
      <c r="E64" s="174" t="str">
        <f t="shared" si="4"/>
        <v>USDFEDOISJUN14_Quote</v>
      </c>
      <c r="F64" s="174" t="str">
        <f>_xll.qlSimpleQuote(Currency&amp;$B64&amp;$C64&amp;$D64&amp;QuoteSuffix,,RateTickValue,Permanent,Trigger,ObjectOverwrite)</f>
        <v>USDFEDOISJUN14_Quote#0000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4" t="str">
        <f>_xll.qlECBNextCode(_xll.qlECBdate(D64))</f>
        <v>JUL14</v>
      </c>
      <c r="E65" s="174" t="str">
        <f t="shared" si="4"/>
        <v>USDFEDOISJUL14_Quote</v>
      </c>
      <c r="F65" s="174" t="str">
        <f>_xll.qlSimpleQuote(Currency&amp;$B65&amp;$C65&amp;$D65&amp;QuoteSuffix,,RateTickValue,Permanent,Trigger,ObjectOverwrite)</f>
        <v>USDFEDOISJUL14_Quote#0000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4" t="str">
        <f>_xll.qlECBNextCode(_xll.qlECBdate(D65))</f>
        <v>AUG14</v>
      </c>
      <c r="E66" s="174" t="str">
        <f t="shared" si="4"/>
        <v>USDFEDOISAUG14_Quote</v>
      </c>
      <c r="F66" s="174" t="str">
        <f>_xll.qlSimpleQuote(Currency&amp;$B66&amp;$C66&amp;$D66&amp;QuoteSuffix,,RateTickValue,Permanent,Trigger,ObjectOverwrite)</f>
        <v>USDFEDOISAUG14_Quote#0000</v>
      </c>
      <c r="G66" s="24" t="str">
        <f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4" t="str">
        <f>_xll.qlECBNextCode(_xll.qlECBdate(D66))</f>
        <v>SEP14</v>
      </c>
      <c r="E67" s="174" t="str">
        <f t="shared" si="4"/>
        <v>USDFEDOISSEP14_Quote</v>
      </c>
      <c r="F67" s="174" t="str">
        <f>_xll.qlSimpleQuote(Currency&amp;$B67&amp;$C67&amp;$D67&amp;QuoteSuffix,,RateTickValue,Permanent,Trigger,ObjectOverwrite)</f>
        <v>USDFEDOISSEP14_Quote#0000</v>
      </c>
      <c r="G67" s="24" t="str">
        <f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4" t="str">
        <f>_xll.qlECBNextCode(_xll.qlECBdate(D67))</f>
        <v>OCT14</v>
      </c>
      <c r="E68" s="174" t="str">
        <f t="shared" si="4"/>
        <v>USDFEDOISOCT14_Quote</v>
      </c>
      <c r="F68" s="174" t="str">
        <f>_xll.qlSimpleQuote(Currency&amp;$B68&amp;$C68&amp;$D68&amp;QuoteSuffix,,RateTickValue,Permanent,Trigger,ObjectOverwrite)</f>
        <v>USDFEDOISOCT14_Quote#0000</v>
      </c>
      <c r="G68" s="24" t="str">
        <f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4" t="str">
        <f>_xll.qlECBNextCode(_xll.qlECBdate(D68))</f>
        <v>NOV14</v>
      </c>
      <c r="E69" s="174" t="str">
        <f t="shared" si="4"/>
        <v>USDFEDOISNOV14_Quote</v>
      </c>
      <c r="F69" s="174" t="str">
        <f>_xll.qlSimpleQuote(Currency&amp;$B69&amp;$C69&amp;$D69&amp;QuoteSuffix,,RateTickValue,Permanent,Trigger,ObjectOverwrite)</f>
        <v>USDFEDOISNOV14_Quote#0000</v>
      </c>
      <c r="G69" s="24" t="str">
        <f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4" t="str">
        <f>_xll.qlECBNextCode(_xll.qlECBdate(D69))</f>
        <v>DEC14</v>
      </c>
      <c r="E70" s="174" t="str">
        <f t="shared" si="4"/>
        <v>USDFEDOISDEC14_Quote</v>
      </c>
      <c r="F70" s="174" t="str">
        <f>_xll.qlSimpleQuote(Currency&amp;$B70&amp;$C70&amp;$D70&amp;QuoteSuffix,,RateTickValue,Permanent,Trigger,ObjectOverwrite)</f>
        <v>USDFEDOISDEC14_Quote#0000</v>
      </c>
      <c r="G70" s="24" t="str">
        <f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4" t="str">
        <f>_xll.qlECBNextCode(_xll.qlECBdate(D70))</f>
        <v>JAN15</v>
      </c>
      <c r="E71" s="174" t="str">
        <f t="shared" si="4"/>
        <v>USDFEDOISJAN15_Quote</v>
      </c>
      <c r="F71" s="174" t="str">
        <f>_xll.qlSimpleQuote(Currency&amp;$B71&amp;$C71&amp;$D71&amp;QuoteSuffix,,RateTickValue,Permanent,Trigger,ObjectOverwrite)</f>
        <v>USDFEDOISJAN15_Quote#0000</v>
      </c>
      <c r="G71" s="24" t="str">
        <f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4" t="str">
        <f>_xll.qlECBNextCode(_xll.qlECBdate(D71))</f>
        <v>MAR15</v>
      </c>
      <c r="E72" s="174" t="str">
        <f t="shared" si="4"/>
        <v>USDFEDOISMAR15_Quote</v>
      </c>
      <c r="F72" s="174" t="str">
        <f>_xll.qlSimpleQuote(Currency&amp;$B72&amp;$C72&amp;$D72&amp;QuoteSuffix,,RateTickValue,Permanent,Trigger,ObjectOverwrite)</f>
        <v>USDFEDOISMAR15_Quote#0000</v>
      </c>
      <c r="G72" s="24" t="str">
        <f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4" t="str">
        <f>_xll.qlECBNextCode(_xll.qlECBdate(D72))</f>
        <v>APR15</v>
      </c>
      <c r="E73" s="174" t="str">
        <f t="shared" si="4"/>
        <v>USDFEDOISAPR15_Quote</v>
      </c>
      <c r="F73" s="174" t="str">
        <f>_xll.qlSimpleQuote(Currency&amp;$B73&amp;$C73&amp;$D73&amp;QuoteSuffix,,RateTickValue,Permanent,Trigger,ObjectOverwrite)</f>
        <v>USDFEDOISAPR15_Quote#0000</v>
      </c>
      <c r="G73" s="24" t="str">
        <f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4" t="str">
        <f>_xll.qlECBNextCode(_xll.qlECBdate(D73))</f>
        <v>JUN15</v>
      </c>
      <c r="E74" s="174" t="str">
        <f t="shared" si="4"/>
        <v>USDFEDOISJUN15_Quote</v>
      </c>
      <c r="F74" s="174" t="str">
        <f>_xll.qlSimpleQuote(Currency&amp;$B74&amp;$C74&amp;$D74&amp;QuoteSuffix,,RateTickValue,Permanent,Trigger,ObjectOverwrite)</f>
        <v>USDFEDOISJUN15_Quote#0000</v>
      </c>
      <c r="G74" s="24" t="str">
        <f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4" t="str">
        <f>_xll.qlECBNextCode(_xll.qlECBdate(D74))</f>
        <v>JUL15</v>
      </c>
      <c r="E75" s="174" t="str">
        <f t="shared" si="4"/>
        <v>USDFEDOISJUL15_Quote</v>
      </c>
      <c r="F75" s="174" t="str">
        <f>_xll.qlSimpleQuote(Currency&amp;$B75&amp;$C75&amp;$D75&amp;QuoteSuffix,,RateTickValue,Permanent,Trigger,ObjectOverwrite)</f>
        <v>USDFEDOISJUL15_Quote#0000</v>
      </c>
      <c r="G75" s="24" t="str">
        <f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4" t="str">
        <f>_xll.qlECBNextCode(_xll.qlECBdate(D75))</f>
        <v>SEP15</v>
      </c>
      <c r="E76" s="174" t="str">
        <f t="shared" si="4"/>
        <v>USDFEDOISSEP15_Quote</v>
      </c>
      <c r="F76" s="174" t="str">
        <f>_xll.qlSimpleQuote(Currency&amp;$B76&amp;$C76&amp;$D76&amp;QuoteSuffix,,RateTickValue,Permanent,Trigger,ObjectOverwrite)</f>
        <v>USDFEDOISSEP15_Quote#0000</v>
      </c>
      <c r="G76" s="24" t="str">
        <f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4" t="str">
        <f>_xll.qlECBNextCode(_xll.qlECBdate(D76))</f>
        <v>OCT15</v>
      </c>
      <c r="E77" s="174" t="str">
        <f t="shared" si="4"/>
        <v>USDFEDOISOCT15_Quote</v>
      </c>
      <c r="F77" s="174" t="str">
        <f>_xll.qlSimpleQuote(Currency&amp;$B77&amp;$C77&amp;$D77&amp;QuoteSuffix,,RateTickValue,Permanent,Trigger,ObjectOverwrite)</f>
        <v>USDFEDOISOCT15_Quote#0000</v>
      </c>
      <c r="G77" s="24" t="str">
        <f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4" t="str">
        <f>_xll.qlECBNextCode(_xll.qlECBdate(D77))</f>
        <v>DEC15</v>
      </c>
      <c r="E78" s="174" t="str">
        <f t="shared" si="4"/>
        <v>USDFEDOISDEC15_Quote</v>
      </c>
      <c r="F78" s="174" t="str">
        <f>_xll.qlSimpleQuote(Currency&amp;$B78&amp;$C78&amp;$D78&amp;QuoteSuffix,,RateTickValue,Permanent,Trigger,ObjectOverwrite)</f>
        <v>USDFEDOISDEC15_Quote#0000</v>
      </c>
      <c r="G78" s="24" t="str">
        <f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4" t="str">
        <f>_xll.qlECBNextCode(_xll.qlECBdate(D78))</f>
        <v>JAN16</v>
      </c>
      <c r="E79" s="174" t="str">
        <f t="shared" si="4"/>
        <v>USDFEDOISJAN16_Quote</v>
      </c>
      <c r="F79" s="174" t="str">
        <f>_xll.qlSimpleQuote(Currency&amp;$B79&amp;$C79&amp;$D79&amp;QuoteSuffix,,RateTickValue,Permanent,Trigger,ObjectOverwrite)</f>
        <v>USDFEDOISJAN16_Quote#0000</v>
      </c>
      <c r="G79" s="24" t="str">
        <f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4" t="str">
        <f>_xll.qlECBNextCode(_xll.qlECBdate(D79))</f>
        <v>MAR16</v>
      </c>
      <c r="E80" s="174" t="str">
        <f t="shared" si="4"/>
        <v>USDFEDOISMAR16_Quote</v>
      </c>
      <c r="F80" s="174" t="str">
        <f>_xll.qlSimpleQuote(Currency&amp;$B80&amp;$C80&amp;$D80&amp;QuoteSuffix,,RateTickValue,Permanent,Trigger,ObjectOverwrite)</f>
        <v>USDFEDOISMAR16_Quote#0000</v>
      </c>
      <c r="G80" s="24" t="str">
        <f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4" t="str">
        <f>_xll.qlECBNextCode(_xll.qlECBdate(D80))</f>
        <v>APR16</v>
      </c>
      <c r="E81" s="174" t="str">
        <f t="shared" si="4"/>
        <v>USDFEDOISAPR16_Quote</v>
      </c>
      <c r="F81" s="174" t="str">
        <f>_xll.qlSimpleQuote(Currency&amp;$B81&amp;$C81&amp;$D81&amp;QuoteSuffix,,RateTickValue,Permanent,Trigger,ObjectOverwrite)</f>
        <v>USDFEDOISAPR16_Quote#0000</v>
      </c>
      <c r="G81" s="24" t="str">
        <f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4" t="e">
        <f>_xll.qlECBNextCode(_xll.qlECBdate(D81))</f>
        <v>#NUM!</v>
      </c>
      <c r="E82" s="174" t="e">
        <f t="shared" si="4"/>
        <v>#NUM!</v>
      </c>
      <c r="F82" s="174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4" t="e">
        <f>_xll.qlECBNextCode(_xll.qlECBdate(D82))</f>
        <v>#NUM!</v>
      </c>
      <c r="E83" s="174" t="e">
        <f t="shared" si="4"/>
        <v>#NUM!</v>
      </c>
      <c r="F83" s="174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4" t="e">
        <f>_xll.qlECBNextCode(_xll.qlECBdate(D83))</f>
        <v>#NUM!</v>
      </c>
      <c r="E84" s="174" t="e">
        <f t="shared" si="4"/>
        <v>#NUM!</v>
      </c>
      <c r="F84" s="174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4" t="e">
        <f>_xll.qlECBNextCode(_xll.qlECBdate(D84))</f>
        <v>#NUM!</v>
      </c>
      <c r="E85" s="174" t="e">
        <f t="shared" si="4"/>
        <v>#NUM!</v>
      </c>
      <c r="F85" s="174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4" t="e">
        <f>_xll.qlECBNextCode(_xll.qlECBdate(D85))</f>
        <v>#NUM!</v>
      </c>
      <c r="E86" s="174" t="e">
        <f t="shared" si="4"/>
        <v>#NUM!</v>
      </c>
      <c r="F86" s="174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4" t="e">
        <f>_xll.qlECBNextCode(_xll.qlECBdate(D86))</f>
        <v>#NUM!</v>
      </c>
      <c r="E87" s="174" t="e">
        <f t="shared" si="4"/>
        <v>#NUM!</v>
      </c>
      <c r="F87" s="174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4" t="e">
        <f>_xll.qlECBNextCode(_xll.qlECBdate(D87))</f>
        <v>#NUM!</v>
      </c>
      <c r="E88" s="174" t="e">
        <f t="shared" si="4"/>
        <v>#NUM!</v>
      </c>
      <c r="F88" s="174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4" t="e">
        <f>_xll.qlECBNextCode(_xll.qlECBdate(D88))</f>
        <v>#NUM!</v>
      </c>
      <c r="E89" s="174" t="e">
        <f t="shared" si="4"/>
        <v>#NUM!</v>
      </c>
      <c r="F89" s="174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4" t="e">
        <f>_xll.qlECBNextCode(_xll.qlECBdate(D89))</f>
        <v>#NUM!</v>
      </c>
      <c r="E90" s="174" t="e">
        <f t="shared" si="4"/>
        <v>#NUM!</v>
      </c>
      <c r="F90" s="174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4" t="e">
        <f>_xll.qlECBNextCode(_xll.qlECBdate(D90))</f>
        <v>#NUM!</v>
      </c>
      <c r="E91" s="174" t="e">
        <f t="shared" si="4"/>
        <v>#NUM!</v>
      </c>
      <c r="F91" s="174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4" t="e">
        <f>_xll.qlECBNextCode(_xll.qlECBdate(D91))</f>
        <v>#NUM!</v>
      </c>
      <c r="E92" s="174" t="e">
        <f t="shared" si="4"/>
        <v>#NUM!</v>
      </c>
      <c r="F92" s="174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4" t="e">
        <f>_xll.qlECBNextCode(_xll.qlECBdate(D92))</f>
        <v>#NUM!</v>
      </c>
      <c r="E93" s="174" t="e">
        <f t="shared" si="4"/>
        <v>#NUM!</v>
      </c>
      <c r="F93" s="174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4" t="e">
        <f>_xll.qlECBNextCode(_xll.qlECBdate(D93))</f>
        <v>#NUM!</v>
      </c>
      <c r="E94" s="174" t="e">
        <f t="shared" si="4"/>
        <v>#NUM!</v>
      </c>
      <c r="F94" s="174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4" t="e">
        <f>_xll.qlECBNextCode(_xll.qlECBdate(D94))</f>
        <v>#NUM!</v>
      </c>
      <c r="E95" s="174" t="e">
        <f t="shared" si="4"/>
        <v>#NUM!</v>
      </c>
      <c r="F95" s="174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I1"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2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28"/>
      <c r="K2" s="196"/>
      <c r="L2" s="196"/>
      <c r="M2" s="196"/>
      <c r="N2" s="196"/>
      <c r="O2" s="116" t="s">
        <v>212</v>
      </c>
      <c r="P2" s="196"/>
      <c r="Q2" s="196"/>
      <c r="R2" s="196"/>
      <c r="S2" s="196"/>
      <c r="T2" s="109"/>
      <c r="U2" s="196"/>
      <c r="V2" s="196"/>
      <c r="W2" s="196"/>
      <c r="X2" s="196"/>
      <c r="Y2" s="109"/>
      <c r="Z2" s="23"/>
    </row>
    <row r="3" spans="1:28" x14ac:dyDescent="0.2">
      <c r="A3" s="163" t="s">
        <v>184</v>
      </c>
      <c r="B3" s="148"/>
      <c r="C3" s="148"/>
      <c r="D3" s="148"/>
      <c r="E3" s="146"/>
      <c r="F3" s="147"/>
      <c r="G3" s="146"/>
      <c r="H3" s="145"/>
      <c r="J3" s="94"/>
      <c r="K3" s="196"/>
      <c r="L3" s="109"/>
      <c r="M3" s="109"/>
      <c r="N3" s="109"/>
      <c r="O3" s="109"/>
      <c r="P3" s="109"/>
      <c r="Q3" s="109"/>
      <c r="R3" s="109"/>
      <c r="S3" s="109"/>
      <c r="T3" s="109"/>
      <c r="U3" s="196"/>
      <c r="V3" s="196"/>
      <c r="W3" s="196"/>
      <c r="X3" s="109"/>
      <c r="Y3" s="225">
        <f>_xll.ohTrigger(Y5:Y15)</f>
        <v>0</v>
      </c>
      <c r="Z3" s="164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0"/>
      <c r="L4" s="143"/>
      <c r="M4" s="143"/>
      <c r="N4" s="143"/>
      <c r="O4" s="191" t="str">
        <f>_xll.RData(O5:O18,P4:S4,"RTFEED:IDN",ReutersRtMode,,P5)</f>
        <v>Updated at 10:08:06</v>
      </c>
      <c r="P4" s="249" t="s">
        <v>199</v>
      </c>
      <c r="Q4" s="249" t="s">
        <v>198</v>
      </c>
      <c r="R4" s="249" t="s">
        <v>216</v>
      </c>
      <c r="S4" s="249" t="s">
        <v>234</v>
      </c>
      <c r="T4" s="221" t="s">
        <v>233</v>
      </c>
      <c r="U4" s="196"/>
      <c r="V4" s="223" t="s">
        <v>229</v>
      </c>
      <c r="W4" s="196"/>
      <c r="X4" s="416" t="s">
        <v>227</v>
      </c>
      <c r="Y4" s="67" t="s">
        <v>226</v>
      </c>
      <c r="Z4" s="164"/>
      <c r="AB4" s="247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5"/>
      <c r="L5" s="241">
        <v>2</v>
      </c>
      <c r="M5" s="241" t="s">
        <v>172</v>
      </c>
      <c r="N5" s="199" t="str">
        <f t="shared" ref="N5:N18" si="1">Currency&amp;$L5&amp;$M5&amp;$K5</f>
        <v>USD2X1S</v>
      </c>
      <c r="O5" s="199" t="str">
        <f t="array" ref="O5:O18">Instruments&amp;"="&amp;VLOOKUP($O$2,ContributorTable,2,FALSE)</f>
        <v>USD2X1S=ICAP</v>
      </c>
      <c r="P5" s="194">
        <v>0.14799999999999999</v>
      </c>
      <c r="Q5" s="194">
        <v>0.19800000000000001</v>
      </c>
      <c r="R5" s="194">
        <v>0</v>
      </c>
      <c r="S5" s="194">
        <v>0</v>
      </c>
      <c r="T5" s="198">
        <f>_xll.qlMidSafe($P5,$Q5)</f>
        <v>0.17299999999999999</v>
      </c>
      <c r="U5" s="196"/>
      <c r="V5" s="197">
        <v>0.152</v>
      </c>
      <c r="W5" s="196"/>
      <c r="X5" s="261">
        <f t="array" ref="X5:X18">QuoteLive</f>
        <v>0.17299999999999999</v>
      </c>
      <c r="Y5" s="193">
        <f>_xll.qlSimpleQuoteSetValue(F5,X5/100,Trigger)</f>
        <v>0</v>
      </c>
      <c r="Z5" s="164"/>
      <c r="AB5" s="230">
        <f t="shared" ref="AB5:AB15" si="2">(Q5-T5)/50</f>
        <v>5.0000000000000044E-4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5"/>
      <c r="L6" s="241">
        <v>3</v>
      </c>
      <c r="M6" s="241" t="s">
        <v>172</v>
      </c>
      <c r="N6" s="199" t="str">
        <f t="shared" si="1"/>
        <v>USD3X1S</v>
      </c>
      <c r="O6" s="199" t="str">
        <v>USD3X1S=ICAP</v>
      </c>
      <c r="P6" s="194">
        <v>0.151</v>
      </c>
      <c r="Q6" s="194">
        <v>0.20099999999999998</v>
      </c>
      <c r="R6" s="194">
        <v>0</v>
      </c>
      <c r="S6" s="194">
        <v>0</v>
      </c>
      <c r="T6" s="198">
        <f>_xll.qlMidSafe($P6,$Q6)</f>
        <v>0.17599999999999999</v>
      </c>
      <c r="U6" s="196"/>
      <c r="V6" s="197">
        <v>0.152</v>
      </c>
      <c r="W6" s="196"/>
      <c r="X6" s="261">
        <v>0.17599999999999999</v>
      </c>
      <c r="Y6" s="193">
        <f>_xll.qlSimpleQuoteSetValue(F6,X6/100,Trigger)</f>
        <v>0</v>
      </c>
      <c r="Z6" s="164"/>
      <c r="AB6" s="230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5"/>
      <c r="L7" s="241">
        <v>4</v>
      </c>
      <c r="M7" s="241" t="s">
        <v>172</v>
      </c>
      <c r="N7" s="199" t="str">
        <f t="shared" si="1"/>
        <v>USD4X1S</v>
      </c>
      <c r="O7" s="199" t="str">
        <v>USD4X1S=ICAP</v>
      </c>
      <c r="P7" s="194">
        <v>0.159</v>
      </c>
      <c r="Q7" s="194">
        <v>0.20899999999999999</v>
      </c>
      <c r="R7" s="194">
        <v>0</v>
      </c>
      <c r="S7" s="194">
        <v>0</v>
      </c>
      <c r="T7" s="198">
        <f>_xll.qlMidSafe($P7,$Q7)</f>
        <v>0.184</v>
      </c>
      <c r="U7" s="196"/>
      <c r="V7" s="197">
        <v>0.152</v>
      </c>
      <c r="W7" s="196"/>
      <c r="X7" s="261">
        <v>0.184</v>
      </c>
      <c r="Y7" s="193">
        <f>_xll.qlSimpleQuoteSetValue(F7,X7/100,Trigger)</f>
        <v>0</v>
      </c>
      <c r="Z7" s="164"/>
      <c r="AB7" s="230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5"/>
      <c r="L8" s="241">
        <v>5</v>
      </c>
      <c r="M8" s="241" t="s">
        <v>172</v>
      </c>
      <c r="N8" s="199" t="str">
        <f t="shared" si="1"/>
        <v>USD5X1S</v>
      </c>
      <c r="O8" s="199" t="str">
        <v>USD5X1S=ICAP</v>
      </c>
      <c r="P8" s="194">
        <v>0.17799999999999999</v>
      </c>
      <c r="Q8" s="194">
        <v>0.22799999999999998</v>
      </c>
      <c r="R8" s="194">
        <v>0</v>
      </c>
      <c r="S8" s="194">
        <v>0</v>
      </c>
      <c r="T8" s="198">
        <f>_xll.qlMidSafe($P8,$Q8)</f>
        <v>0.20299999999999999</v>
      </c>
      <c r="U8" s="196"/>
      <c r="V8" s="197">
        <v>0.153</v>
      </c>
      <c r="W8" s="196"/>
      <c r="X8" s="261">
        <v>0.20299999999999999</v>
      </c>
      <c r="Y8" s="193">
        <f>_xll.qlSimpleQuoteSetValue(F8,X8/100,Trigger)</f>
        <v>0</v>
      </c>
      <c r="Z8" s="164"/>
      <c r="AB8" s="230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5"/>
      <c r="L9" s="241">
        <v>6</v>
      </c>
      <c r="M9" s="241" t="s">
        <v>172</v>
      </c>
      <c r="N9" s="199" t="str">
        <f t="shared" si="1"/>
        <v>USD6X1S</v>
      </c>
      <c r="O9" s="199" t="str">
        <v>USD6X1S=ICAP</v>
      </c>
      <c r="P9" s="194">
        <v>0.19800000000000001</v>
      </c>
      <c r="Q9" s="194">
        <v>0.248</v>
      </c>
      <c r="R9" s="194">
        <v>0</v>
      </c>
      <c r="S9" s="194">
        <v>0</v>
      </c>
      <c r="T9" s="198">
        <f>_xll.qlMidSafe($P9,$Q9)</f>
        <v>0.223</v>
      </c>
      <c r="U9" s="196"/>
      <c r="V9" s="197">
        <v>0.155</v>
      </c>
      <c r="W9" s="196"/>
      <c r="X9" s="261">
        <v>0.223</v>
      </c>
      <c r="Y9" s="193">
        <f>_xll.qlSimpleQuoteSetValue(F9,X9/100,Trigger)</f>
        <v>0</v>
      </c>
      <c r="Z9" s="164"/>
      <c r="AB9" s="230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5"/>
      <c r="L10" s="241">
        <v>7</v>
      </c>
      <c r="M10" s="241" t="s">
        <v>172</v>
      </c>
      <c r="N10" s="199" t="str">
        <f t="shared" si="1"/>
        <v>USD7X1S</v>
      </c>
      <c r="O10" s="199" t="str">
        <v>USD7X1S=ICAP</v>
      </c>
      <c r="P10" s="194">
        <v>0.21800000000000003</v>
      </c>
      <c r="Q10" s="194">
        <v>0.26799999999999996</v>
      </c>
      <c r="R10" s="194">
        <v>0</v>
      </c>
      <c r="S10" s="194">
        <v>0</v>
      </c>
      <c r="T10" s="198">
        <f>_xll.qlMidSafe($P10,$Q10)</f>
        <v>0.24299999999999999</v>
      </c>
      <c r="U10" s="196"/>
      <c r="V10" s="197">
        <v>0.158</v>
      </c>
      <c r="W10" s="196"/>
      <c r="X10" s="261">
        <v>0.24299999999999999</v>
      </c>
      <c r="Y10" s="193">
        <f>_xll.qlSimpleQuoteSetValue(F10,X10/100,Trigger)</f>
        <v>0</v>
      </c>
      <c r="Z10" s="164"/>
      <c r="AB10" s="230">
        <f t="shared" si="2"/>
        <v>4.9999999999999936E-4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5"/>
      <c r="L11" s="241">
        <v>8</v>
      </c>
      <c r="M11" s="241" t="s">
        <v>172</v>
      </c>
      <c r="N11" s="199" t="str">
        <f t="shared" si="1"/>
        <v>USD8X1S</v>
      </c>
      <c r="O11" s="199" t="str">
        <v>USD8X1S=ICAP</v>
      </c>
      <c r="P11" s="194">
        <v>0.24500000000000002</v>
      </c>
      <c r="Q11" s="194">
        <v>0.29500000000000004</v>
      </c>
      <c r="R11" s="194">
        <v>0</v>
      </c>
      <c r="S11" s="194">
        <v>0</v>
      </c>
      <c r="T11" s="198">
        <f>_xll.qlMidSafe($P11,$Q11)</f>
        <v>0.27</v>
      </c>
      <c r="U11" s="196"/>
      <c r="V11" s="197">
        <v>0.16400000000000001</v>
      </c>
      <c r="W11" s="196"/>
      <c r="X11" s="261">
        <v>0.27</v>
      </c>
      <c r="Y11" s="193">
        <f>_xll.qlSimpleQuoteSetValue(F11,X11/100,Trigger)</f>
        <v>0</v>
      </c>
      <c r="Z11" s="164"/>
      <c r="AB11" s="230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5"/>
      <c r="L12" s="241">
        <v>9</v>
      </c>
      <c r="M12" s="241" t="s">
        <v>172</v>
      </c>
      <c r="N12" s="199" t="str">
        <f t="shared" si="1"/>
        <v>USD9X1S</v>
      </c>
      <c r="O12" s="199" t="str">
        <v>USD9X1S=ICAP</v>
      </c>
      <c r="P12" s="194">
        <v>0.27199999999999996</v>
      </c>
      <c r="Q12" s="194">
        <v>0.32200000000000001</v>
      </c>
      <c r="R12" s="194">
        <v>0</v>
      </c>
      <c r="S12" s="194">
        <v>0</v>
      </c>
      <c r="T12" s="198">
        <f>_xll.qlMidSafe($P12,$Q12)</f>
        <v>0.29699999999999999</v>
      </c>
      <c r="U12" s="196"/>
      <c r="V12" s="197">
        <v>0.17599999999999999</v>
      </c>
      <c r="W12" s="196"/>
      <c r="X12" s="261">
        <v>0.29699999999999999</v>
      </c>
      <c r="Y12" s="193">
        <f>_xll.qlSimpleQuoteSetValue(F12,X12/100,Trigger)</f>
        <v>0</v>
      </c>
      <c r="Z12" s="164"/>
      <c r="AB12" s="230">
        <f t="shared" si="2"/>
        <v>5.0000000000000044E-4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5"/>
      <c r="L13" s="241">
        <v>10</v>
      </c>
      <c r="M13" s="241" t="s">
        <v>172</v>
      </c>
      <c r="N13" s="199" t="str">
        <f t="shared" si="1"/>
        <v>USD10X1S</v>
      </c>
      <c r="O13" s="199" t="str">
        <v>USD10X1S=ICAP</v>
      </c>
      <c r="P13" s="194">
        <v>0.30099999999999999</v>
      </c>
      <c r="Q13" s="194">
        <v>0.35099999999999998</v>
      </c>
      <c r="R13" s="194">
        <v>0</v>
      </c>
      <c r="S13" s="194">
        <v>0</v>
      </c>
      <c r="T13" s="198">
        <f>_xll.qlMidSafe($P13,$Q13)</f>
        <v>0.32599999999999996</v>
      </c>
      <c r="U13" s="196"/>
      <c r="V13" s="197">
        <v>0.191</v>
      </c>
      <c r="W13" s="196"/>
      <c r="X13" s="261">
        <v>0.32599999999999996</v>
      </c>
      <c r="Y13" s="193">
        <f>_xll.qlSimpleQuoteSetValue(F13,X13/100,Trigger)</f>
        <v>0</v>
      </c>
      <c r="Z13" s="164"/>
      <c r="AB13" s="230">
        <f t="shared" si="2"/>
        <v>5.0000000000000044E-4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5"/>
      <c r="L14" s="241">
        <v>11</v>
      </c>
      <c r="M14" s="241" t="s">
        <v>172</v>
      </c>
      <c r="N14" s="199" t="str">
        <f t="shared" si="1"/>
        <v>USD11X1S</v>
      </c>
      <c r="O14" s="199" t="str">
        <v>USD11X1S=ICAP</v>
      </c>
      <c r="P14" s="194">
        <v>0.32999999999999996</v>
      </c>
      <c r="Q14" s="194">
        <v>0.38</v>
      </c>
      <c r="R14" s="194">
        <v>0</v>
      </c>
      <c r="S14" s="194">
        <v>0</v>
      </c>
      <c r="T14" s="198">
        <f>_xll.qlMidSafe($P14,$Q14)</f>
        <v>0.35499999999999998</v>
      </c>
      <c r="U14" s="196"/>
      <c r="V14" s="197">
        <v>0.20600000000000002</v>
      </c>
      <c r="W14" s="196"/>
      <c r="X14" s="261">
        <v>0.35499999999999998</v>
      </c>
      <c r="Y14" s="193">
        <f>_xll.qlSimpleQuoteSetValue(F14,X14/100,Trigger)</f>
        <v>0</v>
      </c>
      <c r="Z14" s="164"/>
      <c r="AB14" s="230">
        <f t="shared" si="2"/>
        <v>5.0000000000000044E-4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5"/>
      <c r="L15" s="241">
        <v>12</v>
      </c>
      <c r="M15" s="241" t="s">
        <v>172</v>
      </c>
      <c r="N15" s="199" t="str">
        <f t="shared" si="1"/>
        <v>USD12X1S</v>
      </c>
      <c r="O15" s="199" t="str">
        <v>USD12X1S=ICAP</v>
      </c>
      <c r="P15" s="194">
        <v>0.36199999999999999</v>
      </c>
      <c r="Q15" s="194">
        <v>0.41200000000000003</v>
      </c>
      <c r="R15" s="194">
        <v>0</v>
      </c>
      <c r="S15" s="194">
        <v>0</v>
      </c>
      <c r="T15" s="198">
        <f>_xll.qlMidSafe($P15,$Q15)</f>
        <v>0.38700000000000001</v>
      </c>
      <c r="U15" s="196"/>
      <c r="V15" s="197">
        <v>0.22899999999999998</v>
      </c>
      <c r="W15" s="196"/>
      <c r="X15" s="261">
        <v>0.38700000000000001</v>
      </c>
      <c r="Y15" s="193">
        <f>_xll.qlSimpleQuoteSetValue(F15,X15/100,Trigger)</f>
        <v>-1.0000000000000026E-5</v>
      </c>
      <c r="Z15" s="164"/>
      <c r="AB15" s="230">
        <f t="shared" si="2"/>
        <v>5.0000000000000044E-4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5"/>
      <c r="L16" s="241">
        <v>15</v>
      </c>
      <c r="M16" s="241" t="s">
        <v>172</v>
      </c>
      <c r="N16" s="199" t="str">
        <f t="shared" si="1"/>
        <v>USD15X1S</v>
      </c>
      <c r="O16" s="199" t="str">
        <v>USD15X1S=ICAP</v>
      </c>
      <c r="P16" s="194">
        <v>0.45999999999999996</v>
      </c>
      <c r="Q16" s="194">
        <v>0.51</v>
      </c>
      <c r="R16" s="194">
        <v>0</v>
      </c>
      <c r="S16" s="194">
        <v>0</v>
      </c>
      <c r="T16" s="198">
        <f>_xll.qlMidSafe($P16,$Q16)</f>
        <v>0.48499999999999999</v>
      </c>
      <c r="U16" s="196"/>
      <c r="V16" s="197">
        <v>0.30500000000000005</v>
      </c>
      <c r="W16" s="196"/>
      <c r="X16" s="261">
        <v>0.48499999999999999</v>
      </c>
      <c r="Y16" s="193" t="e">
        <f>_xll.qlSimpleQuoteSetValue(F16,X16/100,Trigger)</f>
        <v>#NUM!</v>
      </c>
      <c r="Z16" s="164"/>
    </row>
    <row r="17" spans="10:26" x14ac:dyDescent="0.2">
      <c r="J17" s="94"/>
      <c r="K17" s="195"/>
      <c r="L17" s="241">
        <v>18</v>
      </c>
      <c r="M17" s="241" t="s">
        <v>172</v>
      </c>
      <c r="N17" s="199" t="str">
        <f t="shared" si="1"/>
        <v>USD18X1S</v>
      </c>
      <c r="O17" s="199" t="str">
        <v>USD18X1S=ICAP</v>
      </c>
      <c r="P17" s="194">
        <v>0.56299999999999994</v>
      </c>
      <c r="Q17" s="194">
        <v>0.61299999999999999</v>
      </c>
      <c r="R17" s="194">
        <v>0</v>
      </c>
      <c r="S17" s="194">
        <v>0</v>
      </c>
      <c r="T17" s="198">
        <f>_xll.qlMidSafe($P17,$Q17)</f>
        <v>0.58799999999999997</v>
      </c>
      <c r="U17" s="196"/>
      <c r="V17" s="197">
        <v>0.39700000000000002</v>
      </c>
      <c r="W17" s="196"/>
      <c r="X17" s="261">
        <v>0.58799999999999997</v>
      </c>
      <c r="Y17" s="193" t="e">
        <f>_xll.qlSimpleQuoteSetValue(F17,X17/100,Trigger)</f>
        <v>#NUM!</v>
      </c>
      <c r="Z17" s="164"/>
    </row>
    <row r="18" spans="10:26" x14ac:dyDescent="0.2">
      <c r="J18" s="94"/>
      <c r="K18" s="195"/>
      <c r="L18" s="241">
        <v>24</v>
      </c>
      <c r="M18" s="241" t="s">
        <v>172</v>
      </c>
      <c r="N18" s="199" t="str">
        <f t="shared" si="1"/>
        <v>USD24X1S</v>
      </c>
      <c r="O18" s="199" t="str">
        <v>USD24X1S=ICAP</v>
      </c>
      <c r="P18" s="194">
        <v>0.76100000000000001</v>
      </c>
      <c r="Q18" s="194">
        <v>0.81099999999999994</v>
      </c>
      <c r="R18" s="194">
        <v>0</v>
      </c>
      <c r="S18" s="194">
        <v>0</v>
      </c>
      <c r="T18" s="198">
        <f>_xll.qlMidSafe($P18,$Q18)</f>
        <v>0.78600000000000003</v>
      </c>
      <c r="U18" s="196"/>
      <c r="V18" s="208">
        <v>0.60399999999999998</v>
      </c>
      <c r="W18" s="196"/>
      <c r="X18" s="254">
        <v>0.78600000000000003</v>
      </c>
      <c r="Y18" s="206" t="e">
        <f>_xll.qlSimpleQuoteSetValue(F18,X18/100,Trigger)</f>
        <v>#NUM!</v>
      </c>
      <c r="Z18" s="164"/>
    </row>
    <row r="19" spans="10:26" ht="13.5" thickBot="1" x14ac:dyDescent="0.25">
      <c r="J19" s="2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21"/>
      <c r="V19" s="192"/>
      <c r="W19" s="21"/>
      <c r="X19" s="192"/>
      <c r="Y19" s="192"/>
      <c r="Z19" s="231"/>
    </row>
    <row r="26" spans="10:26" ht="15" x14ac:dyDescent="0.25">
      <c r="M26"/>
    </row>
  </sheetData>
  <conditionalFormatting sqref="Y5:Y1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Z12"/>
  <sheetViews>
    <sheetView workbookViewId="0">
      <selection activeCell="W3" sqref="W3"/>
    </sheetView>
  </sheetViews>
  <sheetFormatPr defaultRowHeight="12.75" x14ac:dyDescent="0.2"/>
  <cols>
    <col min="1" max="1" width="2.7109375" style="12" customWidth="1"/>
    <col min="2" max="2" width="2.85546875" style="12" bestFit="1" customWidth="1"/>
    <col min="3" max="3" width="2.7109375" style="12" bestFit="1" customWidth="1"/>
    <col min="4" max="4" width="17" style="12" bestFit="1" customWidth="1"/>
    <col min="5" max="5" width="16.85546875" style="88" bestFit="1" customWidth="1"/>
    <col min="6" max="6" width="38.28515625" style="12" customWidth="1"/>
    <col min="7" max="8" width="2.7109375" style="12" customWidth="1"/>
    <col min="9" max="9" width="3.42578125" style="12" customWidth="1"/>
    <col min="10" max="10" width="2.85546875" style="12" bestFit="1" customWidth="1"/>
    <col min="11" max="11" width="2.7109375" style="12" bestFit="1" customWidth="1"/>
    <col min="12" max="12" width="7.5703125" style="12" bestFit="1" customWidth="1"/>
    <col min="13" max="13" width="12.7109375" style="12" bestFit="1" customWidth="1"/>
    <col min="14" max="18" width="7.28515625" style="12" customWidth="1"/>
    <col min="19" max="19" width="2.7109375" style="12" customWidth="1"/>
    <col min="20" max="20" width="7.28515625" style="12" customWidth="1"/>
    <col min="21" max="21" width="2.7109375" style="12" customWidth="1"/>
    <col min="22" max="22" width="8.140625" style="12" customWidth="1"/>
    <col min="23" max="23" width="7.85546875" style="12" customWidth="1"/>
    <col min="24" max="24" width="2.7109375" style="12" customWidth="1"/>
    <col min="25" max="16384" width="9.140625" style="12"/>
  </cols>
  <sheetData>
    <row r="1" spans="1:26" x14ac:dyDescent="0.2">
      <c r="I1" s="252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5"/>
    </row>
    <row r="2" spans="1:26" ht="13.5" thickBot="1" x14ac:dyDescent="0.25">
      <c r="I2" s="228"/>
      <c r="J2" s="196"/>
      <c r="K2" s="196"/>
      <c r="L2" s="196"/>
      <c r="M2" s="116" t="s">
        <v>212</v>
      </c>
      <c r="N2" s="196"/>
      <c r="O2" s="196"/>
      <c r="P2" s="196"/>
      <c r="Q2" s="196"/>
      <c r="R2" s="109"/>
      <c r="S2" s="196"/>
      <c r="T2" s="196"/>
      <c r="U2" s="196"/>
      <c r="V2" s="196"/>
      <c r="W2" s="109"/>
      <c r="X2" s="23"/>
    </row>
    <row r="3" spans="1:26" x14ac:dyDescent="0.2">
      <c r="A3" s="163"/>
      <c r="B3" s="148"/>
      <c r="C3" s="148"/>
      <c r="D3" s="146"/>
      <c r="E3" s="147"/>
      <c r="F3" s="146"/>
      <c r="G3" s="145"/>
      <c r="I3" s="94"/>
      <c r="J3" s="109"/>
      <c r="K3" s="109"/>
      <c r="L3" s="109"/>
      <c r="M3" s="109"/>
      <c r="N3" s="109"/>
      <c r="O3" s="109"/>
      <c r="P3" s="109"/>
      <c r="Q3" s="109"/>
      <c r="R3" s="109"/>
      <c r="S3" s="196"/>
      <c r="T3" s="196"/>
      <c r="U3" s="196"/>
      <c r="V3" s="109"/>
      <c r="W3" s="225">
        <f>_xll.ohTrigger(W5:W11)</f>
        <v>10</v>
      </c>
      <c r="X3" s="164"/>
    </row>
    <row r="4" spans="1:26" ht="22.5" x14ac:dyDescent="0.2">
      <c r="A4" s="94"/>
      <c r="B4" s="149"/>
      <c r="C4" s="66"/>
      <c r="D4" s="65" t="str">
        <f>Currency&amp;"_010_Sw"&amp;"IMM.xml"</f>
        <v>USD_010_SwIMM.xml</v>
      </c>
      <c r="E4" s="64" t="str">
        <f>IF(Serialize,_xll.ohObjectSave(E5:E11,SerializationPath&amp;D4,FileOverwrite,Serialize),"---")</f>
        <v>---</v>
      </c>
      <c r="F4" s="48" t="str">
        <f>_xll.ohRangeRetrieveError(E4)</f>
        <v/>
      </c>
      <c r="G4" s="23"/>
      <c r="I4" s="94"/>
      <c r="J4" s="554"/>
      <c r="K4" s="554"/>
      <c r="L4" s="554"/>
      <c r="M4" s="554" t="str">
        <f>_xll.RData(M5:M11,N4:Q4,"RTFEED:IDN",ReutersRtMode,,N5)</f>
        <v>Updated at 10:07:48</v>
      </c>
      <c r="N4" s="541" t="s">
        <v>199</v>
      </c>
      <c r="O4" s="541" t="s">
        <v>198</v>
      </c>
      <c r="P4" s="541" t="s">
        <v>216</v>
      </c>
      <c r="Q4" s="541" t="s">
        <v>234</v>
      </c>
      <c r="R4" s="555" t="s">
        <v>233</v>
      </c>
      <c r="S4" s="540"/>
      <c r="T4" s="541" t="s">
        <v>229</v>
      </c>
      <c r="U4" s="540"/>
      <c r="V4" s="539" t="s">
        <v>227</v>
      </c>
      <c r="W4" s="542" t="s">
        <v>226</v>
      </c>
      <c r="X4" s="164"/>
      <c r="Z4" s="247"/>
    </row>
    <row r="5" spans="1:26" x14ac:dyDescent="0.2">
      <c r="A5" s="94"/>
      <c r="B5" s="50" t="s">
        <v>173</v>
      </c>
      <c r="C5" s="50">
        <v>12</v>
      </c>
      <c r="D5" s="49" t="str">
        <f t="shared" ref="D5:D11" si="0">Currency&amp;$B5&amp;$C5&amp;QuoteSuffix</f>
        <v>USD1S12_Quote</v>
      </c>
      <c r="E5" s="49" t="str">
        <f>_xll.qlSimpleQuote(Currency&amp;$B5&amp;$C5&amp;QuoteSuffix,,RateTickValue,Permanent,Trigger,ObjectOverwrite)</f>
        <v>USD1S12_Quote#0000</v>
      </c>
      <c r="F5" s="16" t="str">
        <f>_xll.ohRangeRetrieveError(E5)</f>
        <v/>
      </c>
      <c r="G5" s="23"/>
      <c r="I5" s="94"/>
      <c r="J5" s="556" t="s">
        <v>173</v>
      </c>
      <c r="K5" s="556">
        <v>12</v>
      </c>
      <c r="L5" s="557" t="str">
        <f t="shared" ref="L5:L11" si="1">Currency&amp;$J5&amp;$K5</f>
        <v>USD1S12</v>
      </c>
      <c r="M5" s="557" t="str">
        <f t="array" ref="M5:M11">Instruments&amp;"="&amp;VLOOKUP($M$2,ContributorTable,2,FALSE)</f>
        <v>USD1S12=ICAP</v>
      </c>
      <c r="N5" s="558">
        <v>0.51900000000000002</v>
      </c>
      <c r="O5" s="558">
        <v>0.56900000000000006</v>
      </c>
      <c r="P5" s="558">
        <v>0</v>
      </c>
      <c r="Q5" s="558">
        <v>0</v>
      </c>
      <c r="R5" s="558">
        <f>_xll.qlMidSafe($N5,$O5)</f>
        <v>0.54400000000000004</v>
      </c>
      <c r="S5" s="540"/>
      <c r="T5" s="543">
        <v>0.317</v>
      </c>
      <c r="U5" s="540"/>
      <c r="V5" s="544">
        <f t="array" ref="V5:V11">QuoteLive</f>
        <v>0.54400000000000004</v>
      </c>
      <c r="W5" s="545">
        <f>_xll.qlSimpleQuoteSetValue(E5,V5/100,Trigger)</f>
        <v>0</v>
      </c>
      <c r="X5" s="164"/>
      <c r="Z5" s="230"/>
    </row>
    <row r="6" spans="1:26" x14ac:dyDescent="0.2">
      <c r="A6" s="94"/>
      <c r="B6" s="139" t="s">
        <v>174</v>
      </c>
      <c r="C6" s="139">
        <v>12</v>
      </c>
      <c r="D6" s="49" t="str">
        <f t="shared" si="0"/>
        <v>USD2S12_Quote</v>
      </c>
      <c r="E6" s="49" t="str">
        <f>_xll.qlSimpleQuote(Currency&amp;$B6&amp;$C6&amp;QuoteSuffix,,RateTickValue,Permanent,Trigger,ObjectOverwrite)</f>
        <v>USD2S12_Quote#0000</v>
      </c>
      <c r="F6" s="138" t="str">
        <f>_xll.ohRangeRetrieveError(E6)</f>
        <v/>
      </c>
      <c r="G6" s="23"/>
      <c r="I6" s="94"/>
      <c r="J6" s="556" t="s">
        <v>174</v>
      </c>
      <c r="K6" s="556">
        <v>12</v>
      </c>
      <c r="L6" s="557" t="str">
        <f t="shared" si="1"/>
        <v>USD2S12</v>
      </c>
      <c r="M6" s="557" t="str">
        <v>USD2S12=ICAP</v>
      </c>
      <c r="N6" s="558">
        <v>0.71799999999999997</v>
      </c>
      <c r="O6" s="558">
        <v>0.76800000000000002</v>
      </c>
      <c r="P6" s="558">
        <v>0</v>
      </c>
      <c r="Q6" s="558">
        <v>0</v>
      </c>
      <c r="R6" s="558">
        <f>_xll.qlMidSafe($N6,$O6)</f>
        <v>0.74299999999999999</v>
      </c>
      <c r="S6" s="540"/>
      <c r="T6" s="543">
        <v>0.36899999999999999</v>
      </c>
      <c r="U6" s="540"/>
      <c r="V6" s="544">
        <v>0.74299999999999999</v>
      </c>
      <c r="W6" s="545">
        <f>_xll.qlSimpleQuoteSetValue(E6,V6/100,Trigger)</f>
        <v>0</v>
      </c>
      <c r="X6" s="164"/>
      <c r="Z6" s="230"/>
    </row>
    <row r="7" spans="1:26" x14ac:dyDescent="0.2">
      <c r="A7" s="94"/>
      <c r="B7" s="139" t="s">
        <v>176</v>
      </c>
      <c r="C7" s="139">
        <v>12</v>
      </c>
      <c r="D7" s="49" t="str">
        <f t="shared" si="0"/>
        <v>USD3S12_Quote</v>
      </c>
      <c r="E7" s="49" t="str">
        <f>_xll.qlSimpleQuote(Currency&amp;$B7&amp;$C7&amp;QuoteSuffix,,RateTickValue,Permanent,Trigger,ObjectOverwrite)</f>
        <v>USD3S12_Quote#0000</v>
      </c>
      <c r="F7" s="138" t="str">
        <f>_xll.ohRangeRetrieveError(E7)</f>
        <v/>
      </c>
      <c r="G7" s="23"/>
      <c r="I7" s="94"/>
      <c r="J7" s="556" t="s">
        <v>176</v>
      </c>
      <c r="K7" s="556">
        <v>12</v>
      </c>
      <c r="L7" s="557" t="str">
        <f t="shared" si="1"/>
        <v>USD3S12</v>
      </c>
      <c r="M7" s="557" t="str">
        <v>USD3S12=ICAP</v>
      </c>
      <c r="N7" s="558">
        <v>0.94199999999999995</v>
      </c>
      <c r="O7" s="558">
        <v>0.99199999999999999</v>
      </c>
      <c r="P7" s="558">
        <v>0</v>
      </c>
      <c r="Q7" s="558">
        <v>0</v>
      </c>
      <c r="R7" s="558">
        <f>_xll.qlMidSafe($N7,$O7)</f>
        <v>0.96699999999999997</v>
      </c>
      <c r="S7" s="540"/>
      <c r="T7" s="543">
        <v>0.434</v>
      </c>
      <c r="U7" s="540"/>
      <c r="V7" s="544">
        <v>0.96699999999999997</v>
      </c>
      <c r="W7" s="545">
        <f>_xll.qlSimpleQuoteSetValue(E7,V7/100,Trigger)</f>
        <v>0</v>
      </c>
      <c r="X7" s="164"/>
      <c r="Z7" s="230"/>
    </row>
    <row r="8" spans="1:26" x14ac:dyDescent="0.2">
      <c r="A8" s="94"/>
      <c r="B8" s="139" t="s">
        <v>175</v>
      </c>
      <c r="C8" s="139">
        <v>12</v>
      </c>
      <c r="D8" s="49" t="str">
        <f t="shared" si="0"/>
        <v>USD4S12_Quote</v>
      </c>
      <c r="E8" s="49" t="str">
        <f>_xll.qlSimpleQuote(Currency&amp;$B8&amp;$C8&amp;QuoteSuffix,,RateTickValue,Permanent,Trigger,ObjectOverwrite)</f>
        <v>USD4S12_Quote#0000</v>
      </c>
      <c r="F8" s="138" t="str">
        <f>_xll.ohRangeRetrieveError(E8)</f>
        <v/>
      </c>
      <c r="G8" s="23"/>
      <c r="I8" s="94"/>
      <c r="J8" s="556" t="s">
        <v>175</v>
      </c>
      <c r="K8" s="556">
        <v>12</v>
      </c>
      <c r="L8" s="557" t="str">
        <f t="shared" si="1"/>
        <v>USD4S12</v>
      </c>
      <c r="M8" s="557" t="str">
        <v>USD4S12=ICAP</v>
      </c>
      <c r="N8" s="558">
        <v>1.1539999999999999</v>
      </c>
      <c r="O8" s="558">
        <v>1.204</v>
      </c>
      <c r="P8" s="558">
        <v>0</v>
      </c>
      <c r="Q8" s="558">
        <v>0</v>
      </c>
      <c r="R8" s="558">
        <f>_xll.qlMidSafe($N8,$O8)</f>
        <v>1.1789999999999998</v>
      </c>
      <c r="S8" s="540"/>
      <c r="T8" s="543">
        <v>0.51900000000000002</v>
      </c>
      <c r="U8" s="540"/>
      <c r="V8" s="544">
        <v>1.1789999999999998</v>
      </c>
      <c r="W8" s="545">
        <f>_xll.qlSimpleQuoteSetValue(E8,V8/100,Trigger)</f>
        <v>-1.0000000000003062E-5</v>
      </c>
      <c r="X8" s="164"/>
      <c r="Z8" s="230"/>
    </row>
    <row r="9" spans="1:26" x14ac:dyDescent="0.2">
      <c r="A9" s="94"/>
      <c r="B9" s="139" t="s">
        <v>264</v>
      </c>
      <c r="C9" s="139">
        <v>12</v>
      </c>
      <c r="D9" s="49" t="str">
        <f t="shared" si="0"/>
        <v>USD5S12_Quote</v>
      </c>
      <c r="E9" s="49" t="str">
        <f>_xll.qlSimpleQuote(Currency&amp;$B9&amp;$C9&amp;QuoteSuffix,,RateTickValue,Permanent,Trigger,ObjectOverwrite)</f>
        <v>USD5S12_Quote#0000</v>
      </c>
      <c r="F9" s="138" t="str">
        <f>_xll.ohRangeRetrieveError(E9)</f>
        <v/>
      </c>
      <c r="G9" s="23"/>
      <c r="I9" s="94"/>
      <c r="J9" s="556" t="s">
        <v>264</v>
      </c>
      <c r="K9" s="556">
        <v>12</v>
      </c>
      <c r="L9" s="557" t="str">
        <f t="shared" si="1"/>
        <v>USD5S12</v>
      </c>
      <c r="M9" s="557" t="str">
        <v>USD5S12=ICAP</v>
      </c>
      <c r="N9" s="558">
        <v>1.347</v>
      </c>
      <c r="O9" s="558">
        <v>1.397</v>
      </c>
      <c r="P9" s="558">
        <v>0</v>
      </c>
      <c r="Q9" s="558">
        <v>0</v>
      </c>
      <c r="R9" s="558">
        <f>_xll.qlMidSafe($N9,$O9)</f>
        <v>1.3719999999999999</v>
      </c>
      <c r="S9" s="540"/>
      <c r="T9" s="543" t="e">
        <v>#NUM!</v>
      </c>
      <c r="U9" s="540"/>
      <c r="V9" s="544">
        <v>1.3719999999999999</v>
      </c>
      <c r="W9" s="545">
        <f>_xll.qlSimpleQuoteSetValue(E9,V9/100,Trigger)</f>
        <v>-9.9999999999995925E-6</v>
      </c>
      <c r="X9" s="164"/>
      <c r="Z9" s="230"/>
    </row>
    <row r="10" spans="1:26" x14ac:dyDescent="0.2">
      <c r="A10" s="94"/>
      <c r="B10" s="139" t="s">
        <v>262</v>
      </c>
      <c r="C10" s="139">
        <v>12</v>
      </c>
      <c r="D10" s="49" t="str">
        <f t="shared" si="0"/>
        <v>USD6S12_Quote</v>
      </c>
      <c r="E10" s="49" t="str">
        <f>_xll.qlSimpleQuote(Currency&amp;$B10&amp;$C10&amp;QuoteSuffix,,RateTickValue,Permanent,Trigger,ObjectOverwrite)</f>
        <v>USD6S12_Quote#0000</v>
      </c>
      <c r="F10" s="138" t="str">
        <f>_xll.ohRangeRetrieveError(E10)</f>
        <v/>
      </c>
      <c r="G10" s="23"/>
      <c r="I10" s="94"/>
      <c r="J10" s="556" t="s">
        <v>262</v>
      </c>
      <c r="K10" s="556">
        <v>12</v>
      </c>
      <c r="L10" s="557" t="str">
        <f t="shared" si="1"/>
        <v>USD6S12</v>
      </c>
      <c r="M10" s="557" t="str">
        <v>USD6S12=ICAP</v>
      </c>
      <c r="N10" s="558" t="s">
        <v>211</v>
      </c>
      <c r="O10" s="558" t="s">
        <v>211</v>
      </c>
      <c r="P10" s="558" t="s">
        <v>211</v>
      </c>
      <c r="Q10" s="558" t="s">
        <v>211</v>
      </c>
      <c r="R10" s="558" t="e">
        <f>_xll.qlMidSafe($N10,$O10)</f>
        <v>#NUM!</v>
      </c>
      <c r="S10" s="540"/>
      <c r="T10" s="543" t="e">
        <v>#NUM!</v>
      </c>
      <c r="U10" s="540"/>
      <c r="V10" s="544" t="e">
        <v>#NUM!</v>
      </c>
      <c r="W10" s="545">
        <f>_xll.qlSimpleQuoteSetValue(E10,V10/100,Trigger)</f>
        <v>0</v>
      </c>
      <c r="X10" s="164"/>
      <c r="Z10" s="230"/>
    </row>
    <row r="11" spans="1:26" x14ac:dyDescent="0.2">
      <c r="A11" s="94"/>
      <c r="B11" s="139" t="s">
        <v>173</v>
      </c>
      <c r="C11" s="139">
        <v>24</v>
      </c>
      <c r="D11" s="49" t="str">
        <f t="shared" si="0"/>
        <v>USD1S24_Quote</v>
      </c>
      <c r="E11" s="49" t="str">
        <f>_xll.qlSimpleQuote(Currency&amp;$B11&amp;$C11&amp;QuoteSuffix,,RateTickValue,Permanent,Trigger,ObjectOverwrite)</f>
        <v>USD1S24_Quote#0000</v>
      </c>
      <c r="F11" s="138" t="str">
        <f>_xll.ohRangeRetrieveError(E11)</f>
        <v/>
      </c>
      <c r="G11" s="23" t="s">
        <v>343</v>
      </c>
      <c r="I11" s="94"/>
      <c r="J11" s="559" t="s">
        <v>173</v>
      </c>
      <c r="K11" s="559">
        <v>24</v>
      </c>
      <c r="L11" s="560" t="str">
        <f t="shared" si="1"/>
        <v>USD1S24</v>
      </c>
      <c r="M11" s="560" t="str">
        <v>USD1S24=ICAP</v>
      </c>
      <c r="N11" s="561" t="s">
        <v>211</v>
      </c>
      <c r="O11" s="561" t="s">
        <v>211</v>
      </c>
      <c r="P11" s="561" t="s">
        <v>211</v>
      </c>
      <c r="Q11" s="561" t="s">
        <v>211</v>
      </c>
      <c r="R11" s="561" t="e">
        <f>_xll.qlMidSafe($N11,$O11)</f>
        <v>#NUM!</v>
      </c>
      <c r="S11" s="540"/>
      <c r="T11" s="546" t="e">
        <v>#NUM!</v>
      </c>
      <c r="U11" s="540"/>
      <c r="V11" s="547" t="e">
        <v>#NUM!</v>
      </c>
      <c r="W11" s="548">
        <f>_xll.qlSimpleQuoteSetValue(E11,V11/100,Trigger)</f>
        <v>0</v>
      </c>
      <c r="X11" s="164"/>
      <c r="Z11" s="230"/>
    </row>
    <row r="12" spans="1:26" ht="13.5" thickBot="1" x14ac:dyDescent="0.25">
      <c r="A12" s="22"/>
      <c r="B12" s="21"/>
      <c r="C12" s="21"/>
      <c r="D12" s="21"/>
      <c r="E12" s="90"/>
      <c r="F12" s="90"/>
      <c r="G12" s="20"/>
      <c r="I12" s="22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31"/>
    </row>
  </sheetData>
  <conditionalFormatting sqref="W5:W11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P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17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2" t="s">
        <v>278</v>
      </c>
      <c r="O1" s="277"/>
      <c r="P1" s="277"/>
      <c r="Q1" s="277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28"/>
      <c r="O2" s="196"/>
      <c r="P2" s="196"/>
      <c r="Q2" s="196"/>
      <c r="R2" s="196"/>
      <c r="S2" s="116" t="s">
        <v>212</v>
      </c>
      <c r="T2" s="196"/>
      <c r="U2" s="196"/>
      <c r="V2" s="196"/>
      <c r="W2" s="196"/>
      <c r="X2" s="109"/>
      <c r="Y2" s="196"/>
      <c r="Z2" s="196"/>
      <c r="AA2" s="196"/>
      <c r="AB2" s="196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6"/>
      <c r="P3" s="196"/>
      <c r="Q3" s="196"/>
      <c r="R3" s="109"/>
      <c r="S3" s="109"/>
      <c r="T3" s="109"/>
      <c r="U3" s="109"/>
      <c r="V3" s="109"/>
      <c r="W3" s="109"/>
      <c r="X3" s="109"/>
      <c r="Y3" s="196"/>
      <c r="Z3" s="196"/>
      <c r="AA3" s="196"/>
      <c r="AB3" s="109"/>
      <c r="AC3" s="225">
        <f>_xll.ohTrigger(AC5:AC42)</f>
        <v>37</v>
      </c>
      <c r="AD3" s="164"/>
      <c r="AE3" s="13"/>
      <c r="AF3" s="13"/>
      <c r="AG3" s="13"/>
      <c r="AH3" s="13"/>
      <c r="AI3" s="13"/>
      <c r="AJ3" s="13"/>
    </row>
    <row r="4" spans="1:36" ht="23.25" thickBot="1" x14ac:dyDescent="0.25">
      <c r="A4" s="163" t="s">
        <v>184</v>
      </c>
      <c r="B4" s="148"/>
      <c r="C4" s="148"/>
      <c r="D4" s="148"/>
      <c r="E4" s="146"/>
      <c r="F4" s="147"/>
      <c r="G4" s="146"/>
      <c r="H4" s="145"/>
      <c r="N4" s="94"/>
      <c r="O4" s="250"/>
      <c r="P4" s="143"/>
      <c r="Q4" s="143"/>
      <c r="R4" s="143"/>
      <c r="S4" s="191" t="str">
        <f>_xll.RData(S5:S42,T4:W4,"RTFEED:IDN",ReutersRtMode,,T5)</f>
        <v>Updated at 10:08:07</v>
      </c>
      <c r="T4" s="249" t="s">
        <v>199</v>
      </c>
      <c r="U4" s="249" t="s">
        <v>198</v>
      </c>
      <c r="V4" s="249" t="s">
        <v>216</v>
      </c>
      <c r="W4" s="249" t="s">
        <v>234</v>
      </c>
      <c r="X4" s="221" t="s">
        <v>233</v>
      </c>
      <c r="Y4" s="196"/>
      <c r="Z4" s="223" t="s">
        <v>229</v>
      </c>
      <c r="AA4" s="196"/>
      <c r="AB4" s="416" t="s">
        <v>227</v>
      </c>
      <c r="AC4" s="67" t="s">
        <v>226</v>
      </c>
      <c r="AD4" s="164"/>
      <c r="AE4" s="13"/>
      <c r="AF4" s="13"/>
      <c r="AG4" s="13"/>
      <c r="AH4" s="13"/>
      <c r="AI4" s="13"/>
      <c r="AJ4" s="247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182</v>
      </c>
      <c r="K5" s="153" t="s">
        <v>181</v>
      </c>
      <c r="L5" s="152" t="s">
        <v>180</v>
      </c>
      <c r="N5" s="94"/>
      <c r="O5" s="200" t="s">
        <v>14</v>
      </c>
      <c r="P5" s="241" t="str">
        <f t="array" ref="P5:P42">VLOOKUP(Currency,Conventions,2)</f>
        <v>AM</v>
      </c>
      <c r="Q5" s="241" t="str">
        <f t="array" ref="Q5:Q42">VLOOKUP(Currency,Conventions,3)</f>
        <v>3L</v>
      </c>
      <c r="R5" s="239" t="str">
        <f t="shared" ref="R5:R42" si="0">Currency&amp;$P5&amp;$Q5&amp;$O5</f>
        <v>USDAM3L6M</v>
      </c>
      <c r="S5" s="239" t="str">
        <f t="array" ref="S5:S42">Instruments&amp;"="&amp;VLOOKUP(Contributor,ContributorTable,2,FALSE)</f>
        <v>USDAM3L6M=ICAP</v>
      </c>
      <c r="T5" s="194" t="s">
        <v>211</v>
      </c>
      <c r="U5" s="194" t="s">
        <v>211</v>
      </c>
      <c r="V5" s="194" t="s">
        <v>211</v>
      </c>
      <c r="W5" s="194" t="s">
        <v>211</v>
      </c>
      <c r="X5" s="198" t="e">
        <f>_xll.qlMidSafe($T5,$U5)</f>
        <v>#NUM!</v>
      </c>
      <c r="Y5" s="196"/>
      <c r="Z5" s="197" t="e">
        <v>#NUM!</v>
      </c>
      <c r="AA5" s="196"/>
      <c r="AB5" s="261" t="e">
        <f t="array" ref="AB5:AB42">QuoteLive</f>
        <v>#NUM!</v>
      </c>
      <c r="AC5" s="420" t="e">
        <f>_xll.qlSimpleQuoteSetValue(F5,AB5/100,Trigger)</f>
        <v>#NUM!</v>
      </c>
      <c r="AD5" s="164"/>
      <c r="AE5" s="13"/>
      <c r="AF5" s="302" t="s">
        <v>104</v>
      </c>
      <c r="AG5" s="61" t="s">
        <v>179</v>
      </c>
      <c r="AH5" s="60" t="s">
        <v>97</v>
      </c>
      <c r="AI5" s="13"/>
      <c r="AJ5" s="230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1" t="s">
        <v>104</v>
      </c>
      <c r="K6" s="58" t="s">
        <v>179</v>
      </c>
      <c r="L6" s="57" t="s">
        <v>97</v>
      </c>
      <c r="N6" s="94"/>
      <c r="O6" s="200" t="s">
        <v>8</v>
      </c>
      <c r="P6" s="241" t="str">
        <v>AM</v>
      </c>
      <c r="Q6" s="241" t="str">
        <v>3L</v>
      </c>
      <c r="R6" s="239" t="str">
        <f t="shared" si="0"/>
        <v>USDAM3L1Y</v>
      </c>
      <c r="S6" s="239" t="str">
        <v>USDAM3L1Y=ICAP</v>
      </c>
      <c r="T6" s="194">
        <v>0.46500000000000002</v>
      </c>
      <c r="U6" s="194">
        <v>0.495</v>
      </c>
      <c r="V6" s="194">
        <v>0</v>
      </c>
      <c r="W6" s="194">
        <v>0</v>
      </c>
      <c r="X6" s="198">
        <f>_xll.qlMidSafe($T6,$U6)</f>
        <v>0.48</v>
      </c>
      <c r="Y6" s="196"/>
      <c r="Z6" s="197">
        <v>0.314</v>
      </c>
      <c r="AA6" s="196"/>
      <c r="AB6" s="261">
        <v>0.48</v>
      </c>
      <c r="AC6" s="193">
        <f>_xll.qlSimpleQuoteSetValue(F6,AB6/100,Trigger)</f>
        <v>0</v>
      </c>
      <c r="AD6" s="164"/>
      <c r="AE6" s="13"/>
      <c r="AF6" s="151" t="s">
        <v>103</v>
      </c>
      <c r="AG6" s="58" t="s">
        <v>179</v>
      </c>
      <c r="AH6" s="57" t="s">
        <v>109</v>
      </c>
      <c r="AI6" s="13"/>
      <c r="AJ6" s="230">
        <f t="shared" si="1"/>
        <v>3.0000000000000024E-4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1" t="s">
        <v>103</v>
      </c>
      <c r="K7" s="58" t="s">
        <v>179</v>
      </c>
      <c r="L7" s="57" t="s">
        <v>109</v>
      </c>
      <c r="N7" s="94"/>
      <c r="O7" s="200" t="s">
        <v>107</v>
      </c>
      <c r="P7" s="241" t="str">
        <v>AM</v>
      </c>
      <c r="Q7" s="241" t="str">
        <v>3L</v>
      </c>
      <c r="R7" s="239" t="str">
        <f t="shared" si="0"/>
        <v>USDAM3L15M</v>
      </c>
      <c r="S7" s="239" t="str">
        <v>USDAM3L15M=ICAP</v>
      </c>
      <c r="T7" s="194" t="s">
        <v>211</v>
      </c>
      <c r="U7" s="194" t="s">
        <v>211</v>
      </c>
      <c r="V7" s="194" t="s">
        <v>211</v>
      </c>
      <c r="W7" s="194" t="s">
        <v>211</v>
      </c>
      <c r="X7" s="198" t="e">
        <f>_xll.qlMidSafe($T7,$U7)</f>
        <v>#NUM!</v>
      </c>
      <c r="Y7" s="196"/>
      <c r="Z7" s="197" t="e">
        <v>#NUM!</v>
      </c>
      <c r="AA7" s="196"/>
      <c r="AB7" s="261" t="e">
        <v>#NUM!</v>
      </c>
      <c r="AC7" s="193">
        <f>_xll.qlSimpleQuoteSetValue(F7,AB7/100,Trigger)</f>
        <v>0</v>
      </c>
      <c r="AD7" s="164"/>
      <c r="AE7" s="13"/>
      <c r="AF7" s="151" t="s">
        <v>100</v>
      </c>
      <c r="AG7" s="58" t="s">
        <v>177</v>
      </c>
      <c r="AH7" s="57" t="s">
        <v>97</v>
      </c>
      <c r="AI7" s="13"/>
      <c r="AJ7" s="230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1" t="s">
        <v>100</v>
      </c>
      <c r="K8" s="58" t="s">
        <v>177</v>
      </c>
      <c r="L8" s="57" t="s">
        <v>97</v>
      </c>
      <c r="N8" s="94"/>
      <c r="O8" s="200" t="s">
        <v>106</v>
      </c>
      <c r="P8" s="241" t="str">
        <v>AM</v>
      </c>
      <c r="Q8" s="241" t="str">
        <v>3L</v>
      </c>
      <c r="R8" s="239" t="str">
        <f t="shared" si="0"/>
        <v>USDAM3L18M</v>
      </c>
      <c r="S8" s="239" t="str">
        <v>USDAM3L18M=ICAP</v>
      </c>
      <c r="T8" s="194" t="s">
        <v>211</v>
      </c>
      <c r="U8" s="194" t="s">
        <v>211</v>
      </c>
      <c r="V8" s="194" t="s">
        <v>211</v>
      </c>
      <c r="W8" s="194" t="s">
        <v>211</v>
      </c>
      <c r="X8" s="198" t="e">
        <f>_xll.qlMidSafe($T8,$U8)</f>
        <v>#NUM!</v>
      </c>
      <c r="Y8" s="196"/>
      <c r="Z8" s="197" t="e">
        <v>#NUM!</v>
      </c>
      <c r="AA8" s="196"/>
      <c r="AB8" s="261" t="e">
        <v>#NUM!</v>
      </c>
      <c r="AC8" s="193">
        <f>_xll.qlSimpleQuoteSetValue(F8,AB8/100,Trigger)</f>
        <v>0</v>
      </c>
      <c r="AD8" s="164"/>
      <c r="AE8" s="13"/>
      <c r="AF8" s="151" t="s">
        <v>99</v>
      </c>
      <c r="AG8" s="58" t="s">
        <v>178</v>
      </c>
      <c r="AH8" s="57" t="s">
        <v>97</v>
      </c>
      <c r="AI8" s="13"/>
      <c r="AJ8" s="230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1" t="s">
        <v>99</v>
      </c>
      <c r="K9" s="58" t="s">
        <v>178</v>
      </c>
      <c r="L9" s="57" t="s">
        <v>97</v>
      </c>
      <c r="N9" s="94"/>
      <c r="O9" s="200" t="s">
        <v>105</v>
      </c>
      <c r="P9" s="241" t="str">
        <v>AM</v>
      </c>
      <c r="Q9" s="241" t="str">
        <v>3L</v>
      </c>
      <c r="R9" s="239" t="str">
        <f t="shared" si="0"/>
        <v>USDAM3L21M</v>
      </c>
      <c r="S9" s="239" t="str">
        <v>USDAM3L21M=ICAP</v>
      </c>
      <c r="T9" s="194" t="s">
        <v>211</v>
      </c>
      <c r="U9" s="194" t="s">
        <v>211</v>
      </c>
      <c r="V9" s="194" t="s">
        <v>211</v>
      </c>
      <c r="W9" s="194" t="s">
        <v>211</v>
      </c>
      <c r="X9" s="198" t="e">
        <f>_xll.qlMidSafe($T9,$U9)</f>
        <v>#NUM!</v>
      </c>
      <c r="Y9" s="196"/>
      <c r="Z9" s="197" t="e">
        <v>#NUM!</v>
      </c>
      <c r="AA9" s="196"/>
      <c r="AB9" s="261" t="e">
        <v>#NUM!</v>
      </c>
      <c r="AC9" s="193">
        <f>_xll.qlSimpleQuoteSetValue(F9,AB9/100,Trigger)</f>
        <v>0</v>
      </c>
      <c r="AD9" s="164"/>
      <c r="AE9" s="13"/>
      <c r="AF9" s="150" t="s">
        <v>94</v>
      </c>
      <c r="AG9" s="55" t="s">
        <v>177</v>
      </c>
      <c r="AH9" s="54" t="s">
        <v>97</v>
      </c>
      <c r="AI9" s="13"/>
      <c r="AJ9" s="230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0" t="s">
        <v>94</v>
      </c>
      <c r="K10" s="55" t="s">
        <v>177</v>
      </c>
      <c r="L10" s="54" t="s">
        <v>97</v>
      </c>
      <c r="N10" s="94"/>
      <c r="O10" s="200" t="s">
        <v>84</v>
      </c>
      <c r="P10" s="241" t="str">
        <v>AM</v>
      </c>
      <c r="Q10" s="241" t="str">
        <v>3L</v>
      </c>
      <c r="R10" s="239" t="str">
        <f t="shared" si="0"/>
        <v>USDAM3L2Y</v>
      </c>
      <c r="S10" s="239" t="str">
        <v>USDAM3L2Y=ICAP</v>
      </c>
      <c r="T10" s="194">
        <v>0.876</v>
      </c>
      <c r="U10" s="194">
        <v>0.90600000000000003</v>
      </c>
      <c r="V10" s="194">
        <v>0</v>
      </c>
      <c r="W10" s="194">
        <v>0</v>
      </c>
      <c r="X10" s="198">
        <f>_xll.qlMidSafe($T10,$U10)</f>
        <v>0.89100000000000001</v>
      </c>
      <c r="Y10" s="196"/>
      <c r="Z10" s="197">
        <v>0.70100000000000007</v>
      </c>
      <c r="AA10" s="196"/>
      <c r="AB10" s="261">
        <v>0.89100000000000001</v>
      </c>
      <c r="AC10" s="193">
        <f>_xll.qlSimpleQuoteSetValue(F10,AB10/100,Trigger)</f>
        <v>0</v>
      </c>
      <c r="AD10" s="164"/>
      <c r="AE10" s="13"/>
      <c r="AF10" s="13"/>
      <c r="AG10" s="13"/>
      <c r="AH10" s="13"/>
      <c r="AI10" s="13"/>
      <c r="AJ10" s="230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0" t="s">
        <v>83</v>
      </c>
      <c r="P11" s="58" t="str">
        <v>AM</v>
      </c>
      <c r="Q11" s="58" t="str">
        <v>3L</v>
      </c>
      <c r="R11" s="239" t="str">
        <f t="shared" si="0"/>
        <v>USDAM3L3Y</v>
      </c>
      <c r="S11" s="239" t="str">
        <v>USDAM3L3Y=ICAP</v>
      </c>
      <c r="T11" s="194">
        <v>1.212</v>
      </c>
      <c r="U11" s="194">
        <v>1.242</v>
      </c>
      <c r="V11" s="194">
        <v>0</v>
      </c>
      <c r="W11" s="194">
        <v>0</v>
      </c>
      <c r="X11" s="198">
        <f>_xll.qlMidSafe($T11,$U11)</f>
        <v>1.2269999999999999</v>
      </c>
      <c r="Y11" s="196"/>
      <c r="Z11" s="197">
        <v>1.129</v>
      </c>
      <c r="AA11" s="196"/>
      <c r="AB11" s="261">
        <v>1.2269999999999999</v>
      </c>
      <c r="AC11" s="193">
        <f>_xll.qlSimpleQuoteSetValue(F11,AB11/100,Trigger)</f>
        <v>0</v>
      </c>
      <c r="AD11" s="164"/>
      <c r="AE11" s="13"/>
      <c r="AF11" s="13"/>
      <c r="AG11" s="13"/>
      <c r="AH11" s="13"/>
      <c r="AI11" s="13"/>
      <c r="AJ11" s="230">
        <f t="shared" si="1"/>
        <v>3.0000000000000247E-4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0" t="s">
        <v>82</v>
      </c>
      <c r="P12" s="58" t="str">
        <v>AM</v>
      </c>
      <c r="Q12" s="58" t="str">
        <v>3L</v>
      </c>
      <c r="R12" s="239" t="str">
        <f t="shared" si="0"/>
        <v>USDAM3L4Y</v>
      </c>
      <c r="S12" s="239" t="str">
        <v>USDAM3L4Y=ICAP</v>
      </c>
      <c r="T12" s="194">
        <v>1.4530000000000001</v>
      </c>
      <c r="U12" s="194">
        <v>1.4830000000000001</v>
      </c>
      <c r="V12" s="194">
        <v>0</v>
      </c>
      <c r="W12" s="194">
        <v>0</v>
      </c>
      <c r="X12" s="198">
        <f>_xll.qlMidSafe($T12,$U12)</f>
        <v>1.468</v>
      </c>
      <c r="Y12" s="196"/>
      <c r="Z12" s="197">
        <v>1.468</v>
      </c>
      <c r="AA12" s="196"/>
      <c r="AB12" s="261">
        <v>1.468</v>
      </c>
      <c r="AC12" s="193">
        <f>_xll.qlSimpleQuoteSetValue(F12,AB12/100,Trigger)</f>
        <v>9.9999999999995925E-6</v>
      </c>
      <c r="AD12" s="164"/>
      <c r="AE12" s="13"/>
      <c r="AF12" s="13"/>
      <c r="AG12" s="13"/>
      <c r="AH12" s="13"/>
      <c r="AI12" s="13"/>
      <c r="AJ12" s="230">
        <f t="shared" si="1"/>
        <v>3.0000000000000247E-4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0" t="s">
        <v>81</v>
      </c>
      <c r="P13" s="58" t="str">
        <v>AM</v>
      </c>
      <c r="Q13" s="58" t="str">
        <v>3L</v>
      </c>
      <c r="R13" s="239" t="str">
        <f t="shared" si="0"/>
        <v>USDAM3L5Y</v>
      </c>
      <c r="S13" s="239" t="str">
        <v>USDAM3L5Y=ICAP</v>
      </c>
      <c r="T13" s="194">
        <v>1.6259999999999999</v>
      </c>
      <c r="U13" s="194">
        <v>1.6559999999999999</v>
      </c>
      <c r="V13" s="194">
        <v>0</v>
      </c>
      <c r="W13" s="194">
        <v>0</v>
      </c>
      <c r="X13" s="198">
        <f>_xll.qlMidSafe($T13,$U13)</f>
        <v>1.641</v>
      </c>
      <c r="Y13" s="196"/>
      <c r="Z13" s="197">
        <v>1.7229999999999999</v>
      </c>
      <c r="AA13" s="196"/>
      <c r="AB13" s="261">
        <v>1.641</v>
      </c>
      <c r="AC13" s="193">
        <f>_xll.qlSimpleQuoteSetValue(F13,AB13/100,Trigger)</f>
        <v>9.9999999999995925E-6</v>
      </c>
      <c r="AD13" s="164"/>
      <c r="AE13" s="13"/>
      <c r="AF13" s="13"/>
      <c r="AG13" s="13"/>
      <c r="AH13" s="13"/>
      <c r="AI13" s="13"/>
      <c r="AJ13" s="230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0" t="s">
        <v>80</v>
      </c>
      <c r="P14" s="58" t="str">
        <v>AM</v>
      </c>
      <c r="Q14" s="58" t="str">
        <v>3L</v>
      </c>
      <c r="R14" s="239" t="str">
        <f t="shared" si="0"/>
        <v>USDAM3L6Y</v>
      </c>
      <c r="S14" s="239" t="str">
        <v>USDAM3L6Y=ICAP</v>
      </c>
      <c r="T14" s="194">
        <v>1.7570000000000001</v>
      </c>
      <c r="U14" s="194">
        <v>1.7869999999999999</v>
      </c>
      <c r="V14" s="194">
        <v>0</v>
      </c>
      <c r="W14" s="194">
        <v>0</v>
      </c>
      <c r="X14" s="198">
        <f>_xll.qlMidSafe($T14,$U14)</f>
        <v>1.772</v>
      </c>
      <c r="Y14" s="196"/>
      <c r="Z14" s="197">
        <v>1.9209999999999998</v>
      </c>
      <c r="AA14" s="196"/>
      <c r="AB14" s="261">
        <v>1.772</v>
      </c>
      <c r="AC14" s="193">
        <f>_xll.qlSimpleQuoteSetValue(F14,AB14/100,Trigger)</f>
        <v>9.9999999999995925E-6</v>
      </c>
      <c r="AD14" s="164"/>
      <c r="AE14" s="13"/>
      <c r="AF14" s="13"/>
      <c r="AG14" s="13"/>
      <c r="AH14" s="13"/>
      <c r="AI14" s="13"/>
      <c r="AJ14" s="230">
        <f t="shared" si="1"/>
        <v>2.9999999999999802E-4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0" t="s">
        <v>79</v>
      </c>
      <c r="P15" s="58" t="str">
        <v>AM</v>
      </c>
      <c r="Q15" s="58" t="str">
        <v>3L</v>
      </c>
      <c r="R15" s="239" t="str">
        <f t="shared" si="0"/>
        <v>USDAM3L7Y</v>
      </c>
      <c r="S15" s="239" t="str">
        <v>USDAM3L7Y=ICAP</v>
      </c>
      <c r="T15" s="194">
        <v>1.8599999999999999</v>
      </c>
      <c r="U15" s="194">
        <v>1.8900000000000001</v>
      </c>
      <c r="V15" s="194">
        <v>0</v>
      </c>
      <c r="W15" s="194">
        <v>0</v>
      </c>
      <c r="X15" s="198">
        <f>_xll.qlMidSafe($T15,$U15)</f>
        <v>1.875</v>
      </c>
      <c r="Y15" s="196"/>
      <c r="Z15" s="197">
        <v>2.0840000000000001</v>
      </c>
      <c r="AA15" s="196"/>
      <c r="AB15" s="261">
        <v>1.875</v>
      </c>
      <c r="AC15" s="193">
        <f>_xll.qlSimpleQuoteSetValue(F15,AB15/100,Trigger)</f>
        <v>0</v>
      </c>
      <c r="AD15" s="164"/>
      <c r="AE15" s="13"/>
      <c r="AF15" s="13"/>
      <c r="AG15" s="13"/>
      <c r="AH15" s="13"/>
      <c r="AI15" s="13"/>
      <c r="AJ15" s="230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0" t="s">
        <v>78</v>
      </c>
      <c r="P16" s="58" t="str">
        <v>AM</v>
      </c>
      <c r="Q16" s="58" t="str">
        <v>3L</v>
      </c>
      <c r="R16" s="239" t="str">
        <f t="shared" si="0"/>
        <v>USDAM3L8Y</v>
      </c>
      <c r="S16" s="239" t="str">
        <v>USDAM3L8Y=ICAP</v>
      </c>
      <c r="T16" s="194">
        <v>1.9419999999999999</v>
      </c>
      <c r="U16" s="194">
        <v>1.972</v>
      </c>
      <c r="V16" s="194">
        <v>0</v>
      </c>
      <c r="W16" s="194">
        <v>0</v>
      </c>
      <c r="X16" s="198">
        <f>_xll.qlMidSafe($T16,$U16)</f>
        <v>1.9569999999999999</v>
      </c>
      <c r="Y16" s="196"/>
      <c r="Z16" s="197">
        <v>2.2170000000000001</v>
      </c>
      <c r="AA16" s="196"/>
      <c r="AB16" s="261">
        <v>1.9569999999999999</v>
      </c>
      <c r="AC16" s="193">
        <f>_xll.qlSimpleQuoteSetValue(F16,AB16/100,Trigger)</f>
        <v>0</v>
      </c>
      <c r="AD16" s="164"/>
      <c r="AE16" s="13"/>
      <c r="AF16" s="13"/>
      <c r="AG16" s="13"/>
      <c r="AH16" s="13"/>
      <c r="AI16" s="13"/>
      <c r="AJ16" s="230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0" t="s">
        <v>77</v>
      </c>
      <c r="P17" s="58" t="str">
        <v>AM</v>
      </c>
      <c r="Q17" s="58" t="str">
        <v>3L</v>
      </c>
      <c r="R17" s="239" t="str">
        <f t="shared" si="0"/>
        <v>USDAM3L9Y</v>
      </c>
      <c r="S17" s="239" t="str">
        <v>USDAM3L9Y=ICAP</v>
      </c>
      <c r="T17" s="194">
        <v>2.0110000000000001</v>
      </c>
      <c r="U17" s="194">
        <v>2.0409999999999999</v>
      </c>
      <c r="V17" s="194">
        <v>0</v>
      </c>
      <c r="W17" s="194">
        <v>0</v>
      </c>
      <c r="X17" s="198">
        <f>_xll.qlMidSafe($T17,$U17)</f>
        <v>2.0259999999999998</v>
      </c>
      <c r="Y17" s="196"/>
      <c r="Z17" s="197">
        <v>2.331</v>
      </c>
      <c r="AA17" s="196"/>
      <c r="AB17" s="261">
        <v>2.0259999999999998</v>
      </c>
      <c r="AC17" s="193">
        <f>_xll.qlSimpleQuoteSetValue(F17,AB17/100,Trigger)</f>
        <v>0</v>
      </c>
      <c r="AD17" s="164"/>
      <c r="AE17" s="13"/>
      <c r="AF17" s="13"/>
      <c r="AG17" s="13"/>
      <c r="AH17" s="13"/>
      <c r="AI17" s="13"/>
      <c r="AJ17" s="230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0" t="s">
        <v>76</v>
      </c>
      <c r="P18" s="58" t="str">
        <v>AM</v>
      </c>
      <c r="Q18" s="58" t="str">
        <v>3L</v>
      </c>
      <c r="R18" s="239" t="str">
        <f t="shared" si="0"/>
        <v>USDAM3L10Y</v>
      </c>
      <c r="S18" s="239" t="str">
        <v>USDAM3L10Y=ICAP</v>
      </c>
      <c r="T18" s="194">
        <v>2.0699999999999998</v>
      </c>
      <c r="U18" s="194">
        <v>2.1</v>
      </c>
      <c r="V18" s="194">
        <v>0</v>
      </c>
      <c r="W18" s="194">
        <v>0</v>
      </c>
      <c r="X18" s="198">
        <f>_xll.qlMidSafe($T18,$U18)</f>
        <v>2.085</v>
      </c>
      <c r="Y18" s="196"/>
      <c r="Z18" s="197">
        <v>2.427</v>
      </c>
      <c r="AA18" s="196"/>
      <c r="AB18" s="261">
        <v>2.085</v>
      </c>
      <c r="AC18" s="193">
        <f>_xll.qlSimpleQuoteSetValue(F18,AB18/100,Trigger)</f>
        <v>0</v>
      </c>
      <c r="AD18" s="164"/>
      <c r="AE18" s="13"/>
      <c r="AF18" s="13"/>
      <c r="AG18" s="13"/>
      <c r="AH18" s="13"/>
      <c r="AI18" s="13"/>
      <c r="AJ18" s="230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0" t="s">
        <v>75</v>
      </c>
      <c r="P19" s="58" t="str">
        <v>AM</v>
      </c>
      <c r="Q19" s="58" t="str">
        <v>3L</v>
      </c>
      <c r="R19" s="239" t="str">
        <f t="shared" si="0"/>
        <v>USDAM3L11Y</v>
      </c>
      <c r="S19" s="239" t="str">
        <v>USDAM3L11Y=ICAP</v>
      </c>
      <c r="T19" s="194" t="s">
        <v>211</v>
      </c>
      <c r="U19" s="194" t="s">
        <v>211</v>
      </c>
      <c r="V19" s="194" t="s">
        <v>211</v>
      </c>
      <c r="W19" s="194" t="s">
        <v>211</v>
      </c>
      <c r="X19" s="198" t="e">
        <f>_xll.qlMidSafe($T19,$U19)</f>
        <v>#NUM!</v>
      </c>
      <c r="Y19" s="196"/>
      <c r="Z19" s="197" t="e">
        <v>#NUM!</v>
      </c>
      <c r="AA19" s="196"/>
      <c r="AB19" s="261" t="e">
        <v>#NUM!</v>
      </c>
      <c r="AC19" s="193">
        <f>_xll.qlSimpleQuoteSetValue(F19,AB19/100,Trigger)</f>
        <v>0</v>
      </c>
      <c r="AD19" s="164"/>
      <c r="AE19" s="13"/>
      <c r="AF19" s="13"/>
      <c r="AG19" s="13"/>
      <c r="AH19" s="13"/>
      <c r="AI19" s="13"/>
      <c r="AJ19" s="230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0" t="s">
        <v>74</v>
      </c>
      <c r="P20" s="58" t="str">
        <v>AM</v>
      </c>
      <c r="Q20" s="58" t="str">
        <v>3L</v>
      </c>
      <c r="R20" s="239" t="str">
        <f t="shared" si="0"/>
        <v>USDAM3L12Y</v>
      </c>
      <c r="S20" s="239" t="str">
        <v>USDAM3L12Y=ICAP</v>
      </c>
      <c r="T20" s="194">
        <v>2.1680000000000001</v>
      </c>
      <c r="U20" s="194">
        <v>2.198</v>
      </c>
      <c r="V20" s="194">
        <v>0</v>
      </c>
      <c r="W20" s="194">
        <v>0</v>
      </c>
      <c r="X20" s="198">
        <f>_xll.qlMidSafe($T20,$U20)</f>
        <v>2.1829999999999998</v>
      </c>
      <c r="Y20" s="196"/>
      <c r="Z20" s="197">
        <v>2.585</v>
      </c>
      <c r="AA20" s="196"/>
      <c r="AB20" s="261">
        <v>2.1829999999999998</v>
      </c>
      <c r="AC20" s="193">
        <f>_xll.qlSimpleQuoteSetValue(F20,AB20/100,Trigger)</f>
        <v>0</v>
      </c>
      <c r="AD20" s="164"/>
      <c r="AE20" s="13"/>
      <c r="AF20" s="13"/>
      <c r="AG20" s="13"/>
      <c r="AH20" s="13"/>
      <c r="AI20" s="13"/>
      <c r="AJ20" s="230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0" t="s">
        <v>73</v>
      </c>
      <c r="P21" s="58" t="str">
        <v>AM</v>
      </c>
      <c r="Q21" s="58" t="str">
        <v>3L</v>
      </c>
      <c r="R21" s="239" t="str">
        <f t="shared" si="0"/>
        <v>USDAM3L13Y</v>
      </c>
      <c r="S21" s="239" t="str">
        <v>USDAM3L13Y=ICAP</v>
      </c>
      <c r="T21" s="194" t="s">
        <v>211</v>
      </c>
      <c r="U21" s="194" t="s">
        <v>211</v>
      </c>
      <c r="V21" s="194" t="s">
        <v>211</v>
      </c>
      <c r="W21" s="194" t="s">
        <v>211</v>
      </c>
      <c r="X21" s="198" t="e">
        <f>_xll.qlMidSafe($T21,$U21)</f>
        <v>#NUM!</v>
      </c>
      <c r="Y21" s="196"/>
      <c r="Z21" s="197" t="e">
        <v>#NUM!</v>
      </c>
      <c r="AA21" s="196"/>
      <c r="AB21" s="261" t="e">
        <v>#NUM!</v>
      </c>
      <c r="AC21" s="193">
        <f>_xll.qlSimpleQuoteSetValue(F21,AB21/100,Trigger)</f>
        <v>0</v>
      </c>
      <c r="AD21" s="164"/>
      <c r="AE21" s="13"/>
      <c r="AF21" s="13"/>
      <c r="AG21" s="13"/>
      <c r="AH21" s="13"/>
      <c r="AI21" s="13"/>
      <c r="AJ21" s="230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0" t="s">
        <v>72</v>
      </c>
      <c r="P22" s="58" t="str">
        <v>AM</v>
      </c>
      <c r="Q22" s="58" t="str">
        <v>3L</v>
      </c>
      <c r="R22" s="239" t="str">
        <f t="shared" si="0"/>
        <v>USDAM3L14Y</v>
      </c>
      <c r="S22" s="239" t="str">
        <v>USDAM3L14Y=ICAP</v>
      </c>
      <c r="T22" s="194" t="s">
        <v>211</v>
      </c>
      <c r="U22" s="194" t="s">
        <v>211</v>
      </c>
      <c r="V22" s="194" t="s">
        <v>211</v>
      </c>
      <c r="W22" s="194" t="s">
        <v>211</v>
      </c>
      <c r="X22" s="198" t="e">
        <f>_xll.qlMidSafe($T22,$U22)</f>
        <v>#NUM!</v>
      </c>
      <c r="Y22" s="196"/>
      <c r="Z22" s="197" t="e">
        <v>#NUM!</v>
      </c>
      <c r="AA22" s="196"/>
      <c r="AB22" s="261" t="e">
        <v>#NUM!</v>
      </c>
      <c r="AC22" s="193">
        <f>_xll.qlSimpleQuoteSetValue(F22,AB22/100,Trigger)</f>
        <v>0</v>
      </c>
      <c r="AD22" s="164"/>
      <c r="AE22" s="13"/>
      <c r="AF22" s="13"/>
      <c r="AG22" s="13"/>
      <c r="AH22" s="13"/>
      <c r="AI22" s="13"/>
      <c r="AJ22" s="230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0" t="s">
        <v>71</v>
      </c>
      <c r="P23" s="58" t="str">
        <v>AM</v>
      </c>
      <c r="Q23" s="58" t="str">
        <v>3L</v>
      </c>
      <c r="R23" s="239" t="str">
        <f t="shared" si="0"/>
        <v>USDAM3L15Y</v>
      </c>
      <c r="S23" s="239" t="str">
        <v>USDAM3L15Y=ICAP</v>
      </c>
      <c r="T23" s="194">
        <v>2.2709999999999999</v>
      </c>
      <c r="U23" s="194">
        <v>2.3010000000000002</v>
      </c>
      <c r="V23" s="194">
        <v>0</v>
      </c>
      <c r="W23" s="194">
        <v>0</v>
      </c>
      <c r="X23" s="198">
        <f>_xll.qlMidSafe($T23,$U23)</f>
        <v>2.286</v>
      </c>
      <c r="Y23" s="196"/>
      <c r="Z23" s="197">
        <v>2.7489999999999997</v>
      </c>
      <c r="AA23" s="196"/>
      <c r="AB23" s="261">
        <v>2.286</v>
      </c>
      <c r="AC23" s="193">
        <f>_xll.qlSimpleQuoteSetValue(F23,AB23/100,Trigger)</f>
        <v>0</v>
      </c>
      <c r="AD23" s="164"/>
      <c r="AE23" s="13"/>
      <c r="AF23" s="13"/>
      <c r="AG23" s="13"/>
      <c r="AH23" s="13"/>
      <c r="AI23" s="13"/>
      <c r="AJ23" s="230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0" t="s">
        <v>70</v>
      </c>
      <c r="P24" s="58" t="str">
        <v>AM</v>
      </c>
      <c r="Q24" s="58" t="str">
        <v>3L</v>
      </c>
      <c r="R24" s="239" t="str">
        <f t="shared" si="0"/>
        <v>USDAM3L16Y</v>
      </c>
      <c r="S24" s="239" t="str">
        <v>USDAM3L16Y=ICAP</v>
      </c>
      <c r="T24" s="194" t="s">
        <v>211</v>
      </c>
      <c r="U24" s="194" t="s">
        <v>211</v>
      </c>
      <c r="V24" s="194" t="s">
        <v>211</v>
      </c>
      <c r="W24" s="194" t="s">
        <v>211</v>
      </c>
      <c r="X24" s="198" t="e">
        <f>_xll.qlMidSafe($T24,$U24)</f>
        <v>#NUM!</v>
      </c>
      <c r="Y24" s="196"/>
      <c r="Z24" s="197" t="e">
        <v>#NUM!</v>
      </c>
      <c r="AA24" s="196"/>
      <c r="AB24" s="261" t="e">
        <v>#NUM!</v>
      </c>
      <c r="AC24" s="193">
        <f>_xll.qlSimpleQuoteSetValue(F24,AB24/100,Trigger)</f>
        <v>0</v>
      </c>
      <c r="AD24" s="164"/>
      <c r="AE24" s="13"/>
      <c r="AF24" s="13"/>
      <c r="AG24" s="13"/>
      <c r="AH24" s="13"/>
      <c r="AI24" s="13"/>
      <c r="AJ24" s="230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0" t="s">
        <v>69</v>
      </c>
      <c r="P25" s="58" t="str">
        <v>AM</v>
      </c>
      <c r="Q25" s="58" t="str">
        <v>3L</v>
      </c>
      <c r="R25" s="239" t="str">
        <f t="shared" si="0"/>
        <v>USDAM3L17Y</v>
      </c>
      <c r="S25" s="239" t="str">
        <v>USDAM3L17Y=ICAP</v>
      </c>
      <c r="T25" s="194" t="s">
        <v>211</v>
      </c>
      <c r="U25" s="194" t="s">
        <v>211</v>
      </c>
      <c r="V25" s="194" t="s">
        <v>211</v>
      </c>
      <c r="W25" s="194" t="s">
        <v>211</v>
      </c>
      <c r="X25" s="198" t="e">
        <f>_xll.qlMidSafe($T25,$U25)</f>
        <v>#NUM!</v>
      </c>
      <c r="Y25" s="196"/>
      <c r="Z25" s="197" t="e">
        <v>#NUM!</v>
      </c>
      <c r="AA25" s="196"/>
      <c r="AB25" s="261" t="e">
        <v>#NUM!</v>
      </c>
      <c r="AC25" s="193">
        <f>_xll.qlSimpleQuoteSetValue(F25,AB25/100,Trigger)</f>
        <v>0</v>
      </c>
      <c r="AD25" s="164"/>
      <c r="AE25" s="13"/>
      <c r="AF25" s="13"/>
      <c r="AG25" s="13"/>
      <c r="AH25" s="13"/>
      <c r="AI25" s="13"/>
      <c r="AJ25" s="230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0" t="s">
        <v>68</v>
      </c>
      <c r="P26" s="58" t="str">
        <v>AM</v>
      </c>
      <c r="Q26" s="58" t="str">
        <v>3L</v>
      </c>
      <c r="R26" s="239" t="str">
        <f t="shared" si="0"/>
        <v>USDAM3L18Y</v>
      </c>
      <c r="S26" s="239" t="str">
        <v>USDAM3L18Y=ICAP</v>
      </c>
      <c r="T26" s="194" t="s">
        <v>211</v>
      </c>
      <c r="U26" s="194" t="s">
        <v>211</v>
      </c>
      <c r="V26" s="194" t="s">
        <v>211</v>
      </c>
      <c r="W26" s="194" t="s">
        <v>211</v>
      </c>
      <c r="X26" s="198" t="e">
        <f>_xll.qlMidSafe($T26,$U26)</f>
        <v>#NUM!</v>
      </c>
      <c r="Y26" s="196"/>
      <c r="Z26" s="197" t="e">
        <v>#NUM!</v>
      </c>
      <c r="AA26" s="196"/>
      <c r="AB26" s="261" t="e">
        <v>#NUM!</v>
      </c>
      <c r="AC26" s="193">
        <f>_xll.qlSimpleQuoteSetValue(F26,AB26/100,Trigger)</f>
        <v>0</v>
      </c>
      <c r="AD26" s="164"/>
      <c r="AE26" s="13"/>
      <c r="AF26" s="13"/>
      <c r="AG26" s="13"/>
      <c r="AH26" s="13"/>
      <c r="AI26" s="13"/>
      <c r="AJ26" s="230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0" t="s">
        <v>67</v>
      </c>
      <c r="P27" s="58" t="str">
        <v>AM</v>
      </c>
      <c r="Q27" s="58" t="str">
        <v>3L</v>
      </c>
      <c r="R27" s="239" t="str">
        <f t="shared" si="0"/>
        <v>USDAM3L19Y</v>
      </c>
      <c r="S27" s="239" t="str">
        <v>USDAM3L19Y=ICAP</v>
      </c>
      <c r="T27" s="194" t="s">
        <v>211</v>
      </c>
      <c r="U27" s="194" t="s">
        <v>211</v>
      </c>
      <c r="V27" s="194" t="s">
        <v>211</v>
      </c>
      <c r="W27" s="194" t="s">
        <v>211</v>
      </c>
      <c r="X27" s="198" t="e">
        <f>_xll.qlMidSafe($T27,$U27)</f>
        <v>#NUM!</v>
      </c>
      <c r="Y27" s="196"/>
      <c r="Z27" s="197" t="e">
        <v>#NUM!</v>
      </c>
      <c r="AA27" s="196"/>
      <c r="AB27" s="261" t="e">
        <v>#NUM!</v>
      </c>
      <c r="AC27" s="193">
        <f>_xll.qlSimpleQuoteSetValue(F27,AB27/100,Trigger)</f>
        <v>0</v>
      </c>
      <c r="AD27" s="164"/>
      <c r="AE27" s="13"/>
      <c r="AF27" s="13"/>
      <c r="AG27" s="13"/>
      <c r="AH27" s="13"/>
      <c r="AI27" s="13"/>
      <c r="AJ27" s="230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0" t="s">
        <v>66</v>
      </c>
      <c r="P28" s="58" t="str">
        <v>AM</v>
      </c>
      <c r="Q28" s="58" t="str">
        <v>3L</v>
      </c>
      <c r="R28" s="239" t="str">
        <f t="shared" si="0"/>
        <v>USDAM3L20Y</v>
      </c>
      <c r="S28" s="239" t="str">
        <v>USDAM3L20Y=ICAP</v>
      </c>
      <c r="T28" s="194">
        <v>2.3609999999999998</v>
      </c>
      <c r="U28" s="194">
        <v>2.391</v>
      </c>
      <c r="V28" s="194">
        <v>0</v>
      </c>
      <c r="W28" s="194">
        <v>0</v>
      </c>
      <c r="X28" s="198">
        <f>_xll.qlMidSafe($T28,$U28)</f>
        <v>2.3759999999999999</v>
      </c>
      <c r="Y28" s="196"/>
      <c r="Z28" s="197">
        <v>2.9039999999999999</v>
      </c>
      <c r="AA28" s="196"/>
      <c r="AB28" s="261">
        <v>2.3759999999999999</v>
      </c>
      <c r="AC28" s="193">
        <f>_xll.qlSimpleQuoteSetValue(F28,AB28/100,Trigger)</f>
        <v>0</v>
      </c>
      <c r="AD28" s="164"/>
      <c r="AE28" s="13"/>
      <c r="AF28" s="13"/>
      <c r="AG28" s="13"/>
      <c r="AH28" s="13"/>
      <c r="AI28" s="13"/>
      <c r="AJ28" s="230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0" t="s">
        <v>65</v>
      </c>
      <c r="P29" s="196" t="str">
        <v>AM</v>
      </c>
      <c r="Q29" s="196" t="str">
        <v>3L</v>
      </c>
      <c r="R29" s="239" t="str">
        <f t="shared" si="0"/>
        <v>USDAM3L21Y</v>
      </c>
      <c r="S29" s="239" t="str">
        <v>USDAM3L21Y=ICAP</v>
      </c>
      <c r="T29" s="194" t="s">
        <v>211</v>
      </c>
      <c r="U29" s="194" t="s">
        <v>211</v>
      </c>
      <c r="V29" s="194" t="s">
        <v>211</v>
      </c>
      <c r="W29" s="194" t="s">
        <v>211</v>
      </c>
      <c r="X29" s="198" t="e">
        <f>_xll.qlMidSafe($T29,$U29)</f>
        <v>#NUM!</v>
      </c>
      <c r="Y29" s="196"/>
      <c r="Z29" s="197" t="e">
        <v>#NUM!</v>
      </c>
      <c r="AA29" s="196"/>
      <c r="AB29" s="261" t="e">
        <v>#NUM!</v>
      </c>
      <c r="AC29" s="193">
        <f>_xll.qlSimpleQuoteSetValue(F29,AB29/100,Trigger)</f>
        <v>0</v>
      </c>
      <c r="AD29" s="164"/>
      <c r="AE29" s="13"/>
      <c r="AF29" s="13"/>
      <c r="AG29" s="13"/>
      <c r="AH29" s="13"/>
      <c r="AI29" s="13"/>
      <c r="AJ29" s="230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0" t="s">
        <v>64</v>
      </c>
      <c r="P30" s="58" t="str">
        <v>AM</v>
      </c>
      <c r="Q30" s="58" t="str">
        <v>3L</v>
      </c>
      <c r="R30" s="239" t="str">
        <f t="shared" si="0"/>
        <v>USDAM3L22Y</v>
      </c>
      <c r="S30" s="239" t="str">
        <v>USDAM3L22Y=ICAP</v>
      </c>
      <c r="T30" s="194" t="s">
        <v>211</v>
      </c>
      <c r="U30" s="194" t="s">
        <v>211</v>
      </c>
      <c r="V30" s="194" t="s">
        <v>211</v>
      </c>
      <c r="W30" s="194" t="s">
        <v>211</v>
      </c>
      <c r="X30" s="198" t="e">
        <f>_xll.qlMidSafe($T30,$U30)</f>
        <v>#NUM!</v>
      </c>
      <c r="Y30" s="196"/>
      <c r="Z30" s="197" t="e">
        <v>#NUM!</v>
      </c>
      <c r="AA30" s="196"/>
      <c r="AB30" s="261" t="e">
        <v>#NUM!</v>
      </c>
      <c r="AC30" s="193">
        <f>_xll.qlSimpleQuoteSetValue(F30,AB30/100,Trigger)</f>
        <v>0</v>
      </c>
      <c r="AD30" s="164"/>
      <c r="AE30" s="13"/>
      <c r="AF30" s="13"/>
      <c r="AG30" s="13"/>
      <c r="AH30" s="13"/>
      <c r="AI30" s="13"/>
      <c r="AJ30" s="230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0" t="s">
        <v>63</v>
      </c>
      <c r="P31" s="58" t="str">
        <v>AM</v>
      </c>
      <c r="Q31" s="58" t="str">
        <v>3L</v>
      </c>
      <c r="R31" s="239" t="str">
        <f t="shared" si="0"/>
        <v>USDAM3L23Y</v>
      </c>
      <c r="S31" s="239" t="str">
        <v>USDAM3L23Y=ICAP</v>
      </c>
      <c r="T31" s="194" t="s">
        <v>211</v>
      </c>
      <c r="U31" s="194" t="s">
        <v>211</v>
      </c>
      <c r="V31" s="194" t="s">
        <v>211</v>
      </c>
      <c r="W31" s="194" t="s">
        <v>211</v>
      </c>
      <c r="X31" s="198" t="e">
        <f>_xll.qlMidSafe($T31,$U31)</f>
        <v>#NUM!</v>
      </c>
      <c r="Y31" s="196"/>
      <c r="Z31" s="197" t="e">
        <v>#NUM!</v>
      </c>
      <c r="AA31" s="196"/>
      <c r="AB31" s="261" t="e">
        <v>#NUM!</v>
      </c>
      <c r="AC31" s="193">
        <f>_xll.qlSimpleQuoteSetValue(F31,AB31/100,Trigger)</f>
        <v>0</v>
      </c>
      <c r="AD31" s="164"/>
      <c r="AE31" s="13"/>
      <c r="AF31" s="13"/>
      <c r="AG31" s="13"/>
      <c r="AH31" s="13"/>
      <c r="AI31" s="13"/>
      <c r="AJ31" s="230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0" t="s">
        <v>62</v>
      </c>
      <c r="P32" s="58" t="str">
        <v>AM</v>
      </c>
      <c r="Q32" s="58" t="str">
        <v>3L</v>
      </c>
      <c r="R32" s="239" t="str">
        <f t="shared" si="0"/>
        <v>USDAM3L24Y</v>
      </c>
      <c r="S32" s="239" t="str">
        <v>USDAM3L24Y=ICAP</v>
      </c>
      <c r="T32" s="194" t="s">
        <v>211</v>
      </c>
      <c r="U32" s="194" t="s">
        <v>211</v>
      </c>
      <c r="V32" s="194" t="s">
        <v>211</v>
      </c>
      <c r="W32" s="194" t="s">
        <v>211</v>
      </c>
      <c r="X32" s="198" t="e">
        <f>_xll.qlMidSafe($T32,$U32)</f>
        <v>#NUM!</v>
      </c>
      <c r="Y32" s="196"/>
      <c r="Z32" s="197" t="e">
        <v>#NUM!</v>
      </c>
      <c r="AA32" s="196"/>
      <c r="AB32" s="261" t="e">
        <v>#NUM!</v>
      </c>
      <c r="AC32" s="193">
        <f>_xll.qlSimpleQuoteSetValue(F32,AB32/100,Trigger)</f>
        <v>0</v>
      </c>
      <c r="AD32" s="164"/>
      <c r="AE32" s="13"/>
      <c r="AF32" s="13"/>
      <c r="AG32" s="13"/>
      <c r="AH32" s="13"/>
      <c r="AI32" s="13"/>
      <c r="AJ32" s="230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0" t="s">
        <v>61</v>
      </c>
      <c r="P33" s="58" t="str">
        <v>AM</v>
      </c>
      <c r="Q33" s="58" t="str">
        <v>3L</v>
      </c>
      <c r="R33" s="239" t="str">
        <f t="shared" si="0"/>
        <v>USDAM3L25Y</v>
      </c>
      <c r="S33" s="239" t="str">
        <v>USDAM3L25Y=ICAP</v>
      </c>
      <c r="T33" s="194">
        <v>2.4049999999999998</v>
      </c>
      <c r="U33" s="194">
        <v>2.4350000000000001</v>
      </c>
      <c r="V33" s="194">
        <v>0</v>
      </c>
      <c r="W33" s="194">
        <v>0</v>
      </c>
      <c r="X33" s="198">
        <f>_xll.qlMidSafe($T33,$U33)</f>
        <v>2.42</v>
      </c>
      <c r="Y33" s="196"/>
      <c r="Z33" s="197">
        <v>2.9779999999999998</v>
      </c>
      <c r="AA33" s="196"/>
      <c r="AB33" s="261">
        <v>2.42</v>
      </c>
      <c r="AC33" s="193">
        <f>_xll.qlSimpleQuoteSetValue(F33,AB33/100,Trigger)</f>
        <v>0</v>
      </c>
      <c r="AD33" s="164"/>
      <c r="AE33" s="13"/>
      <c r="AF33" s="13"/>
      <c r="AG33" s="13"/>
      <c r="AH33" s="13"/>
      <c r="AI33" s="13"/>
      <c r="AJ33" s="230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0" t="s">
        <v>60</v>
      </c>
      <c r="P34" s="58" t="str">
        <v>AM</v>
      </c>
      <c r="Q34" s="58" t="str">
        <v>3L</v>
      </c>
      <c r="R34" s="239" t="str">
        <f t="shared" si="0"/>
        <v>USDAM3L26Y</v>
      </c>
      <c r="S34" s="239" t="str">
        <v>USDAM3L26Y=ICAP</v>
      </c>
      <c r="T34" s="194" t="s">
        <v>211</v>
      </c>
      <c r="U34" s="194" t="s">
        <v>211</v>
      </c>
      <c r="V34" s="194" t="s">
        <v>211</v>
      </c>
      <c r="W34" s="194" t="s">
        <v>211</v>
      </c>
      <c r="X34" s="198" t="e">
        <f>_xll.qlMidSafe($T34,$U34)</f>
        <v>#NUM!</v>
      </c>
      <c r="Y34" s="196"/>
      <c r="Z34" s="197" t="e">
        <v>#NUM!</v>
      </c>
      <c r="AA34" s="196"/>
      <c r="AB34" s="261" t="e">
        <v>#NUM!</v>
      </c>
      <c r="AC34" s="193">
        <f>_xll.qlSimpleQuoteSetValue(F34,AB34/100,Trigger)</f>
        <v>0</v>
      </c>
      <c r="AD34" s="164"/>
      <c r="AE34" s="13"/>
      <c r="AF34" s="13"/>
      <c r="AG34" s="13"/>
      <c r="AH34" s="13"/>
      <c r="AI34" s="13"/>
      <c r="AJ34" s="230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0" t="s">
        <v>59</v>
      </c>
      <c r="P35" s="58" t="str">
        <v>AM</v>
      </c>
      <c r="Q35" s="58" t="str">
        <v>3L</v>
      </c>
      <c r="R35" s="239" t="str">
        <f t="shared" si="0"/>
        <v>USDAM3L27Y</v>
      </c>
      <c r="S35" s="239" t="str">
        <v>USDAM3L27Y=ICAP</v>
      </c>
      <c r="T35" s="194" t="s">
        <v>211</v>
      </c>
      <c r="U35" s="194" t="s">
        <v>211</v>
      </c>
      <c r="V35" s="194" t="s">
        <v>211</v>
      </c>
      <c r="W35" s="194" t="s">
        <v>211</v>
      </c>
      <c r="X35" s="198" t="e">
        <f>_xll.qlMidSafe($T35,$U35)</f>
        <v>#NUM!</v>
      </c>
      <c r="Y35" s="196"/>
      <c r="Z35" s="197" t="e">
        <v>#NUM!</v>
      </c>
      <c r="AA35" s="196"/>
      <c r="AB35" s="261" t="e">
        <v>#NUM!</v>
      </c>
      <c r="AC35" s="193">
        <f>_xll.qlSimpleQuoteSetValue(F35,AB35/100,Trigger)</f>
        <v>0</v>
      </c>
      <c r="AD35" s="164"/>
      <c r="AE35" s="13"/>
      <c r="AF35" s="13"/>
      <c r="AG35" s="13"/>
      <c r="AH35" s="13"/>
      <c r="AI35" s="13"/>
      <c r="AJ35" s="230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0" t="s">
        <v>58</v>
      </c>
      <c r="P36" s="58" t="str">
        <v>AM</v>
      </c>
      <c r="Q36" s="58" t="str">
        <v>3L</v>
      </c>
      <c r="R36" s="239" t="str">
        <f t="shared" si="0"/>
        <v>USDAM3L28Y</v>
      </c>
      <c r="S36" s="239" t="str">
        <v>USDAM3L28Y=ICAP</v>
      </c>
      <c r="T36" s="194" t="s">
        <v>211</v>
      </c>
      <c r="U36" s="194" t="s">
        <v>211</v>
      </c>
      <c r="V36" s="194" t="s">
        <v>211</v>
      </c>
      <c r="W36" s="194" t="s">
        <v>211</v>
      </c>
      <c r="X36" s="198" t="e">
        <f>_xll.qlMidSafe($T36,$U36)</f>
        <v>#NUM!</v>
      </c>
      <c r="Y36" s="196"/>
      <c r="Z36" s="197" t="e">
        <v>#NUM!</v>
      </c>
      <c r="AA36" s="196"/>
      <c r="AB36" s="261" t="e">
        <v>#NUM!</v>
      </c>
      <c r="AC36" s="193">
        <f>_xll.qlSimpleQuoteSetValue(F36,AB36/100,Trigger)</f>
        <v>0</v>
      </c>
      <c r="AD36" s="164"/>
      <c r="AE36" s="13"/>
      <c r="AF36" s="13"/>
      <c r="AG36" s="13"/>
      <c r="AH36" s="13"/>
      <c r="AI36" s="13"/>
      <c r="AJ36" s="230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0" t="s">
        <v>57</v>
      </c>
      <c r="P37" s="58" t="str">
        <v>AM</v>
      </c>
      <c r="Q37" s="58" t="str">
        <v>3L</v>
      </c>
      <c r="R37" s="239" t="str">
        <f t="shared" si="0"/>
        <v>USDAM3L29Y</v>
      </c>
      <c r="S37" s="239" t="str">
        <v>USDAM3L29Y=ICAP</v>
      </c>
      <c r="T37" s="194" t="s">
        <v>211</v>
      </c>
      <c r="U37" s="194" t="s">
        <v>211</v>
      </c>
      <c r="V37" s="194" t="s">
        <v>211</v>
      </c>
      <c r="W37" s="194" t="s">
        <v>211</v>
      </c>
      <c r="X37" s="198" t="e">
        <f>_xll.qlMidSafe($T37,$U37)</f>
        <v>#NUM!</v>
      </c>
      <c r="Y37" s="196"/>
      <c r="Z37" s="197" t="e">
        <v>#NUM!</v>
      </c>
      <c r="AA37" s="196"/>
      <c r="AB37" s="261" t="e">
        <v>#NUM!</v>
      </c>
      <c r="AC37" s="193">
        <f>_xll.qlSimpleQuoteSetValue(F37,AB37/100,Trigger)</f>
        <v>0</v>
      </c>
      <c r="AD37" s="164"/>
      <c r="AE37" s="13"/>
      <c r="AF37" s="13"/>
      <c r="AG37" s="13"/>
      <c r="AH37" s="13"/>
      <c r="AI37" s="13"/>
      <c r="AJ37" s="230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0" t="s">
        <v>56</v>
      </c>
      <c r="P38" s="58" t="str">
        <v>AM</v>
      </c>
      <c r="Q38" s="58" t="str">
        <v>3L</v>
      </c>
      <c r="R38" s="239" t="str">
        <f t="shared" si="0"/>
        <v>USDAM3L30Y</v>
      </c>
      <c r="S38" s="239" t="str">
        <v>USDAM3L30Y=ICAP</v>
      </c>
      <c r="T38" s="194">
        <v>2.4300000000000002</v>
      </c>
      <c r="U38" s="194">
        <v>2.46</v>
      </c>
      <c r="V38" s="194">
        <v>0</v>
      </c>
      <c r="W38" s="194">
        <v>0</v>
      </c>
      <c r="X38" s="198">
        <f>_xll.qlMidSafe($T38,$U38)</f>
        <v>2.4450000000000003</v>
      </c>
      <c r="Y38" s="196"/>
      <c r="Z38" s="197">
        <v>3.0190000000000001</v>
      </c>
      <c r="AA38" s="196"/>
      <c r="AB38" s="261">
        <v>2.4450000000000003</v>
      </c>
      <c r="AC38" s="193">
        <f>_xll.qlSimpleQuoteSetValue(F38,AB38/100,Trigger)</f>
        <v>0</v>
      </c>
      <c r="AD38" s="164"/>
      <c r="AE38" s="13"/>
      <c r="AF38" s="13"/>
      <c r="AG38" s="13"/>
      <c r="AH38" s="13"/>
      <c r="AI38" s="13"/>
      <c r="AJ38" s="230">
        <f t="shared" si="1"/>
        <v>2.9999999999999363E-4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0" t="s">
        <v>51</v>
      </c>
      <c r="P39" s="58" t="str">
        <v>AM</v>
      </c>
      <c r="Q39" s="58" t="str">
        <v>3L</v>
      </c>
      <c r="R39" s="239" t="str">
        <f t="shared" si="0"/>
        <v>USDAM3L35Y</v>
      </c>
      <c r="S39" s="239" t="str">
        <v>USDAM3L35Y=ICAP</v>
      </c>
      <c r="T39" s="194" t="s">
        <v>211</v>
      </c>
      <c r="U39" s="194" t="s">
        <v>211</v>
      </c>
      <c r="V39" s="194" t="s">
        <v>211</v>
      </c>
      <c r="W39" s="194" t="s">
        <v>211</v>
      </c>
      <c r="X39" s="198" t="e">
        <f>_xll.qlMidSafe($T39,$U39)</f>
        <v>#NUM!</v>
      </c>
      <c r="Y39" s="196"/>
      <c r="Z39" s="197" t="e">
        <v>#NUM!</v>
      </c>
      <c r="AA39" s="196"/>
      <c r="AB39" s="261" t="e">
        <v>#NUM!</v>
      </c>
      <c r="AC39" s="193">
        <f>_xll.qlSimpleQuoteSetValue(F39,AB39/100,Trigger)</f>
        <v>0</v>
      </c>
      <c r="AD39" s="164"/>
      <c r="AE39" s="13"/>
      <c r="AF39" s="13"/>
      <c r="AG39" s="13"/>
      <c r="AH39" s="13"/>
      <c r="AI39" s="13"/>
      <c r="AJ39" s="230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0" t="s">
        <v>46</v>
      </c>
      <c r="P40" s="58" t="str">
        <v>AM</v>
      </c>
      <c r="Q40" s="58" t="str">
        <v>3L</v>
      </c>
      <c r="R40" s="239" t="str">
        <f t="shared" si="0"/>
        <v>USDAM3L40Y</v>
      </c>
      <c r="S40" s="239" t="str">
        <v>USDAM3L40Y=ICAP</v>
      </c>
      <c r="T40" s="194">
        <v>2.452</v>
      </c>
      <c r="U40" s="194">
        <v>2.4820000000000002</v>
      </c>
      <c r="V40" s="194">
        <v>0</v>
      </c>
      <c r="W40" s="194">
        <v>0</v>
      </c>
      <c r="X40" s="198">
        <f>_xll.qlMidSafe($T40,$U40)</f>
        <v>2.4670000000000001</v>
      </c>
      <c r="Y40" s="196"/>
      <c r="Z40" s="197">
        <v>3.04</v>
      </c>
      <c r="AA40" s="196"/>
      <c r="AB40" s="261">
        <v>2.4670000000000001</v>
      </c>
      <c r="AC40" s="193">
        <f>_xll.qlSimpleQuoteSetValue(F40,AB40/100,Trigger)</f>
        <v>0</v>
      </c>
      <c r="AD40" s="164"/>
      <c r="AE40" s="13"/>
      <c r="AF40" s="13"/>
      <c r="AG40" s="13"/>
      <c r="AH40" s="13"/>
      <c r="AI40" s="13"/>
      <c r="AJ40" s="230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0" t="s">
        <v>36</v>
      </c>
      <c r="P41" s="58" t="str">
        <v>AM</v>
      </c>
      <c r="Q41" s="58" t="str">
        <v>3L</v>
      </c>
      <c r="R41" s="239" t="str">
        <f t="shared" si="0"/>
        <v>USDAM3L50Y</v>
      </c>
      <c r="S41" s="239" t="str">
        <v>USDAM3L50Y=ICAP</v>
      </c>
      <c r="T41" s="194">
        <v>2.4300000000000002</v>
      </c>
      <c r="U41" s="194">
        <v>2.46</v>
      </c>
      <c r="V41" s="194">
        <v>0</v>
      </c>
      <c r="W41" s="194">
        <v>0</v>
      </c>
      <c r="X41" s="198">
        <f>_xll.qlMidSafe($T41,$U41)</f>
        <v>2.4450000000000003</v>
      </c>
      <c r="Y41" s="196"/>
      <c r="Z41" s="197">
        <v>3.0190000000000001</v>
      </c>
      <c r="AA41" s="196"/>
      <c r="AB41" s="261">
        <v>2.4450000000000003</v>
      </c>
      <c r="AC41" s="193">
        <f>_xll.qlSimpleQuoteSetValue(F41,AB41/100,Trigger)</f>
        <v>0</v>
      </c>
      <c r="AD41" s="164"/>
      <c r="AE41" s="13"/>
      <c r="AF41" s="13"/>
      <c r="AG41" s="13"/>
      <c r="AH41" s="13"/>
      <c r="AI41" s="13"/>
      <c r="AJ41" s="230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1" t="s">
        <v>26</v>
      </c>
      <c r="P42" s="202" t="str">
        <v>AM</v>
      </c>
      <c r="Q42" s="202" t="str">
        <v>3L</v>
      </c>
      <c r="R42" s="234" t="str">
        <f t="shared" si="0"/>
        <v>USDAM3L60Y</v>
      </c>
      <c r="S42" s="234" t="str">
        <v>USDAM3L60Y=ICAP</v>
      </c>
      <c r="T42" s="207" t="s">
        <v>211</v>
      </c>
      <c r="U42" s="207" t="s">
        <v>211</v>
      </c>
      <c r="V42" s="207" t="s">
        <v>211</v>
      </c>
      <c r="W42" s="207" t="s">
        <v>211</v>
      </c>
      <c r="X42" s="209" t="e">
        <f>_xll.qlMidSafe($T42,$U42)</f>
        <v>#NUM!</v>
      </c>
      <c r="Y42" s="196"/>
      <c r="Z42" s="208" t="e">
        <v>#NUM!</v>
      </c>
      <c r="AA42" s="196"/>
      <c r="AB42" s="254" t="e">
        <v>#NUM!</v>
      </c>
      <c r="AC42" s="206">
        <f>_xll.qlSimpleQuoteSetValue(F42,AB42/100,Trigger)</f>
        <v>0</v>
      </c>
      <c r="AD42" s="164"/>
      <c r="AE42" s="13"/>
      <c r="AF42" s="13"/>
      <c r="AG42" s="13"/>
      <c r="AH42" s="13"/>
      <c r="AI42" s="13"/>
      <c r="AJ42" s="230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57"/>
      <c r="O43" s="156"/>
      <c r="P43" s="156"/>
      <c r="Q43" s="156"/>
      <c r="R43" s="21"/>
      <c r="S43" s="21"/>
      <c r="T43" s="21"/>
      <c r="U43" s="21"/>
      <c r="V43" s="21"/>
      <c r="W43" s="21"/>
      <c r="X43" s="21"/>
      <c r="Y43" s="156"/>
      <c r="Z43" s="156"/>
      <c r="AA43" s="156"/>
      <c r="AB43" s="156"/>
      <c r="AC43" s="156"/>
      <c r="AD43" s="231"/>
      <c r="AE43" s="13"/>
      <c r="AF43" s="13"/>
      <c r="AG43" s="13"/>
      <c r="AH43" s="13"/>
      <c r="AI43" s="13"/>
      <c r="AJ43" s="13"/>
    </row>
  </sheetData>
  <conditionalFormatting sqref="AC5:AC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M1" workbookViewId="0">
      <selection activeCell="S2" sqref="S2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5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2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4" t="s">
        <v>183</v>
      </c>
      <c r="K2" s="153" t="s">
        <v>181</v>
      </c>
      <c r="L2" s="152" t="s">
        <v>180</v>
      </c>
      <c r="N2" s="228"/>
      <c r="O2" s="109"/>
      <c r="P2" s="227"/>
      <c r="Q2" s="227"/>
      <c r="R2" s="227"/>
      <c r="S2" s="116" t="s">
        <v>212</v>
      </c>
      <c r="T2" s="196"/>
      <c r="U2" s="196"/>
      <c r="V2" s="196"/>
      <c r="W2" s="196"/>
      <c r="X2" s="109"/>
      <c r="Y2" s="196"/>
      <c r="Z2" s="196"/>
      <c r="AA2" s="196"/>
      <c r="AB2" s="196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1" t="s">
        <v>104</v>
      </c>
      <c r="K3" s="160" t="s">
        <v>179</v>
      </c>
      <c r="L3" s="159" t="s">
        <v>98</v>
      </c>
      <c r="N3" s="94"/>
      <c r="O3" s="196"/>
      <c r="P3" s="109"/>
      <c r="Q3" s="109"/>
      <c r="R3" s="109"/>
      <c r="S3" s="109"/>
      <c r="T3" s="109"/>
      <c r="U3" s="109"/>
      <c r="V3" s="109"/>
      <c r="W3" s="109"/>
      <c r="X3" s="109"/>
      <c r="Y3" s="196"/>
      <c r="Z3" s="196"/>
      <c r="AA3" s="196"/>
      <c r="AB3" s="109"/>
      <c r="AC3" s="225">
        <f>_xll.ohTrigger(AC5:AC42)</f>
        <v>1</v>
      </c>
      <c r="AD3" s="164"/>
      <c r="AE3" s="13"/>
      <c r="AF3" s="13"/>
      <c r="AG3" s="13"/>
      <c r="AH3" s="13"/>
      <c r="AI3" s="13"/>
      <c r="AJ3" s="13"/>
    </row>
    <row r="4" spans="1:36" ht="12" thickBot="1" x14ac:dyDescent="0.25">
      <c r="A4" s="163" t="s">
        <v>184</v>
      </c>
      <c r="B4" s="148"/>
      <c r="C4" s="148"/>
      <c r="D4" s="148"/>
      <c r="E4" s="127"/>
      <c r="F4" s="162"/>
      <c r="G4" s="127"/>
      <c r="H4" s="145"/>
      <c r="J4" s="151" t="s">
        <v>103</v>
      </c>
      <c r="K4" s="58" t="s">
        <v>179</v>
      </c>
      <c r="L4" s="57" t="s">
        <v>101</v>
      </c>
      <c r="N4" s="94"/>
      <c r="O4" s="304"/>
      <c r="P4" s="143"/>
      <c r="Q4" s="143"/>
      <c r="R4" s="143"/>
      <c r="S4" s="191" t="str">
        <f>_xll.RData(S5:S42,T4:W4,"RTFEED:IDN",ReutersRtMode,,T5)</f>
        <v>Updated at 10:05:48</v>
      </c>
      <c r="T4" s="249" t="s">
        <v>199</v>
      </c>
      <c r="U4" s="249" t="s">
        <v>198</v>
      </c>
      <c r="V4" s="249" t="s">
        <v>216</v>
      </c>
      <c r="W4" s="249" t="s">
        <v>234</v>
      </c>
      <c r="X4" s="221" t="s">
        <v>233</v>
      </c>
      <c r="Y4" s="196"/>
      <c r="Z4" s="223" t="s">
        <v>229</v>
      </c>
      <c r="AA4" s="196"/>
      <c r="AB4" s="416" t="s">
        <v>227</v>
      </c>
      <c r="AC4" s="67" t="s">
        <v>226</v>
      </c>
      <c r="AD4" s="164"/>
      <c r="AE4" s="13"/>
      <c r="AF4" s="13"/>
      <c r="AG4" s="13"/>
      <c r="AH4" s="13"/>
      <c r="AI4" s="13"/>
      <c r="AJ4" s="247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1" t="s">
        <v>100</v>
      </c>
      <c r="K5" s="58" t="s">
        <v>178</v>
      </c>
      <c r="L5" s="57" t="s">
        <v>98</v>
      </c>
      <c r="N5" s="94"/>
      <c r="O5" s="200" t="s">
        <v>14</v>
      </c>
      <c r="P5" s="241" t="str">
        <f t="array" ref="P5:P42">VLOOKUP(Currency,Conventions,2)</f>
        <v>AM</v>
      </c>
      <c r="Q5" s="241" t="str">
        <f t="array" ref="Q5:Q42">VLOOKUP(Currency,Conventions,3)</f>
        <v>6L</v>
      </c>
      <c r="R5" s="199" t="str">
        <f t="shared" ref="R5:R42" si="0">Currency&amp;$P5&amp;$Q5&amp;$O5</f>
        <v>USDAM6L6M</v>
      </c>
      <c r="S5" s="199" t="str">
        <f t="array" ref="S5:S42">Instruments&amp;"="&amp;VLOOKUP(Contributor,ContributorTable,2,FALSE)</f>
        <v>USDAM6L6M=ICAP</v>
      </c>
      <c r="T5" s="194" t="s">
        <v>211</v>
      </c>
      <c r="U5" s="194" t="s">
        <v>211</v>
      </c>
      <c r="V5" s="194" t="s">
        <v>211</v>
      </c>
      <c r="W5" s="194" t="s">
        <v>211</v>
      </c>
      <c r="X5" s="198" t="e">
        <f>_xll.qlMidSafe($T5,$U5)</f>
        <v>#NUM!</v>
      </c>
      <c r="Y5" s="196"/>
      <c r="Z5" s="197">
        <v>0</v>
      </c>
      <c r="AA5" s="196"/>
      <c r="AB5" s="261" t="e">
        <f t="array" ref="AB5:AB42">QuoteLive</f>
        <v>#NUM!</v>
      </c>
      <c r="AC5" s="193" t="e">
        <f>_xll.qlSimpleQuoteSetValue(F5,AB5/100,Trigger)</f>
        <v>#NUM!</v>
      </c>
      <c r="AD5" s="164"/>
      <c r="AE5" s="13"/>
      <c r="AF5" s="302" t="s">
        <v>104</v>
      </c>
      <c r="AG5" s="61" t="s">
        <v>179</v>
      </c>
      <c r="AH5" s="60" t="s">
        <v>98</v>
      </c>
      <c r="AI5" s="13"/>
      <c r="AJ5" s="230" t="e">
        <f t="shared" ref="AJ5:AJ42" si="1">(U5-X5)/50</f>
        <v>#VALUE!</v>
      </c>
    </row>
    <row r="6" spans="1:36" x14ac:dyDescent="0.2">
      <c r="A6" s="94"/>
      <c r="B6" s="158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1" t="s">
        <v>99</v>
      </c>
      <c r="K6" s="160" t="s">
        <v>178</v>
      </c>
      <c r="L6" s="159" t="s">
        <v>98</v>
      </c>
      <c r="N6" s="94"/>
      <c r="O6" s="200" t="s">
        <v>8</v>
      </c>
      <c r="P6" s="241" t="str">
        <v>AM</v>
      </c>
      <c r="Q6" s="241" t="str">
        <v>6L</v>
      </c>
      <c r="R6" s="199" t="str">
        <f t="shared" si="0"/>
        <v>USDAM6L1Y</v>
      </c>
      <c r="S6" s="199" t="str">
        <v>USDAM6L1Y=ICAP</v>
      </c>
      <c r="T6" s="194" t="s">
        <v>211</v>
      </c>
      <c r="U6" s="194" t="s">
        <v>211</v>
      </c>
      <c r="V6" s="194" t="s">
        <v>211</v>
      </c>
      <c r="W6" s="194" t="s">
        <v>211</v>
      </c>
      <c r="X6" s="198" t="e">
        <f>_xll.qlMidSafe($T6,$U6)</f>
        <v>#NUM!</v>
      </c>
      <c r="Y6" s="196"/>
      <c r="Z6" s="197">
        <v>0</v>
      </c>
      <c r="AA6" s="196"/>
      <c r="AB6" s="261" t="e">
        <v>#NUM!</v>
      </c>
      <c r="AC6" s="193">
        <f>_xll.qlSimpleQuoteSetValue(F6,AB6/100,Trigger)</f>
        <v>0</v>
      </c>
      <c r="AD6" s="164"/>
      <c r="AE6" s="13"/>
      <c r="AF6" s="151" t="s">
        <v>103</v>
      </c>
      <c r="AG6" s="58" t="s">
        <v>179</v>
      </c>
      <c r="AH6" s="57" t="s">
        <v>101</v>
      </c>
      <c r="AI6" s="13"/>
      <c r="AJ6" s="230" t="e">
        <f t="shared" si="1"/>
        <v>#VALUE!</v>
      </c>
    </row>
    <row r="7" spans="1:36" ht="12" thickBot="1" x14ac:dyDescent="0.25">
      <c r="A7" s="94"/>
      <c r="B7" s="161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0" t="s">
        <v>94</v>
      </c>
      <c r="K7" s="55" t="s">
        <v>177</v>
      </c>
      <c r="L7" s="54" t="s">
        <v>98</v>
      </c>
      <c r="N7" s="94"/>
      <c r="O7" s="200" t="s">
        <v>107</v>
      </c>
      <c r="P7" s="241" t="str">
        <v>AM</v>
      </c>
      <c r="Q7" s="241" t="str">
        <v>6L</v>
      </c>
      <c r="R7" s="199" t="str">
        <f t="shared" si="0"/>
        <v>USDAM6L15M</v>
      </c>
      <c r="S7" s="199" t="str">
        <v>USDAM6L15M=ICAP</v>
      </c>
      <c r="T7" s="194" t="s">
        <v>211</v>
      </c>
      <c r="U7" s="194" t="s">
        <v>211</v>
      </c>
      <c r="V7" s="194" t="s">
        <v>211</v>
      </c>
      <c r="W7" s="194" t="s">
        <v>211</v>
      </c>
      <c r="X7" s="198" t="e">
        <f>_xll.qlMidEquivalent($T7,$U7,$V7,$W7)</f>
        <v>#NUM!</v>
      </c>
      <c r="Y7" s="196"/>
      <c r="Z7" s="197">
        <v>0</v>
      </c>
      <c r="AA7" s="196"/>
      <c r="AB7" s="261" t="e">
        <v>#NUM!</v>
      </c>
      <c r="AC7" s="193">
        <f>_xll.qlSimpleQuoteSetValue(F7,AB7/100,Trigger)</f>
        <v>0</v>
      </c>
      <c r="AD7" s="164"/>
      <c r="AE7" s="13"/>
      <c r="AF7" s="151" t="s">
        <v>100</v>
      </c>
      <c r="AG7" s="58" t="s">
        <v>178</v>
      </c>
      <c r="AH7" s="57" t="s">
        <v>98</v>
      </c>
      <c r="AI7" s="303"/>
      <c r="AJ7" s="230" t="e">
        <f t="shared" si="1"/>
        <v>#VALUE!</v>
      </c>
    </row>
    <row r="8" spans="1:36" x14ac:dyDescent="0.2">
      <c r="A8" s="94"/>
      <c r="B8" s="161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0" t="s">
        <v>106</v>
      </c>
      <c r="P8" s="241" t="str">
        <v>AM</v>
      </c>
      <c r="Q8" s="241" t="str">
        <v>6L</v>
      </c>
      <c r="R8" s="199" t="str">
        <f t="shared" si="0"/>
        <v>USDAM6L18M</v>
      </c>
      <c r="S8" s="199" t="str">
        <v>USDAM6L18M=ICAP</v>
      </c>
      <c r="T8" s="194" t="s">
        <v>211</v>
      </c>
      <c r="U8" s="194" t="s">
        <v>211</v>
      </c>
      <c r="V8" s="194" t="s">
        <v>211</v>
      </c>
      <c r="W8" s="194" t="s">
        <v>211</v>
      </c>
      <c r="X8" s="198" t="e">
        <f>_xll.qlMidEquivalent($T8,$U8,$V8,$W8)</f>
        <v>#NUM!</v>
      </c>
      <c r="Y8" s="196"/>
      <c r="Z8" s="197">
        <v>0</v>
      </c>
      <c r="AA8" s="196"/>
      <c r="AB8" s="261" t="e">
        <v>#NUM!</v>
      </c>
      <c r="AC8" s="193">
        <f>_xll.qlSimpleQuoteSetValue(F8,AB8/100,Trigger)</f>
        <v>0</v>
      </c>
      <c r="AD8" s="164"/>
      <c r="AE8" s="13"/>
      <c r="AF8" s="151" t="s">
        <v>99</v>
      </c>
      <c r="AG8" s="58" t="s">
        <v>178</v>
      </c>
      <c r="AH8" s="57" t="s">
        <v>98</v>
      </c>
      <c r="AI8" s="303"/>
      <c r="AJ8" s="230" t="e">
        <f t="shared" si="1"/>
        <v>#VALUE!</v>
      </c>
    </row>
    <row r="9" spans="1:36" ht="12" thickBot="1" x14ac:dyDescent="0.25">
      <c r="A9" s="94"/>
      <c r="B9" s="161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0" t="s">
        <v>105</v>
      </c>
      <c r="P9" s="241" t="str">
        <v>AM</v>
      </c>
      <c r="Q9" s="241" t="str">
        <v>6L</v>
      </c>
      <c r="R9" s="199" t="str">
        <f t="shared" si="0"/>
        <v>USDAM6L21M</v>
      </c>
      <c r="S9" s="199" t="str">
        <v>USDAM6L21M=ICAP</v>
      </c>
      <c r="T9" s="194" t="s">
        <v>211</v>
      </c>
      <c r="U9" s="194" t="s">
        <v>211</v>
      </c>
      <c r="V9" s="194" t="s">
        <v>211</v>
      </c>
      <c r="W9" s="194" t="s">
        <v>211</v>
      </c>
      <c r="X9" s="198" t="e">
        <f>_xll.qlMidEquivalent($T9,$U9,$V9,$W9)</f>
        <v>#NUM!</v>
      </c>
      <c r="Y9" s="196"/>
      <c r="Z9" s="197">
        <v>0</v>
      </c>
      <c r="AA9" s="196"/>
      <c r="AB9" s="261" t="e">
        <v>#NUM!</v>
      </c>
      <c r="AC9" s="193">
        <f>_xll.qlSimpleQuoteSetValue(F9,AB9/100,Trigger)</f>
        <v>0</v>
      </c>
      <c r="AD9" s="164"/>
      <c r="AE9" s="13"/>
      <c r="AF9" s="150" t="s">
        <v>94</v>
      </c>
      <c r="AG9" s="55" t="s">
        <v>177</v>
      </c>
      <c r="AH9" s="54" t="s">
        <v>98</v>
      </c>
      <c r="AI9" s="13"/>
      <c r="AJ9" s="230" t="e">
        <f t="shared" si="1"/>
        <v>#VALUE!</v>
      </c>
    </row>
    <row r="10" spans="1:36" x14ac:dyDescent="0.2">
      <c r="A10" s="94"/>
      <c r="B10" s="158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0" t="s">
        <v>84</v>
      </c>
      <c r="P10" s="241" t="str">
        <v>AM</v>
      </c>
      <c r="Q10" s="241" t="str">
        <v>6L</v>
      </c>
      <c r="R10" s="199" t="str">
        <f t="shared" si="0"/>
        <v>USDAM6L2Y</v>
      </c>
      <c r="S10" s="199" t="str">
        <v>USDAM6L2Y=ICAP</v>
      </c>
      <c r="T10" s="194" t="s">
        <v>211</v>
      </c>
      <c r="U10" s="194" t="s">
        <v>211</v>
      </c>
      <c r="V10" s="194" t="s">
        <v>211</v>
      </c>
      <c r="W10" s="194" t="s">
        <v>211</v>
      </c>
      <c r="X10" s="198" t="e">
        <f>_xll.qlMidEquivalent($T10,$U10,$V10,$W10)</f>
        <v>#NUM!</v>
      </c>
      <c r="Y10" s="196"/>
      <c r="Z10" s="197">
        <v>0</v>
      </c>
      <c r="AA10" s="196"/>
      <c r="AB10" s="261" t="e">
        <v>#NUM!</v>
      </c>
      <c r="AC10" s="193">
        <f>_xll.qlSimpleQuoteSetValue(F10,AB10/100,Trigger)</f>
        <v>0</v>
      </c>
      <c r="AD10" s="164"/>
      <c r="AE10" s="13"/>
      <c r="AF10" s="13"/>
      <c r="AG10" s="13"/>
      <c r="AH10" s="13"/>
      <c r="AI10" s="13"/>
      <c r="AJ10" s="230" t="e">
        <f t="shared" si="1"/>
        <v>#VALUE!</v>
      </c>
    </row>
    <row r="11" spans="1:36" x14ac:dyDescent="0.2">
      <c r="A11" s="94"/>
      <c r="B11" s="158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0" t="s">
        <v>83</v>
      </c>
      <c r="P11" s="241" t="str">
        <v>AM</v>
      </c>
      <c r="Q11" s="241" t="str">
        <v>6L</v>
      </c>
      <c r="R11" s="199" t="str">
        <f t="shared" si="0"/>
        <v>USDAM6L3Y</v>
      </c>
      <c r="S11" s="199" t="str">
        <v>USDAM6L3Y=ICAP</v>
      </c>
      <c r="T11" s="194" t="s">
        <v>211</v>
      </c>
      <c r="U11" s="194" t="s">
        <v>211</v>
      </c>
      <c r="V11" s="194" t="s">
        <v>211</v>
      </c>
      <c r="W11" s="194" t="s">
        <v>211</v>
      </c>
      <c r="X11" s="198" t="e">
        <f>_xll.qlMidEquivalent($T11,$U11,$V11,$W11)</f>
        <v>#NUM!</v>
      </c>
      <c r="Y11" s="196"/>
      <c r="Z11" s="197">
        <v>0</v>
      </c>
      <c r="AA11" s="196"/>
      <c r="AB11" s="261" t="e">
        <v>#NUM!</v>
      </c>
      <c r="AC11" s="193">
        <f>_xll.qlSimpleQuoteSetValue(F11,AB11/100,Trigger)</f>
        <v>0</v>
      </c>
      <c r="AD11" s="164"/>
      <c r="AE11" s="13"/>
      <c r="AF11" s="13"/>
      <c r="AG11" s="13"/>
      <c r="AH11" s="13"/>
      <c r="AI11" s="13"/>
      <c r="AJ11" s="230" t="e">
        <f t="shared" si="1"/>
        <v>#VALUE!</v>
      </c>
    </row>
    <row r="12" spans="1:36" x14ac:dyDescent="0.2">
      <c r="A12" s="94"/>
      <c r="B12" s="158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0" t="s">
        <v>82</v>
      </c>
      <c r="P12" s="241" t="str">
        <v>AM</v>
      </c>
      <c r="Q12" s="241" t="str">
        <v>6L</v>
      </c>
      <c r="R12" s="199" t="str">
        <f t="shared" si="0"/>
        <v>USDAM6L4Y</v>
      </c>
      <c r="S12" s="199" t="str">
        <v>USDAM6L4Y=ICAP</v>
      </c>
      <c r="T12" s="194" t="s">
        <v>211</v>
      </c>
      <c r="U12" s="194" t="s">
        <v>211</v>
      </c>
      <c r="V12" s="194" t="s">
        <v>211</v>
      </c>
      <c r="W12" s="194" t="s">
        <v>211</v>
      </c>
      <c r="X12" s="198" t="e">
        <f>_xll.qlMidEquivalent($T12,$U12,$V12,$W12)</f>
        <v>#NUM!</v>
      </c>
      <c r="Y12" s="196"/>
      <c r="Z12" s="197">
        <v>0</v>
      </c>
      <c r="AA12" s="196"/>
      <c r="AB12" s="261" t="e">
        <v>#NUM!</v>
      </c>
      <c r="AC12" s="193">
        <f>_xll.qlSimpleQuoteSetValue(F12,AB12/100,Trigger)</f>
        <v>0</v>
      </c>
      <c r="AD12" s="164"/>
      <c r="AE12" s="13"/>
      <c r="AF12" s="13"/>
      <c r="AG12" s="13"/>
      <c r="AH12" s="13"/>
      <c r="AI12" s="13"/>
      <c r="AJ12" s="230" t="e">
        <f t="shared" si="1"/>
        <v>#VALUE!</v>
      </c>
    </row>
    <row r="13" spans="1:36" x14ac:dyDescent="0.2">
      <c r="A13" s="94"/>
      <c r="B13" s="158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0" t="s">
        <v>81</v>
      </c>
      <c r="P13" s="241" t="str">
        <v>AM</v>
      </c>
      <c r="Q13" s="241" t="str">
        <v>6L</v>
      </c>
      <c r="R13" s="199" t="str">
        <f t="shared" si="0"/>
        <v>USDAM6L5Y</v>
      </c>
      <c r="S13" s="199" t="str">
        <v>USDAM6L5Y=ICAP</v>
      </c>
      <c r="T13" s="194" t="s">
        <v>211</v>
      </c>
      <c r="U13" s="194" t="s">
        <v>211</v>
      </c>
      <c r="V13" s="194" t="s">
        <v>211</v>
      </c>
      <c r="W13" s="194" t="s">
        <v>211</v>
      </c>
      <c r="X13" s="198" t="e">
        <f>_xll.qlMidEquivalent($T13,$U13,$V13,$W13)</f>
        <v>#NUM!</v>
      </c>
      <c r="Y13" s="196"/>
      <c r="Z13" s="197">
        <v>0</v>
      </c>
      <c r="AA13" s="196"/>
      <c r="AB13" s="261" t="e">
        <v>#NUM!</v>
      </c>
      <c r="AC13" s="193">
        <f>_xll.qlSimpleQuoteSetValue(F13,AB13/100,Trigger)</f>
        <v>0</v>
      </c>
      <c r="AD13" s="164"/>
      <c r="AE13" s="13"/>
      <c r="AF13" s="13"/>
      <c r="AG13" s="13"/>
      <c r="AH13" s="13"/>
      <c r="AI13" s="13"/>
      <c r="AJ13" s="230" t="e">
        <f t="shared" si="1"/>
        <v>#VALUE!</v>
      </c>
    </row>
    <row r="14" spans="1:36" x14ac:dyDescent="0.2">
      <c r="A14" s="94"/>
      <c r="B14" s="158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0" t="s">
        <v>80</v>
      </c>
      <c r="P14" s="241" t="str">
        <v>AM</v>
      </c>
      <c r="Q14" s="241" t="str">
        <v>6L</v>
      </c>
      <c r="R14" s="199" t="str">
        <f t="shared" si="0"/>
        <v>USDAM6L6Y</v>
      </c>
      <c r="S14" s="199" t="str">
        <v>USDAM6L6Y=ICAP</v>
      </c>
      <c r="T14" s="194" t="s">
        <v>211</v>
      </c>
      <c r="U14" s="194" t="s">
        <v>211</v>
      </c>
      <c r="V14" s="194" t="s">
        <v>211</v>
      </c>
      <c r="W14" s="194" t="s">
        <v>211</v>
      </c>
      <c r="X14" s="198" t="e">
        <f>_xll.qlMidEquivalent($T14,$U14,$V14,$W14)</f>
        <v>#NUM!</v>
      </c>
      <c r="Y14" s="196"/>
      <c r="Z14" s="197">
        <v>0</v>
      </c>
      <c r="AA14" s="196"/>
      <c r="AB14" s="261" t="e">
        <v>#NUM!</v>
      </c>
      <c r="AC14" s="193">
        <f>_xll.qlSimpleQuoteSetValue(F14,AB14/100,Trigger)</f>
        <v>0</v>
      </c>
      <c r="AD14" s="164"/>
      <c r="AE14" s="13"/>
      <c r="AF14" s="13"/>
      <c r="AG14" s="13"/>
      <c r="AH14" s="13"/>
      <c r="AI14" s="13"/>
      <c r="AJ14" s="230" t="e">
        <f t="shared" si="1"/>
        <v>#VALUE!</v>
      </c>
    </row>
    <row r="15" spans="1:36" x14ac:dyDescent="0.2">
      <c r="A15" s="94"/>
      <c r="B15" s="158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0" t="s">
        <v>79</v>
      </c>
      <c r="P15" s="241" t="str">
        <v>AM</v>
      </c>
      <c r="Q15" s="241" t="str">
        <v>6L</v>
      </c>
      <c r="R15" s="199" t="str">
        <f t="shared" si="0"/>
        <v>USDAM6L7Y</v>
      </c>
      <c r="S15" s="199" t="str">
        <v>USDAM6L7Y=ICAP</v>
      </c>
      <c r="T15" s="194" t="s">
        <v>211</v>
      </c>
      <c r="U15" s="194" t="s">
        <v>211</v>
      </c>
      <c r="V15" s="194" t="s">
        <v>211</v>
      </c>
      <c r="W15" s="194" t="s">
        <v>211</v>
      </c>
      <c r="X15" s="198" t="e">
        <f>_xll.qlMidEquivalent($T15,$U15,$V15,$W15)</f>
        <v>#NUM!</v>
      </c>
      <c r="Y15" s="196"/>
      <c r="Z15" s="197">
        <v>0</v>
      </c>
      <c r="AA15" s="196"/>
      <c r="AB15" s="261" t="e">
        <v>#NUM!</v>
      </c>
      <c r="AC15" s="193">
        <f>_xll.qlSimpleQuoteSetValue(F15,AB15/100,Trigger)</f>
        <v>0</v>
      </c>
      <c r="AD15" s="164"/>
      <c r="AE15" s="13"/>
      <c r="AF15" s="13"/>
      <c r="AG15" s="13"/>
      <c r="AH15" s="13"/>
      <c r="AI15" s="13"/>
      <c r="AJ15" s="230" t="e">
        <f t="shared" si="1"/>
        <v>#VALUE!</v>
      </c>
    </row>
    <row r="16" spans="1:36" x14ac:dyDescent="0.2">
      <c r="A16" s="94"/>
      <c r="B16" s="158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0" t="s">
        <v>78</v>
      </c>
      <c r="P16" s="241" t="str">
        <v>AM</v>
      </c>
      <c r="Q16" s="241" t="str">
        <v>6L</v>
      </c>
      <c r="R16" s="199" t="str">
        <f t="shared" si="0"/>
        <v>USDAM6L8Y</v>
      </c>
      <c r="S16" s="199" t="str">
        <v>USDAM6L8Y=ICAP</v>
      </c>
      <c r="T16" s="194" t="s">
        <v>211</v>
      </c>
      <c r="U16" s="194" t="s">
        <v>211</v>
      </c>
      <c r="V16" s="194" t="s">
        <v>211</v>
      </c>
      <c r="W16" s="194" t="s">
        <v>211</v>
      </c>
      <c r="X16" s="198" t="e">
        <f>_xll.qlMidEquivalent($T16,$U16,$V16,$W16)</f>
        <v>#NUM!</v>
      </c>
      <c r="Y16" s="196"/>
      <c r="Z16" s="197">
        <v>0</v>
      </c>
      <c r="AA16" s="196"/>
      <c r="AB16" s="261" t="e">
        <v>#NUM!</v>
      </c>
      <c r="AC16" s="193">
        <f>_xll.qlSimpleQuoteSetValue(F16,AB16/100,Trigger)</f>
        <v>0</v>
      </c>
      <c r="AD16" s="164"/>
      <c r="AE16" s="13"/>
      <c r="AF16" s="13"/>
      <c r="AG16" s="13"/>
      <c r="AH16" s="13"/>
      <c r="AI16" s="13"/>
      <c r="AJ16" s="230" t="e">
        <f t="shared" si="1"/>
        <v>#VALUE!</v>
      </c>
    </row>
    <row r="17" spans="1:36" x14ac:dyDescent="0.2">
      <c r="A17" s="94"/>
      <c r="B17" s="158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0" t="s">
        <v>77</v>
      </c>
      <c r="P17" s="241" t="str">
        <v>AM</v>
      </c>
      <c r="Q17" s="241" t="str">
        <v>6L</v>
      </c>
      <c r="R17" s="199" t="str">
        <f t="shared" si="0"/>
        <v>USDAM6L9Y</v>
      </c>
      <c r="S17" s="199" t="str">
        <v>USDAM6L9Y=ICAP</v>
      </c>
      <c r="T17" s="194" t="s">
        <v>211</v>
      </c>
      <c r="U17" s="194" t="s">
        <v>211</v>
      </c>
      <c r="V17" s="194" t="s">
        <v>211</v>
      </c>
      <c r="W17" s="194" t="s">
        <v>211</v>
      </c>
      <c r="X17" s="198" t="e">
        <f>_xll.qlMidEquivalent($T17,$U17,$V17,$W17)</f>
        <v>#NUM!</v>
      </c>
      <c r="Y17" s="196"/>
      <c r="Z17" s="197">
        <v>0</v>
      </c>
      <c r="AA17" s="196"/>
      <c r="AB17" s="261" t="e">
        <v>#NUM!</v>
      </c>
      <c r="AC17" s="193">
        <f>_xll.qlSimpleQuoteSetValue(F17,AB17/100,Trigger)</f>
        <v>0</v>
      </c>
      <c r="AD17" s="164"/>
      <c r="AE17" s="13"/>
      <c r="AF17" s="13"/>
      <c r="AG17" s="13"/>
      <c r="AH17" s="13"/>
      <c r="AI17" s="13"/>
      <c r="AJ17" s="230" t="e">
        <f t="shared" si="1"/>
        <v>#VALUE!</v>
      </c>
    </row>
    <row r="18" spans="1:36" x14ac:dyDescent="0.2">
      <c r="A18" s="94"/>
      <c r="B18" s="158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0" t="s">
        <v>76</v>
      </c>
      <c r="P18" s="241" t="str">
        <v>AM</v>
      </c>
      <c r="Q18" s="241" t="str">
        <v>6L</v>
      </c>
      <c r="R18" s="199" t="str">
        <f t="shared" si="0"/>
        <v>USDAM6L10Y</v>
      </c>
      <c r="S18" s="199" t="str">
        <v>USDAM6L10Y=ICAP</v>
      </c>
      <c r="T18" s="194" t="s">
        <v>211</v>
      </c>
      <c r="U18" s="194" t="s">
        <v>211</v>
      </c>
      <c r="V18" s="194" t="s">
        <v>211</v>
      </c>
      <c r="W18" s="194" t="s">
        <v>211</v>
      </c>
      <c r="X18" s="198" t="e">
        <f>_xll.qlMidEquivalent($T18,$U18,$V18,$W18)</f>
        <v>#NUM!</v>
      </c>
      <c r="Y18" s="196"/>
      <c r="Z18" s="197">
        <v>0</v>
      </c>
      <c r="AA18" s="196"/>
      <c r="AB18" s="261" t="e">
        <v>#NUM!</v>
      </c>
      <c r="AC18" s="193">
        <f>_xll.qlSimpleQuoteSetValue(F18,AB18/100,Trigger)</f>
        <v>0</v>
      </c>
      <c r="AD18" s="164"/>
      <c r="AE18" s="13"/>
      <c r="AF18" s="13"/>
      <c r="AG18" s="13"/>
      <c r="AH18" s="13"/>
      <c r="AI18" s="13"/>
      <c r="AJ18" s="230" t="e">
        <f t="shared" si="1"/>
        <v>#VALUE!</v>
      </c>
    </row>
    <row r="19" spans="1:36" x14ac:dyDescent="0.2">
      <c r="A19" s="94"/>
      <c r="B19" s="158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0" t="s">
        <v>75</v>
      </c>
      <c r="P19" s="241" t="str">
        <v>AM</v>
      </c>
      <c r="Q19" s="241" t="str">
        <v>6L</v>
      </c>
      <c r="R19" s="199" t="str">
        <f t="shared" si="0"/>
        <v>USDAM6L11Y</v>
      </c>
      <c r="S19" s="199" t="str">
        <v>USDAM6L11Y=ICAP</v>
      </c>
      <c r="T19" s="194" t="s">
        <v>211</v>
      </c>
      <c r="U19" s="194" t="s">
        <v>211</v>
      </c>
      <c r="V19" s="194" t="s">
        <v>211</v>
      </c>
      <c r="W19" s="194" t="s">
        <v>211</v>
      </c>
      <c r="X19" s="198" t="e">
        <f>_xll.qlMidEquivalent($T19,$U19,$V19,$W19)</f>
        <v>#NUM!</v>
      </c>
      <c r="Y19" s="196"/>
      <c r="Z19" s="197">
        <v>0</v>
      </c>
      <c r="AA19" s="196"/>
      <c r="AB19" s="261" t="e">
        <v>#NUM!</v>
      </c>
      <c r="AC19" s="193">
        <f>_xll.qlSimpleQuoteSetValue(F19,AB19/100,Trigger)</f>
        <v>0</v>
      </c>
      <c r="AD19" s="164"/>
      <c r="AE19" s="13"/>
      <c r="AF19" s="13"/>
      <c r="AG19" s="13"/>
      <c r="AH19" s="13"/>
      <c r="AI19" s="13"/>
      <c r="AJ19" s="230" t="e">
        <f t="shared" si="1"/>
        <v>#VALUE!</v>
      </c>
    </row>
    <row r="20" spans="1:36" x14ac:dyDescent="0.2">
      <c r="A20" s="94"/>
      <c r="B20" s="158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0" t="s">
        <v>74</v>
      </c>
      <c r="P20" s="241" t="str">
        <v>AM</v>
      </c>
      <c r="Q20" s="241" t="str">
        <v>6L</v>
      </c>
      <c r="R20" s="199" t="str">
        <f t="shared" si="0"/>
        <v>USDAM6L12Y</v>
      </c>
      <c r="S20" s="199" t="str">
        <v>USDAM6L12Y=ICAP</v>
      </c>
      <c r="T20" s="194" t="s">
        <v>211</v>
      </c>
      <c r="U20" s="194" t="s">
        <v>211</v>
      </c>
      <c r="V20" s="194" t="s">
        <v>211</v>
      </c>
      <c r="W20" s="194" t="s">
        <v>211</v>
      </c>
      <c r="X20" s="198" t="e">
        <f>_xll.qlMidEquivalent($T20,$U20,$V20,$W20)</f>
        <v>#NUM!</v>
      </c>
      <c r="Y20" s="196"/>
      <c r="Z20" s="197">
        <v>0</v>
      </c>
      <c r="AA20" s="196"/>
      <c r="AB20" s="261" t="e">
        <v>#NUM!</v>
      </c>
      <c r="AC20" s="193">
        <f>_xll.qlSimpleQuoteSetValue(F20,AB20/100,Trigger)</f>
        <v>0</v>
      </c>
      <c r="AD20" s="164"/>
      <c r="AE20" s="13"/>
      <c r="AF20" s="13"/>
      <c r="AG20" s="13"/>
      <c r="AH20" s="13"/>
      <c r="AI20" s="13"/>
      <c r="AJ20" s="230" t="e">
        <f t="shared" si="1"/>
        <v>#VALUE!</v>
      </c>
    </row>
    <row r="21" spans="1:36" x14ac:dyDescent="0.2">
      <c r="A21" s="94"/>
      <c r="B21" s="158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0" t="s">
        <v>73</v>
      </c>
      <c r="P21" s="241" t="str">
        <v>AM</v>
      </c>
      <c r="Q21" s="241" t="str">
        <v>6L</v>
      </c>
      <c r="R21" s="199" t="str">
        <f t="shared" si="0"/>
        <v>USDAM6L13Y</v>
      </c>
      <c r="S21" s="199" t="str">
        <v>USDAM6L13Y=ICAP</v>
      </c>
      <c r="T21" s="194" t="s">
        <v>211</v>
      </c>
      <c r="U21" s="194" t="s">
        <v>211</v>
      </c>
      <c r="V21" s="194" t="s">
        <v>211</v>
      </c>
      <c r="W21" s="194" t="s">
        <v>211</v>
      </c>
      <c r="X21" s="198" t="e">
        <f>_xll.qlMidEquivalent($T21,$U21,$V21,$W21)</f>
        <v>#NUM!</v>
      </c>
      <c r="Y21" s="196"/>
      <c r="Z21" s="197">
        <v>0</v>
      </c>
      <c r="AA21" s="196"/>
      <c r="AB21" s="261" t="e">
        <v>#NUM!</v>
      </c>
      <c r="AC21" s="193">
        <f>_xll.qlSimpleQuoteSetValue(F21,AB21/100,Trigger)</f>
        <v>0</v>
      </c>
      <c r="AD21" s="164"/>
      <c r="AE21" s="13"/>
      <c r="AF21" s="13"/>
      <c r="AG21" s="13"/>
      <c r="AH21" s="13"/>
      <c r="AI21" s="13"/>
      <c r="AJ21" s="230" t="e">
        <f t="shared" si="1"/>
        <v>#VALUE!</v>
      </c>
    </row>
    <row r="22" spans="1:36" x14ac:dyDescent="0.2">
      <c r="A22" s="94"/>
      <c r="B22" s="158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0" t="s">
        <v>72</v>
      </c>
      <c r="P22" s="241" t="str">
        <v>AM</v>
      </c>
      <c r="Q22" s="241" t="str">
        <v>6L</v>
      </c>
      <c r="R22" s="199" t="str">
        <f t="shared" si="0"/>
        <v>USDAM6L14Y</v>
      </c>
      <c r="S22" s="199" t="str">
        <v>USDAM6L14Y=ICAP</v>
      </c>
      <c r="T22" s="194" t="s">
        <v>211</v>
      </c>
      <c r="U22" s="194" t="s">
        <v>211</v>
      </c>
      <c r="V22" s="194" t="s">
        <v>211</v>
      </c>
      <c r="W22" s="194" t="s">
        <v>211</v>
      </c>
      <c r="X22" s="198" t="e">
        <f>_xll.qlMidEquivalent($T22,$U22,$V22,$W22)</f>
        <v>#NUM!</v>
      </c>
      <c r="Y22" s="196"/>
      <c r="Z22" s="197">
        <v>0</v>
      </c>
      <c r="AA22" s="196"/>
      <c r="AB22" s="261" t="e">
        <v>#NUM!</v>
      </c>
      <c r="AC22" s="193">
        <f>_xll.qlSimpleQuoteSetValue(F22,AB22/100,Trigger)</f>
        <v>0</v>
      </c>
      <c r="AD22" s="164"/>
      <c r="AE22" s="13"/>
      <c r="AF22" s="13"/>
      <c r="AG22" s="13"/>
      <c r="AH22" s="13"/>
      <c r="AI22" s="13"/>
      <c r="AJ22" s="230" t="e">
        <f t="shared" si="1"/>
        <v>#VALUE!</v>
      </c>
    </row>
    <row r="23" spans="1:36" x14ac:dyDescent="0.2">
      <c r="A23" s="94"/>
      <c r="B23" s="158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0" t="s">
        <v>71</v>
      </c>
      <c r="P23" s="241" t="str">
        <v>AM</v>
      </c>
      <c r="Q23" s="241" t="str">
        <v>6L</v>
      </c>
      <c r="R23" s="199" t="str">
        <f t="shared" si="0"/>
        <v>USDAM6L15Y</v>
      </c>
      <c r="S23" s="199" t="str">
        <v>USDAM6L15Y=ICAP</v>
      </c>
      <c r="T23" s="194" t="s">
        <v>211</v>
      </c>
      <c r="U23" s="194" t="s">
        <v>211</v>
      </c>
      <c r="V23" s="194" t="s">
        <v>211</v>
      </c>
      <c r="W23" s="194" t="s">
        <v>211</v>
      </c>
      <c r="X23" s="198" t="e">
        <f>_xll.qlMidEquivalent($T23,$U23,$V23,$W23)</f>
        <v>#NUM!</v>
      </c>
      <c r="Y23" s="196"/>
      <c r="Z23" s="197">
        <v>0</v>
      </c>
      <c r="AA23" s="196"/>
      <c r="AB23" s="261" t="e">
        <v>#NUM!</v>
      </c>
      <c r="AC23" s="193">
        <f>_xll.qlSimpleQuoteSetValue(F23,AB23/100,Trigger)</f>
        <v>0</v>
      </c>
      <c r="AD23" s="164"/>
      <c r="AE23" s="13"/>
      <c r="AF23" s="13"/>
      <c r="AG23" s="13"/>
      <c r="AH23" s="13"/>
      <c r="AI23" s="13"/>
      <c r="AJ23" s="230" t="e">
        <f t="shared" si="1"/>
        <v>#VALUE!</v>
      </c>
    </row>
    <row r="24" spans="1:36" x14ac:dyDescent="0.2">
      <c r="A24" s="94"/>
      <c r="B24" s="158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0" t="s">
        <v>70</v>
      </c>
      <c r="P24" s="241" t="str">
        <v>AM</v>
      </c>
      <c r="Q24" s="241" t="str">
        <v>6L</v>
      </c>
      <c r="R24" s="199" t="str">
        <f t="shared" si="0"/>
        <v>USDAM6L16Y</v>
      </c>
      <c r="S24" s="199" t="str">
        <v>USDAM6L16Y=ICAP</v>
      </c>
      <c r="T24" s="194" t="s">
        <v>211</v>
      </c>
      <c r="U24" s="194" t="s">
        <v>211</v>
      </c>
      <c r="V24" s="194" t="s">
        <v>211</v>
      </c>
      <c r="W24" s="194" t="s">
        <v>211</v>
      </c>
      <c r="X24" s="198" t="e">
        <f>_xll.qlMidEquivalent($T24,$U24,$V24,$W24)</f>
        <v>#NUM!</v>
      </c>
      <c r="Y24" s="196"/>
      <c r="Z24" s="197">
        <v>0</v>
      </c>
      <c r="AA24" s="196"/>
      <c r="AB24" s="261" t="e">
        <v>#NUM!</v>
      </c>
      <c r="AC24" s="193">
        <f>_xll.qlSimpleQuoteSetValue(F24,AB24/100,Trigger)</f>
        <v>0</v>
      </c>
      <c r="AD24" s="164"/>
      <c r="AE24" s="13"/>
      <c r="AF24" s="13"/>
      <c r="AG24" s="13"/>
      <c r="AH24" s="13"/>
      <c r="AI24" s="13"/>
      <c r="AJ24" s="230" t="e">
        <f t="shared" si="1"/>
        <v>#VALUE!</v>
      </c>
    </row>
    <row r="25" spans="1:36" x14ac:dyDescent="0.2">
      <c r="A25" s="94"/>
      <c r="B25" s="158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0" t="s">
        <v>69</v>
      </c>
      <c r="P25" s="241" t="str">
        <v>AM</v>
      </c>
      <c r="Q25" s="241" t="str">
        <v>6L</v>
      </c>
      <c r="R25" s="199" t="str">
        <f t="shared" si="0"/>
        <v>USDAM6L17Y</v>
      </c>
      <c r="S25" s="199" t="str">
        <v>USDAM6L17Y=ICAP</v>
      </c>
      <c r="T25" s="194" t="s">
        <v>211</v>
      </c>
      <c r="U25" s="194" t="s">
        <v>211</v>
      </c>
      <c r="V25" s="194" t="s">
        <v>211</v>
      </c>
      <c r="W25" s="194" t="s">
        <v>211</v>
      </c>
      <c r="X25" s="198" t="e">
        <f>_xll.qlMidEquivalent($T25,$U25,$V25,$W25)</f>
        <v>#NUM!</v>
      </c>
      <c r="Y25" s="196"/>
      <c r="Z25" s="197">
        <v>0</v>
      </c>
      <c r="AA25" s="196"/>
      <c r="AB25" s="261" t="e">
        <v>#NUM!</v>
      </c>
      <c r="AC25" s="193">
        <f>_xll.qlSimpleQuoteSetValue(F25,AB25/100,Trigger)</f>
        <v>0</v>
      </c>
      <c r="AD25" s="164"/>
      <c r="AE25" s="13"/>
      <c r="AF25" s="13"/>
      <c r="AG25" s="13"/>
      <c r="AH25" s="13"/>
      <c r="AI25" s="13"/>
      <c r="AJ25" s="230" t="e">
        <f t="shared" si="1"/>
        <v>#VALUE!</v>
      </c>
    </row>
    <row r="26" spans="1:36" x14ac:dyDescent="0.2">
      <c r="A26" s="94"/>
      <c r="B26" s="158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0" t="s">
        <v>68</v>
      </c>
      <c r="P26" s="241" t="str">
        <v>AM</v>
      </c>
      <c r="Q26" s="241" t="str">
        <v>6L</v>
      </c>
      <c r="R26" s="199" t="str">
        <f t="shared" si="0"/>
        <v>USDAM6L18Y</v>
      </c>
      <c r="S26" s="199" t="str">
        <v>USDAM6L18Y=ICAP</v>
      </c>
      <c r="T26" s="194" t="s">
        <v>211</v>
      </c>
      <c r="U26" s="194" t="s">
        <v>211</v>
      </c>
      <c r="V26" s="194" t="s">
        <v>211</v>
      </c>
      <c r="W26" s="194" t="s">
        <v>211</v>
      </c>
      <c r="X26" s="198" t="e">
        <f>_xll.qlMidEquivalent($T26,$U26,$V26,$W26)</f>
        <v>#NUM!</v>
      </c>
      <c r="Y26" s="196"/>
      <c r="Z26" s="197">
        <v>0</v>
      </c>
      <c r="AA26" s="196"/>
      <c r="AB26" s="261" t="e">
        <v>#NUM!</v>
      </c>
      <c r="AC26" s="193">
        <f>_xll.qlSimpleQuoteSetValue(F26,AB26/100,Trigger)</f>
        <v>0</v>
      </c>
      <c r="AD26" s="164"/>
      <c r="AE26" s="13"/>
      <c r="AF26" s="13"/>
      <c r="AG26" s="13"/>
      <c r="AH26" s="13"/>
      <c r="AI26" s="13"/>
      <c r="AJ26" s="230" t="e">
        <f t="shared" si="1"/>
        <v>#VALUE!</v>
      </c>
    </row>
    <row r="27" spans="1:36" x14ac:dyDescent="0.2">
      <c r="A27" s="94"/>
      <c r="B27" s="158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0" t="s">
        <v>67</v>
      </c>
      <c r="P27" s="241" t="str">
        <v>AM</v>
      </c>
      <c r="Q27" s="241" t="str">
        <v>6L</v>
      </c>
      <c r="R27" s="199" t="str">
        <f t="shared" si="0"/>
        <v>USDAM6L19Y</v>
      </c>
      <c r="S27" s="199" t="str">
        <v>USDAM6L19Y=ICAP</v>
      </c>
      <c r="T27" s="194" t="s">
        <v>211</v>
      </c>
      <c r="U27" s="194" t="s">
        <v>211</v>
      </c>
      <c r="V27" s="194" t="s">
        <v>211</v>
      </c>
      <c r="W27" s="194" t="s">
        <v>211</v>
      </c>
      <c r="X27" s="198" t="e">
        <f>_xll.qlMidEquivalent($T27,$U27,$V27,$W27)</f>
        <v>#NUM!</v>
      </c>
      <c r="Y27" s="196"/>
      <c r="Z27" s="197">
        <v>0</v>
      </c>
      <c r="AA27" s="196"/>
      <c r="AB27" s="261" t="e">
        <v>#NUM!</v>
      </c>
      <c r="AC27" s="193">
        <f>_xll.qlSimpleQuoteSetValue(F27,AB27/100,Trigger)</f>
        <v>0</v>
      </c>
      <c r="AD27" s="164"/>
      <c r="AE27" s="13"/>
      <c r="AF27" s="13"/>
      <c r="AG27" s="13"/>
      <c r="AH27" s="13"/>
      <c r="AI27" s="13"/>
      <c r="AJ27" s="230" t="e">
        <f t="shared" si="1"/>
        <v>#VALUE!</v>
      </c>
    </row>
    <row r="28" spans="1:36" x14ac:dyDescent="0.2">
      <c r="A28" s="94"/>
      <c r="B28" s="158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0" t="s">
        <v>66</v>
      </c>
      <c r="P28" s="241" t="str">
        <v>AM</v>
      </c>
      <c r="Q28" s="241" t="str">
        <v>6L</v>
      </c>
      <c r="R28" s="199" t="str">
        <f t="shared" si="0"/>
        <v>USDAM6L20Y</v>
      </c>
      <c r="S28" s="199" t="str">
        <v>USDAM6L20Y=ICAP</v>
      </c>
      <c r="T28" s="194" t="s">
        <v>211</v>
      </c>
      <c r="U28" s="194" t="s">
        <v>211</v>
      </c>
      <c r="V28" s="194" t="s">
        <v>211</v>
      </c>
      <c r="W28" s="194" t="s">
        <v>211</v>
      </c>
      <c r="X28" s="198" t="e">
        <f>_xll.qlMidEquivalent($T28,$U28,$V28,$W28)</f>
        <v>#NUM!</v>
      </c>
      <c r="Y28" s="196"/>
      <c r="Z28" s="197">
        <v>0</v>
      </c>
      <c r="AA28" s="196"/>
      <c r="AB28" s="261" t="e">
        <v>#NUM!</v>
      </c>
      <c r="AC28" s="193">
        <f>_xll.qlSimpleQuoteSetValue(F28,AB28/100,Trigger)</f>
        <v>0</v>
      </c>
      <c r="AD28" s="164"/>
      <c r="AE28" s="13"/>
      <c r="AF28" s="13"/>
      <c r="AG28" s="13"/>
      <c r="AH28" s="13"/>
      <c r="AI28" s="13"/>
      <c r="AJ28" s="230" t="e">
        <f t="shared" si="1"/>
        <v>#VALUE!</v>
      </c>
    </row>
    <row r="29" spans="1:36" x14ac:dyDescent="0.2">
      <c r="A29" s="94"/>
      <c r="B29" s="158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0" t="s">
        <v>65</v>
      </c>
      <c r="P29" s="241" t="str">
        <v>AM</v>
      </c>
      <c r="Q29" s="241" t="str">
        <v>6L</v>
      </c>
      <c r="R29" s="199" t="str">
        <f t="shared" si="0"/>
        <v>USDAM6L21Y</v>
      </c>
      <c r="S29" s="199" t="str">
        <v>USDAM6L21Y=ICAP</v>
      </c>
      <c r="T29" s="194" t="s">
        <v>211</v>
      </c>
      <c r="U29" s="194" t="s">
        <v>211</v>
      </c>
      <c r="V29" s="194" t="s">
        <v>211</v>
      </c>
      <c r="W29" s="194" t="s">
        <v>211</v>
      </c>
      <c r="X29" s="198" t="e">
        <f>_xll.qlMidEquivalent($T29,$U29,$V29,$W29)</f>
        <v>#NUM!</v>
      </c>
      <c r="Y29" s="196"/>
      <c r="Z29" s="197">
        <v>0</v>
      </c>
      <c r="AA29" s="196"/>
      <c r="AB29" s="261" t="e">
        <v>#NUM!</v>
      </c>
      <c r="AC29" s="193">
        <f>_xll.qlSimpleQuoteSetValue(F29,AB29/100,Trigger)</f>
        <v>0</v>
      </c>
      <c r="AD29" s="164"/>
      <c r="AE29" s="13"/>
      <c r="AF29" s="13"/>
      <c r="AG29" s="13"/>
      <c r="AH29" s="13"/>
      <c r="AI29" s="13"/>
      <c r="AJ29" s="230" t="e">
        <f t="shared" si="1"/>
        <v>#VALUE!</v>
      </c>
    </row>
    <row r="30" spans="1:36" x14ac:dyDescent="0.2">
      <c r="A30" s="94"/>
      <c r="B30" s="158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0" t="s">
        <v>64</v>
      </c>
      <c r="P30" s="241" t="str">
        <v>AM</v>
      </c>
      <c r="Q30" s="241" t="str">
        <v>6L</v>
      </c>
      <c r="R30" s="199" t="str">
        <f t="shared" si="0"/>
        <v>USDAM6L22Y</v>
      </c>
      <c r="S30" s="199" t="str">
        <v>USDAM6L22Y=ICAP</v>
      </c>
      <c r="T30" s="194" t="s">
        <v>211</v>
      </c>
      <c r="U30" s="194" t="s">
        <v>211</v>
      </c>
      <c r="V30" s="194" t="s">
        <v>211</v>
      </c>
      <c r="W30" s="194" t="s">
        <v>211</v>
      </c>
      <c r="X30" s="198" t="e">
        <f>_xll.qlMidEquivalent($T30,$U30,$V30,$W30)</f>
        <v>#NUM!</v>
      </c>
      <c r="Y30" s="196"/>
      <c r="Z30" s="197">
        <v>0</v>
      </c>
      <c r="AA30" s="196"/>
      <c r="AB30" s="261" t="e">
        <v>#NUM!</v>
      </c>
      <c r="AC30" s="193">
        <f>_xll.qlSimpleQuoteSetValue(F30,AB30/100,Trigger)</f>
        <v>0</v>
      </c>
      <c r="AD30" s="164"/>
      <c r="AE30" s="13"/>
      <c r="AF30" s="13"/>
      <c r="AG30" s="13"/>
      <c r="AH30" s="13"/>
      <c r="AI30" s="13"/>
      <c r="AJ30" s="230" t="e">
        <f t="shared" si="1"/>
        <v>#VALUE!</v>
      </c>
    </row>
    <row r="31" spans="1:36" x14ac:dyDescent="0.2">
      <c r="A31" s="94"/>
      <c r="B31" s="158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0" t="s">
        <v>63</v>
      </c>
      <c r="P31" s="241" t="str">
        <v>AM</v>
      </c>
      <c r="Q31" s="241" t="str">
        <v>6L</v>
      </c>
      <c r="R31" s="199" t="str">
        <f t="shared" si="0"/>
        <v>USDAM6L23Y</v>
      </c>
      <c r="S31" s="199" t="str">
        <v>USDAM6L23Y=ICAP</v>
      </c>
      <c r="T31" s="194" t="s">
        <v>211</v>
      </c>
      <c r="U31" s="194" t="s">
        <v>211</v>
      </c>
      <c r="V31" s="194" t="s">
        <v>211</v>
      </c>
      <c r="W31" s="194" t="s">
        <v>211</v>
      </c>
      <c r="X31" s="198" t="e">
        <f>_xll.qlMidEquivalent($T31,$U31,$V31,$W31)</f>
        <v>#NUM!</v>
      </c>
      <c r="Y31" s="196"/>
      <c r="Z31" s="197">
        <v>0</v>
      </c>
      <c r="AA31" s="196"/>
      <c r="AB31" s="261" t="e">
        <v>#NUM!</v>
      </c>
      <c r="AC31" s="193">
        <f>_xll.qlSimpleQuoteSetValue(F31,AB31/100,Trigger)</f>
        <v>0</v>
      </c>
      <c r="AD31" s="164"/>
      <c r="AE31" s="13"/>
      <c r="AF31" s="13"/>
      <c r="AG31" s="13"/>
      <c r="AH31" s="13"/>
      <c r="AI31" s="13"/>
      <c r="AJ31" s="230" t="e">
        <f t="shared" si="1"/>
        <v>#VALUE!</v>
      </c>
    </row>
    <row r="32" spans="1:36" x14ac:dyDescent="0.2">
      <c r="A32" s="94"/>
      <c r="B32" s="158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0" t="s">
        <v>62</v>
      </c>
      <c r="P32" s="241" t="str">
        <v>AM</v>
      </c>
      <c r="Q32" s="241" t="str">
        <v>6L</v>
      </c>
      <c r="R32" s="199" t="str">
        <f t="shared" si="0"/>
        <v>USDAM6L24Y</v>
      </c>
      <c r="S32" s="199" t="str">
        <v>USDAM6L24Y=ICAP</v>
      </c>
      <c r="T32" s="194" t="s">
        <v>211</v>
      </c>
      <c r="U32" s="194" t="s">
        <v>211</v>
      </c>
      <c r="V32" s="194" t="s">
        <v>211</v>
      </c>
      <c r="W32" s="194" t="s">
        <v>211</v>
      </c>
      <c r="X32" s="198" t="e">
        <f>_xll.qlMidEquivalent($T32,$U32,$V32,$W32)</f>
        <v>#NUM!</v>
      </c>
      <c r="Y32" s="196"/>
      <c r="Z32" s="197">
        <v>0</v>
      </c>
      <c r="AA32" s="196"/>
      <c r="AB32" s="261" t="e">
        <v>#NUM!</v>
      </c>
      <c r="AC32" s="193">
        <f>_xll.qlSimpleQuoteSetValue(F32,AB32/100,Trigger)</f>
        <v>0</v>
      </c>
      <c r="AD32" s="164"/>
      <c r="AE32" s="13"/>
      <c r="AF32" s="13"/>
      <c r="AG32" s="13"/>
      <c r="AH32" s="13"/>
      <c r="AI32" s="13"/>
      <c r="AJ32" s="230" t="e">
        <f t="shared" si="1"/>
        <v>#VALUE!</v>
      </c>
    </row>
    <row r="33" spans="1:36" x14ac:dyDescent="0.2">
      <c r="A33" s="94"/>
      <c r="B33" s="158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0" t="s">
        <v>61</v>
      </c>
      <c r="P33" s="241" t="str">
        <v>AM</v>
      </c>
      <c r="Q33" s="241" t="str">
        <v>6L</v>
      </c>
      <c r="R33" s="199" t="str">
        <f t="shared" si="0"/>
        <v>USDAM6L25Y</v>
      </c>
      <c r="S33" s="199" t="str">
        <v>USDAM6L25Y=ICAP</v>
      </c>
      <c r="T33" s="194" t="s">
        <v>211</v>
      </c>
      <c r="U33" s="194" t="s">
        <v>211</v>
      </c>
      <c r="V33" s="194" t="s">
        <v>211</v>
      </c>
      <c r="W33" s="194" t="s">
        <v>211</v>
      </c>
      <c r="X33" s="198" t="e">
        <f>_xll.qlMidEquivalent($T33,$U33,$V33,$W33)</f>
        <v>#NUM!</v>
      </c>
      <c r="Y33" s="196"/>
      <c r="Z33" s="197">
        <v>0</v>
      </c>
      <c r="AA33" s="196"/>
      <c r="AB33" s="261" t="e">
        <v>#NUM!</v>
      </c>
      <c r="AC33" s="193">
        <f>_xll.qlSimpleQuoteSetValue(F33,AB33/100,Trigger)</f>
        <v>0</v>
      </c>
      <c r="AD33" s="164"/>
      <c r="AE33" s="13"/>
      <c r="AF33" s="13"/>
      <c r="AG33" s="13"/>
      <c r="AH33" s="13"/>
      <c r="AI33" s="13"/>
      <c r="AJ33" s="230" t="e">
        <f t="shared" si="1"/>
        <v>#VALUE!</v>
      </c>
    </row>
    <row r="34" spans="1:36" x14ac:dyDescent="0.2">
      <c r="A34" s="94"/>
      <c r="B34" s="158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0" t="s">
        <v>60</v>
      </c>
      <c r="P34" s="241" t="str">
        <v>AM</v>
      </c>
      <c r="Q34" s="241" t="str">
        <v>6L</v>
      </c>
      <c r="R34" s="199" t="str">
        <f t="shared" si="0"/>
        <v>USDAM6L26Y</v>
      </c>
      <c r="S34" s="199" t="str">
        <v>USDAM6L26Y=ICAP</v>
      </c>
      <c r="T34" s="194" t="s">
        <v>211</v>
      </c>
      <c r="U34" s="194" t="s">
        <v>211</v>
      </c>
      <c r="V34" s="194" t="s">
        <v>211</v>
      </c>
      <c r="W34" s="194" t="s">
        <v>211</v>
      </c>
      <c r="X34" s="198" t="e">
        <f>_xll.qlMidEquivalent($T34,$U34,$V34,$W34)</f>
        <v>#NUM!</v>
      </c>
      <c r="Y34" s="196"/>
      <c r="Z34" s="197">
        <v>0</v>
      </c>
      <c r="AA34" s="196"/>
      <c r="AB34" s="261" t="e">
        <v>#NUM!</v>
      </c>
      <c r="AC34" s="193">
        <f>_xll.qlSimpleQuoteSetValue(F34,AB34/100,Trigger)</f>
        <v>0</v>
      </c>
      <c r="AD34" s="164"/>
      <c r="AE34" s="13"/>
      <c r="AF34" s="13"/>
      <c r="AG34" s="13"/>
      <c r="AH34" s="13"/>
      <c r="AI34" s="13"/>
      <c r="AJ34" s="230" t="e">
        <f t="shared" si="1"/>
        <v>#VALUE!</v>
      </c>
    </row>
    <row r="35" spans="1:36" x14ac:dyDescent="0.2">
      <c r="A35" s="94"/>
      <c r="B35" s="158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0" t="s">
        <v>59</v>
      </c>
      <c r="P35" s="241" t="str">
        <v>AM</v>
      </c>
      <c r="Q35" s="241" t="str">
        <v>6L</v>
      </c>
      <c r="R35" s="199" t="str">
        <f t="shared" si="0"/>
        <v>USDAM6L27Y</v>
      </c>
      <c r="S35" s="199" t="str">
        <v>USDAM6L27Y=ICAP</v>
      </c>
      <c r="T35" s="194" t="s">
        <v>211</v>
      </c>
      <c r="U35" s="194" t="s">
        <v>211</v>
      </c>
      <c r="V35" s="194" t="s">
        <v>211</v>
      </c>
      <c r="W35" s="194" t="s">
        <v>211</v>
      </c>
      <c r="X35" s="198" t="e">
        <f>_xll.qlMidEquivalent($T35,$U35,$V35,$W35)</f>
        <v>#NUM!</v>
      </c>
      <c r="Y35" s="196"/>
      <c r="Z35" s="197">
        <v>0</v>
      </c>
      <c r="AA35" s="196"/>
      <c r="AB35" s="261" t="e">
        <v>#NUM!</v>
      </c>
      <c r="AC35" s="193">
        <f>_xll.qlSimpleQuoteSetValue(F35,AB35/100,Trigger)</f>
        <v>0</v>
      </c>
      <c r="AD35" s="164"/>
      <c r="AE35" s="13"/>
      <c r="AF35" s="13"/>
      <c r="AG35" s="13"/>
      <c r="AH35" s="13"/>
      <c r="AI35" s="13"/>
      <c r="AJ35" s="230" t="e">
        <f t="shared" si="1"/>
        <v>#VALUE!</v>
      </c>
    </row>
    <row r="36" spans="1:36" x14ac:dyDescent="0.2">
      <c r="A36" s="94"/>
      <c r="B36" s="158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0" t="s">
        <v>58</v>
      </c>
      <c r="P36" s="241" t="str">
        <v>AM</v>
      </c>
      <c r="Q36" s="241" t="str">
        <v>6L</v>
      </c>
      <c r="R36" s="199" t="str">
        <f t="shared" si="0"/>
        <v>USDAM6L28Y</v>
      </c>
      <c r="S36" s="199" t="str">
        <v>USDAM6L28Y=ICAP</v>
      </c>
      <c r="T36" s="194" t="s">
        <v>211</v>
      </c>
      <c r="U36" s="194" t="s">
        <v>211</v>
      </c>
      <c r="V36" s="194" t="s">
        <v>211</v>
      </c>
      <c r="W36" s="194" t="s">
        <v>211</v>
      </c>
      <c r="X36" s="198" t="e">
        <f>_xll.qlMidEquivalent($T36,$U36,$V36,$W36)</f>
        <v>#NUM!</v>
      </c>
      <c r="Y36" s="196"/>
      <c r="Z36" s="197">
        <v>0</v>
      </c>
      <c r="AA36" s="196"/>
      <c r="AB36" s="261" t="e">
        <v>#NUM!</v>
      </c>
      <c r="AC36" s="193">
        <f>_xll.qlSimpleQuoteSetValue(F36,AB36/100,Trigger)</f>
        <v>0</v>
      </c>
      <c r="AD36" s="164"/>
      <c r="AE36" s="13"/>
      <c r="AF36" s="13"/>
      <c r="AG36" s="13"/>
      <c r="AH36" s="13"/>
      <c r="AI36" s="13"/>
      <c r="AJ36" s="230" t="e">
        <f t="shared" si="1"/>
        <v>#VALUE!</v>
      </c>
    </row>
    <row r="37" spans="1:36" x14ac:dyDescent="0.2">
      <c r="A37" s="94"/>
      <c r="B37" s="158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0" t="s">
        <v>57</v>
      </c>
      <c r="P37" s="241" t="str">
        <v>AM</v>
      </c>
      <c r="Q37" s="241" t="str">
        <v>6L</v>
      </c>
      <c r="R37" s="199" t="str">
        <f t="shared" si="0"/>
        <v>USDAM6L29Y</v>
      </c>
      <c r="S37" s="199" t="str">
        <v>USDAM6L29Y=ICAP</v>
      </c>
      <c r="T37" s="194" t="s">
        <v>211</v>
      </c>
      <c r="U37" s="194" t="s">
        <v>211</v>
      </c>
      <c r="V37" s="194" t="s">
        <v>211</v>
      </c>
      <c r="W37" s="194" t="s">
        <v>211</v>
      </c>
      <c r="X37" s="198" t="e">
        <f>_xll.qlMidEquivalent($T37,$U37,$V37,$W37)</f>
        <v>#NUM!</v>
      </c>
      <c r="Y37" s="196"/>
      <c r="Z37" s="197">
        <v>0</v>
      </c>
      <c r="AA37" s="196"/>
      <c r="AB37" s="261" t="e">
        <v>#NUM!</v>
      </c>
      <c r="AC37" s="193">
        <f>_xll.qlSimpleQuoteSetValue(F37,AB37/100,Trigger)</f>
        <v>0</v>
      </c>
      <c r="AD37" s="164"/>
      <c r="AE37" s="13"/>
      <c r="AF37" s="13"/>
      <c r="AG37" s="13"/>
      <c r="AH37" s="13"/>
      <c r="AI37" s="13"/>
      <c r="AJ37" s="230" t="e">
        <f t="shared" si="1"/>
        <v>#VALUE!</v>
      </c>
    </row>
    <row r="38" spans="1:36" x14ac:dyDescent="0.2">
      <c r="A38" s="94"/>
      <c r="B38" s="158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0" t="s">
        <v>56</v>
      </c>
      <c r="P38" s="241" t="str">
        <v>AM</v>
      </c>
      <c r="Q38" s="241" t="str">
        <v>6L</v>
      </c>
      <c r="R38" s="199" t="str">
        <f t="shared" si="0"/>
        <v>USDAM6L30Y</v>
      </c>
      <c r="S38" s="199" t="str">
        <v>USDAM6L30Y=ICAP</v>
      </c>
      <c r="T38" s="194" t="s">
        <v>211</v>
      </c>
      <c r="U38" s="194" t="s">
        <v>211</v>
      </c>
      <c r="V38" s="194" t="s">
        <v>211</v>
      </c>
      <c r="W38" s="194" t="s">
        <v>211</v>
      </c>
      <c r="X38" s="198" t="e">
        <f>_xll.qlMidEquivalent($T38,$U38,$V38,$W38)</f>
        <v>#NUM!</v>
      </c>
      <c r="Y38" s="196"/>
      <c r="Z38" s="197">
        <v>0</v>
      </c>
      <c r="AA38" s="196"/>
      <c r="AB38" s="261" t="e">
        <v>#NUM!</v>
      </c>
      <c r="AC38" s="193">
        <f>_xll.qlSimpleQuoteSetValue(F38,AB38/100,Trigger)</f>
        <v>0</v>
      </c>
      <c r="AD38" s="164"/>
      <c r="AE38" s="13"/>
      <c r="AF38" s="13"/>
      <c r="AG38" s="13"/>
      <c r="AH38" s="13"/>
      <c r="AI38" s="13"/>
      <c r="AJ38" s="230" t="e">
        <f t="shared" si="1"/>
        <v>#VALUE!</v>
      </c>
    </row>
    <row r="39" spans="1:36" x14ac:dyDescent="0.2">
      <c r="A39" s="94"/>
      <c r="B39" s="158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0" t="s">
        <v>51</v>
      </c>
      <c r="P39" s="241" t="str">
        <v>AM</v>
      </c>
      <c r="Q39" s="241" t="str">
        <v>6L</v>
      </c>
      <c r="R39" s="199" t="str">
        <f t="shared" si="0"/>
        <v>USDAM6L35Y</v>
      </c>
      <c r="S39" s="199" t="str">
        <v>USDAM6L35Y=ICAP</v>
      </c>
      <c r="T39" s="194" t="s">
        <v>211</v>
      </c>
      <c r="U39" s="194" t="s">
        <v>211</v>
      </c>
      <c r="V39" s="194" t="s">
        <v>211</v>
      </c>
      <c r="W39" s="194" t="s">
        <v>211</v>
      </c>
      <c r="X39" s="198" t="e">
        <f>_xll.qlMidEquivalent($T39,$U39,$V39,$W39)</f>
        <v>#NUM!</v>
      </c>
      <c r="Y39" s="196"/>
      <c r="Z39" s="197">
        <v>0</v>
      </c>
      <c r="AA39" s="196"/>
      <c r="AB39" s="261" t="e">
        <v>#NUM!</v>
      </c>
      <c r="AC39" s="193">
        <f>_xll.qlSimpleQuoteSetValue(F39,AB39/100,Trigger)</f>
        <v>0</v>
      </c>
      <c r="AD39" s="164"/>
      <c r="AE39" s="13"/>
      <c r="AF39" s="13"/>
      <c r="AG39" s="13"/>
      <c r="AH39" s="13"/>
      <c r="AI39" s="13"/>
      <c r="AJ39" s="230" t="e">
        <f t="shared" si="1"/>
        <v>#VALUE!</v>
      </c>
    </row>
    <row r="40" spans="1:36" x14ac:dyDescent="0.2">
      <c r="A40" s="94"/>
      <c r="B40" s="158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0" t="s">
        <v>46</v>
      </c>
      <c r="P40" s="241" t="str">
        <v>AM</v>
      </c>
      <c r="Q40" s="241" t="str">
        <v>6L</v>
      </c>
      <c r="R40" s="199" t="str">
        <f t="shared" si="0"/>
        <v>USDAM6L40Y</v>
      </c>
      <c r="S40" s="199" t="str">
        <v>USDAM6L40Y=ICAP</v>
      </c>
      <c r="T40" s="194" t="s">
        <v>211</v>
      </c>
      <c r="U40" s="194" t="s">
        <v>211</v>
      </c>
      <c r="V40" s="194" t="s">
        <v>211</v>
      </c>
      <c r="W40" s="194" t="s">
        <v>211</v>
      </c>
      <c r="X40" s="198" t="e">
        <f>_xll.qlMidEquivalent($T40,$U40,$V40,$W40)</f>
        <v>#NUM!</v>
      </c>
      <c r="Y40" s="196"/>
      <c r="Z40" s="197">
        <v>0</v>
      </c>
      <c r="AA40" s="196"/>
      <c r="AB40" s="261" t="e">
        <v>#NUM!</v>
      </c>
      <c r="AC40" s="193">
        <f>_xll.qlSimpleQuoteSetValue(F40,AB40/100,Trigger)</f>
        <v>0</v>
      </c>
      <c r="AD40" s="164"/>
      <c r="AE40" s="13"/>
      <c r="AF40" s="13"/>
      <c r="AG40" s="13"/>
      <c r="AH40" s="13"/>
      <c r="AI40" s="13"/>
      <c r="AJ40" s="230" t="e">
        <f t="shared" si="1"/>
        <v>#VALUE!</v>
      </c>
    </row>
    <row r="41" spans="1:36" x14ac:dyDescent="0.2">
      <c r="A41" s="94"/>
      <c r="B41" s="158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0" t="s">
        <v>36</v>
      </c>
      <c r="P41" s="241" t="str">
        <v>AM</v>
      </c>
      <c r="Q41" s="241" t="str">
        <v>6L</v>
      </c>
      <c r="R41" s="199" t="str">
        <f t="shared" si="0"/>
        <v>USDAM6L50Y</v>
      </c>
      <c r="S41" s="199" t="str">
        <v>USDAM6L50Y=ICAP</v>
      </c>
      <c r="T41" s="194" t="s">
        <v>211</v>
      </c>
      <c r="U41" s="194" t="s">
        <v>211</v>
      </c>
      <c r="V41" s="194" t="s">
        <v>211</v>
      </c>
      <c r="W41" s="194" t="s">
        <v>211</v>
      </c>
      <c r="X41" s="198" t="e">
        <f>_xll.qlMidEquivalent($T41,$U41,$V41,$W41)</f>
        <v>#NUM!</v>
      </c>
      <c r="Y41" s="196"/>
      <c r="Z41" s="197">
        <v>0</v>
      </c>
      <c r="AA41" s="196"/>
      <c r="AB41" s="261" t="e">
        <v>#NUM!</v>
      </c>
      <c r="AC41" s="193">
        <f>_xll.qlSimpleQuoteSetValue(F41,AB41/100,Trigger)</f>
        <v>0</v>
      </c>
      <c r="AD41" s="164"/>
      <c r="AE41" s="13"/>
      <c r="AF41" s="13"/>
      <c r="AG41" s="13"/>
      <c r="AH41" s="13"/>
      <c r="AI41" s="13"/>
      <c r="AJ41" s="230" t="e">
        <f t="shared" si="1"/>
        <v>#VALUE!</v>
      </c>
    </row>
    <row r="42" spans="1:36" x14ac:dyDescent="0.2">
      <c r="A42" s="94"/>
      <c r="B42" s="158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1" t="s">
        <v>26</v>
      </c>
      <c r="P42" s="236" t="str">
        <v>AM</v>
      </c>
      <c r="Q42" s="236" t="str">
        <v>6L</v>
      </c>
      <c r="R42" s="210" t="str">
        <f t="shared" si="0"/>
        <v>USDAM6L60Y</v>
      </c>
      <c r="S42" s="210" t="str">
        <v>USDAM6L60Y=ICAP</v>
      </c>
      <c r="T42" s="207" t="s">
        <v>211</v>
      </c>
      <c r="U42" s="207" t="s">
        <v>211</v>
      </c>
      <c r="V42" s="207" t="s">
        <v>211</v>
      </c>
      <c r="W42" s="207" t="s">
        <v>211</v>
      </c>
      <c r="X42" s="209" t="e">
        <f>_xll.qlMidEquivalent($T42,$U42,$V42,$W42)</f>
        <v>#NUM!</v>
      </c>
      <c r="Y42" s="196"/>
      <c r="Z42" s="208">
        <v>0</v>
      </c>
      <c r="AA42" s="196"/>
      <c r="AB42" s="254" t="e">
        <v>#NUM!</v>
      </c>
      <c r="AC42" s="206">
        <f>_xll.qlSimpleQuoteSetValue(F42,AB42/100,Trigger)</f>
        <v>0</v>
      </c>
      <c r="AD42" s="164"/>
      <c r="AE42" s="13"/>
      <c r="AF42" s="13"/>
      <c r="AG42" s="13"/>
      <c r="AH42" s="13"/>
      <c r="AI42" s="13"/>
      <c r="AJ42" s="230" t="e">
        <f t="shared" si="1"/>
        <v>#VALUE!</v>
      </c>
    </row>
    <row r="43" spans="1:36" ht="12" thickBot="1" x14ac:dyDescent="0.25">
      <c r="A43" s="157"/>
      <c r="B43" s="156"/>
      <c r="C43" s="156"/>
      <c r="D43" s="156"/>
      <c r="E43" s="156"/>
      <c r="F43" s="156"/>
      <c r="G43" s="156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1"/>
      <c r="AE43" s="13"/>
      <c r="AF43" s="13"/>
      <c r="AG43" s="13"/>
      <c r="AH43" s="13"/>
      <c r="AI43" s="13"/>
      <c r="AJ43" s="13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2" sqref="D2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2">
        <v>1</v>
      </c>
      <c r="C1" s="173" t="s">
        <v>187</v>
      </c>
      <c r="D1" s="172"/>
      <c r="E1" s="172"/>
      <c r="F1" s="171"/>
    </row>
    <row r="2" spans="1:6" x14ac:dyDescent="0.2">
      <c r="A2" s="94"/>
      <c r="B2" s="170"/>
      <c r="C2" s="169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4"/>
    </row>
    <row r="3" spans="1:6" x14ac:dyDescent="0.2">
      <c r="A3" s="94"/>
      <c r="B3" s="168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67" t="str">
        <f>_xll.ohRangeRetrieveError(D3)</f>
        <v/>
      </c>
      <c r="F3" s="164"/>
    </row>
    <row r="4" spans="1:6" x14ac:dyDescent="0.2">
      <c r="A4" s="94"/>
      <c r="B4" s="166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5" t="str">
        <f>_xll.ohRangeRetrieveError(D4)</f>
        <v/>
      </c>
      <c r="F4" s="164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K2" sqref="K2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3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3"/>
      <c r="M1" s="145"/>
    </row>
    <row r="2" spans="1:20" ht="22.5" x14ac:dyDescent="0.2">
      <c r="A2" s="94"/>
      <c r="B2" s="181"/>
      <c r="C2" s="182"/>
      <c r="D2" s="181"/>
      <c r="E2" s="181" t="s">
        <v>192</v>
      </c>
      <c r="F2" s="181"/>
      <c r="G2" s="181"/>
      <c r="H2" s="181" t="s">
        <v>191</v>
      </c>
      <c r="I2" s="181" t="s">
        <v>190</v>
      </c>
      <c r="J2" s="180" t="str">
        <f>Currency&amp;"_020_Sw"&amp;$C$3&amp;$D$3&amp;"_Fwd"&amp;$E$3&amp;IF(H3=0,,"_Spr"&amp;$F3&amp;$G3)&amp;".xml"</f>
        <v>USD_020_SwAM3L_Fwd1w.xml</v>
      </c>
      <c r="K2" s="179" t="str">
        <f>IF(Serialize,_xll.ohObjectSave(K3:K36,SerializationPath&amp;J2,FileOverwrite,Serialize),"---")</f>
        <v>---</v>
      </c>
      <c r="L2" s="177" t="str">
        <f>_xll.ohRangeRetrieveError(K2)</f>
        <v/>
      </c>
      <c r="M2" s="23"/>
      <c r="O2" s="154"/>
      <c r="P2" s="153"/>
      <c r="Q2" s="153"/>
      <c r="R2" s="153"/>
      <c r="S2" s="153"/>
      <c r="T2" s="152"/>
    </row>
    <row r="3" spans="1:20" x14ac:dyDescent="0.2">
      <c r="A3" s="94"/>
      <c r="B3" s="176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5">
        <f t="shared" ref="H3:H36" si="5">IF(F3=0,0,Currency&amp;$F3&amp;$G3&amp;$B3&amp;QuoteSuffix)</f>
        <v>0</v>
      </c>
      <c r="I3" s="178" t="str">
        <f t="shared" ref="I3:I36" si="6">PROPER(Currency)&amp;FamilyName&amp;"Swap"&amp;FixingType&amp;$B3</f>
        <v>UsdLiborSwapForBasisCalc1Y</v>
      </c>
      <c r="J3" s="174" t="str">
        <f t="shared" ref="J3:J36" si="7">Currency&amp;$C3&amp;$D3&amp;$B3&amp;"_"&amp;"Fwd"&amp;E3&amp;IF(H3=0,,"_Spr"&amp;$F3&amp;$G3)&amp;QuoteSuffix</f>
        <v>USDAM3L1Y_Fwd1w_Quote</v>
      </c>
      <c r="K3" s="174"/>
      <c r="L3" s="17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6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5">
        <f t="shared" si="5"/>
        <v>0</v>
      </c>
      <c r="I4" s="80" t="str">
        <f t="shared" si="6"/>
        <v>UsdLiborSwapForBasisCalc2Y</v>
      </c>
      <c r="J4" s="174" t="str">
        <f t="shared" si="7"/>
        <v>USDAM3L2Y_Fwd1w_Quote</v>
      </c>
      <c r="K4" s="174"/>
      <c r="L4" s="17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6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5">
        <f t="shared" si="5"/>
        <v>0</v>
      </c>
      <c r="I5" s="80" t="str">
        <f t="shared" si="6"/>
        <v>UsdLiborSwapForBasisCalc3Y</v>
      </c>
      <c r="J5" s="174" t="str">
        <f t="shared" si="7"/>
        <v>USDAM3L3Y_Fwd1w_Quote</v>
      </c>
      <c r="K5" s="174"/>
      <c r="L5" s="17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6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5">
        <f t="shared" si="5"/>
        <v>0</v>
      </c>
      <c r="I6" s="80" t="str">
        <f t="shared" si="6"/>
        <v>UsdLiborSwapForBasisCalc4Y</v>
      </c>
      <c r="J6" s="174" t="str">
        <f t="shared" si="7"/>
        <v>USDAM3L4Y_Fwd1w_Quote</v>
      </c>
      <c r="K6" s="174"/>
      <c r="L6" s="17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6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5">
        <f t="shared" si="5"/>
        <v>0</v>
      </c>
      <c r="I7" s="80" t="str">
        <f t="shared" si="6"/>
        <v>UsdLiborSwapForBasisCalc5Y</v>
      </c>
      <c r="J7" s="174" t="str">
        <f t="shared" si="7"/>
        <v>USDAM3L5Y_Fwd1w_Quote</v>
      </c>
      <c r="K7" s="174"/>
      <c r="L7" s="177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6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5">
        <f t="shared" si="5"/>
        <v>0</v>
      </c>
      <c r="I8" s="80" t="str">
        <f t="shared" si="6"/>
        <v>UsdLiborSwapForBasisCalc6Y</v>
      </c>
      <c r="J8" s="174" t="str">
        <f t="shared" si="7"/>
        <v>USDAM3L6Y_Fwd1w_Quote</v>
      </c>
      <c r="K8" s="174"/>
      <c r="L8" s="177" t="str">
        <f>_xll.ohRangeRetrieveError(K8)</f>
        <v/>
      </c>
      <c r="M8" s="23"/>
    </row>
    <row r="9" spans="1:20" x14ac:dyDescent="0.2">
      <c r="A9" s="94"/>
      <c r="B9" s="176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5">
        <f t="shared" si="5"/>
        <v>0</v>
      </c>
      <c r="I9" s="80" t="str">
        <f t="shared" si="6"/>
        <v>UsdLiborSwapForBasisCalc7Y</v>
      </c>
      <c r="J9" s="174" t="str">
        <f t="shared" si="7"/>
        <v>USDAM3L7Y_Fwd1w_Quote</v>
      </c>
      <c r="K9" s="174"/>
      <c r="L9" s="177" t="str">
        <f>_xll.ohRangeRetrieveError(K9)</f>
        <v/>
      </c>
      <c r="M9" s="23"/>
    </row>
    <row r="10" spans="1:20" x14ac:dyDescent="0.2">
      <c r="A10" s="94"/>
      <c r="B10" s="176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5">
        <f t="shared" si="5"/>
        <v>0</v>
      </c>
      <c r="I10" s="80" t="str">
        <f t="shared" si="6"/>
        <v>UsdLiborSwapForBasisCalc8Y</v>
      </c>
      <c r="J10" s="174" t="str">
        <f t="shared" si="7"/>
        <v>USDAM3L8Y_Fwd1w_Quote</v>
      </c>
      <c r="K10" s="174"/>
      <c r="L10" s="177" t="str">
        <f>_xll.ohRangeRetrieveError(K10)</f>
        <v/>
      </c>
      <c r="M10" s="23"/>
    </row>
    <row r="11" spans="1:20" x14ac:dyDescent="0.2">
      <c r="A11" s="94"/>
      <c r="B11" s="176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5">
        <f t="shared" si="5"/>
        <v>0</v>
      </c>
      <c r="I11" s="80" t="str">
        <f t="shared" si="6"/>
        <v>UsdLiborSwapForBasisCalc9Y</v>
      </c>
      <c r="J11" s="174" t="str">
        <f t="shared" si="7"/>
        <v>USDAM3L9Y_Fwd1w_Quote</v>
      </c>
      <c r="K11" s="174"/>
      <c r="L11" s="177" t="str">
        <f>_xll.ohRangeRetrieveError(K11)</f>
        <v/>
      </c>
      <c r="M11" s="23"/>
    </row>
    <row r="12" spans="1:20" x14ac:dyDescent="0.2">
      <c r="A12" s="94"/>
      <c r="B12" s="176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5">
        <f t="shared" si="5"/>
        <v>0</v>
      </c>
      <c r="I12" s="80" t="str">
        <f t="shared" si="6"/>
        <v>UsdLiborSwapForBasisCalc10Y</v>
      </c>
      <c r="J12" s="174" t="str">
        <f t="shared" si="7"/>
        <v>USDAM3L10Y_Fwd1w_Quote</v>
      </c>
      <c r="K12" s="174"/>
      <c r="L12" s="177" t="str">
        <f>_xll.ohRangeRetrieveError(K12)</f>
        <v/>
      </c>
      <c r="M12" s="23"/>
    </row>
    <row r="13" spans="1:20" x14ac:dyDescent="0.2">
      <c r="A13" s="94"/>
      <c r="B13" s="176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5">
        <f t="shared" si="5"/>
        <v>0</v>
      </c>
      <c r="I13" s="80" t="str">
        <f t="shared" si="6"/>
        <v>UsdLiborSwapForBasisCalc11Y</v>
      </c>
      <c r="J13" s="174" t="str">
        <f t="shared" si="7"/>
        <v>USDAM3L11Y_Fwd1w_Quote</v>
      </c>
      <c r="K13" s="174"/>
      <c r="L13" s="177" t="str">
        <f>_xll.ohRangeRetrieveError(K13)</f>
        <v/>
      </c>
      <c r="M13" s="23"/>
    </row>
    <row r="14" spans="1:20" x14ac:dyDescent="0.2">
      <c r="A14" s="94"/>
      <c r="B14" s="176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5">
        <f t="shared" si="5"/>
        <v>0</v>
      </c>
      <c r="I14" s="80" t="str">
        <f t="shared" si="6"/>
        <v>UsdLiborSwapForBasisCalc12Y</v>
      </c>
      <c r="J14" s="174" t="str">
        <f t="shared" si="7"/>
        <v>USDAM3L12Y_Fwd1w_Quote</v>
      </c>
      <c r="K14" s="174"/>
      <c r="L14" s="177" t="str">
        <f>_xll.ohRangeRetrieveError(K14)</f>
        <v/>
      </c>
      <c r="M14" s="23"/>
    </row>
    <row r="15" spans="1:20" x14ac:dyDescent="0.2">
      <c r="A15" s="94"/>
      <c r="B15" s="176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5">
        <f t="shared" si="5"/>
        <v>0</v>
      </c>
      <c r="I15" s="80" t="str">
        <f t="shared" si="6"/>
        <v>UsdLiborSwapForBasisCalc13Y</v>
      </c>
      <c r="J15" s="174" t="str">
        <f t="shared" si="7"/>
        <v>USDAM3L13Y_Fwd1w_Quote</v>
      </c>
      <c r="K15" s="174"/>
      <c r="L15" s="177" t="str">
        <f>_xll.ohRangeRetrieveError(K15)</f>
        <v/>
      </c>
      <c r="M15" s="23"/>
    </row>
    <row r="16" spans="1:20" x14ac:dyDescent="0.2">
      <c r="A16" s="94"/>
      <c r="B16" s="176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5">
        <f t="shared" si="5"/>
        <v>0</v>
      </c>
      <c r="I16" s="80" t="str">
        <f t="shared" si="6"/>
        <v>UsdLiborSwapForBasisCalc14Y</v>
      </c>
      <c r="J16" s="174" t="str">
        <f t="shared" si="7"/>
        <v>USDAM3L14Y_Fwd1w_Quote</v>
      </c>
      <c r="K16" s="174"/>
      <c r="L16" s="177" t="str">
        <f>_xll.ohRangeRetrieveError(K16)</f>
        <v/>
      </c>
      <c r="M16" s="23"/>
    </row>
    <row r="17" spans="1:13" x14ac:dyDescent="0.2">
      <c r="A17" s="94"/>
      <c r="B17" s="176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5">
        <f t="shared" si="5"/>
        <v>0</v>
      </c>
      <c r="I17" s="80" t="str">
        <f t="shared" si="6"/>
        <v>UsdLiborSwapForBasisCalc15Y</v>
      </c>
      <c r="J17" s="174" t="str">
        <f t="shared" si="7"/>
        <v>USDAM3L15Y_Fwd1w_Quote</v>
      </c>
      <c r="K17" s="174"/>
      <c r="L17" s="177" t="str">
        <f>_xll.ohRangeRetrieveError(K17)</f>
        <v/>
      </c>
      <c r="M17" s="23"/>
    </row>
    <row r="18" spans="1:13" x14ac:dyDescent="0.2">
      <c r="A18" s="94"/>
      <c r="B18" s="176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5">
        <f t="shared" si="5"/>
        <v>0</v>
      </c>
      <c r="I18" s="80" t="str">
        <f t="shared" si="6"/>
        <v>UsdLiborSwapForBasisCalc16Y</v>
      </c>
      <c r="J18" s="174" t="str">
        <f t="shared" si="7"/>
        <v>USDAM3L16Y_Fwd1w_Quote</v>
      </c>
      <c r="K18" s="174"/>
      <c r="L18" s="177" t="str">
        <f>_xll.ohRangeRetrieveError(K18)</f>
        <v/>
      </c>
      <c r="M18" s="23"/>
    </row>
    <row r="19" spans="1:13" x14ac:dyDescent="0.2">
      <c r="A19" s="94"/>
      <c r="B19" s="176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5">
        <f t="shared" si="5"/>
        <v>0</v>
      </c>
      <c r="I19" s="80" t="str">
        <f t="shared" si="6"/>
        <v>UsdLiborSwapForBasisCalc17Y</v>
      </c>
      <c r="J19" s="174" t="str">
        <f t="shared" si="7"/>
        <v>USDAM3L17Y_Fwd1w_Quote</v>
      </c>
      <c r="K19" s="174"/>
      <c r="L19" s="177" t="str">
        <f>_xll.ohRangeRetrieveError(K19)</f>
        <v/>
      </c>
      <c r="M19" s="23"/>
    </row>
    <row r="20" spans="1:13" x14ac:dyDescent="0.2">
      <c r="A20" s="94"/>
      <c r="B20" s="176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5">
        <f t="shared" si="5"/>
        <v>0</v>
      </c>
      <c r="I20" s="80" t="str">
        <f t="shared" si="6"/>
        <v>UsdLiborSwapForBasisCalc18Y</v>
      </c>
      <c r="J20" s="174" t="str">
        <f t="shared" si="7"/>
        <v>USDAM3L18Y_Fwd1w_Quote</v>
      </c>
      <c r="K20" s="174"/>
      <c r="L20" s="177" t="str">
        <f>_xll.ohRangeRetrieveError(K20)</f>
        <v/>
      </c>
      <c r="M20" s="23"/>
    </row>
    <row r="21" spans="1:13" x14ac:dyDescent="0.2">
      <c r="A21" s="94"/>
      <c r="B21" s="176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5">
        <f t="shared" si="5"/>
        <v>0</v>
      </c>
      <c r="I21" s="80" t="str">
        <f t="shared" si="6"/>
        <v>UsdLiborSwapForBasisCalc19Y</v>
      </c>
      <c r="J21" s="174" t="str">
        <f t="shared" si="7"/>
        <v>USDAM3L19Y_Fwd1w_Quote</v>
      </c>
      <c r="K21" s="174"/>
      <c r="L21" s="177" t="str">
        <f>_xll.ohRangeRetrieveError(K21)</f>
        <v/>
      </c>
      <c r="M21" s="23"/>
    </row>
    <row r="22" spans="1:13" x14ac:dyDescent="0.2">
      <c r="A22" s="94"/>
      <c r="B22" s="176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5">
        <f t="shared" si="5"/>
        <v>0</v>
      </c>
      <c r="I22" s="80" t="str">
        <f t="shared" si="6"/>
        <v>UsdLiborSwapForBasisCalc20Y</v>
      </c>
      <c r="J22" s="174" t="str">
        <f t="shared" si="7"/>
        <v>USDAM3L20Y_Fwd1w_Quote</v>
      </c>
      <c r="K22" s="174"/>
      <c r="L22" s="177" t="str">
        <f>_xll.ohRangeRetrieveError(K22)</f>
        <v/>
      </c>
      <c r="M22" s="23"/>
    </row>
    <row r="23" spans="1:13" x14ac:dyDescent="0.2">
      <c r="A23" s="94"/>
      <c r="B23" s="176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5">
        <f t="shared" si="5"/>
        <v>0</v>
      </c>
      <c r="I23" s="80" t="str">
        <f t="shared" si="6"/>
        <v>UsdLiborSwapForBasisCalc21Y</v>
      </c>
      <c r="J23" s="174" t="str">
        <f t="shared" si="7"/>
        <v>USDAM3L21Y_Fwd1w_Quote</v>
      </c>
      <c r="K23" s="174"/>
      <c r="L23" s="177" t="str">
        <f>_xll.ohRangeRetrieveError(K23)</f>
        <v/>
      </c>
      <c r="M23" s="23"/>
    </row>
    <row r="24" spans="1:13" x14ac:dyDescent="0.2">
      <c r="A24" s="94"/>
      <c r="B24" s="176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5">
        <f t="shared" si="5"/>
        <v>0</v>
      </c>
      <c r="I24" s="80" t="str">
        <f t="shared" si="6"/>
        <v>UsdLiborSwapForBasisCalc22Y</v>
      </c>
      <c r="J24" s="174" t="str">
        <f t="shared" si="7"/>
        <v>USDAM3L22Y_Fwd1w_Quote</v>
      </c>
      <c r="K24" s="174"/>
      <c r="L24" s="177" t="str">
        <f>_xll.ohRangeRetrieveError(K24)</f>
        <v/>
      </c>
      <c r="M24" s="23"/>
    </row>
    <row r="25" spans="1:13" x14ac:dyDescent="0.2">
      <c r="A25" s="94"/>
      <c r="B25" s="176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5">
        <f t="shared" si="5"/>
        <v>0</v>
      </c>
      <c r="I25" s="80" t="str">
        <f t="shared" si="6"/>
        <v>UsdLiborSwapForBasisCalc23Y</v>
      </c>
      <c r="J25" s="174" t="str">
        <f t="shared" si="7"/>
        <v>USDAM3L23Y_Fwd1w_Quote</v>
      </c>
      <c r="K25" s="174"/>
      <c r="L25" s="177" t="str">
        <f>_xll.ohRangeRetrieveError(K25)</f>
        <v/>
      </c>
      <c r="M25" s="23"/>
    </row>
    <row r="26" spans="1:13" x14ac:dyDescent="0.2">
      <c r="A26" s="94"/>
      <c r="B26" s="176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5">
        <f t="shared" si="5"/>
        <v>0</v>
      </c>
      <c r="I26" s="80" t="str">
        <f t="shared" si="6"/>
        <v>UsdLiborSwapForBasisCalc24Y</v>
      </c>
      <c r="J26" s="174" t="str">
        <f t="shared" si="7"/>
        <v>USDAM3L24Y_Fwd1w_Quote</v>
      </c>
      <c r="K26" s="174"/>
      <c r="L26" s="177" t="str">
        <f>_xll.ohRangeRetrieveError(K26)</f>
        <v/>
      </c>
      <c r="M26" s="23"/>
    </row>
    <row r="27" spans="1:13" x14ac:dyDescent="0.2">
      <c r="A27" s="94"/>
      <c r="B27" s="176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5">
        <f t="shared" si="5"/>
        <v>0</v>
      </c>
      <c r="I27" s="80" t="str">
        <f t="shared" si="6"/>
        <v>UsdLiborSwapForBasisCalc25Y</v>
      </c>
      <c r="J27" s="174" t="str">
        <f t="shared" si="7"/>
        <v>USDAM3L25Y_Fwd1w_Quote</v>
      </c>
      <c r="K27" s="174"/>
      <c r="L27" s="177" t="str">
        <f>_xll.ohRangeRetrieveError(K27)</f>
        <v/>
      </c>
      <c r="M27" s="23"/>
    </row>
    <row r="28" spans="1:13" x14ac:dyDescent="0.2">
      <c r="A28" s="94"/>
      <c r="B28" s="176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5">
        <f t="shared" si="5"/>
        <v>0</v>
      </c>
      <c r="I28" s="80" t="str">
        <f t="shared" si="6"/>
        <v>UsdLiborSwapForBasisCalc26Y</v>
      </c>
      <c r="J28" s="174" t="str">
        <f t="shared" si="7"/>
        <v>USDAM3L26Y_Fwd1w_Quote</v>
      </c>
      <c r="K28" s="174"/>
      <c r="L28" s="177" t="str">
        <f>_xll.ohRangeRetrieveError(K28)</f>
        <v/>
      </c>
      <c r="M28" s="23"/>
    </row>
    <row r="29" spans="1:13" x14ac:dyDescent="0.2">
      <c r="A29" s="94"/>
      <c r="B29" s="176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5">
        <f t="shared" si="5"/>
        <v>0</v>
      </c>
      <c r="I29" s="80" t="str">
        <f t="shared" si="6"/>
        <v>UsdLiborSwapForBasisCalc27Y</v>
      </c>
      <c r="J29" s="174" t="str">
        <f t="shared" si="7"/>
        <v>USDAM3L27Y_Fwd1w_Quote</v>
      </c>
      <c r="K29" s="174"/>
      <c r="L29" s="177" t="str">
        <f>_xll.ohRangeRetrieveError(K29)</f>
        <v/>
      </c>
      <c r="M29" s="23"/>
    </row>
    <row r="30" spans="1:13" x14ac:dyDescent="0.2">
      <c r="A30" s="94"/>
      <c r="B30" s="176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5">
        <f t="shared" si="5"/>
        <v>0</v>
      </c>
      <c r="I30" s="80" t="str">
        <f t="shared" si="6"/>
        <v>UsdLiborSwapForBasisCalc28Y</v>
      </c>
      <c r="J30" s="174" t="str">
        <f t="shared" si="7"/>
        <v>USDAM3L28Y_Fwd1w_Quote</v>
      </c>
      <c r="K30" s="174"/>
      <c r="L30" s="177" t="str">
        <f>_xll.ohRangeRetrieveError(K30)</f>
        <v/>
      </c>
      <c r="M30" s="23"/>
    </row>
    <row r="31" spans="1:13" x14ac:dyDescent="0.2">
      <c r="A31" s="94"/>
      <c r="B31" s="176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5">
        <f t="shared" si="5"/>
        <v>0</v>
      </c>
      <c r="I31" s="80" t="str">
        <f t="shared" si="6"/>
        <v>UsdLiborSwapForBasisCalc29Y</v>
      </c>
      <c r="J31" s="174" t="str">
        <f t="shared" si="7"/>
        <v>USDAM3L29Y_Fwd1w_Quote</v>
      </c>
      <c r="K31" s="174"/>
      <c r="L31" s="177" t="str">
        <f>_xll.ohRangeRetrieveError(K31)</f>
        <v/>
      </c>
      <c r="M31" s="23"/>
    </row>
    <row r="32" spans="1:13" x14ac:dyDescent="0.2">
      <c r="A32" s="94"/>
      <c r="B32" s="176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5">
        <f t="shared" si="5"/>
        <v>0</v>
      </c>
      <c r="I32" s="80" t="str">
        <f t="shared" si="6"/>
        <v>UsdLiborSwapForBasisCalc30Y</v>
      </c>
      <c r="J32" s="174" t="str">
        <f t="shared" si="7"/>
        <v>USDAM3L30Y_Fwd1w_Quote</v>
      </c>
      <c r="K32" s="174"/>
      <c r="L32" s="177" t="str">
        <f>_xll.ohRangeRetrieveError(K32)</f>
        <v/>
      </c>
      <c r="M32" s="23"/>
    </row>
    <row r="33" spans="1:13" x14ac:dyDescent="0.2">
      <c r="A33" s="94"/>
      <c r="B33" s="176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5">
        <f t="shared" si="5"/>
        <v>0</v>
      </c>
      <c r="I33" s="80" t="str">
        <f t="shared" si="6"/>
        <v>UsdLiborSwapForBasisCalc35Y</v>
      </c>
      <c r="J33" s="174" t="str">
        <f t="shared" si="7"/>
        <v>USDAM3L35Y_Fwd1w_Quote</v>
      </c>
      <c r="K33" s="174"/>
      <c r="L33" s="177" t="str">
        <f>_xll.ohRangeRetrieveError(K33)</f>
        <v/>
      </c>
      <c r="M33" s="23"/>
    </row>
    <row r="34" spans="1:13" x14ac:dyDescent="0.2">
      <c r="A34" s="94"/>
      <c r="B34" s="176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5">
        <f t="shared" si="5"/>
        <v>0</v>
      </c>
      <c r="I34" s="80" t="str">
        <f t="shared" si="6"/>
        <v>UsdLiborSwapForBasisCalc40Y</v>
      </c>
      <c r="J34" s="174" t="str">
        <f t="shared" si="7"/>
        <v>USDAM3L40Y_Fwd1w_Quote</v>
      </c>
      <c r="K34" s="174"/>
      <c r="L34" s="177" t="str">
        <f>_xll.ohRangeRetrieveError(K34)</f>
        <v/>
      </c>
      <c r="M34" s="23"/>
    </row>
    <row r="35" spans="1:13" x14ac:dyDescent="0.2">
      <c r="A35" s="94"/>
      <c r="B35" s="176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5">
        <f t="shared" si="5"/>
        <v>0</v>
      </c>
      <c r="I35" s="80" t="str">
        <f t="shared" si="6"/>
        <v>UsdLiborSwapForBasisCalc50Y</v>
      </c>
      <c r="J35" s="174" t="str">
        <f t="shared" si="7"/>
        <v>USDAM3L50Y_Fwd1w_Quote</v>
      </c>
      <c r="K35" s="174"/>
      <c r="L35" s="177" t="str">
        <f>_xll.ohRangeRetrieveError(K35)</f>
        <v/>
      </c>
      <c r="M35" s="23"/>
    </row>
    <row r="36" spans="1:13" x14ac:dyDescent="0.2">
      <c r="A36" s="94"/>
      <c r="B36" s="176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5">
        <f t="shared" si="5"/>
        <v>0</v>
      </c>
      <c r="I36" s="80" t="str">
        <f t="shared" si="6"/>
        <v>UsdLiborSwapForBasisCalc60Y</v>
      </c>
      <c r="J36" s="174" t="str">
        <f t="shared" si="7"/>
        <v>USDAM3L60Y_Fwd1w_Quote</v>
      </c>
      <c r="K36" s="174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2" sqref="K2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3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3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0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4"/>
      <c r="P2" s="153"/>
      <c r="Q2" s="153"/>
      <c r="R2" s="153"/>
      <c r="S2" s="153"/>
      <c r="T2" s="152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5">
        <f t="shared" ref="H3:H36" si="5">IF(F3=0,0,Currency&amp;$F3&amp;$G3&amp;$B3&amp;QuoteSuffix)</f>
        <v>0</v>
      </c>
      <c r="I3" s="178" t="str">
        <f t="shared" ref="I3:I36" si="6">PROPER(Currency)&amp;FamilyName&amp;"Swap"&amp;FixingType&amp;$B3</f>
        <v>UsdLiborSwapForBasisCalc1Y</v>
      </c>
      <c r="J3" s="174" t="str">
        <f t="shared" ref="J3:J36" si="7">Currency&amp;$C3&amp;$D3&amp;$B3&amp;"_"&amp;"Fwd"&amp;E3&amp;IF(H3=0,,"_S"&amp;$F3&amp;$G3)&amp;QuoteSuffix</f>
        <v>USDAM6L1Y_Fwd1w_Quote</v>
      </c>
      <c r="K3" s="174"/>
      <c r="L3" s="184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5">
        <f t="shared" si="5"/>
        <v>0</v>
      </c>
      <c r="I4" s="80" t="str">
        <f t="shared" si="6"/>
        <v>UsdLiborSwapForBasisCalc2Y</v>
      </c>
      <c r="J4" s="174" t="str">
        <f t="shared" si="7"/>
        <v>USDAM6L2Y_Fwd1w_Quote</v>
      </c>
      <c r="K4" s="174"/>
      <c r="L4" s="184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5">
        <f t="shared" si="5"/>
        <v>0</v>
      </c>
      <c r="I5" s="80" t="str">
        <f t="shared" si="6"/>
        <v>UsdLiborSwapForBasisCalc3Y</v>
      </c>
      <c r="J5" s="174" t="str">
        <f t="shared" si="7"/>
        <v>USDAM6L3Y_Fwd1w_Quote</v>
      </c>
      <c r="K5" s="174"/>
      <c r="L5" s="184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5">
        <f t="shared" si="5"/>
        <v>0</v>
      </c>
      <c r="I6" s="80" t="str">
        <f t="shared" si="6"/>
        <v>UsdLiborSwapForBasisCalc4Y</v>
      </c>
      <c r="J6" s="174" t="str">
        <f t="shared" si="7"/>
        <v>USDAM6L4Y_Fwd1w_Quote</v>
      </c>
      <c r="K6" s="174"/>
      <c r="L6" s="184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5">
        <f t="shared" si="5"/>
        <v>0</v>
      </c>
      <c r="I7" s="80" t="str">
        <f t="shared" si="6"/>
        <v>UsdLiborSwapForBasisCalc5Y</v>
      </c>
      <c r="J7" s="174" t="str">
        <f t="shared" si="7"/>
        <v>USDAM6L5Y_Fwd1w_Quote</v>
      </c>
      <c r="K7" s="174"/>
      <c r="L7" s="184" t="str">
        <f>_xll.ohRangeRetrieveError(K7)</f>
        <v/>
      </c>
      <c r="M7" s="23"/>
      <c r="O7" s="56" t="s">
        <v>94</v>
      </c>
      <c r="P7" s="55" t="s">
        <v>177</v>
      </c>
      <c r="Q7" s="185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5">
        <f t="shared" si="5"/>
        <v>0</v>
      </c>
      <c r="I8" s="80" t="str">
        <f t="shared" si="6"/>
        <v>UsdLiborSwapForBasisCalc6Y</v>
      </c>
      <c r="J8" s="174" t="str">
        <f t="shared" si="7"/>
        <v>USDAM6L6Y_Fwd1w_Quote</v>
      </c>
      <c r="K8" s="174"/>
      <c r="L8" s="184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5">
        <f t="shared" si="5"/>
        <v>0</v>
      </c>
      <c r="I9" s="80" t="str">
        <f t="shared" si="6"/>
        <v>UsdLiborSwapForBasisCalc7Y</v>
      </c>
      <c r="J9" s="174" t="str">
        <f t="shared" si="7"/>
        <v>USDAM6L7Y_Fwd1w_Quote</v>
      </c>
      <c r="K9" s="174"/>
      <c r="L9" s="184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5">
        <f t="shared" si="5"/>
        <v>0</v>
      </c>
      <c r="I10" s="80" t="str">
        <f t="shared" si="6"/>
        <v>UsdLiborSwapForBasisCalc8Y</v>
      </c>
      <c r="J10" s="174" t="str">
        <f t="shared" si="7"/>
        <v>USDAM6L8Y_Fwd1w_Quote</v>
      </c>
      <c r="K10" s="174"/>
      <c r="L10" s="184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5">
        <f t="shared" si="5"/>
        <v>0</v>
      </c>
      <c r="I11" s="80" t="str">
        <f t="shared" si="6"/>
        <v>UsdLiborSwapForBasisCalc9Y</v>
      </c>
      <c r="J11" s="174" t="str">
        <f t="shared" si="7"/>
        <v>USDAM6L9Y_Fwd1w_Quote</v>
      </c>
      <c r="K11" s="174"/>
      <c r="L11" s="184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5">
        <f t="shared" si="5"/>
        <v>0</v>
      </c>
      <c r="I12" s="80" t="str">
        <f t="shared" si="6"/>
        <v>UsdLiborSwapForBasisCalc10Y</v>
      </c>
      <c r="J12" s="174" t="str">
        <f t="shared" si="7"/>
        <v>USDAM6L10Y_Fwd1w_Quote</v>
      </c>
      <c r="K12" s="174"/>
      <c r="L12" s="184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5">
        <f t="shared" si="5"/>
        <v>0</v>
      </c>
      <c r="I13" s="80" t="str">
        <f t="shared" si="6"/>
        <v>UsdLiborSwapForBasisCalc11Y</v>
      </c>
      <c r="J13" s="174" t="str">
        <f t="shared" si="7"/>
        <v>USDAM6L11Y_Fwd1w_Quote</v>
      </c>
      <c r="K13" s="174"/>
      <c r="L13" s="184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5">
        <f t="shared" si="5"/>
        <v>0</v>
      </c>
      <c r="I14" s="80" t="str">
        <f t="shared" si="6"/>
        <v>UsdLiborSwapForBasisCalc12Y</v>
      </c>
      <c r="J14" s="174" t="str">
        <f t="shared" si="7"/>
        <v>USDAM6L12Y_Fwd1w_Quote</v>
      </c>
      <c r="K14" s="174"/>
      <c r="L14" s="184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5">
        <f t="shared" si="5"/>
        <v>0</v>
      </c>
      <c r="I15" s="80" t="str">
        <f t="shared" si="6"/>
        <v>UsdLiborSwapForBasisCalc13Y</v>
      </c>
      <c r="J15" s="174" t="str">
        <f t="shared" si="7"/>
        <v>USDAM6L13Y_Fwd1w_Quote</v>
      </c>
      <c r="K15" s="174"/>
      <c r="L15" s="184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5">
        <f t="shared" si="5"/>
        <v>0</v>
      </c>
      <c r="I16" s="80" t="str">
        <f t="shared" si="6"/>
        <v>UsdLiborSwapForBasisCalc14Y</v>
      </c>
      <c r="J16" s="174" t="str">
        <f t="shared" si="7"/>
        <v>USDAM6L14Y_Fwd1w_Quote</v>
      </c>
      <c r="K16" s="174"/>
      <c r="L16" s="184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5">
        <f t="shared" si="5"/>
        <v>0</v>
      </c>
      <c r="I17" s="80" t="str">
        <f t="shared" si="6"/>
        <v>UsdLiborSwapForBasisCalc15Y</v>
      </c>
      <c r="J17" s="174" t="str">
        <f t="shared" si="7"/>
        <v>USDAM6L15Y_Fwd1w_Quote</v>
      </c>
      <c r="K17" s="174"/>
      <c r="L17" s="184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5">
        <f t="shared" si="5"/>
        <v>0</v>
      </c>
      <c r="I18" s="80" t="str">
        <f t="shared" si="6"/>
        <v>UsdLiborSwapForBasisCalc16Y</v>
      </c>
      <c r="J18" s="174" t="str">
        <f t="shared" si="7"/>
        <v>USDAM6L16Y_Fwd1w_Quote</v>
      </c>
      <c r="K18" s="174"/>
      <c r="L18" s="184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5">
        <f t="shared" si="5"/>
        <v>0</v>
      </c>
      <c r="I19" s="80" t="str">
        <f t="shared" si="6"/>
        <v>UsdLiborSwapForBasisCalc17Y</v>
      </c>
      <c r="J19" s="174" t="str">
        <f t="shared" si="7"/>
        <v>USDAM6L17Y_Fwd1w_Quote</v>
      </c>
      <c r="K19" s="174"/>
      <c r="L19" s="184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5">
        <f t="shared" si="5"/>
        <v>0</v>
      </c>
      <c r="I20" s="80" t="str">
        <f t="shared" si="6"/>
        <v>UsdLiborSwapForBasisCalc18Y</v>
      </c>
      <c r="J20" s="174" t="str">
        <f t="shared" si="7"/>
        <v>USDAM6L18Y_Fwd1w_Quote</v>
      </c>
      <c r="K20" s="174"/>
      <c r="L20" s="184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5">
        <f t="shared" si="5"/>
        <v>0</v>
      </c>
      <c r="I21" s="80" t="str">
        <f t="shared" si="6"/>
        <v>UsdLiborSwapForBasisCalc19Y</v>
      </c>
      <c r="J21" s="174" t="str">
        <f t="shared" si="7"/>
        <v>USDAM6L19Y_Fwd1w_Quote</v>
      </c>
      <c r="K21" s="174"/>
      <c r="L21" s="184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5">
        <f t="shared" si="5"/>
        <v>0</v>
      </c>
      <c r="I22" s="80" t="str">
        <f t="shared" si="6"/>
        <v>UsdLiborSwapForBasisCalc20Y</v>
      </c>
      <c r="J22" s="174" t="str">
        <f t="shared" si="7"/>
        <v>USDAM6L20Y_Fwd1w_Quote</v>
      </c>
      <c r="K22" s="174"/>
      <c r="L22" s="184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5">
        <f t="shared" si="5"/>
        <v>0</v>
      </c>
      <c r="I23" s="80" t="str">
        <f t="shared" si="6"/>
        <v>UsdLiborSwapForBasisCalc21Y</v>
      </c>
      <c r="J23" s="174" t="str">
        <f t="shared" si="7"/>
        <v>USDAM6L21Y_Fwd1w_Quote</v>
      </c>
      <c r="K23" s="174"/>
      <c r="L23" s="184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5">
        <f t="shared" si="5"/>
        <v>0</v>
      </c>
      <c r="I24" s="80" t="str">
        <f t="shared" si="6"/>
        <v>UsdLiborSwapForBasisCalc22Y</v>
      </c>
      <c r="J24" s="174" t="str">
        <f t="shared" si="7"/>
        <v>USDAM6L22Y_Fwd1w_Quote</v>
      </c>
      <c r="K24" s="174"/>
      <c r="L24" s="184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5">
        <f t="shared" si="5"/>
        <v>0</v>
      </c>
      <c r="I25" s="80" t="str">
        <f t="shared" si="6"/>
        <v>UsdLiborSwapForBasisCalc23Y</v>
      </c>
      <c r="J25" s="174" t="str">
        <f t="shared" si="7"/>
        <v>USDAM6L23Y_Fwd1w_Quote</v>
      </c>
      <c r="K25" s="174"/>
      <c r="L25" s="184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5">
        <f t="shared" si="5"/>
        <v>0</v>
      </c>
      <c r="I26" s="80" t="str">
        <f t="shared" si="6"/>
        <v>UsdLiborSwapForBasisCalc24Y</v>
      </c>
      <c r="J26" s="174" t="str">
        <f t="shared" si="7"/>
        <v>USDAM6L24Y_Fwd1w_Quote</v>
      </c>
      <c r="K26" s="174"/>
      <c r="L26" s="184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5">
        <f t="shared" si="5"/>
        <v>0</v>
      </c>
      <c r="I27" s="80" t="str">
        <f t="shared" si="6"/>
        <v>UsdLiborSwapForBasisCalc25Y</v>
      </c>
      <c r="J27" s="174" t="str">
        <f t="shared" si="7"/>
        <v>USDAM6L25Y_Fwd1w_Quote</v>
      </c>
      <c r="K27" s="174"/>
      <c r="L27" s="184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5">
        <f t="shared" si="5"/>
        <v>0</v>
      </c>
      <c r="I28" s="80" t="str">
        <f t="shared" si="6"/>
        <v>UsdLiborSwapForBasisCalc26Y</v>
      </c>
      <c r="J28" s="174" t="str">
        <f t="shared" si="7"/>
        <v>USDAM6L26Y_Fwd1w_Quote</v>
      </c>
      <c r="K28" s="174"/>
      <c r="L28" s="184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5">
        <f t="shared" si="5"/>
        <v>0</v>
      </c>
      <c r="I29" s="80" t="str">
        <f t="shared" si="6"/>
        <v>UsdLiborSwapForBasisCalc27Y</v>
      </c>
      <c r="J29" s="174" t="str">
        <f t="shared" si="7"/>
        <v>USDAM6L27Y_Fwd1w_Quote</v>
      </c>
      <c r="K29" s="174"/>
      <c r="L29" s="184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5">
        <f t="shared" si="5"/>
        <v>0</v>
      </c>
      <c r="I30" s="80" t="str">
        <f t="shared" si="6"/>
        <v>UsdLiborSwapForBasisCalc28Y</v>
      </c>
      <c r="J30" s="174" t="str">
        <f t="shared" si="7"/>
        <v>USDAM6L28Y_Fwd1w_Quote</v>
      </c>
      <c r="K30" s="174"/>
      <c r="L30" s="184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5">
        <f t="shared" si="5"/>
        <v>0</v>
      </c>
      <c r="I31" s="80" t="str">
        <f t="shared" si="6"/>
        <v>UsdLiborSwapForBasisCalc29Y</v>
      </c>
      <c r="J31" s="174" t="str">
        <f t="shared" si="7"/>
        <v>USDAM6L29Y_Fwd1w_Quote</v>
      </c>
      <c r="K31" s="174"/>
      <c r="L31" s="184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5">
        <f t="shared" si="5"/>
        <v>0</v>
      </c>
      <c r="I32" s="80" t="str">
        <f t="shared" si="6"/>
        <v>UsdLiborSwapForBasisCalc30Y</v>
      </c>
      <c r="J32" s="174" t="str">
        <f t="shared" si="7"/>
        <v>USDAM6L30Y_Fwd1w_Quote</v>
      </c>
      <c r="K32" s="174"/>
      <c r="L32" s="184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5">
        <f t="shared" si="5"/>
        <v>0</v>
      </c>
      <c r="I33" s="80" t="str">
        <f t="shared" si="6"/>
        <v>UsdLiborSwapForBasisCalc35Y</v>
      </c>
      <c r="J33" s="174" t="str">
        <f t="shared" si="7"/>
        <v>USDAM6L35Y_Fwd1w_Quote</v>
      </c>
      <c r="K33" s="174"/>
      <c r="L33" s="184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5">
        <f t="shared" si="5"/>
        <v>0</v>
      </c>
      <c r="I34" s="80" t="str">
        <f t="shared" si="6"/>
        <v>UsdLiborSwapForBasisCalc40Y</v>
      </c>
      <c r="J34" s="174" t="str">
        <f t="shared" si="7"/>
        <v>USDAM6L40Y_Fwd1w_Quote</v>
      </c>
      <c r="K34" s="174"/>
      <c r="L34" s="184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5">
        <f t="shared" si="5"/>
        <v>0</v>
      </c>
      <c r="I35" s="80" t="str">
        <f t="shared" si="6"/>
        <v>UsdLiborSwapForBasisCalc50Y</v>
      </c>
      <c r="J35" s="174" t="str">
        <f t="shared" si="7"/>
        <v>USDAM6L50Y_Fwd1w_Quote</v>
      </c>
      <c r="K35" s="174"/>
      <c r="L35" s="184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5">
        <f t="shared" si="5"/>
        <v>0</v>
      </c>
      <c r="I36" s="80" t="str">
        <f t="shared" si="6"/>
        <v>UsdLiborSwapForBasisCalc60Y</v>
      </c>
      <c r="J36" s="174" t="str">
        <f t="shared" si="7"/>
        <v>USDAM6L60Y_Fwd1w_Quote</v>
      </c>
      <c r="K36" s="174"/>
      <c r="L36" s="184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>
      <selection activeCell="F2" sqref="F2"/>
    </sheetView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2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28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6"/>
      <c r="M2" s="196"/>
      <c r="N2" s="196"/>
      <c r="O2" s="251" t="s">
        <v>230</v>
      </c>
      <c r="P2" s="116" t="s">
        <v>114</v>
      </c>
      <c r="Q2" s="109"/>
      <c r="R2" s="23"/>
    </row>
    <row r="3" spans="1:18" x14ac:dyDescent="0.2">
      <c r="A3" s="94"/>
      <c r="B3" s="196"/>
      <c r="C3" s="109"/>
      <c r="D3" s="109"/>
      <c r="E3" s="109"/>
      <c r="F3" s="109"/>
      <c r="G3" s="109"/>
      <c r="H3" s="109"/>
      <c r="I3" s="109"/>
      <c r="J3" s="109"/>
      <c r="K3" s="109"/>
      <c r="L3" s="196"/>
      <c r="M3" s="196"/>
      <c r="N3" s="196"/>
      <c r="O3" s="109"/>
      <c r="P3" s="109"/>
      <c r="Q3" s="225">
        <f>_xll.ohTrigger(Q5:Q10)</f>
        <v>0</v>
      </c>
      <c r="R3" s="164"/>
    </row>
    <row r="4" spans="1:18" ht="22.5" x14ac:dyDescent="0.2">
      <c r="A4" s="94"/>
      <c r="B4" s="250"/>
      <c r="C4" s="143"/>
      <c r="D4" s="143"/>
      <c r="E4" s="143"/>
      <c r="F4" s="191" t="str">
        <f>_xll.RData(F5:F10,G4:J4,"RTFEED:IDN",ReutersRtMode,,G5)</f>
        <v>Updated at 10:05:48</v>
      </c>
      <c r="G4" s="249" t="s">
        <v>199</v>
      </c>
      <c r="H4" s="249" t="s">
        <v>198</v>
      </c>
      <c r="I4" s="249" t="s">
        <v>216</v>
      </c>
      <c r="J4" s="249" t="s">
        <v>234</v>
      </c>
      <c r="K4" s="221" t="s">
        <v>255</v>
      </c>
      <c r="L4" s="196"/>
      <c r="M4" s="223" t="s">
        <v>229</v>
      </c>
      <c r="N4" s="196"/>
      <c r="O4" s="222" t="s">
        <v>228</v>
      </c>
      <c r="P4" s="248" t="s">
        <v>227</v>
      </c>
      <c r="Q4" s="67" t="s">
        <v>226</v>
      </c>
      <c r="R4" s="164"/>
    </row>
    <row r="5" spans="1:18" x14ac:dyDescent="0.2">
      <c r="A5" s="94"/>
      <c r="B5" s="217" t="s">
        <v>174</v>
      </c>
      <c r="C5" s="246" t="s">
        <v>259</v>
      </c>
      <c r="D5" s="246" t="s">
        <v>265</v>
      </c>
      <c r="E5" s="244" t="str">
        <f t="shared" ref="E5:E10" si="0">Currency&amp;$C5&amp;$D5&amp;$B5</f>
        <v>USDE1X2S</v>
      </c>
      <c r="F5" s="244" t="str">
        <f t="array" ref="F5:F10">Instruments&amp;"="&amp;VLOOKUP(Contributor,ContributorTable,2,FALSE)</f>
        <v>USDE1X2S=ICAP</v>
      </c>
      <c r="G5" s="213" t="s">
        <v>211</v>
      </c>
      <c r="H5" s="213" t="s">
        <v>211</v>
      </c>
      <c r="I5" s="213" t="s">
        <v>211</v>
      </c>
      <c r="J5" s="213" t="s">
        <v>211</v>
      </c>
      <c r="K5" s="215" t="e">
        <f>_xll.qlMidEquivalent($G5,$H5,$I5,$J5)</f>
        <v>#NUM!</v>
      </c>
      <c r="L5" s="196"/>
      <c r="M5" s="214" t="e">
        <v>#NUM!</v>
      </c>
      <c r="N5" s="196"/>
      <c r="O5" s="242" t="str">
        <f t="shared" ref="O5:O10" si="1">$E5&amp;$P$2</f>
        <v>USDE1X2S_Quote</v>
      </c>
      <c r="P5" s="213" t="e">
        <f t="array" ref="P5:P10">QuoteLive</f>
        <v>#NUM!</v>
      </c>
      <c r="Q5" s="212"/>
      <c r="R5" s="164"/>
    </row>
    <row r="6" spans="1:18" x14ac:dyDescent="0.2">
      <c r="A6" s="94"/>
      <c r="B6" s="200" t="s">
        <v>175</v>
      </c>
      <c r="C6" s="241" t="s">
        <v>259</v>
      </c>
      <c r="D6" s="241" t="s">
        <v>265</v>
      </c>
      <c r="E6" s="239" t="str">
        <f t="shared" si="0"/>
        <v>USDE1X4S</v>
      </c>
      <c r="F6" s="239" t="str">
        <v>USDE1X4S=ICAP</v>
      </c>
      <c r="G6" s="194" t="s">
        <v>211</v>
      </c>
      <c r="H6" s="194" t="s">
        <v>211</v>
      </c>
      <c r="I6" s="194" t="s">
        <v>211</v>
      </c>
      <c r="J6" s="194" t="s">
        <v>211</v>
      </c>
      <c r="K6" s="198" t="e">
        <f>_xll.qlMidEquivalent($G6,$H6,$I6,$J6)</f>
        <v>#NUM!</v>
      </c>
      <c r="L6" s="196"/>
      <c r="M6" s="197" t="e">
        <v>#NUM!</v>
      </c>
      <c r="N6" s="196"/>
      <c r="O6" s="237" t="str">
        <f t="shared" si="1"/>
        <v>USDE1X4S_Quote</v>
      </c>
      <c r="P6" s="194" t="e">
        <v>#NUM!</v>
      </c>
      <c r="Q6" s="193"/>
      <c r="R6" s="164"/>
    </row>
    <row r="7" spans="1:18" x14ac:dyDescent="0.2">
      <c r="A7" s="94"/>
      <c r="B7" s="200" t="s">
        <v>176</v>
      </c>
      <c r="C7" s="241" t="s">
        <v>259</v>
      </c>
      <c r="D7" s="241" t="s">
        <v>263</v>
      </c>
      <c r="E7" s="239" t="str">
        <f t="shared" si="0"/>
        <v>USDE2X3S</v>
      </c>
      <c r="F7" s="239" t="str">
        <v>USDE2X3S=ICAP</v>
      </c>
      <c r="G7" s="194" t="s">
        <v>211</v>
      </c>
      <c r="H7" s="194" t="s">
        <v>211</v>
      </c>
      <c r="I7" s="194" t="s">
        <v>211</v>
      </c>
      <c r="J7" s="194" t="s">
        <v>211</v>
      </c>
      <c r="K7" s="198" t="e">
        <f>_xll.qlMidEquivalent($G7,$H7,$I7,$J7)</f>
        <v>#NUM!</v>
      </c>
      <c r="L7" s="196"/>
      <c r="M7" s="197" t="e">
        <v>#NUM!</v>
      </c>
      <c r="N7" s="196"/>
      <c r="O7" s="237" t="str">
        <f t="shared" si="1"/>
        <v>USDE2X3S_Quote</v>
      </c>
      <c r="P7" s="194" t="e">
        <v>#NUM!</v>
      </c>
      <c r="Q7" s="193"/>
      <c r="R7" s="164"/>
    </row>
    <row r="8" spans="1:18" x14ac:dyDescent="0.2">
      <c r="A8" s="94"/>
      <c r="B8" s="200" t="s">
        <v>264</v>
      </c>
      <c r="C8" s="241" t="s">
        <v>259</v>
      </c>
      <c r="D8" s="241" t="s">
        <v>263</v>
      </c>
      <c r="E8" s="239" t="str">
        <f t="shared" si="0"/>
        <v>USDE2X5S</v>
      </c>
      <c r="F8" s="239" t="str">
        <v>USDE2X5S=ICAP</v>
      </c>
      <c r="G8" s="194" t="s">
        <v>211</v>
      </c>
      <c r="H8" s="194" t="s">
        <v>211</v>
      </c>
      <c r="I8" s="194" t="s">
        <v>211</v>
      </c>
      <c r="J8" s="194" t="s">
        <v>211</v>
      </c>
      <c r="K8" s="198" t="e">
        <f>_xll.qlMidEquivalent($G8,$H8,$I8,$J8)</f>
        <v>#NUM!</v>
      </c>
      <c r="L8" s="196"/>
      <c r="M8" s="197" t="e">
        <v>#NUM!</v>
      </c>
      <c r="N8" s="196"/>
      <c r="O8" s="237" t="str">
        <f t="shared" si="1"/>
        <v>USDE2X5S_Quote</v>
      </c>
      <c r="P8" s="194" t="e">
        <v>#NUM!</v>
      </c>
      <c r="Q8" s="193"/>
      <c r="R8" s="164"/>
    </row>
    <row r="9" spans="1:18" x14ac:dyDescent="0.2">
      <c r="A9" s="94"/>
      <c r="B9" s="200" t="s">
        <v>262</v>
      </c>
      <c r="C9" s="241" t="s">
        <v>259</v>
      </c>
      <c r="D9" s="241" t="s">
        <v>261</v>
      </c>
      <c r="E9" s="239" t="str">
        <f t="shared" si="0"/>
        <v>USDE3X6S</v>
      </c>
      <c r="F9" s="239" t="str">
        <v>USDE3X6S=ICAP</v>
      </c>
      <c r="G9" s="194" t="s">
        <v>211</v>
      </c>
      <c r="H9" s="194" t="s">
        <v>211</v>
      </c>
      <c r="I9" s="194" t="s">
        <v>211</v>
      </c>
      <c r="J9" s="194" t="s">
        <v>211</v>
      </c>
      <c r="K9" s="198" t="e">
        <f>_xll.qlMidEquivalent($G9,$H9,$I9,$J9)</f>
        <v>#NUM!</v>
      </c>
      <c r="L9" s="196"/>
      <c r="M9" s="197" t="e">
        <v>#NUM!</v>
      </c>
      <c r="N9" s="196"/>
      <c r="O9" s="237" t="str">
        <f t="shared" si="1"/>
        <v>USDE3X6S_Quote</v>
      </c>
      <c r="P9" s="194" t="e">
        <v>#NUM!</v>
      </c>
      <c r="Q9" s="193"/>
      <c r="R9" s="164"/>
    </row>
    <row r="10" spans="1:18" x14ac:dyDescent="0.2">
      <c r="A10" s="94"/>
      <c r="B10" s="211" t="s">
        <v>260</v>
      </c>
      <c r="C10" s="236" t="s">
        <v>259</v>
      </c>
      <c r="D10" s="236" t="s">
        <v>258</v>
      </c>
      <c r="E10" s="234" t="str">
        <f t="shared" si="0"/>
        <v>USDE6X12S</v>
      </c>
      <c r="F10" s="234" t="str">
        <v>USDE6X12S=ICAP</v>
      </c>
      <c r="G10" s="207" t="s">
        <v>211</v>
      </c>
      <c r="H10" s="207" t="s">
        <v>211</v>
      </c>
      <c r="I10" s="207" t="s">
        <v>211</v>
      </c>
      <c r="J10" s="207" t="s">
        <v>211</v>
      </c>
      <c r="K10" s="209" t="e">
        <f>_xll.qlMidEquivalent($G10,$H10,$I10,$J10)</f>
        <v>#NUM!</v>
      </c>
      <c r="L10" s="196"/>
      <c r="M10" s="208" t="e">
        <v>#NUM!</v>
      </c>
      <c r="N10" s="196"/>
      <c r="O10" s="232" t="str">
        <f t="shared" si="1"/>
        <v>USDE6X12S_Quote</v>
      </c>
      <c r="P10" s="207" t="e">
        <v>#NUM!</v>
      </c>
      <c r="Q10" s="206"/>
      <c r="R10" s="164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1"/>
    </row>
  </sheetData>
  <conditionalFormatting sqref="Q5:Q10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36" customWidth="1"/>
    <col min="3" max="3" width="5.7109375" style="336" bestFit="1" customWidth="1"/>
    <col min="4" max="4" width="9.28515625" style="336" bestFit="1" customWidth="1"/>
    <col min="5" max="5" width="26.42578125" style="336" bestFit="1" customWidth="1"/>
    <col min="6" max="6" width="9.85546875" style="336" customWidth="1"/>
    <col min="7" max="7" width="6" style="336" bestFit="1" customWidth="1"/>
    <col min="8" max="8" width="5.5703125" style="336" bestFit="1" customWidth="1"/>
    <col min="9" max="9" width="2.7109375" style="336" customWidth="1"/>
    <col min="10" max="10" width="7.85546875" style="336" bestFit="1" customWidth="1"/>
    <col min="11" max="11" width="11.42578125" style="336" bestFit="1" customWidth="1"/>
    <col min="12" max="12" width="8.7109375" style="336" bestFit="1" customWidth="1"/>
    <col min="13" max="13" width="7.140625" style="336" bestFit="1" customWidth="1"/>
    <col min="14" max="14" width="10" style="336" bestFit="1" customWidth="1"/>
    <col min="15" max="15" width="7.140625" style="336" bestFit="1" customWidth="1"/>
    <col min="16" max="16" width="2.7109375" style="336" customWidth="1"/>
    <col min="17" max="17" width="3.5703125" style="336" customWidth="1"/>
    <col min="18" max="18" width="4" style="336" bestFit="1" customWidth="1"/>
    <col min="19" max="19" width="5.28515625" style="336" bestFit="1" customWidth="1"/>
    <col min="20" max="20" width="16" style="336" bestFit="1" customWidth="1"/>
    <col min="21" max="16384" width="9.140625" style="336"/>
  </cols>
  <sheetData>
    <row r="1" spans="1:30" ht="12" thickBot="1" x14ac:dyDescent="0.25">
      <c r="A1" s="411" t="s">
        <v>305</v>
      </c>
      <c r="B1" s="337"/>
      <c r="C1" s="337"/>
      <c r="D1" s="342"/>
      <c r="E1" s="350"/>
      <c r="F1" s="396"/>
      <c r="G1" s="396"/>
      <c r="H1" s="337"/>
      <c r="I1" s="342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</row>
    <row r="2" spans="1:30" ht="19.5" x14ac:dyDescent="0.4">
      <c r="A2" s="337"/>
      <c r="B2" s="395"/>
      <c r="C2" s="389"/>
      <c r="D2" s="394" t="str">
        <f>VLOOKUP(Currency,Traits,2,FALSE)</f>
        <v>-</v>
      </c>
      <c r="E2" s="393"/>
      <c r="F2" s="392"/>
      <c r="G2" s="392"/>
      <c r="H2" s="389"/>
      <c r="I2" s="389"/>
      <c r="J2" s="391" t="str">
        <f>VLOOKUP(Currency,Traits,3,FALSE)</f>
        <v>-</v>
      </c>
      <c r="K2" s="389"/>
      <c r="L2" s="389"/>
      <c r="M2" s="390">
        <f>MAX(O4:O19)</f>
        <v>0</v>
      </c>
      <c r="N2" s="389"/>
      <c r="O2" s="389"/>
      <c r="P2" s="388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</row>
    <row r="3" spans="1:30" ht="22.5" x14ac:dyDescent="0.2">
      <c r="A3" s="337"/>
      <c r="B3" s="366"/>
      <c r="C3" s="386" t="s">
        <v>23</v>
      </c>
      <c r="D3" s="385" t="str">
        <f>_xll.RData(D4:D18,E3:F3,"RTFEED:IDN",,,E4)</f>
        <v>Updated at 10:05:48</v>
      </c>
      <c r="E3" s="385" t="s">
        <v>287</v>
      </c>
      <c r="F3" s="385" t="s">
        <v>293</v>
      </c>
      <c r="G3" s="385" t="s">
        <v>286</v>
      </c>
      <c r="H3" s="384" t="s">
        <v>285</v>
      </c>
      <c r="I3" s="387"/>
      <c r="J3" s="386" t="s">
        <v>228</v>
      </c>
      <c r="K3" s="385" t="s">
        <v>284</v>
      </c>
      <c r="L3" s="385" t="s">
        <v>283</v>
      </c>
      <c r="M3" s="385" t="s">
        <v>282</v>
      </c>
      <c r="N3" s="384" t="s">
        <v>281</v>
      </c>
      <c r="O3" s="383" t="s">
        <v>301</v>
      </c>
      <c r="P3" s="356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</row>
    <row r="4" spans="1:30" x14ac:dyDescent="0.2">
      <c r="A4" s="337"/>
      <c r="B4" s="366"/>
      <c r="C4" s="382" t="s">
        <v>8</v>
      </c>
      <c r="D4" s="377" t="str">
        <f t="shared" ref="D4:D18" si="0">Currency&amp;$D$2&amp;$C4&amp;"="</f>
        <v>USD-1Y=</v>
      </c>
      <c r="E4" s="381" t="s">
        <v>211</v>
      </c>
      <c r="F4" s="380" t="s">
        <v>211</v>
      </c>
      <c r="G4" s="380" t="b">
        <f t="shared" ref="G4:G18" si="1">IF(AND(ISNUMBER($F4),$F4&lt;&gt;0%),TRUE,FALSE)</f>
        <v>0</v>
      </c>
      <c r="H4" s="379" t="e">
        <f>IF($G4,_xll.qlIndexAddFixings($J4,$E4,$F4/100,TRUE,ISERROR($K4)),NA())</f>
        <v>#N/A</v>
      </c>
      <c r="I4" s="361"/>
      <c r="J4" s="378" t="str">
        <f t="shared" ref="J4:J18" si="2">PROPER(Currency)&amp;$J$2&amp;$C4</f>
        <v>Usd-1Y</v>
      </c>
      <c r="K4" s="377" t="e">
        <f>_xll.qlIndexFixing($J4,$E4,TRUE,$G4)</f>
        <v>#NUM!</v>
      </c>
      <c r="L4" s="377" t="e">
        <f>IF($H4,_xll.qlIndexFixing($J4,$E4,FALSE,$G4),"-")</f>
        <v>#N/A</v>
      </c>
      <c r="M4" s="377" t="e">
        <f t="shared" ref="M4:M18" si="3">K4-L4</f>
        <v>#NUM!</v>
      </c>
      <c r="N4" s="376" t="e">
        <f>_xll.qlIndexFixing($J4,$E4,TRUE,$L4)</f>
        <v>#NUM!</v>
      </c>
      <c r="O4" s="400">
        <f t="shared" ref="O4:O18" si="4">IF(ISERROR(M4),0,ABS(M4))</f>
        <v>0</v>
      </c>
      <c r="P4" s="356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</row>
    <row r="5" spans="1:30" x14ac:dyDescent="0.2">
      <c r="A5" s="337"/>
      <c r="B5" s="366"/>
      <c r="C5" s="374" t="s">
        <v>84</v>
      </c>
      <c r="D5" s="369" t="str">
        <f t="shared" si="0"/>
        <v>USD-2Y=</v>
      </c>
      <c r="E5" s="373" t="s">
        <v>211</v>
      </c>
      <c r="F5" s="372" t="s">
        <v>211</v>
      </c>
      <c r="G5" s="372" t="b">
        <f t="shared" si="1"/>
        <v>0</v>
      </c>
      <c r="H5" s="371" t="e">
        <f>IF($G5,_xll.qlIndexAddFixings($J5,$E5,$F5/100,TRUE,ISERROR($K5)),NA())</f>
        <v>#N/A</v>
      </c>
      <c r="I5" s="361"/>
      <c r="J5" s="370" t="str">
        <f t="shared" si="2"/>
        <v>Usd-2Y</v>
      </c>
      <c r="K5" s="369" t="e">
        <f>_xll.qlIndexFixing($J5,$E5,TRUE,$G5)</f>
        <v>#NUM!</v>
      </c>
      <c r="L5" s="369" t="e">
        <f>IF($H5,_xll.qlIndexFixing($J5,$E5,FALSE,$G5),"-")</f>
        <v>#N/A</v>
      </c>
      <c r="M5" s="369" t="e">
        <f t="shared" si="3"/>
        <v>#NUM!</v>
      </c>
      <c r="N5" s="368" t="e">
        <f>_xll.qlIndexFixing($J5,$E5,TRUE,$L5)</f>
        <v>#NUM!</v>
      </c>
      <c r="O5" s="400">
        <f t="shared" si="4"/>
        <v>0</v>
      </c>
      <c r="P5" s="356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</row>
    <row r="6" spans="1:30" x14ac:dyDescent="0.2">
      <c r="A6" s="337"/>
      <c r="B6" s="366"/>
      <c r="C6" s="374" t="s">
        <v>83</v>
      </c>
      <c r="D6" s="369" t="str">
        <f t="shared" si="0"/>
        <v>USD-3Y=</v>
      </c>
      <c r="E6" s="373" t="s">
        <v>211</v>
      </c>
      <c r="F6" s="372" t="s">
        <v>211</v>
      </c>
      <c r="G6" s="372" t="b">
        <f t="shared" si="1"/>
        <v>0</v>
      </c>
      <c r="H6" s="371" t="e">
        <f>IF($G6,_xll.qlIndexAddFixings($J6,$E6,$F6/100,TRUE,ISERROR($K6)),NA())</f>
        <v>#N/A</v>
      </c>
      <c r="I6" s="361"/>
      <c r="J6" s="370" t="str">
        <f t="shared" si="2"/>
        <v>Usd-3Y</v>
      </c>
      <c r="K6" s="369" t="e">
        <f>_xll.qlIndexFixing($J6,$E6,TRUE,$G6)</f>
        <v>#NUM!</v>
      </c>
      <c r="L6" s="369" t="e">
        <f>IF($H6,_xll.qlIndexFixing($J6,$E6,FALSE,$G6),"-")</f>
        <v>#N/A</v>
      </c>
      <c r="M6" s="369" t="e">
        <f t="shared" si="3"/>
        <v>#NUM!</v>
      </c>
      <c r="N6" s="368" t="e">
        <f>_xll.qlIndexFixing($J6,$E6,TRUE,$L6)</f>
        <v>#NUM!</v>
      </c>
      <c r="O6" s="400">
        <f t="shared" si="4"/>
        <v>0</v>
      </c>
      <c r="P6" s="356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337"/>
      <c r="AD6" s="337"/>
    </row>
    <row r="7" spans="1:30" x14ac:dyDescent="0.2">
      <c r="A7" s="337"/>
      <c r="B7" s="366"/>
      <c r="C7" s="374" t="s">
        <v>82</v>
      </c>
      <c r="D7" s="369" t="str">
        <f t="shared" si="0"/>
        <v>USD-4Y=</v>
      </c>
      <c r="E7" s="373" t="s">
        <v>211</v>
      </c>
      <c r="F7" s="372" t="s">
        <v>211</v>
      </c>
      <c r="G7" s="372" t="b">
        <f t="shared" si="1"/>
        <v>0</v>
      </c>
      <c r="H7" s="371" t="e">
        <f>IF($G7,_xll.qlIndexAddFixings($J7,$E7,$F7/100,TRUE,ISERROR($K7)),NA())</f>
        <v>#N/A</v>
      </c>
      <c r="I7" s="361"/>
      <c r="J7" s="370" t="str">
        <f t="shared" si="2"/>
        <v>Usd-4Y</v>
      </c>
      <c r="K7" s="369" t="e">
        <f>_xll.qlIndexFixing($J7,$E7,TRUE,$G7)</f>
        <v>#NUM!</v>
      </c>
      <c r="L7" s="369" t="e">
        <f>IF($H7,_xll.qlIndexFixing($J7,$E7,FALSE,$G7),"-")</f>
        <v>#N/A</v>
      </c>
      <c r="M7" s="369" t="e">
        <f t="shared" si="3"/>
        <v>#NUM!</v>
      </c>
      <c r="N7" s="368" t="e">
        <f>_xll.qlIndexFixing($J7,$E7,TRUE,$L7)</f>
        <v>#NUM!</v>
      </c>
      <c r="O7" s="400">
        <f t="shared" si="4"/>
        <v>0</v>
      </c>
      <c r="P7" s="356"/>
      <c r="Q7" s="337"/>
      <c r="R7" s="337"/>
      <c r="S7" s="337"/>
      <c r="T7" s="337"/>
      <c r="U7" s="337"/>
      <c r="V7" s="337"/>
      <c r="W7" s="337"/>
      <c r="X7" s="337"/>
      <c r="Y7" s="337"/>
      <c r="Z7" s="337"/>
      <c r="AA7" s="337"/>
      <c r="AB7" s="337"/>
      <c r="AC7" s="337"/>
      <c r="AD7" s="337"/>
    </row>
    <row r="8" spans="1:30" x14ac:dyDescent="0.2">
      <c r="A8" s="337"/>
      <c r="B8" s="366"/>
      <c r="C8" s="374" t="s">
        <v>81</v>
      </c>
      <c r="D8" s="369" t="str">
        <f t="shared" si="0"/>
        <v>USD-5Y=</v>
      </c>
      <c r="E8" s="373" t="s">
        <v>211</v>
      </c>
      <c r="F8" s="372" t="s">
        <v>211</v>
      </c>
      <c r="G8" s="372" t="b">
        <f t="shared" si="1"/>
        <v>0</v>
      </c>
      <c r="H8" s="371" t="e">
        <f>IF($G8,_xll.qlIndexAddFixings($J8,$E8,$F8/100,TRUE,ISERROR($K8)),NA())</f>
        <v>#N/A</v>
      </c>
      <c r="I8" s="361"/>
      <c r="J8" s="370" t="str">
        <f t="shared" si="2"/>
        <v>Usd-5Y</v>
      </c>
      <c r="K8" s="369" t="e">
        <f>_xll.qlIndexFixing($J8,$E8,TRUE,$G8)</f>
        <v>#NUM!</v>
      </c>
      <c r="L8" s="369" t="e">
        <f>IF($H8,_xll.qlIndexFixing($J8,$E8,FALSE,$G8),"-")</f>
        <v>#N/A</v>
      </c>
      <c r="M8" s="369" t="e">
        <f t="shared" si="3"/>
        <v>#NUM!</v>
      </c>
      <c r="N8" s="368" t="e">
        <f>_xll.qlIndexFixing($J8,$E8,TRUE,$L8)</f>
        <v>#NUM!</v>
      </c>
      <c r="O8" s="400">
        <f t="shared" si="4"/>
        <v>0</v>
      </c>
      <c r="P8" s="356"/>
      <c r="Q8" s="337"/>
      <c r="R8" s="337"/>
      <c r="S8" s="337"/>
      <c r="T8" s="337"/>
      <c r="U8" s="337"/>
      <c r="V8" s="337"/>
      <c r="W8" s="337"/>
      <c r="X8" s="337"/>
      <c r="Y8" s="337"/>
      <c r="Z8" s="337"/>
      <c r="AA8" s="337"/>
      <c r="AB8" s="337"/>
      <c r="AC8" s="337"/>
      <c r="AD8" s="337"/>
    </row>
    <row r="9" spans="1:30" x14ac:dyDescent="0.2">
      <c r="A9" s="337"/>
      <c r="B9" s="366"/>
      <c r="C9" s="374" t="s">
        <v>80</v>
      </c>
      <c r="D9" s="369" t="str">
        <f t="shared" si="0"/>
        <v>USD-6Y=</v>
      </c>
      <c r="E9" s="373" t="s">
        <v>211</v>
      </c>
      <c r="F9" s="372" t="s">
        <v>211</v>
      </c>
      <c r="G9" s="372" t="b">
        <f t="shared" si="1"/>
        <v>0</v>
      </c>
      <c r="H9" s="371" t="e">
        <f>IF($G9,_xll.qlIndexAddFixings($J9,$E9,$F9/100,TRUE,ISERROR($K9)),NA())</f>
        <v>#N/A</v>
      </c>
      <c r="I9" s="361"/>
      <c r="J9" s="370" t="str">
        <f t="shared" si="2"/>
        <v>Usd-6Y</v>
      </c>
      <c r="K9" s="369" t="e">
        <f>_xll.qlIndexFixing($J9,$E9,TRUE,$G9)</f>
        <v>#NUM!</v>
      </c>
      <c r="L9" s="369" t="e">
        <f>IF($H9,_xll.qlIndexFixing($J9,$E9,FALSE,$G9),"-")</f>
        <v>#N/A</v>
      </c>
      <c r="M9" s="369" t="e">
        <f t="shared" si="3"/>
        <v>#NUM!</v>
      </c>
      <c r="N9" s="368" t="e">
        <f>_xll.qlIndexFixing($J9,$E9,TRUE,$L9)</f>
        <v>#NUM!</v>
      </c>
      <c r="O9" s="400">
        <f t="shared" si="4"/>
        <v>0</v>
      </c>
      <c r="P9" s="356"/>
      <c r="Q9" s="337"/>
      <c r="R9" s="337"/>
      <c r="S9" s="337"/>
      <c r="T9" s="337"/>
      <c r="U9" s="337"/>
      <c r="V9" s="337"/>
      <c r="W9" s="337"/>
      <c r="X9" s="337"/>
      <c r="Y9" s="337"/>
      <c r="Z9" s="337"/>
      <c r="AA9" s="337"/>
      <c r="AB9" s="337"/>
      <c r="AC9" s="337"/>
      <c r="AD9" s="337"/>
    </row>
    <row r="10" spans="1:30" x14ac:dyDescent="0.2">
      <c r="A10" s="337"/>
      <c r="B10" s="366"/>
      <c r="C10" s="374" t="s">
        <v>79</v>
      </c>
      <c r="D10" s="369" t="str">
        <f t="shared" si="0"/>
        <v>USD-7Y=</v>
      </c>
      <c r="E10" s="373" t="s">
        <v>211</v>
      </c>
      <c r="F10" s="372" t="s">
        <v>211</v>
      </c>
      <c r="G10" s="372" t="b">
        <f t="shared" si="1"/>
        <v>0</v>
      </c>
      <c r="H10" s="371" t="e">
        <f>IF($G10,_xll.qlIndexAddFixings($J10,$E10,$F10/100,TRUE,ISERROR($K10)),NA())</f>
        <v>#N/A</v>
      </c>
      <c r="I10" s="361"/>
      <c r="J10" s="370" t="str">
        <f t="shared" si="2"/>
        <v>Usd-7Y</v>
      </c>
      <c r="K10" s="369" t="e">
        <f>_xll.qlIndexFixing($J10,$E10,TRUE,$G10)</f>
        <v>#NUM!</v>
      </c>
      <c r="L10" s="369" t="e">
        <f>IF($H10,_xll.qlIndexFixing($J10,$E10,FALSE,$G10),"-")</f>
        <v>#N/A</v>
      </c>
      <c r="M10" s="369" t="e">
        <f t="shared" si="3"/>
        <v>#NUM!</v>
      </c>
      <c r="N10" s="368" t="e">
        <f>_xll.qlIndexFixing($J10,$E10,TRUE,$L10)</f>
        <v>#NUM!</v>
      </c>
      <c r="O10" s="400">
        <f t="shared" si="4"/>
        <v>0</v>
      </c>
      <c r="P10" s="356"/>
      <c r="Q10" s="337"/>
      <c r="R10" s="337"/>
      <c r="S10" s="337"/>
      <c r="T10" s="337"/>
      <c r="U10" s="337"/>
      <c r="V10" s="337"/>
      <c r="W10" s="337"/>
      <c r="X10" s="337"/>
      <c r="Y10" s="337"/>
      <c r="Z10" s="337"/>
      <c r="AA10" s="337"/>
      <c r="AB10" s="337"/>
      <c r="AC10" s="337"/>
      <c r="AD10" s="337"/>
    </row>
    <row r="11" spans="1:30" x14ac:dyDescent="0.2">
      <c r="A11" s="337"/>
      <c r="B11" s="366"/>
      <c r="C11" s="374" t="s">
        <v>78</v>
      </c>
      <c r="D11" s="369" t="str">
        <f t="shared" si="0"/>
        <v>USD-8Y=</v>
      </c>
      <c r="E11" s="373" t="s">
        <v>211</v>
      </c>
      <c r="F11" s="372" t="s">
        <v>211</v>
      </c>
      <c r="G11" s="372" t="b">
        <f t="shared" si="1"/>
        <v>0</v>
      </c>
      <c r="H11" s="371" t="e">
        <f>IF($G11,_xll.qlIndexAddFixings($J11,$E11,$F11/100,TRUE,ISERROR($K11)),NA())</f>
        <v>#N/A</v>
      </c>
      <c r="I11" s="361"/>
      <c r="J11" s="370" t="str">
        <f t="shared" si="2"/>
        <v>Usd-8Y</v>
      </c>
      <c r="K11" s="369" t="e">
        <f>_xll.qlIndexFixing($J11,$E11,TRUE,$G11)</f>
        <v>#NUM!</v>
      </c>
      <c r="L11" s="369" t="e">
        <f>IF($H11,_xll.qlIndexFixing($J11,$E11,FALSE,$G11),"-")</f>
        <v>#N/A</v>
      </c>
      <c r="M11" s="369" t="e">
        <f t="shared" si="3"/>
        <v>#NUM!</v>
      </c>
      <c r="N11" s="368" t="e">
        <f>_xll.qlIndexFixing($J11,$E11,TRUE,$L11)</f>
        <v>#NUM!</v>
      </c>
      <c r="O11" s="400">
        <f t="shared" si="4"/>
        <v>0</v>
      </c>
      <c r="P11" s="356"/>
      <c r="Q11" s="337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  <c r="AC11" s="337"/>
      <c r="AD11" s="337"/>
    </row>
    <row r="12" spans="1:30" x14ac:dyDescent="0.2">
      <c r="A12" s="337"/>
      <c r="B12" s="366"/>
      <c r="C12" s="374" t="s">
        <v>77</v>
      </c>
      <c r="D12" s="369" t="str">
        <f t="shared" si="0"/>
        <v>USD-9Y=</v>
      </c>
      <c r="E12" s="373" t="s">
        <v>211</v>
      </c>
      <c r="F12" s="372" t="s">
        <v>211</v>
      </c>
      <c r="G12" s="372" t="b">
        <f t="shared" si="1"/>
        <v>0</v>
      </c>
      <c r="H12" s="371" t="e">
        <f>IF($G12,_xll.qlIndexAddFixings($J12,$E12,$F12/100,TRUE,ISERROR($K12)),NA())</f>
        <v>#N/A</v>
      </c>
      <c r="I12" s="361"/>
      <c r="J12" s="370" t="str">
        <f t="shared" si="2"/>
        <v>Usd-9Y</v>
      </c>
      <c r="K12" s="369" t="e">
        <f>_xll.qlIndexFixing($J12,$E12,TRUE,$G12)</f>
        <v>#NUM!</v>
      </c>
      <c r="L12" s="369" t="e">
        <f>IF($H12,_xll.qlIndexFixing($J12,$E12,FALSE,$G12),"-")</f>
        <v>#N/A</v>
      </c>
      <c r="M12" s="369" t="e">
        <f t="shared" si="3"/>
        <v>#NUM!</v>
      </c>
      <c r="N12" s="368" t="e">
        <f>_xll.qlIndexFixing($J12,$E12,TRUE,$L12)</f>
        <v>#NUM!</v>
      </c>
      <c r="O12" s="400">
        <f t="shared" si="4"/>
        <v>0</v>
      </c>
      <c r="P12" s="356"/>
      <c r="Q12" s="337"/>
      <c r="R12" s="337"/>
      <c r="S12" s="337"/>
      <c r="T12" s="337"/>
      <c r="U12" s="337"/>
      <c r="V12" s="337"/>
      <c r="W12" s="337"/>
      <c r="X12" s="337"/>
      <c r="Y12" s="337"/>
      <c r="Z12" s="337"/>
      <c r="AA12" s="337"/>
      <c r="AB12" s="337"/>
      <c r="AC12" s="337"/>
      <c r="AD12" s="337"/>
    </row>
    <row r="13" spans="1:30" x14ac:dyDescent="0.2">
      <c r="A13" s="337"/>
      <c r="B13" s="366"/>
      <c r="C13" s="374" t="s">
        <v>76</v>
      </c>
      <c r="D13" s="369" t="str">
        <f t="shared" si="0"/>
        <v>USD-10Y=</v>
      </c>
      <c r="E13" s="373" t="s">
        <v>211</v>
      </c>
      <c r="F13" s="372" t="s">
        <v>211</v>
      </c>
      <c r="G13" s="372" t="b">
        <f t="shared" si="1"/>
        <v>0</v>
      </c>
      <c r="H13" s="371" t="e">
        <f>IF($G13,_xll.qlIndexAddFixings($J13,$E13,$F13/100,TRUE,ISERROR($K13)),NA())</f>
        <v>#N/A</v>
      </c>
      <c r="I13" s="361"/>
      <c r="J13" s="370" t="str">
        <f t="shared" si="2"/>
        <v>Usd-10Y</v>
      </c>
      <c r="K13" s="369" t="e">
        <f>_xll.qlIndexFixing($J13,$E13,TRUE,$G13)</f>
        <v>#NUM!</v>
      </c>
      <c r="L13" s="369" t="e">
        <f>IF($H13,_xll.qlIndexFixing($J13,$E13,FALSE,$G13),"-")</f>
        <v>#N/A</v>
      </c>
      <c r="M13" s="369" t="e">
        <f t="shared" si="3"/>
        <v>#NUM!</v>
      </c>
      <c r="N13" s="368" t="e">
        <f>_xll.qlIndexFixing($J13,$E13,TRUE,$L13)</f>
        <v>#NUM!</v>
      </c>
      <c r="O13" s="400">
        <f t="shared" si="4"/>
        <v>0</v>
      </c>
      <c r="P13" s="356"/>
      <c r="Q13" s="337"/>
      <c r="R13" s="337"/>
      <c r="S13" s="337"/>
      <c r="T13" s="337"/>
      <c r="U13" s="337"/>
      <c r="V13" s="337"/>
      <c r="W13" s="337"/>
      <c r="X13" s="337"/>
      <c r="Y13" s="337"/>
      <c r="Z13" s="337"/>
      <c r="AA13" s="337"/>
      <c r="AB13" s="337"/>
      <c r="AC13" s="337"/>
      <c r="AD13" s="337"/>
    </row>
    <row r="14" spans="1:30" x14ac:dyDescent="0.2">
      <c r="A14" s="337"/>
      <c r="B14" s="366"/>
      <c r="C14" s="374" t="s">
        <v>74</v>
      </c>
      <c r="D14" s="369" t="str">
        <f t="shared" si="0"/>
        <v>USD-12Y=</v>
      </c>
      <c r="E14" s="373" t="s">
        <v>211</v>
      </c>
      <c r="F14" s="372" t="s">
        <v>211</v>
      </c>
      <c r="G14" s="372" t="b">
        <f t="shared" si="1"/>
        <v>0</v>
      </c>
      <c r="H14" s="371" t="e">
        <f>IF($G14,_xll.qlIndexAddFixings($J14,$E14,$F14/100,TRUE,ISERROR($K14)),NA())</f>
        <v>#N/A</v>
      </c>
      <c r="I14" s="361"/>
      <c r="J14" s="370" t="str">
        <f t="shared" si="2"/>
        <v>Usd-12Y</v>
      </c>
      <c r="K14" s="369" t="e">
        <f>_xll.qlIndexFixing($J14,$E14,TRUE,$G14)</f>
        <v>#NUM!</v>
      </c>
      <c r="L14" s="369" t="e">
        <f>IF($H14,_xll.qlIndexFixing($J14,$E14,FALSE,$G14),"-")</f>
        <v>#N/A</v>
      </c>
      <c r="M14" s="369" t="e">
        <f t="shared" si="3"/>
        <v>#NUM!</v>
      </c>
      <c r="N14" s="368" t="e">
        <f>_xll.qlIndexFixing($J14,$E14,TRUE,$L14)</f>
        <v>#NUM!</v>
      </c>
      <c r="O14" s="400">
        <f t="shared" si="4"/>
        <v>0</v>
      </c>
      <c r="P14" s="356"/>
      <c r="Q14" s="337"/>
      <c r="R14" s="337"/>
      <c r="S14" s="337"/>
      <c r="T14" s="337"/>
      <c r="U14" s="337"/>
      <c r="V14" s="337"/>
      <c r="W14" s="337"/>
      <c r="X14" s="337"/>
      <c r="Y14" s="337"/>
      <c r="Z14" s="337"/>
      <c r="AA14" s="337"/>
      <c r="AB14" s="337"/>
      <c r="AC14" s="337"/>
      <c r="AD14" s="337"/>
    </row>
    <row r="15" spans="1:30" x14ac:dyDescent="0.2">
      <c r="A15" s="337"/>
      <c r="B15" s="366"/>
      <c r="C15" s="374" t="s">
        <v>71</v>
      </c>
      <c r="D15" s="369" t="str">
        <f t="shared" si="0"/>
        <v>USD-15Y=</v>
      </c>
      <c r="E15" s="373" t="s">
        <v>211</v>
      </c>
      <c r="F15" s="372" t="s">
        <v>211</v>
      </c>
      <c r="G15" s="372" t="b">
        <f t="shared" si="1"/>
        <v>0</v>
      </c>
      <c r="H15" s="371" t="e">
        <f>IF($G15,_xll.qlIndexAddFixings($J15,$E15,$F15/100,TRUE,ISERROR($K15)),NA())</f>
        <v>#N/A</v>
      </c>
      <c r="I15" s="361"/>
      <c r="J15" s="370" t="str">
        <f t="shared" si="2"/>
        <v>Usd-15Y</v>
      </c>
      <c r="K15" s="369" t="e">
        <f>_xll.qlIndexFixing($J15,$E15,TRUE,$G15)</f>
        <v>#NUM!</v>
      </c>
      <c r="L15" s="369" t="e">
        <f>IF($H15,_xll.qlIndexFixing($J15,$E15,FALSE,$G15),"-")</f>
        <v>#N/A</v>
      </c>
      <c r="M15" s="369" t="e">
        <f t="shared" si="3"/>
        <v>#NUM!</v>
      </c>
      <c r="N15" s="368" t="e">
        <f>_xll.qlIndexFixing($J15,$E15,TRUE,$L15)</f>
        <v>#NUM!</v>
      </c>
      <c r="O15" s="400">
        <f t="shared" si="4"/>
        <v>0</v>
      </c>
      <c r="P15" s="356"/>
      <c r="Q15" s="337"/>
      <c r="R15" s="337"/>
      <c r="S15" s="337"/>
      <c r="T15" s="337"/>
      <c r="U15" s="337"/>
      <c r="V15" s="337"/>
      <c r="W15" s="337"/>
      <c r="X15" s="337"/>
      <c r="Y15" s="337"/>
      <c r="Z15" s="337"/>
      <c r="AA15" s="337"/>
      <c r="AB15" s="337"/>
      <c r="AC15" s="337"/>
      <c r="AD15" s="337"/>
    </row>
    <row r="16" spans="1:30" x14ac:dyDescent="0.2">
      <c r="A16" s="337"/>
      <c r="B16" s="366"/>
      <c r="C16" s="374" t="s">
        <v>66</v>
      </c>
      <c r="D16" s="369" t="str">
        <f t="shared" si="0"/>
        <v>USD-20Y=</v>
      </c>
      <c r="E16" s="373" t="s">
        <v>211</v>
      </c>
      <c r="F16" s="372" t="s">
        <v>211</v>
      </c>
      <c r="G16" s="372" t="b">
        <f t="shared" si="1"/>
        <v>0</v>
      </c>
      <c r="H16" s="371" t="e">
        <f>IF($G16,_xll.qlIndexAddFixings($J16,$E16,$F16/100,TRUE,ISERROR($K16)),NA())</f>
        <v>#N/A</v>
      </c>
      <c r="I16" s="361"/>
      <c r="J16" s="370" t="str">
        <f t="shared" si="2"/>
        <v>Usd-20Y</v>
      </c>
      <c r="K16" s="369" t="e">
        <f>_xll.qlIndexFixing($J16,$E16,TRUE,$G16)</f>
        <v>#NUM!</v>
      </c>
      <c r="L16" s="369" t="e">
        <f>IF($H16,_xll.qlIndexFixing($J16,$E16,FALSE,$G16),"-")</f>
        <v>#N/A</v>
      </c>
      <c r="M16" s="369" t="e">
        <f t="shared" si="3"/>
        <v>#NUM!</v>
      </c>
      <c r="N16" s="368" t="e">
        <f>_xll.qlIndexFixing($J16,$E16,TRUE,$L16)</f>
        <v>#NUM!</v>
      </c>
      <c r="O16" s="400">
        <f t="shared" si="4"/>
        <v>0</v>
      </c>
      <c r="P16" s="356"/>
      <c r="Q16" s="337"/>
      <c r="R16" s="337"/>
      <c r="S16" s="337"/>
      <c r="T16" s="337"/>
      <c r="U16" s="337"/>
      <c r="V16" s="337"/>
      <c r="W16" s="337"/>
      <c r="X16" s="337"/>
      <c r="Y16" s="337"/>
      <c r="Z16" s="337"/>
      <c r="AA16" s="337"/>
      <c r="AB16" s="337"/>
      <c r="AC16" s="337"/>
      <c r="AD16" s="337"/>
    </row>
    <row r="17" spans="1:30" x14ac:dyDescent="0.2">
      <c r="A17" s="337"/>
      <c r="B17" s="366"/>
      <c r="C17" s="374" t="s">
        <v>61</v>
      </c>
      <c r="D17" s="369" t="str">
        <f t="shared" si="0"/>
        <v>USD-25Y=</v>
      </c>
      <c r="E17" s="373" t="s">
        <v>211</v>
      </c>
      <c r="F17" s="372" t="s">
        <v>211</v>
      </c>
      <c r="G17" s="372" t="b">
        <f t="shared" si="1"/>
        <v>0</v>
      </c>
      <c r="H17" s="371" t="e">
        <f>IF($G17,_xll.qlIndexAddFixings($J17,$E17,$F17/100,TRUE,ISERROR($K17)),NA())</f>
        <v>#N/A</v>
      </c>
      <c r="I17" s="361"/>
      <c r="J17" s="370" t="str">
        <f t="shared" si="2"/>
        <v>Usd-25Y</v>
      </c>
      <c r="K17" s="369" t="e">
        <f>_xll.qlIndexFixing($J17,$E17,TRUE,$G17)</f>
        <v>#NUM!</v>
      </c>
      <c r="L17" s="369" t="e">
        <f>IF($H17,_xll.qlIndexFixing($J17,$E17,FALSE,$G17),"-")</f>
        <v>#N/A</v>
      </c>
      <c r="M17" s="369" t="e">
        <f t="shared" si="3"/>
        <v>#NUM!</v>
      </c>
      <c r="N17" s="368" t="e">
        <f>_xll.qlIndexFixing($J17,$E17,TRUE,$L17)</f>
        <v>#NUM!</v>
      </c>
      <c r="O17" s="400">
        <f t="shared" si="4"/>
        <v>0</v>
      </c>
      <c r="P17" s="356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</row>
    <row r="18" spans="1:30" x14ac:dyDescent="0.2">
      <c r="A18" s="337"/>
      <c r="B18" s="366"/>
      <c r="C18" s="365" t="s">
        <v>56</v>
      </c>
      <c r="D18" s="359" t="str">
        <f t="shared" si="0"/>
        <v>USD-30Y=</v>
      </c>
      <c r="E18" s="364" t="s">
        <v>211</v>
      </c>
      <c r="F18" s="363" t="s">
        <v>211</v>
      </c>
      <c r="G18" s="363" t="b">
        <f t="shared" si="1"/>
        <v>0</v>
      </c>
      <c r="H18" s="362" t="e">
        <f>IF($G18,_xll.qlIndexAddFixings($J18,$E18,$F18/100,TRUE,ISERROR($K18)),NA())</f>
        <v>#N/A</v>
      </c>
      <c r="I18" s="361"/>
      <c r="J18" s="360" t="str">
        <f t="shared" si="2"/>
        <v>Usd-30Y</v>
      </c>
      <c r="K18" s="359" t="e">
        <f>_xll.qlIndexFixing($J18,$E18,TRUE,$G18)</f>
        <v>#NUM!</v>
      </c>
      <c r="L18" s="359" t="e">
        <f>IF($H18,_xll.qlIndexFixing($J18,$E18,FALSE,$G18),"-")</f>
        <v>#N/A</v>
      </c>
      <c r="M18" s="359" t="e">
        <f t="shared" si="3"/>
        <v>#NUM!</v>
      </c>
      <c r="N18" s="358" t="e">
        <f>_xll.qlIndexFixing($J18,$E18,TRUE,$L18)</f>
        <v>#NUM!</v>
      </c>
      <c r="O18" s="399">
        <f t="shared" si="4"/>
        <v>0</v>
      </c>
      <c r="P18" s="356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</row>
    <row r="19" spans="1:30" ht="12" thickBot="1" x14ac:dyDescent="0.25">
      <c r="A19" s="337"/>
      <c r="B19" s="355"/>
      <c r="C19" s="353"/>
      <c r="D19" s="353"/>
      <c r="E19" s="353"/>
      <c r="F19" s="353"/>
      <c r="G19" s="353"/>
      <c r="H19" s="353"/>
      <c r="I19" s="352"/>
      <c r="J19" s="352"/>
      <c r="K19" s="352"/>
      <c r="L19" s="352"/>
      <c r="M19" s="352"/>
      <c r="N19" s="352"/>
      <c r="O19" s="352"/>
      <c r="P19" s="351"/>
      <c r="Q19" s="337"/>
      <c r="R19" s="337"/>
      <c r="S19" s="337"/>
      <c r="T19" s="337"/>
      <c r="U19" s="337"/>
      <c r="V19" s="337"/>
      <c r="W19" s="337"/>
      <c r="X19" s="337"/>
      <c r="Y19" s="337"/>
      <c r="Z19" s="337"/>
      <c r="AA19" s="337"/>
      <c r="AB19" s="337"/>
      <c r="AC19" s="337"/>
      <c r="AD19" s="337"/>
    </row>
    <row r="20" spans="1:30" ht="12" thickBot="1" x14ac:dyDescent="0.25">
      <c r="A20" s="337"/>
      <c r="B20" s="337"/>
      <c r="C20" s="337"/>
      <c r="D20" s="337"/>
      <c r="E20" s="350"/>
      <c r="F20" s="349"/>
      <c r="G20" s="349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7"/>
      <c r="AB20" s="337"/>
      <c r="AC20" s="337"/>
      <c r="AD20" s="337"/>
    </row>
    <row r="21" spans="1:30" s="337" customFormat="1" x14ac:dyDescent="0.2">
      <c r="C21" s="348" t="s">
        <v>104</v>
      </c>
      <c r="D21" s="347" t="s">
        <v>296</v>
      </c>
      <c r="E21" s="346" t="s">
        <v>296</v>
      </c>
    </row>
    <row r="22" spans="1:30" s="337" customFormat="1" x14ac:dyDescent="0.2">
      <c r="C22" s="343" t="s">
        <v>103</v>
      </c>
      <c r="D22" s="342" t="s">
        <v>300</v>
      </c>
      <c r="E22" s="341" t="s">
        <v>299</v>
      </c>
    </row>
    <row r="23" spans="1:30" s="337" customFormat="1" x14ac:dyDescent="0.2">
      <c r="C23" s="343" t="s">
        <v>280</v>
      </c>
      <c r="D23" s="342" t="s">
        <v>296</v>
      </c>
      <c r="E23" s="341" t="s">
        <v>296</v>
      </c>
    </row>
    <row r="24" spans="1:30" s="337" customFormat="1" x14ac:dyDescent="0.2">
      <c r="C24" s="343" t="s">
        <v>279</v>
      </c>
      <c r="D24" s="342" t="s">
        <v>296</v>
      </c>
      <c r="E24" s="341" t="s">
        <v>296</v>
      </c>
    </row>
    <row r="25" spans="1:30" s="337" customFormat="1" x14ac:dyDescent="0.2">
      <c r="C25" s="343" t="s">
        <v>100</v>
      </c>
      <c r="D25" s="342" t="s">
        <v>296</v>
      </c>
      <c r="E25" s="341" t="s">
        <v>296</v>
      </c>
    </row>
    <row r="26" spans="1:30" s="337" customFormat="1" x14ac:dyDescent="0.2">
      <c r="C26" s="343" t="s">
        <v>99</v>
      </c>
      <c r="D26" s="342" t="s">
        <v>296</v>
      </c>
      <c r="E26" s="341" t="s">
        <v>296</v>
      </c>
    </row>
    <row r="27" spans="1:30" s="337" customFormat="1" ht="12" thickBot="1" x14ac:dyDescent="0.25">
      <c r="C27" s="340" t="s">
        <v>94</v>
      </c>
      <c r="D27" s="398" t="s">
        <v>296</v>
      </c>
      <c r="E27" s="397" t="s">
        <v>296</v>
      </c>
    </row>
    <row r="28" spans="1:30" s="337" customFormat="1" x14ac:dyDescent="0.2"/>
    <row r="29" spans="1:30" s="337" customFormat="1" x14ac:dyDescent="0.2"/>
    <row r="30" spans="1:30" s="337" customFormat="1" x14ac:dyDescent="0.2"/>
    <row r="31" spans="1:30" s="337" customFormat="1" x14ac:dyDescent="0.2"/>
    <row r="32" spans="1:30" s="337" customFormat="1" x14ac:dyDescent="0.2"/>
    <row r="33" s="337" customFormat="1" x14ac:dyDescent="0.2"/>
    <row r="34" s="337" customFormat="1" x14ac:dyDescent="0.2"/>
    <row r="35" s="337" customFormat="1" x14ac:dyDescent="0.2"/>
    <row r="36" s="337" customFormat="1" x14ac:dyDescent="0.2"/>
    <row r="37" s="337" customFormat="1" x14ac:dyDescent="0.2"/>
    <row r="38" s="337" customFormat="1" x14ac:dyDescent="0.2"/>
  </sheetData>
  <conditionalFormatting sqref="M4:M18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36" customWidth="1"/>
    <col min="3" max="3" width="5.7109375" style="336" bestFit="1" customWidth="1"/>
    <col min="4" max="4" width="12.140625" style="336" bestFit="1" customWidth="1"/>
    <col min="5" max="5" width="12.85546875" style="336" customWidth="1"/>
    <col min="6" max="6" width="7.42578125" style="336" customWidth="1"/>
    <col min="7" max="7" width="6" style="336" bestFit="1" customWidth="1"/>
    <col min="8" max="8" width="5.5703125" style="336" bestFit="1" customWidth="1"/>
    <col min="9" max="9" width="2.7109375" style="336" customWidth="1"/>
    <col min="10" max="10" width="12" style="336" bestFit="1" customWidth="1"/>
    <col min="11" max="11" width="11.42578125" style="336" bestFit="1" customWidth="1"/>
    <col min="12" max="12" width="8.7109375" style="336" bestFit="1" customWidth="1"/>
    <col min="13" max="13" width="7.7109375" style="336" bestFit="1" customWidth="1"/>
    <col min="14" max="14" width="10" style="336" bestFit="1" customWidth="1"/>
    <col min="15" max="15" width="7.140625" style="336" hidden="1" customWidth="1"/>
    <col min="16" max="16" width="2.7109375" style="336" customWidth="1"/>
    <col min="17" max="17" width="4.28515625" style="336" customWidth="1"/>
    <col min="18" max="18" width="4" style="336" bestFit="1" customWidth="1"/>
    <col min="19" max="19" width="5.28515625" style="336" bestFit="1" customWidth="1"/>
    <col min="20" max="20" width="6.140625" style="336" bestFit="1" customWidth="1"/>
    <col min="21" max="16384" width="9.140625" style="336"/>
  </cols>
  <sheetData>
    <row r="1" spans="1:30" ht="12" thickBot="1" x14ac:dyDescent="0.25">
      <c r="A1" s="411" t="s">
        <v>305</v>
      </c>
      <c r="B1" s="337"/>
      <c r="C1" s="337"/>
      <c r="D1" s="342"/>
      <c r="E1" s="350"/>
      <c r="F1" s="396"/>
      <c r="G1" s="396"/>
      <c r="H1" s="337"/>
      <c r="I1" s="342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</row>
    <row r="2" spans="1:30" ht="22.5" customHeight="1" x14ac:dyDescent="0.4">
      <c r="A2" s="337"/>
      <c r="B2" s="395"/>
      <c r="C2" s="389"/>
      <c r="D2" s="394" t="str">
        <f>VLOOKUP(Currency,Traits,2,FALSE)</f>
        <v>-</v>
      </c>
      <c r="E2" s="393"/>
      <c r="F2" s="392"/>
      <c r="G2" s="392"/>
      <c r="H2" s="389"/>
      <c r="I2" s="389"/>
      <c r="J2" s="391" t="str">
        <f>VLOOKUP(Currency,Traits,3,FALSE)</f>
        <v>-</v>
      </c>
      <c r="K2" s="389"/>
      <c r="L2" s="389"/>
      <c r="M2" s="390">
        <f>MAX(O4:O21)</f>
        <v>0</v>
      </c>
      <c r="N2" s="389"/>
      <c r="O2" s="389"/>
      <c r="P2" s="388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</row>
    <row r="3" spans="1:30" ht="22.5" x14ac:dyDescent="0.2">
      <c r="A3" s="337"/>
      <c r="B3" s="366"/>
      <c r="C3" s="386" t="s">
        <v>23</v>
      </c>
      <c r="D3" s="385" t="str">
        <f>_xll.RData(D4:D21,E3:F3,"RTFEED:IDN",,,E4)</f>
        <v>Updated at 10:05:48</v>
      </c>
      <c r="E3" s="385" t="s">
        <v>287</v>
      </c>
      <c r="F3" s="385" t="s">
        <v>216</v>
      </c>
      <c r="G3" s="385" t="s">
        <v>286</v>
      </c>
      <c r="H3" s="384" t="s">
        <v>285</v>
      </c>
      <c r="I3" s="387"/>
      <c r="J3" s="386" t="s">
        <v>228</v>
      </c>
      <c r="K3" s="385" t="s">
        <v>284</v>
      </c>
      <c r="L3" s="385" t="s">
        <v>283</v>
      </c>
      <c r="M3" s="385" t="s">
        <v>282</v>
      </c>
      <c r="N3" s="384" t="s">
        <v>281</v>
      </c>
      <c r="O3" s="383"/>
      <c r="P3" s="356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</row>
    <row r="4" spans="1:30" x14ac:dyDescent="0.2">
      <c r="A4" s="337"/>
      <c r="B4" s="366"/>
      <c r="C4" s="382" t="s">
        <v>187</v>
      </c>
      <c r="D4" s="377" t="str">
        <f t="shared" ref="D4:D21" si="0">Currency&amp;$D$2&amp;$C4&amp;"D="</f>
        <v>USD-OND=</v>
      </c>
      <c r="E4" s="381" t="s">
        <v>211</v>
      </c>
      <c r="F4" s="406" t="s">
        <v>211</v>
      </c>
      <c r="G4" s="380" t="b">
        <f t="shared" ref="G4:G21" si="1">IF(AND(ISNUMBER($F4),$F4&lt;&gt;0%),TRUE,FALSE)</f>
        <v>0</v>
      </c>
      <c r="H4" s="379" t="e">
        <f>IF($G4,_xll.qlIndexAddFixings($J4,$E4,$F4/100,TRUE,ISERROR($K4)),NA())</f>
        <v>#N/A</v>
      </c>
      <c r="I4" s="361"/>
      <c r="J4" s="378" t="str">
        <f t="shared" ref="J4:J21" si="2">PROPER(Currency)&amp;$J$2&amp;$C4</f>
        <v>Usd-ON</v>
      </c>
      <c r="K4" s="377" t="e">
        <f>_xll.qlIndexFixing($J4,$E4,TRUE,$G4)</f>
        <v>#NUM!</v>
      </c>
      <c r="L4" s="377" t="e">
        <f>IF($H4,_xll.qlIndexFixing($J4,$E4,FALSE,$G4),"-")</f>
        <v>#N/A</v>
      </c>
      <c r="M4" s="377" t="e">
        <f t="shared" ref="M4:M21" si="3">K4-L4</f>
        <v>#NUM!</v>
      </c>
      <c r="N4" s="376" t="e">
        <f>_xll.qlIndexFixing($J4,$E4,TRUE,$L4)</f>
        <v>#NUM!</v>
      </c>
      <c r="O4" s="375">
        <f>IF(ISERROR(M4),0,ABS(M4))</f>
        <v>0</v>
      </c>
      <c r="P4" s="356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</row>
    <row r="5" spans="1:30" x14ac:dyDescent="0.2">
      <c r="A5" s="337"/>
      <c r="B5" s="366"/>
      <c r="C5" s="374" t="s">
        <v>218</v>
      </c>
      <c r="D5" s="369" t="str">
        <f t="shared" si="0"/>
        <v>USD-TND=</v>
      </c>
      <c r="E5" s="373" t="s">
        <v>211</v>
      </c>
      <c r="F5" s="405" t="s">
        <v>211</v>
      </c>
      <c r="G5" s="372" t="b">
        <f t="shared" si="1"/>
        <v>0</v>
      </c>
      <c r="H5" s="371" t="e">
        <f>IF($G5,_xll.qlIndexAddFixings($J5,$E5,$F5/100,TRUE,ISERROR($K5)),NA())</f>
        <v>#N/A</v>
      </c>
      <c r="I5" s="361"/>
      <c r="J5" s="370" t="str">
        <f t="shared" si="2"/>
        <v>Usd-TN</v>
      </c>
      <c r="K5" s="369" t="e">
        <f>_xll.qlIndexFixing($J5,$E5,TRUE,$G5)</f>
        <v>#NUM!</v>
      </c>
      <c r="L5" s="369" t="e">
        <f>IF($H5,_xll.qlIndexFixing($J5,$E5,FALSE,$G5),"-")</f>
        <v>#N/A</v>
      </c>
      <c r="M5" s="369" t="e">
        <f t="shared" si="3"/>
        <v>#NUM!</v>
      </c>
      <c r="N5" s="368" t="e">
        <f>_xll.qlIndexFixing($J5,$E5,TRUE,$L5)</f>
        <v>#NUM!</v>
      </c>
      <c r="O5" s="367"/>
      <c r="P5" s="356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</row>
    <row r="6" spans="1:30" x14ac:dyDescent="0.2">
      <c r="A6" s="337"/>
      <c r="B6" s="366"/>
      <c r="C6" s="374" t="s">
        <v>215</v>
      </c>
      <c r="D6" s="369" t="str">
        <f t="shared" si="0"/>
        <v>USD-SND=</v>
      </c>
      <c r="E6" s="373" t="s">
        <v>211</v>
      </c>
      <c r="F6" s="405" t="s">
        <v>211</v>
      </c>
      <c r="G6" s="372" t="b">
        <f t="shared" si="1"/>
        <v>0</v>
      </c>
      <c r="H6" s="371" t="e">
        <f>IF($G6,_xll.qlIndexAddFixings($J6,$E6,$F6/100,TRUE,ISERROR($K6)),NA())</f>
        <v>#N/A</v>
      </c>
      <c r="I6" s="361"/>
      <c r="J6" s="370" t="str">
        <f t="shared" si="2"/>
        <v>Usd-SN</v>
      </c>
      <c r="K6" s="369" t="e">
        <f>_xll.qlIndexFixing($J6,$E6,TRUE,$G6)</f>
        <v>#NUM!</v>
      </c>
      <c r="L6" s="369" t="e">
        <f>IF($H6,_xll.qlIndexFixing($J6,$E6,FALSE,$G6),"-")</f>
        <v>#N/A</v>
      </c>
      <c r="M6" s="369" t="e">
        <f t="shared" si="3"/>
        <v>#NUM!</v>
      </c>
      <c r="N6" s="368" t="e">
        <f>_xll.qlIndexFixing($J6,$E6,TRUE,$L6)</f>
        <v>#NUM!</v>
      </c>
      <c r="O6" s="367"/>
      <c r="P6" s="356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337"/>
      <c r="AD6" s="337"/>
    </row>
    <row r="7" spans="1:30" x14ac:dyDescent="0.2">
      <c r="A7" s="337"/>
      <c r="B7" s="366"/>
      <c r="C7" s="374" t="s">
        <v>22</v>
      </c>
      <c r="D7" s="369" t="str">
        <f t="shared" si="0"/>
        <v>USD-SWD=</v>
      </c>
      <c r="E7" s="373" t="s">
        <v>211</v>
      </c>
      <c r="F7" s="372" t="s">
        <v>211</v>
      </c>
      <c r="G7" s="372" t="b">
        <f t="shared" si="1"/>
        <v>0</v>
      </c>
      <c r="H7" s="371" t="e">
        <f>IF($G7,_xll.qlIndexAddFixings($J7,$E7,$F7/100,TRUE,ISERROR($K7)),NA())</f>
        <v>#N/A</v>
      </c>
      <c r="I7" s="361"/>
      <c r="J7" s="370" t="str">
        <f t="shared" si="2"/>
        <v>Usd-SW</v>
      </c>
      <c r="K7" s="369" t="e">
        <f>_xll.qlIndexFixing($J7,$E7,TRUE,$G7)</f>
        <v>#NUM!</v>
      </c>
      <c r="L7" s="369" t="e">
        <f>IF($H7,_xll.qlIndexFixing($J7,$E7,FALSE,$G7),"-")</f>
        <v>#N/A</v>
      </c>
      <c r="M7" s="369" t="e">
        <f t="shared" si="3"/>
        <v>#NUM!</v>
      </c>
      <c r="N7" s="368" t="e">
        <f>_xll.qlIndexFixing($J7,$E7,TRUE,$L7)</f>
        <v>#NUM!</v>
      </c>
      <c r="O7" s="367">
        <f t="shared" ref="O7:O21" si="4">IF(ISERROR(M7),0,ABS(M7))</f>
        <v>0</v>
      </c>
      <c r="P7" s="356"/>
      <c r="Q7" s="337"/>
      <c r="R7" s="337"/>
      <c r="S7" s="337"/>
      <c r="T7" s="337"/>
      <c r="U7" s="337"/>
      <c r="V7" s="337"/>
      <c r="W7" s="337"/>
      <c r="X7" s="337"/>
      <c r="Y7" s="337"/>
      <c r="Z7" s="337"/>
      <c r="AA7" s="337"/>
      <c r="AB7" s="337"/>
      <c r="AC7" s="337"/>
      <c r="AD7" s="337"/>
    </row>
    <row r="8" spans="1:30" x14ac:dyDescent="0.2">
      <c r="A8" s="337"/>
      <c r="B8" s="366"/>
      <c r="C8" s="374" t="s">
        <v>21</v>
      </c>
      <c r="D8" s="369" t="str">
        <f t="shared" si="0"/>
        <v>USD-2WD=</v>
      </c>
      <c r="E8" s="373" t="s">
        <v>211</v>
      </c>
      <c r="F8" s="372" t="s">
        <v>211</v>
      </c>
      <c r="G8" s="372" t="b">
        <f t="shared" si="1"/>
        <v>0</v>
      </c>
      <c r="H8" s="371" t="e">
        <f>IF($G8,_xll.qlIndexAddFixings($J8,$E8,$F8/100,TRUE,ISERROR($K8)),NA())</f>
        <v>#N/A</v>
      </c>
      <c r="I8" s="361"/>
      <c r="J8" s="370" t="str">
        <f t="shared" si="2"/>
        <v>Usd-2W</v>
      </c>
      <c r="K8" s="369" t="e">
        <f>_xll.qlIndexFixing($J8,$E8,TRUE,$G8)</f>
        <v>#NUM!</v>
      </c>
      <c r="L8" s="369" t="e">
        <f>IF($H8,_xll.qlIndexFixing($J8,$E8,FALSE,$G8),"-")</f>
        <v>#N/A</v>
      </c>
      <c r="M8" s="369" t="e">
        <f t="shared" si="3"/>
        <v>#NUM!</v>
      </c>
      <c r="N8" s="368" t="e">
        <f>_xll.qlIndexFixing($J8,$E8,TRUE,$L8)</f>
        <v>#NUM!</v>
      </c>
      <c r="O8" s="367">
        <f t="shared" si="4"/>
        <v>0</v>
      </c>
      <c r="P8" s="356"/>
      <c r="Q8" s="337"/>
      <c r="R8" s="337"/>
      <c r="S8" s="337"/>
      <c r="T8" s="337"/>
      <c r="U8" s="337"/>
      <c r="V8" s="337"/>
      <c r="W8" s="337"/>
      <c r="X8" s="337"/>
      <c r="Y8" s="337"/>
      <c r="Z8" s="337"/>
      <c r="AA8" s="337"/>
      <c r="AB8" s="337"/>
      <c r="AC8" s="337"/>
      <c r="AD8" s="337"/>
    </row>
    <row r="9" spans="1:30" x14ac:dyDescent="0.2">
      <c r="A9" s="337"/>
      <c r="B9" s="366"/>
      <c r="C9" s="374" t="s">
        <v>20</v>
      </c>
      <c r="D9" s="369" t="str">
        <f t="shared" si="0"/>
        <v>USD-3WD=</v>
      </c>
      <c r="E9" s="373" t="s">
        <v>211</v>
      </c>
      <c r="F9" s="372" t="s">
        <v>211</v>
      </c>
      <c r="G9" s="372" t="b">
        <f t="shared" si="1"/>
        <v>0</v>
      </c>
      <c r="H9" s="371" t="e">
        <f>IF($G9,_xll.qlIndexAddFixings($J9,$E9,$F9/100,TRUE,ISERROR($K9)),NA())</f>
        <v>#N/A</v>
      </c>
      <c r="I9" s="361"/>
      <c r="J9" s="370" t="str">
        <f t="shared" si="2"/>
        <v>Usd-3W</v>
      </c>
      <c r="K9" s="369" t="e">
        <f>_xll.qlIndexFixing($J9,$E9,TRUE,$G9)</f>
        <v>#NUM!</v>
      </c>
      <c r="L9" s="369" t="e">
        <f>IF($H9,_xll.qlIndexFixing($J9,$E9,FALSE,$G9),"-")</f>
        <v>#N/A</v>
      </c>
      <c r="M9" s="369" t="e">
        <f t="shared" si="3"/>
        <v>#NUM!</v>
      </c>
      <c r="N9" s="368" t="e">
        <f>_xll.qlIndexFixing($J9,$E9,TRUE,$L9)</f>
        <v>#NUM!</v>
      </c>
      <c r="O9" s="367">
        <f t="shared" si="4"/>
        <v>0</v>
      </c>
      <c r="P9" s="356"/>
      <c r="Q9" s="337"/>
      <c r="R9" s="337"/>
      <c r="S9" s="337"/>
      <c r="T9" s="337"/>
      <c r="U9" s="337"/>
      <c r="V9" s="337"/>
      <c r="W9" s="337"/>
      <c r="X9" s="337"/>
      <c r="Y9" s="337"/>
      <c r="Z9" s="337"/>
      <c r="AA9" s="337"/>
      <c r="AB9" s="337"/>
      <c r="AC9" s="337"/>
      <c r="AD9" s="337"/>
    </row>
    <row r="10" spans="1:30" x14ac:dyDescent="0.2">
      <c r="A10" s="337"/>
      <c r="B10" s="366"/>
      <c r="C10" s="374" t="s">
        <v>19</v>
      </c>
      <c r="D10" s="369" t="str">
        <f t="shared" si="0"/>
        <v>USD-1MD=</v>
      </c>
      <c r="E10" s="373" t="s">
        <v>211</v>
      </c>
      <c r="F10" s="372" t="s">
        <v>211</v>
      </c>
      <c r="G10" s="372" t="b">
        <f t="shared" si="1"/>
        <v>0</v>
      </c>
      <c r="H10" s="371" t="e">
        <f>IF($G10,_xll.qlIndexAddFixings($J10,$E10,$F10/100,TRUE,ISERROR($K10)),NA())</f>
        <v>#N/A</v>
      </c>
      <c r="I10" s="361"/>
      <c r="J10" s="370" t="str">
        <f t="shared" si="2"/>
        <v>Usd-1M</v>
      </c>
      <c r="K10" s="369" t="e">
        <f>_xll.qlIndexFixing($J10,$E10,TRUE,$G10)</f>
        <v>#NUM!</v>
      </c>
      <c r="L10" s="369" t="e">
        <f>IF($H10,_xll.qlIndexFixing($J10,$E10,FALSE,$G10),"-")</f>
        <v>#N/A</v>
      </c>
      <c r="M10" s="369" t="e">
        <f t="shared" si="3"/>
        <v>#NUM!</v>
      </c>
      <c r="N10" s="368" t="e">
        <f>_xll.qlIndexFixing($J10,$E10,TRUE,$L10)</f>
        <v>#NUM!</v>
      </c>
      <c r="O10" s="367">
        <f t="shared" si="4"/>
        <v>0</v>
      </c>
      <c r="P10" s="356"/>
      <c r="Q10" s="337"/>
      <c r="R10" s="337"/>
      <c r="S10" s="337"/>
      <c r="T10" s="337"/>
      <c r="U10" s="337"/>
      <c r="V10" s="337"/>
      <c r="W10" s="337"/>
      <c r="X10" s="337"/>
      <c r="Y10" s="337"/>
      <c r="Z10" s="337"/>
      <c r="AA10" s="337"/>
      <c r="AB10" s="337"/>
      <c r="AC10" s="337"/>
      <c r="AD10" s="337"/>
    </row>
    <row r="11" spans="1:30" x14ac:dyDescent="0.2">
      <c r="A11" s="337"/>
      <c r="B11" s="366"/>
      <c r="C11" s="374" t="s">
        <v>18</v>
      </c>
      <c r="D11" s="369" t="str">
        <f t="shared" si="0"/>
        <v>USD-2MD=</v>
      </c>
      <c r="E11" s="373" t="s">
        <v>211</v>
      </c>
      <c r="F11" s="372" t="s">
        <v>211</v>
      </c>
      <c r="G11" s="372" t="b">
        <f t="shared" si="1"/>
        <v>0</v>
      </c>
      <c r="H11" s="371" t="e">
        <f>IF($G11,_xll.qlIndexAddFixings($J11,$E11,$F11/100,TRUE,ISERROR($K11)),NA())</f>
        <v>#N/A</v>
      </c>
      <c r="I11" s="361"/>
      <c r="J11" s="370" t="str">
        <f t="shared" si="2"/>
        <v>Usd-2M</v>
      </c>
      <c r="K11" s="369" t="e">
        <f>_xll.qlIndexFixing($J11,$E11,TRUE,$G11)</f>
        <v>#NUM!</v>
      </c>
      <c r="L11" s="369" t="e">
        <f>IF($H11,_xll.qlIndexFixing($J11,$E11,FALSE,$G11),"-")</f>
        <v>#N/A</v>
      </c>
      <c r="M11" s="369" t="e">
        <f t="shared" si="3"/>
        <v>#NUM!</v>
      </c>
      <c r="N11" s="368" t="e">
        <f>_xll.qlIndexFixing($J11,$E11,TRUE,$L11)</f>
        <v>#NUM!</v>
      </c>
      <c r="O11" s="367">
        <f t="shared" si="4"/>
        <v>0</v>
      </c>
      <c r="P11" s="356"/>
      <c r="Q11" s="337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  <c r="AC11" s="337"/>
      <c r="AD11" s="337"/>
    </row>
    <row r="12" spans="1:30" x14ac:dyDescent="0.2">
      <c r="A12" s="337"/>
      <c r="B12" s="366"/>
      <c r="C12" s="374" t="s">
        <v>17</v>
      </c>
      <c r="D12" s="369" t="str">
        <f t="shared" si="0"/>
        <v>USD-3MD=</v>
      </c>
      <c r="E12" s="373" t="s">
        <v>211</v>
      </c>
      <c r="F12" s="372" t="s">
        <v>211</v>
      </c>
      <c r="G12" s="372" t="b">
        <f t="shared" si="1"/>
        <v>0</v>
      </c>
      <c r="H12" s="371" t="e">
        <f>IF($G12,_xll.qlIndexAddFixings($J12,$E12,$F12/100,TRUE,ISERROR($K12)),NA())</f>
        <v>#N/A</v>
      </c>
      <c r="I12" s="361"/>
      <c r="J12" s="370" t="str">
        <f t="shared" si="2"/>
        <v>Usd-3M</v>
      </c>
      <c r="K12" s="369" t="e">
        <f>_xll.qlIndexFixing($J12,$E12,TRUE,$G12)</f>
        <v>#NUM!</v>
      </c>
      <c r="L12" s="369" t="e">
        <f>IF($H12,_xll.qlIndexFixing($J12,$E12,FALSE,$G12),"-")</f>
        <v>#N/A</v>
      </c>
      <c r="M12" s="369" t="e">
        <f t="shared" si="3"/>
        <v>#NUM!</v>
      </c>
      <c r="N12" s="368" t="e">
        <f>_xll.qlIndexFixing($J12,$E12,TRUE,$L12)</f>
        <v>#NUM!</v>
      </c>
      <c r="O12" s="367">
        <f t="shared" si="4"/>
        <v>0</v>
      </c>
      <c r="P12" s="356"/>
      <c r="Q12" s="337"/>
      <c r="R12" s="337"/>
      <c r="S12" s="337"/>
      <c r="T12" s="337"/>
      <c r="U12" s="337"/>
      <c r="V12" s="337"/>
      <c r="W12" s="337"/>
      <c r="X12" s="337"/>
      <c r="Y12" s="337"/>
      <c r="Z12" s="337"/>
      <c r="AA12" s="337"/>
      <c r="AB12" s="337"/>
      <c r="AC12" s="337"/>
      <c r="AD12" s="337"/>
    </row>
    <row r="13" spans="1:30" x14ac:dyDescent="0.2">
      <c r="A13" s="337"/>
      <c r="B13" s="366"/>
      <c r="C13" s="374" t="s">
        <v>16</v>
      </c>
      <c r="D13" s="369" t="str">
        <f t="shared" si="0"/>
        <v>USD-4MD=</v>
      </c>
      <c r="E13" s="373" t="s">
        <v>211</v>
      </c>
      <c r="F13" s="372" t="s">
        <v>211</v>
      </c>
      <c r="G13" s="372" t="b">
        <f t="shared" si="1"/>
        <v>0</v>
      </c>
      <c r="H13" s="371" t="e">
        <f>IF($G13,_xll.qlIndexAddFixings($J13,$E13,$F13/100,TRUE,ISERROR($K13)),NA())</f>
        <v>#N/A</v>
      </c>
      <c r="I13" s="361"/>
      <c r="J13" s="370" t="str">
        <f t="shared" si="2"/>
        <v>Usd-4M</v>
      </c>
      <c r="K13" s="369" t="e">
        <f>_xll.qlIndexFixing($J13,$E13,TRUE,$G13)</f>
        <v>#NUM!</v>
      </c>
      <c r="L13" s="369" t="e">
        <f>IF($H13,_xll.qlIndexFixing($J13,$E13,FALSE,$G13),"-")</f>
        <v>#N/A</v>
      </c>
      <c r="M13" s="369" t="e">
        <f t="shared" si="3"/>
        <v>#NUM!</v>
      </c>
      <c r="N13" s="368" t="e">
        <f>_xll.qlIndexFixing($J13,$E13,TRUE,$L13)</f>
        <v>#NUM!</v>
      </c>
      <c r="O13" s="367">
        <f t="shared" si="4"/>
        <v>0</v>
      </c>
      <c r="P13" s="356"/>
      <c r="Q13" s="337"/>
      <c r="R13" s="337"/>
      <c r="S13" s="337"/>
      <c r="T13" s="337"/>
      <c r="U13" s="337"/>
      <c r="V13" s="337"/>
      <c r="W13" s="337"/>
      <c r="X13" s="337"/>
      <c r="Y13" s="337"/>
      <c r="Z13" s="337"/>
      <c r="AA13" s="337"/>
      <c r="AB13" s="337"/>
      <c r="AC13" s="337"/>
      <c r="AD13" s="337"/>
    </row>
    <row r="14" spans="1:30" x14ac:dyDescent="0.2">
      <c r="A14" s="337"/>
      <c r="B14" s="366"/>
      <c r="C14" s="374" t="s">
        <v>15</v>
      </c>
      <c r="D14" s="369" t="str">
        <f t="shared" si="0"/>
        <v>USD-5MD=</v>
      </c>
      <c r="E14" s="373" t="s">
        <v>211</v>
      </c>
      <c r="F14" s="372" t="s">
        <v>211</v>
      </c>
      <c r="G14" s="372" t="b">
        <f t="shared" si="1"/>
        <v>0</v>
      </c>
      <c r="H14" s="371" t="e">
        <f>IF($G14,_xll.qlIndexAddFixings($J14,$E14,$F14/100,TRUE,ISERROR($K14)),NA())</f>
        <v>#N/A</v>
      </c>
      <c r="I14" s="361"/>
      <c r="J14" s="370" t="str">
        <f t="shared" si="2"/>
        <v>Usd-5M</v>
      </c>
      <c r="K14" s="369" t="e">
        <f>_xll.qlIndexFixing($J14,$E14,TRUE,$G14)</f>
        <v>#NUM!</v>
      </c>
      <c r="L14" s="369" t="e">
        <f>IF($H14,_xll.qlIndexFixing($J14,$E14,FALSE,$G14),"-")</f>
        <v>#N/A</v>
      </c>
      <c r="M14" s="369" t="e">
        <f t="shared" si="3"/>
        <v>#NUM!</v>
      </c>
      <c r="N14" s="368" t="e">
        <f>_xll.qlIndexFixing($J14,$E14,TRUE,$L14)</f>
        <v>#NUM!</v>
      </c>
      <c r="O14" s="367">
        <f t="shared" si="4"/>
        <v>0</v>
      </c>
      <c r="P14" s="356"/>
      <c r="Q14" s="337"/>
      <c r="R14" s="337"/>
      <c r="S14" s="337"/>
      <c r="T14" s="337"/>
      <c r="U14" s="337"/>
      <c r="V14" s="337"/>
      <c r="W14" s="337"/>
      <c r="X14" s="337"/>
      <c r="Y14" s="337"/>
      <c r="Z14" s="337"/>
      <c r="AA14" s="337"/>
      <c r="AB14" s="337"/>
      <c r="AC14" s="337"/>
      <c r="AD14" s="337"/>
    </row>
    <row r="15" spans="1:30" x14ac:dyDescent="0.2">
      <c r="A15" s="337"/>
      <c r="B15" s="366"/>
      <c r="C15" s="374" t="s">
        <v>14</v>
      </c>
      <c r="D15" s="369" t="str">
        <f t="shared" si="0"/>
        <v>USD-6MD=</v>
      </c>
      <c r="E15" s="373" t="s">
        <v>211</v>
      </c>
      <c r="F15" s="372" t="s">
        <v>211</v>
      </c>
      <c r="G15" s="372" t="b">
        <f t="shared" si="1"/>
        <v>0</v>
      </c>
      <c r="H15" s="371" t="e">
        <f>IF($G15,_xll.qlIndexAddFixings($J15,$E15,$F15/100,TRUE,ISERROR($K15)),NA())</f>
        <v>#N/A</v>
      </c>
      <c r="I15" s="361"/>
      <c r="J15" s="370" t="str">
        <f t="shared" si="2"/>
        <v>Usd-6M</v>
      </c>
      <c r="K15" s="369" t="e">
        <f>_xll.qlIndexFixing($J15,$E15,TRUE,$G15)</f>
        <v>#NUM!</v>
      </c>
      <c r="L15" s="369" t="e">
        <f>IF($H15,_xll.qlIndexFixing($J15,$E15,FALSE,$G15),"-")</f>
        <v>#N/A</v>
      </c>
      <c r="M15" s="369" t="e">
        <f t="shared" si="3"/>
        <v>#NUM!</v>
      </c>
      <c r="N15" s="368" t="e">
        <f>_xll.qlIndexFixing($J15,$E15,TRUE,$L15)</f>
        <v>#NUM!</v>
      </c>
      <c r="O15" s="367">
        <f t="shared" si="4"/>
        <v>0</v>
      </c>
      <c r="P15" s="356"/>
      <c r="Q15" s="337"/>
      <c r="R15" s="337"/>
      <c r="S15" s="337"/>
      <c r="T15" s="337"/>
      <c r="U15" s="337"/>
      <c r="V15" s="337"/>
      <c r="W15" s="337"/>
      <c r="X15" s="337"/>
      <c r="Y15" s="337"/>
      <c r="Z15" s="337"/>
      <c r="AA15" s="337"/>
      <c r="AB15" s="337"/>
      <c r="AC15" s="337"/>
      <c r="AD15" s="337"/>
    </row>
    <row r="16" spans="1:30" x14ac:dyDescent="0.2">
      <c r="A16" s="337"/>
      <c r="B16" s="366"/>
      <c r="C16" s="374" t="s">
        <v>13</v>
      </c>
      <c r="D16" s="369" t="str">
        <f t="shared" si="0"/>
        <v>USD-7MD=</v>
      </c>
      <c r="E16" s="373" t="s">
        <v>211</v>
      </c>
      <c r="F16" s="372" t="s">
        <v>211</v>
      </c>
      <c r="G16" s="372" t="b">
        <f t="shared" si="1"/>
        <v>0</v>
      </c>
      <c r="H16" s="371" t="e">
        <f>IF($G16,_xll.qlIndexAddFixings($J16,$E16,$F16/100,TRUE,ISERROR($K16)),NA())</f>
        <v>#N/A</v>
      </c>
      <c r="I16" s="361"/>
      <c r="J16" s="370" t="str">
        <f t="shared" si="2"/>
        <v>Usd-7M</v>
      </c>
      <c r="K16" s="369" t="e">
        <f>_xll.qlIndexFixing($J16,$E16,TRUE,$G16)</f>
        <v>#NUM!</v>
      </c>
      <c r="L16" s="369" t="e">
        <f>IF($H16,_xll.qlIndexFixing($J16,$E16,FALSE,$G16),"-")</f>
        <v>#N/A</v>
      </c>
      <c r="M16" s="369" t="e">
        <f t="shared" si="3"/>
        <v>#NUM!</v>
      </c>
      <c r="N16" s="368" t="e">
        <f>_xll.qlIndexFixing($J16,$E16,TRUE,$L16)</f>
        <v>#NUM!</v>
      </c>
      <c r="O16" s="367">
        <f t="shared" si="4"/>
        <v>0</v>
      </c>
      <c r="P16" s="356"/>
      <c r="Q16" s="337"/>
      <c r="R16" s="337"/>
      <c r="S16" s="337"/>
      <c r="T16" s="337"/>
      <c r="U16" s="337"/>
      <c r="V16" s="337"/>
      <c r="W16" s="337"/>
      <c r="X16" s="337"/>
      <c r="Y16" s="337"/>
      <c r="Z16" s="337"/>
      <c r="AA16" s="337"/>
      <c r="AB16" s="337"/>
      <c r="AC16" s="337"/>
      <c r="AD16" s="337"/>
    </row>
    <row r="17" spans="1:30" x14ac:dyDescent="0.2">
      <c r="A17" s="337"/>
      <c r="B17" s="366"/>
      <c r="C17" s="374" t="s">
        <v>12</v>
      </c>
      <c r="D17" s="369" t="str">
        <f t="shared" si="0"/>
        <v>USD-8MD=</v>
      </c>
      <c r="E17" s="373" t="s">
        <v>211</v>
      </c>
      <c r="F17" s="372" t="s">
        <v>211</v>
      </c>
      <c r="G17" s="372" t="b">
        <f t="shared" si="1"/>
        <v>0</v>
      </c>
      <c r="H17" s="371" t="e">
        <f>IF($G17,_xll.qlIndexAddFixings($J17,$E17,$F17/100,TRUE,ISERROR($K17)),NA())</f>
        <v>#N/A</v>
      </c>
      <c r="I17" s="361"/>
      <c r="J17" s="370" t="str">
        <f t="shared" si="2"/>
        <v>Usd-8M</v>
      </c>
      <c r="K17" s="369" t="e">
        <f>_xll.qlIndexFixing($J17,$E17,TRUE,$G17)</f>
        <v>#NUM!</v>
      </c>
      <c r="L17" s="369" t="e">
        <f>IF($H17,_xll.qlIndexFixing($J17,$E17,FALSE,$G17),"-")</f>
        <v>#N/A</v>
      </c>
      <c r="M17" s="369" t="e">
        <f t="shared" si="3"/>
        <v>#NUM!</v>
      </c>
      <c r="N17" s="368" t="e">
        <f>_xll.qlIndexFixing($J17,$E17,TRUE,$L17)</f>
        <v>#NUM!</v>
      </c>
      <c r="O17" s="367">
        <f t="shared" si="4"/>
        <v>0</v>
      </c>
      <c r="P17" s="356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</row>
    <row r="18" spans="1:30" x14ac:dyDescent="0.2">
      <c r="A18" s="337"/>
      <c r="B18" s="366"/>
      <c r="C18" s="374" t="s">
        <v>11</v>
      </c>
      <c r="D18" s="369" t="str">
        <f t="shared" si="0"/>
        <v>USD-9MD=</v>
      </c>
      <c r="E18" s="373" t="s">
        <v>211</v>
      </c>
      <c r="F18" s="372" t="s">
        <v>211</v>
      </c>
      <c r="G18" s="372" t="b">
        <f t="shared" si="1"/>
        <v>0</v>
      </c>
      <c r="H18" s="371" t="e">
        <f>IF($G18,_xll.qlIndexAddFixings($J18,$E18,$F18/100,TRUE,ISERROR($K18)),NA())</f>
        <v>#N/A</v>
      </c>
      <c r="I18" s="361"/>
      <c r="J18" s="370" t="str">
        <f t="shared" si="2"/>
        <v>Usd-9M</v>
      </c>
      <c r="K18" s="369" t="e">
        <f>_xll.qlIndexFixing($J18,$E18,TRUE,$G18)</f>
        <v>#NUM!</v>
      </c>
      <c r="L18" s="369" t="e">
        <f>IF($H18,_xll.qlIndexFixing($J18,$E18,FALSE,$G18),"-")</f>
        <v>#N/A</v>
      </c>
      <c r="M18" s="369" t="e">
        <f t="shared" si="3"/>
        <v>#NUM!</v>
      </c>
      <c r="N18" s="368" t="e">
        <f>_xll.qlIndexFixing($J18,$E18,TRUE,$L18)</f>
        <v>#NUM!</v>
      </c>
      <c r="O18" s="367">
        <f t="shared" si="4"/>
        <v>0</v>
      </c>
      <c r="P18" s="356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</row>
    <row r="19" spans="1:30" x14ac:dyDescent="0.2">
      <c r="A19" s="337"/>
      <c r="B19" s="366"/>
      <c r="C19" s="374" t="s">
        <v>10</v>
      </c>
      <c r="D19" s="369" t="str">
        <f t="shared" si="0"/>
        <v>USD-10MD=</v>
      </c>
      <c r="E19" s="373" t="s">
        <v>211</v>
      </c>
      <c r="F19" s="372" t="s">
        <v>211</v>
      </c>
      <c r="G19" s="372" t="b">
        <f t="shared" si="1"/>
        <v>0</v>
      </c>
      <c r="H19" s="371" t="e">
        <f>IF($G19,_xll.qlIndexAddFixings($J19,$E19,$F19/100,TRUE,ISERROR($K19)),NA())</f>
        <v>#N/A</v>
      </c>
      <c r="I19" s="361"/>
      <c r="J19" s="370" t="str">
        <f t="shared" si="2"/>
        <v>Usd-10M</v>
      </c>
      <c r="K19" s="369" t="e">
        <f>_xll.qlIndexFixing($J19,$E19,TRUE,$G19)</f>
        <v>#NUM!</v>
      </c>
      <c r="L19" s="369" t="e">
        <f>IF($H19,_xll.qlIndexFixing($J19,$E19,FALSE,$G19),"-")</f>
        <v>#N/A</v>
      </c>
      <c r="M19" s="369" t="e">
        <f t="shared" si="3"/>
        <v>#NUM!</v>
      </c>
      <c r="N19" s="368" t="e">
        <f>_xll.qlIndexFixing($J19,$E19,TRUE,$L19)</f>
        <v>#NUM!</v>
      </c>
      <c r="O19" s="367">
        <f t="shared" si="4"/>
        <v>0</v>
      </c>
      <c r="P19" s="356"/>
      <c r="Q19" s="337"/>
      <c r="R19" s="337"/>
      <c r="S19" s="337"/>
      <c r="T19" s="337"/>
      <c r="U19" s="337"/>
      <c r="V19" s="337"/>
      <c r="W19" s="337"/>
      <c r="X19" s="337"/>
      <c r="Y19" s="337"/>
      <c r="Z19" s="337"/>
      <c r="AA19" s="337"/>
      <c r="AB19" s="337"/>
      <c r="AC19" s="337"/>
      <c r="AD19" s="337"/>
    </row>
    <row r="20" spans="1:30" x14ac:dyDescent="0.2">
      <c r="A20" s="337"/>
      <c r="B20" s="366"/>
      <c r="C20" s="374" t="s">
        <v>9</v>
      </c>
      <c r="D20" s="369" t="str">
        <f t="shared" si="0"/>
        <v>USD-11MD=</v>
      </c>
      <c r="E20" s="373" t="s">
        <v>211</v>
      </c>
      <c r="F20" s="372" t="s">
        <v>211</v>
      </c>
      <c r="G20" s="372" t="b">
        <f t="shared" si="1"/>
        <v>0</v>
      </c>
      <c r="H20" s="371" t="e">
        <f>IF($G20,_xll.qlIndexAddFixings($J20,$E20,$F20/100,TRUE,ISERROR($K20)),NA())</f>
        <v>#N/A</v>
      </c>
      <c r="I20" s="361"/>
      <c r="J20" s="370" t="str">
        <f t="shared" si="2"/>
        <v>Usd-11M</v>
      </c>
      <c r="K20" s="369" t="e">
        <f>_xll.qlIndexFixing($J20,$E20,TRUE,$G20)</f>
        <v>#NUM!</v>
      </c>
      <c r="L20" s="369" t="e">
        <f>IF($H20,_xll.qlIndexFixing($J20,$E20,FALSE,$G20),"-")</f>
        <v>#N/A</v>
      </c>
      <c r="M20" s="369" t="e">
        <f t="shared" si="3"/>
        <v>#NUM!</v>
      </c>
      <c r="N20" s="368" t="e">
        <f>_xll.qlIndexFixing($J20,$E20,TRUE,$L20)</f>
        <v>#NUM!</v>
      </c>
      <c r="O20" s="367">
        <f t="shared" si="4"/>
        <v>0</v>
      </c>
      <c r="P20" s="356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7"/>
      <c r="AB20" s="337"/>
      <c r="AC20" s="337"/>
      <c r="AD20" s="337"/>
    </row>
    <row r="21" spans="1:30" x14ac:dyDescent="0.2">
      <c r="A21" s="337"/>
      <c r="B21" s="366"/>
      <c r="C21" s="365" t="s">
        <v>8</v>
      </c>
      <c r="D21" s="359" t="str">
        <f t="shared" si="0"/>
        <v>USD-1YD=</v>
      </c>
      <c r="E21" s="364" t="s">
        <v>211</v>
      </c>
      <c r="F21" s="363" t="s">
        <v>211</v>
      </c>
      <c r="G21" s="363" t="b">
        <f t="shared" si="1"/>
        <v>0</v>
      </c>
      <c r="H21" s="362" t="e">
        <f>IF($G21,_xll.qlIndexAddFixings($J21,$E21,$F21/100,TRUE,ISERROR($K21)),NA())</f>
        <v>#N/A</v>
      </c>
      <c r="I21" s="361"/>
      <c r="J21" s="360" t="str">
        <f t="shared" si="2"/>
        <v>Usd-1Y</v>
      </c>
      <c r="K21" s="359" t="e">
        <f>_xll.qlIndexFixing($J21,$E21,TRUE,$G21)</f>
        <v>#NUM!</v>
      </c>
      <c r="L21" s="359" t="e">
        <f>IF($H21,_xll.qlIndexFixing($J21,$E21,FALSE,$G21),"-")</f>
        <v>#N/A</v>
      </c>
      <c r="M21" s="359" t="e">
        <f t="shared" si="3"/>
        <v>#NUM!</v>
      </c>
      <c r="N21" s="358" t="e">
        <f>_xll.qlIndexFixing($J21,$E21,TRUE,$L21)</f>
        <v>#NUM!</v>
      </c>
      <c r="O21" s="357">
        <f t="shared" si="4"/>
        <v>0</v>
      </c>
      <c r="P21" s="356"/>
      <c r="Q21" s="337"/>
      <c r="R21" s="337"/>
      <c r="S21" s="337"/>
      <c r="T21" s="337"/>
      <c r="U21" s="337"/>
      <c r="V21" s="337"/>
      <c r="W21" s="337"/>
      <c r="X21" s="337"/>
      <c r="Y21" s="337"/>
      <c r="Z21" s="337"/>
      <c r="AA21" s="337"/>
      <c r="AB21" s="337"/>
      <c r="AC21" s="337"/>
      <c r="AD21" s="337"/>
    </row>
    <row r="22" spans="1:30" ht="12" thickBot="1" x14ac:dyDescent="0.25">
      <c r="A22" s="337"/>
      <c r="B22" s="355"/>
      <c r="C22" s="352"/>
      <c r="D22" s="352"/>
      <c r="E22" s="354"/>
      <c r="F22" s="353"/>
      <c r="G22" s="353"/>
      <c r="H22" s="352"/>
      <c r="I22" s="352"/>
      <c r="J22" s="352"/>
      <c r="K22" s="352"/>
      <c r="L22" s="352"/>
      <c r="M22" s="352"/>
      <c r="N22" s="352"/>
      <c r="O22" s="352"/>
      <c r="P22" s="351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</row>
    <row r="23" spans="1:30" ht="12" thickBot="1" x14ac:dyDescent="0.25">
      <c r="A23" s="337"/>
      <c r="B23" s="337"/>
      <c r="C23" s="337"/>
      <c r="D23" s="337"/>
      <c r="E23" s="350"/>
      <c r="F23" s="349"/>
      <c r="G23" s="349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  <c r="T23" s="337"/>
      <c r="U23" s="337"/>
      <c r="V23" s="337"/>
      <c r="W23" s="337"/>
      <c r="X23" s="337"/>
      <c r="Y23" s="337"/>
      <c r="Z23" s="337"/>
      <c r="AA23" s="337"/>
      <c r="AB23" s="337"/>
      <c r="AC23" s="337"/>
      <c r="AD23" s="337"/>
    </row>
    <row r="24" spans="1:30" s="337" customFormat="1" x14ac:dyDescent="0.2">
      <c r="C24" s="348" t="s">
        <v>104</v>
      </c>
      <c r="D24" s="347" t="s">
        <v>296</v>
      </c>
      <c r="E24" s="346" t="s">
        <v>296</v>
      </c>
      <c r="F24" s="345"/>
    </row>
    <row r="25" spans="1:30" s="337" customFormat="1" x14ac:dyDescent="0.2">
      <c r="C25" s="343" t="s">
        <v>103</v>
      </c>
      <c r="D25" s="342" t="s">
        <v>303</v>
      </c>
      <c r="E25" s="341" t="s">
        <v>302</v>
      </c>
      <c r="J25" s="344"/>
    </row>
    <row r="26" spans="1:30" s="337" customFormat="1" x14ac:dyDescent="0.2">
      <c r="C26" s="343" t="s">
        <v>280</v>
      </c>
      <c r="D26" s="342" t="s">
        <v>296</v>
      </c>
      <c r="E26" s="341" t="s">
        <v>296</v>
      </c>
      <c r="J26" s="344"/>
    </row>
    <row r="27" spans="1:30" s="337" customFormat="1" x14ac:dyDescent="0.2">
      <c r="C27" s="343" t="s">
        <v>279</v>
      </c>
      <c r="D27" s="342" t="s">
        <v>296</v>
      </c>
      <c r="E27" s="341" t="s">
        <v>296</v>
      </c>
      <c r="J27" s="344"/>
    </row>
    <row r="28" spans="1:30" s="337" customFormat="1" x14ac:dyDescent="0.2">
      <c r="C28" s="343" t="s">
        <v>100</v>
      </c>
      <c r="D28" s="342" t="s">
        <v>296</v>
      </c>
      <c r="E28" s="341" t="s">
        <v>296</v>
      </c>
    </row>
    <row r="29" spans="1:30" s="337" customFormat="1" x14ac:dyDescent="0.2">
      <c r="C29" s="343" t="s">
        <v>99</v>
      </c>
      <c r="D29" s="342" t="s">
        <v>296</v>
      </c>
      <c r="E29" s="341" t="s">
        <v>296</v>
      </c>
    </row>
    <row r="30" spans="1:30" s="337" customFormat="1" ht="12" thickBot="1" x14ac:dyDescent="0.25">
      <c r="C30" s="340" t="s">
        <v>94</v>
      </c>
      <c r="D30" s="339" t="s">
        <v>296</v>
      </c>
      <c r="E30" s="338" t="s">
        <v>296</v>
      </c>
    </row>
    <row r="31" spans="1:30" s="337" customFormat="1" x14ac:dyDescent="0.2"/>
    <row r="32" spans="1:30" s="337" customFormat="1" x14ac:dyDescent="0.2"/>
    <row r="33" s="337" customFormat="1" x14ac:dyDescent="0.2"/>
    <row r="34" s="337" customFormat="1" x14ac:dyDescent="0.2"/>
    <row r="35" s="337" customFormat="1" x14ac:dyDescent="0.2"/>
    <row r="36" s="337" customFormat="1" x14ac:dyDescent="0.2"/>
    <row r="37" s="337" customFormat="1" x14ac:dyDescent="0.2"/>
    <row r="38" s="337" customFormat="1" x14ac:dyDescent="0.2"/>
    <row r="39" s="337" customFormat="1" x14ac:dyDescent="0.2"/>
    <row r="40" s="337" customFormat="1" x14ac:dyDescent="0.2"/>
    <row r="41" s="337" customFormat="1" x14ac:dyDescent="0.2"/>
  </sheetData>
  <conditionalFormatting sqref="M4:M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36" customWidth="1"/>
    <col min="3" max="3" width="5.7109375" style="336" bestFit="1" customWidth="1"/>
    <col min="4" max="4" width="12.140625" style="336" bestFit="1" customWidth="1"/>
    <col min="5" max="5" width="12.85546875" style="336" customWidth="1"/>
    <col min="6" max="6" width="7.42578125" style="336" customWidth="1"/>
    <col min="7" max="7" width="6" style="336" bestFit="1" customWidth="1"/>
    <col min="8" max="8" width="5.5703125" style="336" bestFit="1" customWidth="1"/>
    <col min="9" max="9" width="2.7109375" style="336" customWidth="1"/>
    <col min="10" max="10" width="9.5703125" style="336" bestFit="1" customWidth="1"/>
    <col min="11" max="11" width="11.42578125" style="336" bestFit="1" customWidth="1"/>
    <col min="12" max="12" width="8.7109375" style="336" bestFit="1" customWidth="1"/>
    <col min="13" max="13" width="7.7109375" style="336" bestFit="1" customWidth="1"/>
    <col min="14" max="14" width="10" style="336" bestFit="1" customWidth="1"/>
    <col min="15" max="15" width="7.140625" style="336" hidden="1" customWidth="1"/>
    <col min="16" max="17" width="2.7109375" style="336" customWidth="1"/>
    <col min="18" max="18" width="12.85546875" style="336" bestFit="1" customWidth="1"/>
    <col min="19" max="19" width="7.140625" style="336" bestFit="1" customWidth="1"/>
    <col min="20" max="20" width="6" style="336" bestFit="1" customWidth="1"/>
    <col min="21" max="16384" width="9.140625" style="336"/>
  </cols>
  <sheetData>
    <row r="1" spans="1:30" ht="12" thickBot="1" x14ac:dyDescent="0.25">
      <c r="A1" s="411" t="s">
        <v>305</v>
      </c>
      <c r="B1" s="337"/>
      <c r="C1" s="337"/>
      <c r="D1" s="342"/>
      <c r="E1" s="350"/>
      <c r="F1" s="396"/>
      <c r="G1" s="396"/>
      <c r="H1" s="337"/>
      <c r="I1" s="342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</row>
    <row r="2" spans="1:30" ht="22.5" customHeight="1" x14ac:dyDescent="0.4">
      <c r="A2" s="337"/>
      <c r="B2" s="395"/>
      <c r="C2" s="389"/>
      <c r="D2" s="394" t="str">
        <f>VLOOKUP(Currency,Traits,2,FALSE)</f>
        <v>-</v>
      </c>
      <c r="E2" s="393"/>
      <c r="F2" s="392"/>
      <c r="G2" s="392"/>
      <c r="H2" s="389"/>
      <c r="I2" s="389"/>
      <c r="J2" s="391" t="str">
        <f>VLOOKUP(Currency,Traits,3,FALSE)</f>
        <v>-</v>
      </c>
      <c r="K2" s="389"/>
      <c r="L2" s="389"/>
      <c r="M2" s="390">
        <f>MAX(O4:O21)</f>
        <v>0</v>
      </c>
      <c r="N2" s="389"/>
      <c r="O2" s="389"/>
      <c r="P2" s="388"/>
      <c r="Q2" s="337"/>
      <c r="R2" s="337" t="s">
        <v>114</v>
      </c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</row>
    <row r="3" spans="1:30" ht="22.5" x14ac:dyDescent="0.2">
      <c r="A3" s="337"/>
      <c r="B3" s="366"/>
      <c r="C3" s="386" t="s">
        <v>23</v>
      </c>
      <c r="D3" s="385" t="str">
        <f>_xll.RData(D4:D21,E3:F3,"RTFEED:IDN",,,E4)</f>
        <v>Updated at 10:05:48</v>
      </c>
      <c r="E3" s="385" t="s">
        <v>287</v>
      </c>
      <c r="F3" s="385" t="s">
        <v>216</v>
      </c>
      <c r="G3" s="385" t="s">
        <v>286</v>
      </c>
      <c r="H3" s="384" t="s">
        <v>285</v>
      </c>
      <c r="I3" s="387"/>
      <c r="J3" s="386" t="s">
        <v>228</v>
      </c>
      <c r="K3" s="385" t="s">
        <v>284</v>
      </c>
      <c r="L3" s="385" t="s">
        <v>283</v>
      </c>
      <c r="M3" s="385" t="s">
        <v>282</v>
      </c>
      <c r="N3" s="384" t="s">
        <v>281</v>
      </c>
      <c r="O3" s="383"/>
      <c r="P3" s="356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</row>
    <row r="4" spans="1:30" ht="15" x14ac:dyDescent="0.25">
      <c r="A4" s="337"/>
      <c r="B4" s="366"/>
      <c r="C4" s="382" t="s">
        <v>187</v>
      </c>
      <c r="D4" s="377" t="str">
        <f t="shared" ref="D4:D21" si="0">Currency&amp;$D$2&amp;$C4&amp;"D="</f>
        <v>USD-OND=</v>
      </c>
      <c r="E4" s="381" t="s">
        <v>211</v>
      </c>
      <c r="F4" s="406" t="s">
        <v>211</v>
      </c>
      <c r="G4" s="380" t="b">
        <f t="shared" ref="G4:G21" si="1">IF(AND(ISNUMBER($F4),$F4&lt;&gt;0%),TRUE,FALSE)</f>
        <v>0</v>
      </c>
      <c r="H4" s="379" t="e">
        <f>IF($G4,_xll.qlIndexAddFixings($J4,$E4,$F4/100,TRUE,ISERROR($K4)),NA())</f>
        <v>#N/A</v>
      </c>
      <c r="I4" s="361"/>
      <c r="J4" s="378" t="str">
        <f t="shared" ref="J4:J21" si="2">PROPER(Currency)&amp;$J$2&amp;$C4</f>
        <v>Usd-ON</v>
      </c>
      <c r="K4" s="377" t="e">
        <f>_xll.qlIndexFixing($J4,$E4,TRUE,$G4)</f>
        <v>#NUM!</v>
      </c>
      <c r="L4" s="377" t="e">
        <f>IF($H4,_xll.qlIndexFixing($J4,$E4,FALSE,$G4),"-")</f>
        <v>#N/A</v>
      </c>
      <c r="M4" s="377" t="e">
        <f t="shared" ref="M4:M21" si="3">K4-L4</f>
        <v>#NUM!</v>
      </c>
      <c r="N4" s="376" t="e">
        <f>_xll.qlIndexFixing($J4,$E4,TRUE,$L4)</f>
        <v>#NUM!</v>
      </c>
      <c r="O4" s="375">
        <f>IF(ISERROR(M4),0,ABS(M4))</f>
        <v>0</v>
      </c>
      <c r="P4" s="356"/>
      <c r="Q4" s="337"/>
      <c r="R4" s="337" t="str">
        <f>Currency&amp;$C4&amp;"D"&amp;$R$2</f>
        <v>USDOND_Quote</v>
      </c>
      <c r="S4" s="408">
        <f>_xll.qlQuoteValue(R4,ISERROR(H4))</f>
        <v>2.7999999999999995E-3</v>
      </c>
      <c r="T4" s="407" t="e">
        <f>IF(E4=EvaluationDate,S4-F4/100,NA())</f>
        <v>#N/A</v>
      </c>
      <c r="U4" s="337"/>
      <c r="V4" s="337"/>
      <c r="W4" s="337"/>
      <c r="X4" s="337"/>
      <c r="Y4" s="337"/>
      <c r="Z4" s="337"/>
      <c r="AA4" s="337"/>
      <c r="AB4" s="337"/>
      <c r="AC4" s="337"/>
      <c r="AD4" s="337"/>
    </row>
    <row r="5" spans="1:30" ht="15" x14ac:dyDescent="0.25">
      <c r="A5" s="337"/>
      <c r="B5" s="366"/>
      <c r="C5" s="374" t="s">
        <v>218</v>
      </c>
      <c r="D5" s="369" t="str">
        <f t="shared" si="0"/>
        <v>USD-TND=</v>
      </c>
      <c r="E5" s="373" t="s">
        <v>211</v>
      </c>
      <c r="F5" s="405" t="s">
        <v>211</v>
      </c>
      <c r="G5" s="372" t="b">
        <f t="shared" si="1"/>
        <v>0</v>
      </c>
      <c r="H5" s="371" t="e">
        <f>IF($G5,_xll.qlIndexAddFixings($J5,$E5,$F5/100,TRUE,ISERROR($K5)),NA())</f>
        <v>#N/A</v>
      </c>
      <c r="I5" s="361"/>
      <c r="J5" s="370" t="str">
        <f t="shared" si="2"/>
        <v>Usd-TN</v>
      </c>
      <c r="K5" s="369" t="e">
        <f>_xll.qlIndexFixing($J5,$E5,TRUE,$G5)</f>
        <v>#NUM!</v>
      </c>
      <c r="L5" s="369" t="e">
        <f>IF($H5,_xll.qlIndexFixing($J5,$E5,FALSE,$G5),"-")</f>
        <v>#N/A</v>
      </c>
      <c r="M5" s="369" t="e">
        <f t="shared" si="3"/>
        <v>#NUM!</v>
      </c>
      <c r="N5" s="368" t="e">
        <f>_xll.qlIndexFixing($J5,$E5,TRUE,$L5)</f>
        <v>#NUM!</v>
      </c>
      <c r="O5" s="367"/>
      <c r="P5" s="356"/>
      <c r="Q5" s="337"/>
      <c r="R5" s="337"/>
      <c r="S5" s="408"/>
      <c r="T5" s="407"/>
      <c r="U5" s="337"/>
      <c r="V5" s="337"/>
      <c r="W5" s="337"/>
      <c r="X5" s="337"/>
      <c r="Y5" s="337"/>
      <c r="Z5" s="337"/>
      <c r="AA5" s="337"/>
      <c r="AB5" s="337"/>
      <c r="AC5" s="337"/>
      <c r="AD5" s="337"/>
    </row>
    <row r="6" spans="1:30" ht="15" x14ac:dyDescent="0.25">
      <c r="A6" s="337"/>
      <c r="B6" s="366"/>
      <c r="C6" s="374" t="s">
        <v>215</v>
      </c>
      <c r="D6" s="369" t="str">
        <f t="shared" si="0"/>
        <v>USD-SND=</v>
      </c>
      <c r="E6" s="373" t="s">
        <v>211</v>
      </c>
      <c r="F6" s="405" t="s">
        <v>211</v>
      </c>
      <c r="G6" s="372" t="b">
        <f t="shared" si="1"/>
        <v>0</v>
      </c>
      <c r="H6" s="371" t="e">
        <f>IF($G6,_xll.qlIndexAddFixings($J6,$E6,$F6/100,TRUE,ISERROR($K6)),NA())</f>
        <v>#N/A</v>
      </c>
      <c r="I6" s="361"/>
      <c r="J6" s="370" t="str">
        <f t="shared" si="2"/>
        <v>Usd-SN</v>
      </c>
      <c r="K6" s="369" t="e">
        <f>_xll.qlIndexFixing($J6,$E6,TRUE,$G6)</f>
        <v>#NUM!</v>
      </c>
      <c r="L6" s="369" t="e">
        <f>IF($H6,_xll.qlIndexFixing($J6,$E6,FALSE,$G6),"-")</f>
        <v>#N/A</v>
      </c>
      <c r="M6" s="369" t="e">
        <f t="shared" si="3"/>
        <v>#NUM!</v>
      </c>
      <c r="N6" s="368" t="e">
        <f>_xll.qlIndexFixing($J6,$E6,TRUE,$L6)</f>
        <v>#NUM!</v>
      </c>
      <c r="O6" s="367"/>
      <c r="P6" s="356"/>
      <c r="Q6" s="337"/>
      <c r="R6" s="337"/>
      <c r="S6" s="408"/>
      <c r="T6" s="407"/>
      <c r="U6" s="337"/>
      <c r="V6" s="337"/>
      <c r="W6" s="337"/>
      <c r="X6" s="337"/>
      <c r="Y6" s="337"/>
      <c r="Z6" s="337"/>
      <c r="AA6" s="337"/>
      <c r="AB6" s="337"/>
      <c r="AC6" s="337"/>
      <c r="AD6" s="337"/>
    </row>
    <row r="7" spans="1:30" ht="15" x14ac:dyDescent="0.25">
      <c r="A7" s="337"/>
      <c r="B7" s="366"/>
      <c r="C7" s="374" t="s">
        <v>22</v>
      </c>
      <c r="D7" s="369" t="str">
        <f t="shared" si="0"/>
        <v>USD-SWD=</v>
      </c>
      <c r="E7" s="373" t="s">
        <v>211</v>
      </c>
      <c r="F7" s="372" t="s">
        <v>211</v>
      </c>
      <c r="G7" s="372" t="b">
        <f t="shared" si="1"/>
        <v>0</v>
      </c>
      <c r="H7" s="371" t="e">
        <f>IF($G7,_xll.qlIndexAddFixings($J7,$E7,$F7/100,TRUE,ISERROR($K7)),NA())</f>
        <v>#N/A</v>
      </c>
      <c r="I7" s="361"/>
      <c r="J7" s="370" t="str">
        <f t="shared" si="2"/>
        <v>Usd-SW</v>
      </c>
      <c r="K7" s="369" t="e">
        <f>_xll.qlIndexFixing($J7,$E7,TRUE,$G7)</f>
        <v>#NUM!</v>
      </c>
      <c r="L7" s="369" t="e">
        <f>IF($H7,_xll.qlIndexFixing($J7,$E7,FALSE,$G7),"-")</f>
        <v>#N/A</v>
      </c>
      <c r="M7" s="369" t="e">
        <f t="shared" si="3"/>
        <v>#NUM!</v>
      </c>
      <c r="N7" s="368" t="e">
        <f>_xll.qlIndexFixing($J7,$E7,TRUE,$L7)</f>
        <v>#NUM!</v>
      </c>
      <c r="O7" s="367">
        <f t="shared" ref="O7:O21" si="4">IF(ISERROR(M7),0,ABS(M7))</f>
        <v>0</v>
      </c>
      <c r="P7" s="356"/>
      <c r="Q7" s="337"/>
      <c r="R7" s="337" t="str">
        <f t="shared" ref="R7:R21" si="5">Currency&amp;$C7&amp;"D"&amp;$R$2</f>
        <v>USDSWD_Quote</v>
      </c>
      <c r="S7" s="408">
        <f>_xll.qlQuoteValue(R7,ISERROR(H7))</f>
        <v>1.3399999999999998E-3</v>
      </c>
      <c r="T7" s="407" t="e">
        <f t="shared" ref="T7:T21" si="6">IF(E7=EvaluationDate,S7-F7/100,NA())</f>
        <v>#N/A</v>
      </c>
      <c r="U7" s="337"/>
      <c r="V7" s="337"/>
      <c r="W7" s="337"/>
      <c r="X7" s="337"/>
      <c r="Y7" s="337"/>
      <c r="Z7" s="337"/>
      <c r="AA7" s="337"/>
      <c r="AB7" s="337"/>
      <c r="AC7" s="337"/>
      <c r="AD7" s="337"/>
    </row>
    <row r="8" spans="1:30" ht="15" x14ac:dyDescent="0.25">
      <c r="A8" s="337"/>
      <c r="B8" s="366"/>
      <c r="C8" s="374" t="s">
        <v>21</v>
      </c>
      <c r="D8" s="369" t="str">
        <f t="shared" si="0"/>
        <v>USD-2WD=</v>
      </c>
      <c r="E8" s="373" t="s">
        <v>211</v>
      </c>
      <c r="F8" s="372" t="s">
        <v>211</v>
      </c>
      <c r="G8" s="372" t="b">
        <f t="shared" si="1"/>
        <v>0</v>
      </c>
      <c r="H8" s="371" t="e">
        <f>IF($G8,_xll.qlIndexAddFixings($J8,$E8,$F8/100,TRUE,ISERROR($K8)),NA())</f>
        <v>#N/A</v>
      </c>
      <c r="I8" s="361"/>
      <c r="J8" s="370" t="str">
        <f t="shared" si="2"/>
        <v>Usd-2W</v>
      </c>
      <c r="K8" s="369" t="e">
        <f>_xll.qlIndexFixing($J8,$E8,TRUE,$G8)</f>
        <v>#NUM!</v>
      </c>
      <c r="L8" s="369" t="e">
        <f>IF($H8,_xll.qlIndexFixing($J8,$E8,FALSE,$G8),"-")</f>
        <v>#N/A</v>
      </c>
      <c r="M8" s="369" t="e">
        <f t="shared" si="3"/>
        <v>#NUM!</v>
      </c>
      <c r="N8" s="368" t="e">
        <f>_xll.qlIndexFixing($J8,$E8,TRUE,$L8)</f>
        <v>#NUM!</v>
      </c>
      <c r="O8" s="367">
        <f t="shared" si="4"/>
        <v>0</v>
      </c>
      <c r="P8" s="356"/>
      <c r="Q8" s="337"/>
      <c r="R8" s="337" t="str">
        <f t="shared" si="5"/>
        <v>USD2WD_Quote</v>
      </c>
      <c r="S8" s="408">
        <f>_xll.qlQuoteValue(R8,ISERROR(H8))</f>
        <v>0</v>
      </c>
      <c r="T8" s="407" t="e">
        <f t="shared" si="6"/>
        <v>#N/A</v>
      </c>
      <c r="U8" s="337"/>
      <c r="V8" s="337"/>
      <c r="W8" s="337"/>
      <c r="X8" s="337"/>
      <c r="Y8" s="337"/>
      <c r="Z8" s="337"/>
      <c r="AA8" s="337"/>
      <c r="AB8" s="337"/>
      <c r="AC8" s="337"/>
      <c r="AD8" s="337"/>
    </row>
    <row r="9" spans="1:30" ht="15" x14ac:dyDescent="0.25">
      <c r="A9" s="337"/>
      <c r="B9" s="366"/>
      <c r="C9" s="374" t="s">
        <v>20</v>
      </c>
      <c r="D9" s="369" t="str">
        <f t="shared" si="0"/>
        <v>USD-3WD=</v>
      </c>
      <c r="E9" s="373" t="s">
        <v>211</v>
      </c>
      <c r="F9" s="372" t="s">
        <v>211</v>
      </c>
      <c r="G9" s="372" t="b">
        <f t="shared" si="1"/>
        <v>0</v>
      </c>
      <c r="H9" s="371" t="e">
        <f>IF($G9,_xll.qlIndexAddFixings($J9,$E9,$F9/100,TRUE,ISERROR($K9)),NA())</f>
        <v>#N/A</v>
      </c>
      <c r="I9" s="361"/>
      <c r="J9" s="370" t="str">
        <f t="shared" si="2"/>
        <v>Usd-3W</v>
      </c>
      <c r="K9" s="369" t="e">
        <f>_xll.qlIndexFixing($J9,$E9,TRUE,$G9)</f>
        <v>#NUM!</v>
      </c>
      <c r="L9" s="369" t="e">
        <f>IF($H9,_xll.qlIndexFixing($J9,$E9,FALSE,$G9),"-")</f>
        <v>#N/A</v>
      </c>
      <c r="M9" s="369" t="e">
        <f t="shared" si="3"/>
        <v>#NUM!</v>
      </c>
      <c r="N9" s="368" t="e">
        <f>_xll.qlIndexFixing($J9,$E9,TRUE,$L9)</f>
        <v>#NUM!</v>
      </c>
      <c r="O9" s="367">
        <f t="shared" si="4"/>
        <v>0</v>
      </c>
      <c r="P9" s="356"/>
      <c r="Q9" s="337"/>
      <c r="R9" s="337" t="str">
        <f t="shared" si="5"/>
        <v>USD3WD_Quote</v>
      </c>
      <c r="S9" s="408" t="e">
        <f>_xll.qlQuoteValue(R9,ISERROR(H9))</f>
        <v>#NUM!</v>
      </c>
      <c r="T9" s="407" t="e">
        <f t="shared" si="6"/>
        <v>#N/A</v>
      </c>
      <c r="U9" s="337"/>
      <c r="V9" s="337"/>
      <c r="W9" s="337"/>
      <c r="X9" s="337"/>
      <c r="Y9" s="337"/>
      <c r="Z9" s="337"/>
      <c r="AA9" s="337"/>
      <c r="AB9" s="337"/>
      <c r="AC9" s="337"/>
      <c r="AD9" s="337"/>
    </row>
    <row r="10" spans="1:30" ht="15" x14ac:dyDescent="0.25">
      <c r="A10" s="337"/>
      <c r="B10" s="366"/>
      <c r="C10" s="374" t="s">
        <v>19</v>
      </c>
      <c r="D10" s="369" t="str">
        <f t="shared" si="0"/>
        <v>USD-1MD=</v>
      </c>
      <c r="E10" s="373" t="s">
        <v>211</v>
      </c>
      <c r="F10" s="372" t="s">
        <v>211</v>
      </c>
      <c r="G10" s="372" t="b">
        <f t="shared" si="1"/>
        <v>0</v>
      </c>
      <c r="H10" s="371" t="e">
        <f>IF($G10,_xll.qlIndexAddFixings($J10,$E10,$F10/100,TRUE,ISERROR($K10)),NA())</f>
        <v>#N/A</v>
      </c>
      <c r="I10" s="361"/>
      <c r="J10" s="370" t="str">
        <f t="shared" si="2"/>
        <v>Usd-1M</v>
      </c>
      <c r="K10" s="369" t="e">
        <f>_xll.qlIndexFixing($J10,$E10,TRUE,$G10)</f>
        <v>#NUM!</v>
      </c>
      <c r="L10" s="369" t="e">
        <f>IF($H10,_xll.qlIndexFixing($J10,$E10,FALSE,$G10),"-")</f>
        <v>#N/A</v>
      </c>
      <c r="M10" s="369" t="e">
        <f t="shared" si="3"/>
        <v>#NUM!</v>
      </c>
      <c r="N10" s="368" t="e">
        <f>_xll.qlIndexFixing($J10,$E10,TRUE,$L10)</f>
        <v>#NUM!</v>
      </c>
      <c r="O10" s="367">
        <f t="shared" si="4"/>
        <v>0</v>
      </c>
      <c r="P10" s="356"/>
      <c r="Q10" s="337"/>
      <c r="R10" s="337" t="str">
        <f t="shared" si="5"/>
        <v>USD1MD_Quote</v>
      </c>
      <c r="S10" s="408">
        <f>_xll.qlQuoteValue(R10,ISERROR(H10))</f>
        <v>1.722E-3</v>
      </c>
      <c r="T10" s="407" t="e">
        <f t="shared" si="6"/>
        <v>#N/A</v>
      </c>
      <c r="U10" s="337"/>
      <c r="V10" s="337"/>
      <c r="W10" s="337"/>
      <c r="X10" s="337"/>
      <c r="Y10" s="337"/>
      <c r="Z10" s="337"/>
      <c r="AA10" s="337"/>
      <c r="AB10" s="337"/>
      <c r="AC10" s="337"/>
      <c r="AD10" s="337"/>
    </row>
    <row r="11" spans="1:30" ht="15" x14ac:dyDescent="0.25">
      <c r="A11" s="337"/>
      <c r="B11" s="366"/>
      <c r="C11" s="374" t="s">
        <v>18</v>
      </c>
      <c r="D11" s="369" t="str">
        <f t="shared" si="0"/>
        <v>USD-2MD=</v>
      </c>
      <c r="E11" s="373" t="s">
        <v>211</v>
      </c>
      <c r="F11" s="372" t="s">
        <v>211</v>
      </c>
      <c r="G11" s="372" t="b">
        <f t="shared" si="1"/>
        <v>0</v>
      </c>
      <c r="H11" s="371" t="e">
        <f>IF($G11,_xll.qlIndexAddFixings($J11,$E11,$F11/100,TRUE,ISERROR($K11)),NA())</f>
        <v>#N/A</v>
      </c>
      <c r="I11" s="361"/>
      <c r="J11" s="370" t="str">
        <f t="shared" si="2"/>
        <v>Usd-2M</v>
      </c>
      <c r="K11" s="369" t="e">
        <f>_xll.qlIndexFixing($J11,$E11,TRUE,$G11)</f>
        <v>#NUM!</v>
      </c>
      <c r="L11" s="369" t="e">
        <f>IF($H11,_xll.qlIndexFixing($J11,$E11,FALSE,$G11),"-")</f>
        <v>#N/A</v>
      </c>
      <c r="M11" s="369" t="e">
        <f t="shared" si="3"/>
        <v>#NUM!</v>
      </c>
      <c r="N11" s="368" t="e">
        <f>_xll.qlIndexFixing($J11,$E11,TRUE,$L11)</f>
        <v>#NUM!</v>
      </c>
      <c r="O11" s="367">
        <f t="shared" si="4"/>
        <v>0</v>
      </c>
      <c r="P11" s="356"/>
      <c r="Q11" s="337"/>
      <c r="R11" s="337" t="str">
        <f t="shared" si="5"/>
        <v>USD2MD_Quote</v>
      </c>
      <c r="S11" s="408">
        <f>_xll.qlQuoteValue(R11,ISERROR(H11))</f>
        <v>2.1120000000000002E-3</v>
      </c>
      <c r="T11" s="407" t="e">
        <f t="shared" si="6"/>
        <v>#N/A</v>
      </c>
      <c r="U11" s="337"/>
      <c r="V11" s="337"/>
      <c r="W11" s="337"/>
      <c r="X11" s="337"/>
      <c r="Y11" s="337"/>
      <c r="Z11" s="337"/>
      <c r="AA11" s="337"/>
      <c r="AB11" s="337"/>
      <c r="AC11" s="337"/>
      <c r="AD11" s="337"/>
    </row>
    <row r="12" spans="1:30" ht="15" x14ac:dyDescent="0.25">
      <c r="A12" s="337"/>
      <c r="B12" s="366"/>
      <c r="C12" s="374" t="s">
        <v>17</v>
      </c>
      <c r="D12" s="369" t="str">
        <f t="shared" si="0"/>
        <v>USD-3MD=</v>
      </c>
      <c r="E12" s="373" t="s">
        <v>211</v>
      </c>
      <c r="F12" s="372" t="s">
        <v>211</v>
      </c>
      <c r="G12" s="372" t="b">
        <f t="shared" si="1"/>
        <v>0</v>
      </c>
      <c r="H12" s="371" t="e">
        <f>IF($G12,_xll.qlIndexAddFixings($J12,$E12,$F12/100,TRUE,ISERROR($K12)),NA())</f>
        <v>#N/A</v>
      </c>
      <c r="I12" s="361"/>
      <c r="J12" s="370" t="str">
        <f t="shared" si="2"/>
        <v>Usd-3M</v>
      </c>
      <c r="K12" s="369" t="e">
        <f>_xll.qlIndexFixing($J12,$E12,TRUE,$G12)</f>
        <v>#NUM!</v>
      </c>
      <c r="L12" s="369" t="e">
        <f>IF($H12,_xll.qlIndexFixing($J12,$E12,FALSE,$G12),"-")</f>
        <v>#N/A</v>
      </c>
      <c r="M12" s="369" t="e">
        <f t="shared" si="3"/>
        <v>#NUM!</v>
      </c>
      <c r="N12" s="368" t="e">
        <f>_xll.qlIndexFixing($J12,$E12,TRUE,$L12)</f>
        <v>#NUM!</v>
      </c>
      <c r="O12" s="367">
        <f t="shared" si="4"/>
        <v>0</v>
      </c>
      <c r="P12" s="356"/>
      <c r="Q12" s="337"/>
      <c r="R12" s="337" t="str">
        <f t="shared" si="5"/>
        <v>USD3MD_Quote</v>
      </c>
      <c r="S12" s="408">
        <f>_xll.qlQuoteValue(R12,ISERROR(H12))</f>
        <v>2.5834999999999999E-3</v>
      </c>
      <c r="T12" s="407" t="e">
        <f t="shared" si="6"/>
        <v>#N/A</v>
      </c>
      <c r="U12" s="337"/>
      <c r="V12" s="337"/>
      <c r="W12" s="337"/>
      <c r="X12" s="337"/>
      <c r="Y12" s="337"/>
      <c r="Z12" s="337"/>
      <c r="AA12" s="337"/>
      <c r="AB12" s="337"/>
      <c r="AC12" s="337"/>
      <c r="AD12" s="337"/>
    </row>
    <row r="13" spans="1:30" ht="15" x14ac:dyDescent="0.25">
      <c r="A13" s="337"/>
      <c r="B13" s="366"/>
      <c r="C13" s="374" t="s">
        <v>16</v>
      </c>
      <c r="D13" s="369" t="str">
        <f t="shared" si="0"/>
        <v>USD-4MD=</v>
      </c>
      <c r="E13" s="373" t="s">
        <v>211</v>
      </c>
      <c r="F13" s="372" t="s">
        <v>211</v>
      </c>
      <c r="G13" s="372" t="b">
        <f t="shared" si="1"/>
        <v>0</v>
      </c>
      <c r="H13" s="371" t="e">
        <f>IF($G13,_xll.qlIndexAddFixings($J13,$E13,$F13/100,TRUE,ISERROR($K13)),NA())</f>
        <v>#N/A</v>
      </c>
      <c r="I13" s="361"/>
      <c r="J13" s="370" t="str">
        <f t="shared" si="2"/>
        <v>Usd-4M</v>
      </c>
      <c r="K13" s="369" t="e">
        <f>_xll.qlIndexFixing($J13,$E13,TRUE,$G13)</f>
        <v>#NUM!</v>
      </c>
      <c r="L13" s="369" t="e">
        <f>IF($H13,_xll.qlIndexFixing($J13,$E13,FALSE,$G13),"-")</f>
        <v>#N/A</v>
      </c>
      <c r="M13" s="369" t="e">
        <f t="shared" si="3"/>
        <v>#NUM!</v>
      </c>
      <c r="N13" s="368" t="e">
        <f>_xll.qlIndexFixing($J13,$E13,TRUE,$L13)</f>
        <v>#NUM!</v>
      </c>
      <c r="O13" s="367">
        <f t="shared" si="4"/>
        <v>0</v>
      </c>
      <c r="P13" s="356"/>
      <c r="Q13" s="337"/>
      <c r="R13" s="337" t="str">
        <f t="shared" si="5"/>
        <v>USD4MD_Quote</v>
      </c>
      <c r="S13" s="408">
        <f>_xll.qlQuoteValue(R13,ISERROR(H13))</f>
        <v>0</v>
      </c>
      <c r="T13" s="407" t="e">
        <f t="shared" si="6"/>
        <v>#N/A</v>
      </c>
      <c r="U13" s="337"/>
      <c r="V13" s="337"/>
      <c r="W13" s="337"/>
      <c r="X13" s="337"/>
      <c r="Y13" s="337"/>
      <c r="Z13" s="337"/>
      <c r="AA13" s="337"/>
      <c r="AB13" s="337"/>
      <c r="AC13" s="337"/>
      <c r="AD13" s="337"/>
    </row>
    <row r="14" spans="1:30" ht="15" x14ac:dyDescent="0.25">
      <c r="A14" s="337"/>
      <c r="B14" s="366"/>
      <c r="C14" s="374" t="s">
        <v>15</v>
      </c>
      <c r="D14" s="369" t="str">
        <f t="shared" si="0"/>
        <v>USD-5MD=</v>
      </c>
      <c r="E14" s="373" t="s">
        <v>211</v>
      </c>
      <c r="F14" s="372" t="s">
        <v>211</v>
      </c>
      <c r="G14" s="372" t="b">
        <f t="shared" si="1"/>
        <v>0</v>
      </c>
      <c r="H14" s="371" t="e">
        <f>IF($G14,_xll.qlIndexAddFixings($J14,$E14,$F14/100,TRUE,ISERROR($K14)),NA())</f>
        <v>#N/A</v>
      </c>
      <c r="I14" s="361"/>
      <c r="J14" s="370" t="str">
        <f t="shared" si="2"/>
        <v>Usd-5M</v>
      </c>
      <c r="K14" s="369" t="e">
        <f>_xll.qlIndexFixing($J14,$E14,TRUE,$G14)</f>
        <v>#NUM!</v>
      </c>
      <c r="L14" s="369" t="e">
        <f>IF($H14,_xll.qlIndexFixing($J14,$E14,FALSE,$G14),"-")</f>
        <v>#N/A</v>
      </c>
      <c r="M14" s="369" t="e">
        <f t="shared" si="3"/>
        <v>#NUM!</v>
      </c>
      <c r="N14" s="368" t="e">
        <f>_xll.qlIndexFixing($J14,$E14,TRUE,$L14)</f>
        <v>#NUM!</v>
      </c>
      <c r="O14" s="367">
        <f t="shared" si="4"/>
        <v>0</v>
      </c>
      <c r="P14" s="356"/>
      <c r="Q14" s="337"/>
      <c r="R14" s="337" t="str">
        <f t="shared" si="5"/>
        <v>USD5MD_Quote</v>
      </c>
      <c r="S14" s="408">
        <f>_xll.qlQuoteValue(R14,ISERROR(H14))</f>
        <v>0</v>
      </c>
      <c r="T14" s="407" t="e">
        <f t="shared" si="6"/>
        <v>#N/A</v>
      </c>
      <c r="U14" s="337"/>
      <c r="V14" s="337"/>
      <c r="W14" s="337"/>
      <c r="X14" s="337"/>
      <c r="Y14" s="337"/>
      <c r="Z14" s="337"/>
      <c r="AA14" s="337"/>
      <c r="AB14" s="337"/>
      <c r="AC14" s="337"/>
      <c r="AD14" s="337"/>
    </row>
    <row r="15" spans="1:30" ht="15" x14ac:dyDescent="0.25">
      <c r="A15" s="337"/>
      <c r="B15" s="366"/>
      <c r="C15" s="374" t="s">
        <v>14</v>
      </c>
      <c r="D15" s="369" t="str">
        <f t="shared" si="0"/>
        <v>USD-6MD=</v>
      </c>
      <c r="E15" s="373" t="s">
        <v>211</v>
      </c>
      <c r="F15" s="372" t="s">
        <v>211</v>
      </c>
      <c r="G15" s="372" t="b">
        <f t="shared" si="1"/>
        <v>0</v>
      </c>
      <c r="H15" s="371" t="e">
        <f>IF($G15,_xll.qlIndexAddFixings($J15,$E15,$F15/100,TRUE,ISERROR($K15)),NA())</f>
        <v>#N/A</v>
      </c>
      <c r="I15" s="361"/>
      <c r="J15" s="370" t="str">
        <f t="shared" si="2"/>
        <v>Usd-6M</v>
      </c>
      <c r="K15" s="369" t="e">
        <f>_xll.qlIndexFixing($J15,$E15,TRUE,$G15)</f>
        <v>#NUM!</v>
      </c>
      <c r="L15" s="369" t="e">
        <f>IF($H15,_xll.qlIndexFixing($J15,$E15,FALSE,$G15),"-")</f>
        <v>#N/A</v>
      </c>
      <c r="M15" s="369" t="e">
        <f t="shared" si="3"/>
        <v>#NUM!</v>
      </c>
      <c r="N15" s="368" t="e">
        <f>_xll.qlIndexFixing($J15,$E15,TRUE,$L15)</f>
        <v>#NUM!</v>
      </c>
      <c r="O15" s="367">
        <f t="shared" si="4"/>
        <v>0</v>
      </c>
      <c r="P15" s="356"/>
      <c r="Q15" s="337"/>
      <c r="R15" s="337" t="str">
        <f t="shared" si="5"/>
        <v>USD6MD_Quote</v>
      </c>
      <c r="S15" s="408">
        <f>_xll.qlQuoteValue(R15,ISERROR(H15))</f>
        <v>3.7339999999999999E-3</v>
      </c>
      <c r="T15" s="407" t="e">
        <f t="shared" si="6"/>
        <v>#N/A</v>
      </c>
      <c r="U15" s="337"/>
      <c r="V15" s="337"/>
      <c r="W15" s="337"/>
      <c r="X15" s="337"/>
      <c r="Y15" s="337"/>
      <c r="Z15" s="337"/>
      <c r="AA15" s="337"/>
      <c r="AB15" s="337"/>
      <c r="AC15" s="337"/>
      <c r="AD15" s="337"/>
    </row>
    <row r="16" spans="1:30" ht="15" x14ac:dyDescent="0.25">
      <c r="A16" s="337"/>
      <c r="B16" s="366"/>
      <c r="C16" s="374" t="s">
        <v>13</v>
      </c>
      <c r="D16" s="369" t="str">
        <f t="shared" si="0"/>
        <v>USD-7MD=</v>
      </c>
      <c r="E16" s="373" t="s">
        <v>211</v>
      </c>
      <c r="F16" s="372" t="s">
        <v>211</v>
      </c>
      <c r="G16" s="372" t="b">
        <f t="shared" si="1"/>
        <v>0</v>
      </c>
      <c r="H16" s="371" t="e">
        <f>IF($G16,_xll.qlIndexAddFixings($J16,$E16,$F16/100,TRUE,ISERROR($K16)),NA())</f>
        <v>#N/A</v>
      </c>
      <c r="I16" s="361"/>
      <c r="J16" s="370" t="str">
        <f t="shared" si="2"/>
        <v>Usd-7M</v>
      </c>
      <c r="K16" s="369" t="e">
        <f>_xll.qlIndexFixing($J16,$E16,TRUE,$G16)</f>
        <v>#NUM!</v>
      </c>
      <c r="L16" s="369" t="e">
        <f>IF($H16,_xll.qlIndexFixing($J16,$E16,FALSE,$G16),"-")</f>
        <v>#N/A</v>
      </c>
      <c r="M16" s="369" t="e">
        <f t="shared" si="3"/>
        <v>#NUM!</v>
      </c>
      <c r="N16" s="368" t="e">
        <f>_xll.qlIndexFixing($J16,$E16,TRUE,$L16)</f>
        <v>#NUM!</v>
      </c>
      <c r="O16" s="367">
        <f t="shared" si="4"/>
        <v>0</v>
      </c>
      <c r="P16" s="356"/>
      <c r="Q16" s="337"/>
      <c r="R16" s="337" t="str">
        <f t="shared" si="5"/>
        <v>USD7MD_Quote</v>
      </c>
      <c r="S16" s="408">
        <f>_xll.qlQuoteValue(R16,ISERROR(H16))</f>
        <v>0</v>
      </c>
      <c r="T16" s="407" t="e">
        <f t="shared" si="6"/>
        <v>#N/A</v>
      </c>
      <c r="U16" s="337"/>
      <c r="V16" s="337"/>
      <c r="W16" s="337"/>
      <c r="X16" s="337"/>
      <c r="Y16" s="337"/>
      <c r="Z16" s="337"/>
      <c r="AA16" s="337"/>
      <c r="AB16" s="337"/>
      <c r="AC16" s="337"/>
      <c r="AD16" s="337"/>
    </row>
    <row r="17" spans="1:30" ht="15" x14ac:dyDescent="0.25">
      <c r="A17" s="337"/>
      <c r="B17" s="366"/>
      <c r="C17" s="374" t="s">
        <v>12</v>
      </c>
      <c r="D17" s="369" t="str">
        <f t="shared" si="0"/>
        <v>USD-8MD=</v>
      </c>
      <c r="E17" s="373" t="s">
        <v>211</v>
      </c>
      <c r="F17" s="372" t="s">
        <v>211</v>
      </c>
      <c r="G17" s="372" t="b">
        <f t="shared" si="1"/>
        <v>0</v>
      </c>
      <c r="H17" s="371" t="e">
        <f>IF($G17,_xll.qlIndexAddFixings($J17,$E17,$F17/100,TRUE,ISERROR($K17)),NA())</f>
        <v>#N/A</v>
      </c>
      <c r="I17" s="361"/>
      <c r="J17" s="370" t="str">
        <f t="shared" si="2"/>
        <v>Usd-8M</v>
      </c>
      <c r="K17" s="369" t="e">
        <f>_xll.qlIndexFixing($J17,$E17,TRUE,$G17)</f>
        <v>#NUM!</v>
      </c>
      <c r="L17" s="369" t="e">
        <f>IF($H17,_xll.qlIndexFixing($J17,$E17,FALSE,$G17),"-")</f>
        <v>#N/A</v>
      </c>
      <c r="M17" s="369" t="e">
        <f t="shared" si="3"/>
        <v>#NUM!</v>
      </c>
      <c r="N17" s="368" t="e">
        <f>_xll.qlIndexFixing($J17,$E17,TRUE,$L17)</f>
        <v>#NUM!</v>
      </c>
      <c r="O17" s="367">
        <f t="shared" si="4"/>
        <v>0</v>
      </c>
      <c r="P17" s="356"/>
      <c r="Q17" s="337"/>
      <c r="R17" s="337" t="str">
        <f t="shared" si="5"/>
        <v>USD8MD_Quote</v>
      </c>
      <c r="S17" s="408">
        <f>_xll.qlQuoteValue(R17,ISERROR(H17))</f>
        <v>0</v>
      </c>
      <c r="T17" s="407" t="e">
        <f t="shared" si="6"/>
        <v>#N/A</v>
      </c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</row>
    <row r="18" spans="1:30" ht="15" x14ac:dyDescent="0.25">
      <c r="A18" s="337"/>
      <c r="B18" s="366"/>
      <c r="C18" s="374" t="s">
        <v>11</v>
      </c>
      <c r="D18" s="369" t="str">
        <f t="shared" si="0"/>
        <v>USD-9MD=</v>
      </c>
      <c r="E18" s="373" t="s">
        <v>211</v>
      </c>
      <c r="F18" s="372" t="s">
        <v>211</v>
      </c>
      <c r="G18" s="372" t="b">
        <f t="shared" si="1"/>
        <v>0</v>
      </c>
      <c r="H18" s="371" t="e">
        <f>IF($G18,_xll.qlIndexAddFixings($J18,$E18,$F18/100,TRUE,ISERROR($K18)),NA())</f>
        <v>#N/A</v>
      </c>
      <c r="I18" s="361"/>
      <c r="J18" s="370" t="str">
        <f t="shared" si="2"/>
        <v>Usd-9M</v>
      </c>
      <c r="K18" s="369" t="e">
        <f>_xll.qlIndexFixing($J18,$E18,TRUE,$G18)</f>
        <v>#NUM!</v>
      </c>
      <c r="L18" s="369" t="e">
        <f>IF($H18,_xll.qlIndexFixing($J18,$E18,FALSE,$G18),"-")</f>
        <v>#N/A</v>
      </c>
      <c r="M18" s="369" t="e">
        <f t="shared" si="3"/>
        <v>#NUM!</v>
      </c>
      <c r="N18" s="368" t="e">
        <f>_xll.qlIndexFixing($J18,$E18,TRUE,$L18)</f>
        <v>#NUM!</v>
      </c>
      <c r="O18" s="367">
        <f t="shared" si="4"/>
        <v>0</v>
      </c>
      <c r="P18" s="356"/>
      <c r="Q18" s="337"/>
      <c r="R18" s="337" t="str">
        <f t="shared" si="5"/>
        <v>USD9MD_Quote</v>
      </c>
      <c r="S18" s="408">
        <f>_xll.qlQuoteValue(R18,ISERROR(H18))</f>
        <v>0</v>
      </c>
      <c r="T18" s="407" t="e">
        <f t="shared" si="6"/>
        <v>#N/A</v>
      </c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</row>
    <row r="19" spans="1:30" ht="15" x14ac:dyDescent="0.25">
      <c r="A19" s="337"/>
      <c r="B19" s="366"/>
      <c r="C19" s="374" t="s">
        <v>10</v>
      </c>
      <c r="D19" s="369" t="str">
        <f t="shared" si="0"/>
        <v>USD-10MD=</v>
      </c>
      <c r="E19" s="373" t="s">
        <v>211</v>
      </c>
      <c r="F19" s="372" t="s">
        <v>211</v>
      </c>
      <c r="G19" s="372" t="b">
        <f t="shared" si="1"/>
        <v>0</v>
      </c>
      <c r="H19" s="371" t="e">
        <f>IF($G19,_xll.qlIndexAddFixings($J19,$E19,$F19/100,TRUE,ISERROR($K19)),NA())</f>
        <v>#N/A</v>
      </c>
      <c r="I19" s="361"/>
      <c r="J19" s="370" t="str">
        <f t="shared" si="2"/>
        <v>Usd-10M</v>
      </c>
      <c r="K19" s="369" t="e">
        <f>_xll.qlIndexFixing($J19,$E19,TRUE,$G19)</f>
        <v>#NUM!</v>
      </c>
      <c r="L19" s="369" t="e">
        <f>IF($H19,_xll.qlIndexFixing($J19,$E19,FALSE,$G19),"-")</f>
        <v>#N/A</v>
      </c>
      <c r="M19" s="369" t="e">
        <f t="shared" si="3"/>
        <v>#NUM!</v>
      </c>
      <c r="N19" s="368" t="e">
        <f>_xll.qlIndexFixing($J19,$E19,TRUE,$L19)</f>
        <v>#NUM!</v>
      </c>
      <c r="O19" s="367">
        <f t="shared" si="4"/>
        <v>0</v>
      </c>
      <c r="P19" s="356"/>
      <c r="Q19" s="337"/>
      <c r="R19" s="337" t="str">
        <f t="shared" si="5"/>
        <v>USD10MD_Quote</v>
      </c>
      <c r="S19" s="408">
        <f>_xll.qlQuoteValue(R19,ISERROR(H19))</f>
        <v>0</v>
      </c>
      <c r="T19" s="407" t="e">
        <f t="shared" si="6"/>
        <v>#N/A</v>
      </c>
      <c r="U19" s="337"/>
      <c r="V19" s="337"/>
      <c r="W19" s="337"/>
      <c r="X19" s="337"/>
      <c r="Y19" s="337"/>
      <c r="Z19" s="337"/>
      <c r="AA19" s="337"/>
      <c r="AB19" s="337"/>
      <c r="AC19" s="337"/>
      <c r="AD19" s="337"/>
    </row>
    <row r="20" spans="1:30" ht="15" x14ac:dyDescent="0.25">
      <c r="A20" s="337"/>
      <c r="B20" s="366"/>
      <c r="C20" s="374" t="s">
        <v>9</v>
      </c>
      <c r="D20" s="369" t="str">
        <f t="shared" si="0"/>
        <v>USD-11MD=</v>
      </c>
      <c r="E20" s="373" t="s">
        <v>211</v>
      </c>
      <c r="F20" s="372" t="s">
        <v>211</v>
      </c>
      <c r="G20" s="372" t="b">
        <f t="shared" si="1"/>
        <v>0</v>
      </c>
      <c r="H20" s="371" t="e">
        <f>IF($G20,_xll.qlIndexAddFixings($J20,$E20,$F20/100,TRUE,ISERROR($K20)),NA())</f>
        <v>#N/A</v>
      </c>
      <c r="I20" s="361"/>
      <c r="J20" s="370" t="str">
        <f t="shared" si="2"/>
        <v>Usd-11M</v>
      </c>
      <c r="K20" s="369" t="e">
        <f>_xll.qlIndexFixing($J20,$E20,TRUE,$G20)</f>
        <v>#NUM!</v>
      </c>
      <c r="L20" s="369" t="e">
        <f>IF($H20,_xll.qlIndexFixing($J20,$E20,FALSE,$G20),"-")</f>
        <v>#N/A</v>
      </c>
      <c r="M20" s="369" t="e">
        <f t="shared" si="3"/>
        <v>#NUM!</v>
      </c>
      <c r="N20" s="368" t="e">
        <f>_xll.qlIndexFixing($J20,$E20,TRUE,$L20)</f>
        <v>#NUM!</v>
      </c>
      <c r="O20" s="367">
        <f t="shared" si="4"/>
        <v>0</v>
      </c>
      <c r="P20" s="356"/>
      <c r="Q20" s="337"/>
      <c r="R20" s="337" t="str">
        <f t="shared" si="5"/>
        <v>USD11MD_Quote</v>
      </c>
      <c r="S20" s="408">
        <f>_xll.qlQuoteValue(R20,ISERROR(H20))</f>
        <v>0</v>
      </c>
      <c r="T20" s="407" t="e">
        <f t="shared" si="6"/>
        <v>#N/A</v>
      </c>
      <c r="U20" s="337"/>
      <c r="V20" s="337"/>
      <c r="W20" s="337"/>
      <c r="X20" s="337"/>
      <c r="Y20" s="337"/>
      <c r="Z20" s="337"/>
      <c r="AA20" s="337"/>
      <c r="AB20" s="337"/>
      <c r="AC20" s="337"/>
      <c r="AD20" s="337"/>
    </row>
    <row r="21" spans="1:30" ht="15" x14ac:dyDescent="0.25">
      <c r="A21" s="337"/>
      <c r="B21" s="366"/>
      <c r="C21" s="365" t="s">
        <v>8</v>
      </c>
      <c r="D21" s="359" t="str">
        <f t="shared" si="0"/>
        <v>USD-1YD=</v>
      </c>
      <c r="E21" s="364" t="s">
        <v>211</v>
      </c>
      <c r="F21" s="363" t="s">
        <v>211</v>
      </c>
      <c r="G21" s="363" t="b">
        <f t="shared" si="1"/>
        <v>0</v>
      </c>
      <c r="H21" s="362" t="e">
        <f>IF($G21,_xll.qlIndexAddFixings($J21,$E21,$F21/100,TRUE,ISERROR($K21)),NA())</f>
        <v>#N/A</v>
      </c>
      <c r="I21" s="361"/>
      <c r="J21" s="360" t="str">
        <f t="shared" si="2"/>
        <v>Usd-1Y</v>
      </c>
      <c r="K21" s="359" t="e">
        <f>_xll.qlIndexFixing($J21,$E21,TRUE,$G21)</f>
        <v>#NUM!</v>
      </c>
      <c r="L21" s="359" t="e">
        <f>IF($H21,_xll.qlIndexFixing($J21,$E21,FALSE,$G21),"-")</f>
        <v>#N/A</v>
      </c>
      <c r="M21" s="359" t="e">
        <f t="shared" si="3"/>
        <v>#NUM!</v>
      </c>
      <c r="N21" s="358" t="e">
        <f>_xll.qlIndexFixing($J21,$E21,TRUE,$L21)</f>
        <v>#NUM!</v>
      </c>
      <c r="O21" s="357">
        <f t="shared" si="4"/>
        <v>0</v>
      </c>
      <c r="P21" s="356"/>
      <c r="Q21" s="337"/>
      <c r="R21" s="337" t="str">
        <f t="shared" si="5"/>
        <v>USD1YD_Quote</v>
      </c>
      <c r="S21" s="408">
        <f>_xll.qlQuoteValue(R21,ISERROR(H21))</f>
        <v>6.559999999999999E-3</v>
      </c>
      <c r="T21" s="407" t="e">
        <f t="shared" si="6"/>
        <v>#N/A</v>
      </c>
      <c r="U21" s="337"/>
      <c r="V21" s="337"/>
      <c r="W21" s="337"/>
      <c r="X21" s="337"/>
      <c r="Y21" s="337"/>
      <c r="Z21" s="337"/>
      <c r="AA21" s="337"/>
      <c r="AB21" s="337"/>
      <c r="AC21" s="337"/>
      <c r="AD21" s="337"/>
    </row>
    <row r="22" spans="1:30" ht="12" thickBot="1" x14ac:dyDescent="0.25">
      <c r="A22" s="337"/>
      <c r="B22" s="355"/>
      <c r="C22" s="352"/>
      <c r="D22" s="352"/>
      <c r="E22" s="354"/>
      <c r="F22" s="353"/>
      <c r="G22" s="353"/>
      <c r="H22" s="352"/>
      <c r="I22" s="352"/>
      <c r="J22" s="352"/>
      <c r="K22" s="352"/>
      <c r="L22" s="352"/>
      <c r="M22" s="352"/>
      <c r="N22" s="352"/>
      <c r="O22" s="352"/>
      <c r="P22" s="351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</row>
    <row r="23" spans="1:30" ht="12" thickBot="1" x14ac:dyDescent="0.25">
      <c r="A23" s="337"/>
      <c r="B23" s="337"/>
      <c r="C23" s="337"/>
      <c r="D23" s="337"/>
      <c r="E23" s="350"/>
      <c r="F23" s="349"/>
      <c r="G23" s="349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  <c r="T23" s="337"/>
      <c r="U23" s="337"/>
      <c r="V23" s="337"/>
      <c r="W23" s="337"/>
      <c r="X23" s="337"/>
      <c r="Y23" s="337"/>
      <c r="Z23" s="337"/>
      <c r="AA23" s="337"/>
      <c r="AB23" s="337"/>
      <c r="AC23" s="337"/>
      <c r="AD23" s="337"/>
    </row>
    <row r="24" spans="1:30" s="337" customFormat="1" x14ac:dyDescent="0.2">
      <c r="C24" s="348" t="s">
        <v>104</v>
      </c>
      <c r="D24" s="347" t="s">
        <v>296</v>
      </c>
      <c r="E24" s="346" t="s">
        <v>296</v>
      </c>
      <c r="F24" s="345"/>
    </row>
    <row r="25" spans="1:30" s="337" customFormat="1" x14ac:dyDescent="0.2">
      <c r="C25" s="343" t="s">
        <v>103</v>
      </c>
      <c r="D25" s="342" t="s">
        <v>219</v>
      </c>
      <c r="E25" s="341" t="s">
        <v>220</v>
      </c>
      <c r="J25" s="344"/>
    </row>
    <row r="26" spans="1:30" s="337" customFormat="1" x14ac:dyDescent="0.2">
      <c r="C26" s="343" t="s">
        <v>280</v>
      </c>
      <c r="D26" s="342" t="s">
        <v>296</v>
      </c>
      <c r="E26" s="341" t="s">
        <v>296</v>
      </c>
      <c r="J26" s="344"/>
    </row>
    <row r="27" spans="1:30" s="337" customFormat="1" x14ac:dyDescent="0.2">
      <c r="C27" s="343" t="s">
        <v>279</v>
      </c>
      <c r="D27" s="342" t="s">
        <v>296</v>
      </c>
      <c r="E27" s="341" t="s">
        <v>296</v>
      </c>
      <c r="J27" s="344"/>
    </row>
    <row r="28" spans="1:30" s="337" customFormat="1" x14ac:dyDescent="0.2">
      <c r="C28" s="343" t="s">
        <v>100</v>
      </c>
      <c r="D28" s="342" t="s">
        <v>296</v>
      </c>
      <c r="E28" s="341" t="s">
        <v>296</v>
      </c>
    </row>
    <row r="29" spans="1:30" s="337" customFormat="1" x14ac:dyDescent="0.2">
      <c r="C29" s="343" t="s">
        <v>99</v>
      </c>
      <c r="D29" s="342" t="s">
        <v>296</v>
      </c>
      <c r="E29" s="341" t="s">
        <v>296</v>
      </c>
    </row>
    <row r="30" spans="1:30" s="337" customFormat="1" ht="12" thickBot="1" x14ac:dyDescent="0.25">
      <c r="C30" s="340" t="s">
        <v>94</v>
      </c>
      <c r="D30" s="339" t="s">
        <v>296</v>
      </c>
      <c r="E30" s="338" t="s">
        <v>296</v>
      </c>
    </row>
    <row r="31" spans="1:30" s="337" customFormat="1" x14ac:dyDescent="0.2"/>
    <row r="32" spans="1:30" s="337" customFormat="1" x14ac:dyDescent="0.2"/>
    <row r="33" s="337" customFormat="1" x14ac:dyDescent="0.2"/>
    <row r="34" s="337" customFormat="1" x14ac:dyDescent="0.2"/>
    <row r="35" s="337" customFormat="1" x14ac:dyDescent="0.2"/>
    <row r="36" s="337" customFormat="1" x14ac:dyDescent="0.2"/>
    <row r="37" s="337" customFormat="1" x14ac:dyDescent="0.2"/>
    <row r="38" s="337" customFormat="1" x14ac:dyDescent="0.2"/>
    <row r="39" s="337" customFormat="1" x14ac:dyDescent="0.2"/>
    <row r="40" s="337" customFormat="1" x14ac:dyDescent="0.2"/>
    <row r="41" s="337" customFormat="1" x14ac:dyDescent="0.2"/>
  </sheetData>
  <conditionalFormatting sqref="M4:M2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G1" workbookViewId="0"/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3" width="9" customWidth="1"/>
    <col min="14" max="14" width="2.7109375" customWidth="1"/>
    <col min="15" max="15" width="5.7109375" bestFit="1" customWidth="1"/>
    <col min="16" max="16" width="2.7109375" customWidth="1"/>
    <col min="17" max="17" width="7.7109375" bestFit="1" customWidth="1"/>
    <col min="18" max="18" width="7.140625" bestFit="1" customWidth="1"/>
    <col min="19" max="19" width="3.7109375" customWidth="1"/>
  </cols>
  <sheetData>
    <row r="1" spans="1:19" ht="12" customHeight="1" x14ac:dyDescent="0.25">
      <c r="A1" s="77"/>
      <c r="B1" s="77"/>
      <c r="C1" s="77"/>
      <c r="D1" s="77"/>
      <c r="E1" s="77"/>
      <c r="F1" s="77"/>
      <c r="G1" s="77"/>
      <c r="H1" s="228"/>
      <c r="I1" s="227"/>
      <c r="J1" s="196"/>
      <c r="K1" s="196"/>
      <c r="L1" s="196"/>
      <c r="M1" s="196"/>
      <c r="N1" s="196"/>
      <c r="O1" s="196"/>
      <c r="P1" s="196"/>
      <c r="Q1" s="196"/>
      <c r="R1" s="196"/>
      <c r="S1" s="23"/>
    </row>
    <row r="2" spans="1:19" ht="12" customHeight="1" x14ac:dyDescent="0.25">
      <c r="A2" s="137"/>
      <c r="B2" s="86"/>
      <c r="C2" s="86"/>
      <c r="D2" s="86"/>
      <c r="E2" s="86"/>
      <c r="F2" s="85"/>
      <c r="G2" s="77"/>
      <c r="H2" s="94"/>
      <c r="I2" s="196"/>
      <c r="J2" s="196"/>
      <c r="K2" s="196"/>
      <c r="L2" s="196"/>
      <c r="M2" s="196"/>
      <c r="N2" s="196"/>
      <c r="O2" s="196"/>
      <c r="P2" s="196"/>
      <c r="Q2" s="226"/>
      <c r="R2" s="225">
        <f>_xll.ohTrigger(R4:R17)</f>
        <v>2</v>
      </c>
      <c r="S2" s="164"/>
    </row>
    <row r="3" spans="1:19" ht="23.25" customHeight="1" x14ac:dyDescent="0.25">
      <c r="A3" s="53"/>
      <c r="B3" s="84"/>
      <c r="C3" s="65" t="str">
        <f>Currency&amp;"_010_"&amp;"Deposits.xml"</f>
        <v>USD_010_Deposits.xml</v>
      </c>
      <c r="D3" s="83" t="str">
        <f>IF(Serialize,_xll.ohObjectSave(D4:D21,SerializationPath&amp;C3,FileOverwrite,Serialize),"---")</f>
        <v>---</v>
      </c>
      <c r="E3" s="82" t="str">
        <f>_xll.ohRangeRetrieveError(D3)</f>
        <v/>
      </c>
      <c r="F3" s="78"/>
      <c r="G3" s="77"/>
      <c r="H3" s="94"/>
      <c r="I3" s="222"/>
      <c r="J3" s="191" t="str">
        <f>_xll.RData(J4:J22,K3:L3,"RTFEED:DTSIMI1",ReutersRtMode,,K4)</f>
        <v>Updated at 10:05:48</v>
      </c>
      <c r="K3" s="224" t="s">
        <v>199</v>
      </c>
      <c r="L3" s="224" t="s">
        <v>198</v>
      </c>
      <c r="M3" s="224" t="s">
        <v>307</v>
      </c>
      <c r="N3" s="196"/>
      <c r="O3" s="223" t="s">
        <v>229</v>
      </c>
      <c r="P3" s="196"/>
      <c r="Q3" s="222" t="s">
        <v>227</v>
      </c>
      <c r="R3" s="221" t="s">
        <v>226</v>
      </c>
      <c r="S3" s="164"/>
    </row>
    <row r="4" spans="1:19" ht="12" customHeight="1" x14ac:dyDescent="0.25">
      <c r="A4" s="53"/>
      <c r="B4" s="81" t="s">
        <v>135</v>
      </c>
      <c r="C4" s="80" t="str">
        <f t="shared" ref="C4:C21" si="0">Currency&amp;$B4&amp;"_Mx"&amp;QuoteSuffix</f>
        <v>USDOND_Mx_Quote</v>
      </c>
      <c r="D4" s="80" t="str">
        <f>_xll.qlSimpleQuote(C4,,RateTickValue,Permanent,Trigger,ObjectOverwrite)</f>
        <v>USDOND_Mx_Quote#0000</v>
      </c>
      <c r="E4" s="79" t="str">
        <f>_xll.ohRangeRetrieveError(D4)</f>
        <v/>
      </c>
      <c r="F4" s="78"/>
      <c r="G4" s="77"/>
      <c r="H4" s="94"/>
      <c r="I4" s="217" t="s">
        <v>187</v>
      </c>
      <c r="J4" s="199" t="str">
        <f t="shared" ref="J4:J21" si="1">Currency&amp;"X"&amp;I4&amp;"D="</f>
        <v>USDXOND=</v>
      </c>
      <c r="K4" s="215">
        <v>0.27999999999999997</v>
      </c>
      <c r="L4" s="215">
        <v>0.27999999999999997</v>
      </c>
      <c r="M4" s="215">
        <f>AVERAGE(K4:L4)</f>
        <v>0.27999999999999997</v>
      </c>
      <c r="N4" s="196"/>
      <c r="O4" s="214">
        <v>0.23</v>
      </c>
      <c r="P4" s="196"/>
      <c r="Q4" s="268">
        <f t="array" ref="Q4:Q22">QuoteLive</f>
        <v>0.27999999999999997</v>
      </c>
      <c r="R4" s="212">
        <f>_xll.qlSimpleQuoteSetValue(D4,Q4/100,Trigger)</f>
        <v>0</v>
      </c>
      <c r="S4" s="164"/>
    </row>
    <row r="5" spans="1:19" ht="12" customHeight="1" x14ac:dyDescent="0.25">
      <c r="A5" s="53"/>
      <c r="B5" s="81" t="s">
        <v>134</v>
      </c>
      <c r="C5" s="80" t="str">
        <f t="shared" si="0"/>
        <v>USDTND_Mx_Quote</v>
      </c>
      <c r="D5" s="80" t="str">
        <f>_xll.qlSimpleQuote(C5,,RateTickValue,Permanent,Trigger,ObjectOverwrite)</f>
        <v>USDTND_Mx_Quote#0000</v>
      </c>
      <c r="E5" s="79" t="str">
        <f>_xll.ohRangeRetrieveError(D5)</f>
        <v/>
      </c>
      <c r="F5" s="78"/>
      <c r="G5" s="77"/>
      <c r="H5" s="94"/>
      <c r="I5" s="200" t="s">
        <v>218</v>
      </c>
      <c r="J5" s="199" t="str">
        <f t="shared" si="1"/>
        <v>USDXTND=</v>
      </c>
      <c r="K5" s="198">
        <v>0.27999999999999997</v>
      </c>
      <c r="L5" s="198">
        <v>0.27999999999999997</v>
      </c>
      <c r="M5" s="198">
        <f t="shared" ref="M5:M22" si="2">AVERAGE(K5:L5)</f>
        <v>0.27999999999999997</v>
      </c>
      <c r="N5" s="196"/>
      <c r="O5" s="197">
        <v>0.23</v>
      </c>
      <c r="P5" s="196"/>
      <c r="Q5" s="261">
        <v>0.27999999999999997</v>
      </c>
      <c r="R5" s="193">
        <f>_xll.qlSimpleQuoteSetValue(D5,Q5/100,Trigger)</f>
        <v>0</v>
      </c>
      <c r="S5" s="164"/>
    </row>
    <row r="6" spans="1:19" ht="12" customHeight="1" x14ac:dyDescent="0.25">
      <c r="A6" s="53"/>
      <c r="B6" s="81" t="s">
        <v>133</v>
      </c>
      <c r="C6" s="80" t="str">
        <f t="shared" si="0"/>
        <v>USDSND_Mx_Quote</v>
      </c>
      <c r="D6" s="80" t="str">
        <f>_xll.qlSimpleQuote(C6,,RateTickValue,Permanent,Trigger,ObjectOverwrite)</f>
        <v>USDSND_Mx_Quote#0000</v>
      </c>
      <c r="E6" s="79" t="str">
        <f>_xll.ohRangeRetrieveError(D6)</f>
        <v/>
      </c>
      <c r="F6" s="78"/>
      <c r="G6" s="77"/>
      <c r="H6" s="94"/>
      <c r="I6" s="211" t="s">
        <v>215</v>
      </c>
      <c r="J6" s="210" t="str">
        <f t="shared" si="1"/>
        <v>USDXSND=</v>
      </c>
      <c r="K6" s="209">
        <v>0.27999999999999997</v>
      </c>
      <c r="L6" s="209">
        <v>0.27999999999999997</v>
      </c>
      <c r="M6" s="209">
        <f t="shared" si="2"/>
        <v>0.27999999999999997</v>
      </c>
      <c r="N6" s="196"/>
      <c r="O6" s="208">
        <v>0.23</v>
      </c>
      <c r="P6" s="196"/>
      <c r="Q6" s="254">
        <v>0.27999999999999997</v>
      </c>
      <c r="R6" s="206">
        <f>_xll.qlSimpleQuoteSetValue(D6,Q6/100,Trigger)</f>
        <v>0</v>
      </c>
      <c r="S6" s="164"/>
    </row>
    <row r="7" spans="1:19" ht="12" customHeight="1" x14ac:dyDescent="0.25">
      <c r="A7" s="53"/>
      <c r="B7" s="81" t="s">
        <v>132</v>
      </c>
      <c r="C7" s="80" t="str">
        <f t="shared" si="0"/>
        <v>USDSWD_Mx_Quote</v>
      </c>
      <c r="D7" s="80" t="str">
        <f>_xll.qlSimpleQuote(C7,,RateTickValue,Permanent,Trigger,ObjectOverwrite)</f>
        <v>USDSWD_Mx_Quote#0000</v>
      </c>
      <c r="E7" s="79" t="str">
        <f>_xll.ohRangeRetrieveError(D7)</f>
        <v/>
      </c>
      <c r="F7" s="78"/>
      <c r="G7" s="77"/>
      <c r="H7" s="94"/>
      <c r="I7" s="200" t="s">
        <v>22</v>
      </c>
      <c r="J7" s="199" t="str">
        <f t="shared" si="1"/>
        <v>USDXSWD=</v>
      </c>
      <c r="K7" s="198">
        <v>0.129</v>
      </c>
      <c r="L7" s="198">
        <v>0.13900000000000001</v>
      </c>
      <c r="M7" s="198">
        <f t="shared" si="2"/>
        <v>0.13400000000000001</v>
      </c>
      <c r="N7" s="196"/>
      <c r="O7" s="197">
        <v>0.12</v>
      </c>
      <c r="P7" s="196"/>
      <c r="Q7" s="261">
        <v>0.13400000000000001</v>
      </c>
      <c r="R7" s="193">
        <f>_xll.qlSimpleQuoteSetValue(D7,Q7/100,Trigger)</f>
        <v>0</v>
      </c>
      <c r="S7" s="164"/>
    </row>
    <row r="8" spans="1:19" ht="12" customHeight="1" x14ac:dyDescent="0.25">
      <c r="A8" s="53"/>
      <c r="B8" s="81" t="s">
        <v>131</v>
      </c>
      <c r="C8" s="80" t="str">
        <f t="shared" si="0"/>
        <v>USD2WD_Mx_Quote</v>
      </c>
      <c r="D8" s="80" t="str">
        <f>_xll.qlSimpleQuote(C8,,RateTickValue,Permanent,Trigger,ObjectOverwrite)</f>
        <v>USD2WD_Mx_Quote#0000</v>
      </c>
      <c r="E8" s="79" t="str">
        <f>_xll.ohRangeRetrieveError(D8)</f>
        <v/>
      </c>
      <c r="F8" s="78"/>
      <c r="G8" s="77"/>
      <c r="H8" s="94"/>
      <c r="I8" s="200" t="s">
        <v>21</v>
      </c>
      <c r="J8" s="199" t="str">
        <f t="shared" si="1"/>
        <v>USDX2WD=</v>
      </c>
      <c r="K8" s="198">
        <v>0.14173333299999999</v>
      </c>
      <c r="L8" s="198">
        <v>0.151733333</v>
      </c>
      <c r="M8" s="198">
        <f t="shared" si="2"/>
        <v>0.14673333299999999</v>
      </c>
      <c r="N8" s="196"/>
      <c r="O8" s="197">
        <v>0.128803846</v>
      </c>
      <c r="P8" s="196"/>
      <c r="Q8" s="261">
        <v>0.14673333299999999</v>
      </c>
      <c r="R8" s="193">
        <f>_xll.qlSimpleQuoteSetValue(D8,Q8/100,Trigger)</f>
        <v>0</v>
      </c>
      <c r="S8" s="164"/>
    </row>
    <row r="9" spans="1:19" ht="12" customHeight="1" x14ac:dyDescent="0.25">
      <c r="A9" s="53"/>
      <c r="B9" s="81" t="s">
        <v>130</v>
      </c>
      <c r="C9" s="80" t="str">
        <f t="shared" si="0"/>
        <v>USD3WD_Mx_Quote</v>
      </c>
      <c r="D9" s="80" t="str">
        <f>_xll.qlSimpleQuote(C9,,RateTickValue,Permanent,Trigger,ObjectOverwrite)</f>
        <v>USD3WD_Mx_Quote#0000</v>
      </c>
      <c r="E9" s="79" t="str">
        <f>_xll.ohRangeRetrieveError(D9)</f>
        <v/>
      </c>
      <c r="F9" s="78"/>
      <c r="G9" s="77"/>
      <c r="H9" s="94"/>
      <c r="I9" s="200" t="s">
        <v>20</v>
      </c>
      <c r="J9" s="199" t="str">
        <f t="shared" si="1"/>
        <v>USDX3WD=</v>
      </c>
      <c r="K9" s="198">
        <v>0.154466667</v>
      </c>
      <c r="L9" s="198">
        <v>0.16446666699999998</v>
      </c>
      <c r="M9" s="198">
        <f t="shared" si="2"/>
        <v>0.15946666700000001</v>
      </c>
      <c r="N9" s="196"/>
      <c r="O9" s="197">
        <v>0.137607692</v>
      </c>
      <c r="P9" s="196"/>
      <c r="Q9" s="261">
        <v>0.15946666700000001</v>
      </c>
      <c r="R9" s="193">
        <f>_xll.qlSimpleQuoteSetValue(D9,Q9/100,Trigger)</f>
        <v>0</v>
      </c>
      <c r="S9" s="164"/>
    </row>
    <row r="10" spans="1:19" ht="12" customHeight="1" x14ac:dyDescent="0.25">
      <c r="A10" s="53"/>
      <c r="B10" s="81" t="s">
        <v>129</v>
      </c>
      <c r="C10" s="80" t="str">
        <f t="shared" si="0"/>
        <v>USD1MD_Mx_Quote</v>
      </c>
      <c r="D10" s="80" t="str">
        <f>_xll.qlSimpleQuote(C10,,RateTickValue,Permanent,Trigger,ObjectOverwrite)</f>
        <v>USD1MD_Mx_Quote#0000</v>
      </c>
      <c r="E10" s="79" t="str">
        <f>_xll.ohRangeRetrieveError(D10)</f>
        <v/>
      </c>
      <c r="F10" s="78"/>
      <c r="G10" s="77"/>
      <c r="H10" s="94"/>
      <c r="I10" s="200" t="s">
        <v>19</v>
      </c>
      <c r="J10" s="199" t="str">
        <f t="shared" si="1"/>
        <v>USDX1MD=</v>
      </c>
      <c r="K10" s="198">
        <v>0.16719999999999999</v>
      </c>
      <c r="L10" s="198">
        <v>0.1772</v>
      </c>
      <c r="M10" s="198">
        <f t="shared" si="2"/>
        <v>0.17219999999999999</v>
      </c>
      <c r="N10" s="196"/>
      <c r="O10" s="197">
        <v>0.1527</v>
      </c>
      <c r="P10" s="196"/>
      <c r="Q10" s="261">
        <v>0.17219999999999999</v>
      </c>
      <c r="R10" s="193">
        <f>_xll.qlSimpleQuoteSetValue(D10,Q10/100,Trigger)</f>
        <v>0</v>
      </c>
      <c r="S10" s="164"/>
    </row>
    <row r="11" spans="1:19" ht="12" customHeight="1" x14ac:dyDescent="0.25">
      <c r="A11" s="53"/>
      <c r="B11" s="81" t="s">
        <v>128</v>
      </c>
      <c r="C11" s="80" t="str">
        <f t="shared" si="0"/>
        <v>USD2MD_Mx_Quote</v>
      </c>
      <c r="D11" s="80" t="str">
        <f>_xll.qlSimpleQuote(C11,,RateTickValue,Permanent,Trigger,ObjectOverwrite)</f>
        <v>USD2MD_Mx_Quote#0000</v>
      </c>
      <c r="E11" s="79" t="str">
        <f>_xll.ohRangeRetrieveError(D11)</f>
        <v/>
      </c>
      <c r="F11" s="78"/>
      <c r="G11" s="77"/>
      <c r="H11" s="94"/>
      <c r="I11" s="200" t="s">
        <v>18</v>
      </c>
      <c r="J11" s="199" t="str">
        <f t="shared" si="1"/>
        <v>USDX2MD=</v>
      </c>
      <c r="K11" s="198">
        <v>0.20619999999999999</v>
      </c>
      <c r="L11" s="198">
        <v>0.2162</v>
      </c>
      <c r="M11" s="198">
        <f t="shared" si="2"/>
        <v>0.2112</v>
      </c>
      <c r="N11" s="196"/>
      <c r="O11" s="197">
        <v>0.19540000000000002</v>
      </c>
      <c r="P11" s="196"/>
      <c r="Q11" s="261">
        <v>0.2112</v>
      </c>
      <c r="R11" s="193">
        <f>_xll.qlSimpleQuoteSetValue(D11,Q11/100,Trigger)</f>
        <v>0</v>
      </c>
      <c r="S11" s="164"/>
    </row>
    <row r="12" spans="1:19" ht="12" customHeight="1" x14ac:dyDescent="0.25">
      <c r="A12" s="53"/>
      <c r="B12" s="81" t="s">
        <v>127</v>
      </c>
      <c r="C12" s="80" t="str">
        <f t="shared" si="0"/>
        <v>USD3MD_Mx_Quote</v>
      </c>
      <c r="D12" s="80" t="str">
        <f>_xll.qlSimpleQuote(C12,,RateTickValue,Permanent,Trigger,ObjectOverwrite)</f>
        <v>USD3MD_Mx_Quote#0000</v>
      </c>
      <c r="E12" s="79" t="str">
        <f>_xll.ohRangeRetrieveError(D12)</f>
        <v/>
      </c>
      <c r="F12" s="78"/>
      <c r="G12" s="77"/>
      <c r="H12" s="94"/>
      <c r="I12" s="200" t="s">
        <v>17</v>
      </c>
      <c r="J12" s="199" t="str">
        <f t="shared" si="1"/>
        <v>USDX3MD=</v>
      </c>
      <c r="K12" s="198">
        <v>0.25335000000000002</v>
      </c>
      <c r="L12" s="198">
        <v>0.26334999999999997</v>
      </c>
      <c r="M12" s="198">
        <f t="shared" si="2"/>
        <v>0.25834999999999997</v>
      </c>
      <c r="N12" s="196"/>
      <c r="O12" s="197">
        <v>0.2291</v>
      </c>
      <c r="P12" s="196"/>
      <c r="Q12" s="261">
        <v>0.25834999999999997</v>
      </c>
      <c r="R12" s="193">
        <f>_xll.qlSimpleQuoteSetValue(D12,Q12/100,Trigger)</f>
        <v>0</v>
      </c>
      <c r="S12" s="164"/>
    </row>
    <row r="13" spans="1:19" ht="12" customHeight="1" x14ac:dyDescent="0.25">
      <c r="A13" s="53"/>
      <c r="B13" s="81" t="s">
        <v>126</v>
      </c>
      <c r="C13" s="80" t="str">
        <f t="shared" si="0"/>
        <v>USD4MD_Mx_Quote</v>
      </c>
      <c r="D13" s="80" t="str">
        <f>_xll.qlSimpleQuote(C13,,RateTickValue,Permanent,Trigger,ObjectOverwrite)</f>
        <v>USD4MD_Mx_Quote#0000</v>
      </c>
      <c r="E13" s="79" t="str">
        <f>_xll.ohRangeRetrieveError(D13)</f>
        <v/>
      </c>
      <c r="F13" s="78"/>
      <c r="G13" s="77"/>
      <c r="H13" s="94"/>
      <c r="I13" s="200" t="s">
        <v>16</v>
      </c>
      <c r="J13" s="199" t="str">
        <f t="shared" si="1"/>
        <v>USDX4MD=</v>
      </c>
      <c r="K13" s="198">
        <v>0.29211684799999998</v>
      </c>
      <c r="L13" s="198">
        <v>0.30211684799999999</v>
      </c>
      <c r="M13" s="198">
        <f t="shared" si="2"/>
        <v>0.29711684799999999</v>
      </c>
      <c r="N13" s="196"/>
      <c r="O13" s="197">
        <v>0.26221</v>
      </c>
      <c r="P13" s="196"/>
      <c r="Q13" s="261">
        <v>0.29711684799999999</v>
      </c>
      <c r="R13" s="193">
        <f>_xll.qlSimpleQuoteSetValue(D13,Q13/100,Trigger)</f>
        <v>0</v>
      </c>
      <c r="S13" s="164"/>
    </row>
    <row r="14" spans="1:19" ht="12" customHeight="1" x14ac:dyDescent="0.25">
      <c r="A14" s="53"/>
      <c r="B14" s="81" t="s">
        <v>125</v>
      </c>
      <c r="C14" s="80" t="str">
        <f t="shared" si="0"/>
        <v>USD5MD_Mx_Quote</v>
      </c>
      <c r="D14" s="80" t="str">
        <f>_xll.qlSimpleQuote(C14,,RateTickValue,Permanent,Trigger,ObjectOverwrite)</f>
        <v>USD5MD_Mx_Quote#0000</v>
      </c>
      <c r="E14" s="79" t="str">
        <f>_xll.ohRangeRetrieveError(D14)</f>
        <v/>
      </c>
      <c r="F14" s="78"/>
      <c r="G14" s="77"/>
      <c r="H14" s="94"/>
      <c r="I14" s="200" t="s">
        <v>15</v>
      </c>
      <c r="J14" s="199" t="str">
        <f t="shared" si="1"/>
        <v>USDX5MD=</v>
      </c>
      <c r="K14" s="198">
        <v>0.330883696</v>
      </c>
      <c r="L14" s="198">
        <v>0.34088369600000001</v>
      </c>
      <c r="M14" s="198">
        <f t="shared" si="2"/>
        <v>0.33588369600000001</v>
      </c>
      <c r="N14" s="196"/>
      <c r="O14" s="197">
        <v>0.2893</v>
      </c>
      <c r="P14" s="196"/>
      <c r="Q14" s="261">
        <v>0.33588369600000001</v>
      </c>
      <c r="R14" s="193">
        <f>_xll.qlSimpleQuoteSetValue(D14,Q14/100,Trigger)</f>
        <v>0</v>
      </c>
      <c r="S14" s="164"/>
    </row>
    <row r="15" spans="1:19" ht="12" customHeight="1" x14ac:dyDescent="0.25">
      <c r="A15" s="53"/>
      <c r="B15" s="81" t="s">
        <v>124</v>
      </c>
      <c r="C15" s="80" t="str">
        <f t="shared" si="0"/>
        <v>USD6MD_Mx_Quote</v>
      </c>
      <c r="D15" s="80" t="str">
        <f>_xll.qlSimpleQuote(C15,,RateTickValue,Permanent,Trigger,ObjectOverwrite)</f>
        <v>USD6MD_Mx_Quote#0000</v>
      </c>
      <c r="E15" s="79" t="str">
        <f>_xll.ohRangeRetrieveError(D15)</f>
        <v/>
      </c>
      <c r="F15" s="78"/>
      <c r="G15" s="77"/>
      <c r="H15" s="94"/>
      <c r="I15" s="200" t="s">
        <v>14</v>
      </c>
      <c r="J15" s="199" t="str">
        <f t="shared" si="1"/>
        <v>USDX6MD=</v>
      </c>
      <c r="K15" s="198">
        <v>0.36840000000000001</v>
      </c>
      <c r="L15" s="198">
        <v>0.37839999999999996</v>
      </c>
      <c r="M15" s="198">
        <f t="shared" si="2"/>
        <v>0.37339999999999995</v>
      </c>
      <c r="N15" s="196"/>
      <c r="O15" s="197">
        <v>0.31940000000000002</v>
      </c>
      <c r="P15" s="196"/>
      <c r="Q15" s="261">
        <v>0.37339999999999995</v>
      </c>
      <c r="R15" s="193">
        <f>_xll.qlSimpleQuoteSetValue(D15,Q15/100,Trigger)</f>
        <v>0</v>
      </c>
      <c r="S15" s="164"/>
    </row>
    <row r="16" spans="1:19" ht="12" customHeight="1" x14ac:dyDescent="0.25">
      <c r="A16" s="53"/>
      <c r="B16" s="81" t="s">
        <v>123</v>
      </c>
      <c r="C16" s="80" t="str">
        <f t="shared" si="0"/>
        <v>USD7MD_Mx_Quote</v>
      </c>
      <c r="D16" s="80" t="str">
        <f>_xll.qlSimpleQuote(C16,,RateTickValue,Permanent,Trigger,ObjectOverwrite)</f>
        <v>USD7MD_Mx_Quote#0000</v>
      </c>
      <c r="E16" s="79" t="str">
        <f>_xll.ohRangeRetrieveError(D16)</f>
        <v/>
      </c>
      <c r="F16" s="78"/>
      <c r="G16" s="77"/>
      <c r="H16" s="94"/>
      <c r="I16" s="200" t="s">
        <v>13</v>
      </c>
      <c r="J16" s="199" t="str">
        <f t="shared" si="1"/>
        <v>USDX7MD=</v>
      </c>
      <c r="K16" s="198">
        <v>0.41908369600000006</v>
      </c>
      <c r="L16" s="198">
        <v>0.42908369600000001</v>
      </c>
      <c r="M16" s="198">
        <f t="shared" si="2"/>
        <v>0.42408369600000007</v>
      </c>
      <c r="N16" s="196"/>
      <c r="O16" s="197">
        <v>0.35729344299999999</v>
      </c>
      <c r="P16" s="196"/>
      <c r="Q16" s="261">
        <v>0.42408369600000007</v>
      </c>
      <c r="R16" s="193">
        <f>_xll.qlSimpleQuoteSetValue(D16,Q16/100,Trigger)</f>
        <v>0</v>
      </c>
      <c r="S16" s="164"/>
    </row>
    <row r="17" spans="1:19" ht="12" customHeight="1" x14ac:dyDescent="0.25">
      <c r="A17" s="53"/>
      <c r="B17" s="81" t="s">
        <v>122</v>
      </c>
      <c r="C17" s="80" t="str">
        <f t="shared" si="0"/>
        <v>USD8MD_Mx_Quote</v>
      </c>
      <c r="D17" s="80" t="str">
        <f>_xll.qlSimpleQuote(C17,,RateTickValue,Permanent,Trigger,ObjectOverwrite)</f>
        <v>USD8MD_Mx_Quote#0000</v>
      </c>
      <c r="E17" s="79" t="str">
        <f>_xll.ohRangeRetrieveError(D17)</f>
        <v/>
      </c>
      <c r="F17" s="78"/>
      <c r="G17" s="77"/>
      <c r="H17" s="94"/>
      <c r="I17" s="200" t="s">
        <v>12</v>
      </c>
      <c r="J17" s="199" t="str">
        <f t="shared" si="1"/>
        <v>USDX8MD=</v>
      </c>
      <c r="K17" s="198">
        <v>0.463623913</v>
      </c>
      <c r="L17" s="198">
        <v>0.47362391299999995</v>
      </c>
      <c r="M17" s="198">
        <f t="shared" si="2"/>
        <v>0.46862391299999995</v>
      </c>
      <c r="N17" s="196"/>
      <c r="O17" s="197">
        <v>0.39644999999999997</v>
      </c>
      <c r="P17" s="196"/>
      <c r="Q17" s="261">
        <v>0.46862391299999995</v>
      </c>
      <c r="R17" s="193">
        <f>_xll.qlSimpleQuoteSetValue(D17,Q17/100,Trigger)</f>
        <v>0</v>
      </c>
      <c r="S17" s="164"/>
    </row>
    <row r="18" spans="1:19" ht="12" customHeight="1" x14ac:dyDescent="0.25">
      <c r="A18" s="53"/>
      <c r="B18" s="81" t="s">
        <v>121</v>
      </c>
      <c r="C18" s="80" t="str">
        <f t="shared" si="0"/>
        <v>USD9MD_Mx_Quote</v>
      </c>
      <c r="D18" s="80" t="str">
        <f>_xll.qlSimpleQuote(C18,,RateTickValue,Permanent,Trigger,ObjectOverwrite)</f>
        <v>USD9MD_Mx_Quote#0000</v>
      </c>
      <c r="E18" s="79" t="str">
        <f>_xll.ohRangeRetrieveError(D18)</f>
        <v/>
      </c>
      <c r="F18" s="78"/>
      <c r="G18" s="77"/>
      <c r="H18" s="94"/>
      <c r="I18" s="200" t="s">
        <v>11</v>
      </c>
      <c r="J18" s="199" t="str">
        <f t="shared" si="1"/>
        <v>USDX9MD=</v>
      </c>
      <c r="K18" s="198">
        <v>0.50970000000000004</v>
      </c>
      <c r="L18" s="198">
        <v>0.51970000000000005</v>
      </c>
      <c r="M18" s="198">
        <f t="shared" si="2"/>
        <v>0.51470000000000005</v>
      </c>
      <c r="N18" s="196"/>
      <c r="O18" s="197">
        <v>0.434343443</v>
      </c>
      <c r="P18" s="196"/>
      <c r="Q18" s="261">
        <v>0.51470000000000005</v>
      </c>
      <c r="R18" s="193">
        <f>_xll.qlSimpleQuoteSetValue(D18,Q18/100,Trigger)</f>
        <v>0</v>
      </c>
      <c r="S18" s="164"/>
    </row>
    <row r="19" spans="1:19" ht="12" customHeight="1" x14ac:dyDescent="0.25">
      <c r="A19" s="53"/>
      <c r="B19" s="81" t="s">
        <v>120</v>
      </c>
      <c r="C19" s="80" t="str">
        <f t="shared" si="0"/>
        <v>USD10MD_Mx_Quote</v>
      </c>
      <c r="D19" s="80" t="str">
        <f>_xll.qlSimpleQuote(C19,,RateTickValue,Permanent,Trigger,ObjectOverwrite)</f>
        <v>USD10MD_Mx_Quote#0000</v>
      </c>
      <c r="E19" s="79" t="str">
        <f>_xll.ohRangeRetrieveError(D19)</f>
        <v/>
      </c>
      <c r="F19" s="78"/>
      <c r="G19" s="77"/>
      <c r="H19" s="94"/>
      <c r="I19" s="200" t="s">
        <v>10</v>
      </c>
      <c r="J19" s="199" t="str">
        <f t="shared" si="1"/>
        <v>USDX10MD=</v>
      </c>
      <c r="K19" s="198">
        <v>0.55884782600000005</v>
      </c>
      <c r="L19" s="198">
        <v>0.56884782600000006</v>
      </c>
      <c r="M19" s="198">
        <f t="shared" si="2"/>
        <v>0.56384782600000005</v>
      </c>
      <c r="N19" s="196"/>
      <c r="O19" s="197">
        <v>0.47602622999999999</v>
      </c>
      <c r="P19" s="196"/>
      <c r="Q19" s="261">
        <v>0.56384782600000005</v>
      </c>
      <c r="R19" s="193">
        <f>_xll.qlSimpleQuoteSetValue(D19,Q19/100,Trigger)</f>
        <v>0</v>
      </c>
      <c r="S19" s="164"/>
    </row>
    <row r="20" spans="1:19" ht="12" customHeight="1" x14ac:dyDescent="0.25">
      <c r="A20" s="53"/>
      <c r="B20" s="81" t="s">
        <v>119</v>
      </c>
      <c r="C20" s="80" t="str">
        <f t="shared" si="0"/>
        <v>USD11MD_Mx_Quote</v>
      </c>
      <c r="D20" s="80" t="str">
        <f>_xll.qlSimpleQuote(C20,,RateTickValue,Permanent,Trigger,ObjectOverwrite)</f>
        <v>USD11MD_Mx_Quote#0000</v>
      </c>
      <c r="E20" s="79" t="str">
        <f>_xll.ohRangeRetrieveError(D20)</f>
        <v/>
      </c>
      <c r="F20" s="78"/>
      <c r="G20" s="77"/>
      <c r="H20" s="94"/>
      <c r="I20" s="200" t="s">
        <v>9</v>
      </c>
      <c r="J20" s="199" t="str">
        <f t="shared" si="1"/>
        <v>USDX11MD=</v>
      </c>
      <c r="K20" s="198">
        <v>0.60338804300000004</v>
      </c>
      <c r="L20" s="198">
        <v>0.61338804299999994</v>
      </c>
      <c r="M20" s="198">
        <f t="shared" si="2"/>
        <v>0.60838804299999993</v>
      </c>
      <c r="N20" s="196"/>
      <c r="O20" s="197">
        <v>0.51265655700000001</v>
      </c>
      <c r="P20" s="196"/>
      <c r="Q20" s="261">
        <v>0.60838804299999993</v>
      </c>
      <c r="R20" s="193">
        <f>_xll.qlSimpleQuoteSetValue(D20,Q20/100,Trigger)</f>
        <v>0</v>
      </c>
      <c r="S20" s="164"/>
    </row>
    <row r="21" spans="1:19" ht="12" customHeight="1" x14ac:dyDescent="0.25">
      <c r="A21" s="53"/>
      <c r="B21" s="81" t="s">
        <v>118</v>
      </c>
      <c r="C21" s="80" t="str">
        <f t="shared" si="0"/>
        <v>USD1YD_Mx_Quote</v>
      </c>
      <c r="D21" s="80" t="str">
        <f>_xll.qlSimpleQuote(C21,,RateTickValue,Permanent,Trigger,ObjectOverwrite)</f>
        <v>USD1YD_Mx_Quote#0000</v>
      </c>
      <c r="E21" s="79" t="str">
        <f>_xll.ohRangeRetrieveError(D21)</f>
        <v/>
      </c>
      <c r="F21" s="78"/>
      <c r="G21" s="77"/>
      <c r="H21" s="94"/>
      <c r="I21" s="200" t="s">
        <v>8</v>
      </c>
      <c r="J21" s="199" t="str">
        <f t="shared" si="1"/>
        <v>USDX1YD=</v>
      </c>
      <c r="K21" s="209">
        <v>0.65100000000000002</v>
      </c>
      <c r="L21" s="209">
        <v>0.66100000000000003</v>
      </c>
      <c r="M21" s="209">
        <f t="shared" si="2"/>
        <v>0.65600000000000003</v>
      </c>
      <c r="N21" s="196"/>
      <c r="O21" s="197">
        <v>0.55054999999999998</v>
      </c>
      <c r="P21" s="196"/>
      <c r="Q21" s="254">
        <v>0.65600000000000003</v>
      </c>
      <c r="R21" s="206">
        <f>_xll.qlSimpleQuoteSetValue(D21,Q21/100,Trigger)</f>
        <v>0</v>
      </c>
      <c r="S21" s="164"/>
    </row>
    <row r="22" spans="1:19" ht="12" customHeight="1" x14ac:dyDescent="0.25">
      <c r="A22" s="53"/>
      <c r="B22" s="513"/>
      <c r="C22" s="80" t="str">
        <f>Currency&amp;"_STUB_Quote"</f>
        <v>USD_STUB_Quote</v>
      </c>
      <c r="D22" s="80" t="str">
        <f>_xll.qlSimpleQuote(C22,,RateTickValue,Permanent,Trigger,ObjectOverwrite)</f>
        <v>USD_STUB_Quote#0000</v>
      </c>
      <c r="E22" s="79" t="str">
        <f>_xll.ohRangeRetrieveError(D22)</f>
        <v/>
      </c>
      <c r="F22" s="78"/>
      <c r="G22" s="77"/>
      <c r="H22" s="94"/>
      <c r="I22" s="510"/>
      <c r="J22" s="511" t="s">
        <v>328</v>
      </c>
      <c r="K22" s="209">
        <v>0.41715543500000002</v>
      </c>
      <c r="L22" s="209">
        <v>0.43715543500000004</v>
      </c>
      <c r="M22" s="209">
        <f t="shared" si="2"/>
        <v>0.42715543500000003</v>
      </c>
      <c r="N22" s="196"/>
      <c r="O22" s="512">
        <v>0.39897622999999999</v>
      </c>
      <c r="P22" s="196"/>
      <c r="Q22" s="254">
        <v>0.42715543500000003</v>
      </c>
      <c r="R22" s="206">
        <f>_xll.qlSimpleQuoteSetValue(D22,Q22/100,Trigger)</f>
        <v>0</v>
      </c>
      <c r="S22" s="164"/>
    </row>
    <row r="23" spans="1:19" ht="12" customHeight="1" thickBot="1" x14ac:dyDescent="0.3">
      <c r="A23" s="46"/>
      <c r="B23" s="45"/>
      <c r="C23" s="45"/>
      <c r="D23" s="45"/>
      <c r="E23" s="45"/>
      <c r="F23" s="43"/>
      <c r="G23" s="77"/>
      <c r="H23" s="22"/>
      <c r="I23" s="192"/>
      <c r="J23" s="192"/>
      <c r="K23" s="21"/>
      <c r="L23" s="21"/>
      <c r="M23" s="21"/>
      <c r="N23" s="21"/>
      <c r="O23" s="192"/>
      <c r="P23" s="21"/>
      <c r="Q23" s="192"/>
      <c r="R23" s="192"/>
      <c r="S23" s="20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H1" workbookViewId="0"/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21.85546875" style="12" bestFit="1" customWidth="1"/>
    <col min="4" max="4" width="26.28515625" style="88" bestFit="1" customWidth="1"/>
    <col min="5" max="5" width="38.28515625" style="12" customWidth="1"/>
    <col min="6" max="9" width="2.7109375" style="12" customWidth="1"/>
    <col min="10" max="10" width="9.140625" style="417"/>
    <col min="11" max="11" width="17.5703125" style="12" bestFit="1" customWidth="1"/>
    <col min="12" max="14" width="9.140625" style="12"/>
    <col min="15" max="15" width="2.7109375" style="12" customWidth="1"/>
    <col min="16" max="16" width="9.140625" style="12"/>
    <col min="17" max="17" width="2.7109375" style="12" customWidth="1"/>
    <col min="18" max="19" width="9.140625" style="12"/>
    <col min="20" max="21" width="2.7109375" style="12" customWidth="1"/>
    <col min="22" max="16384" width="9.140625" style="12"/>
  </cols>
  <sheetData>
    <row r="1" spans="1:26" ht="13.5" thickBot="1" x14ac:dyDescent="0.25">
      <c r="I1" s="94"/>
      <c r="J1" s="196"/>
      <c r="K1" s="148"/>
      <c r="L1" s="148"/>
      <c r="M1" s="148"/>
      <c r="N1" s="109"/>
      <c r="O1" s="196"/>
      <c r="P1" s="196"/>
      <c r="Q1" s="196"/>
      <c r="R1" s="109"/>
      <c r="S1" s="225">
        <f>_xll.ohTrigger(S3:S40)</f>
        <v>45</v>
      </c>
      <c r="T1" s="164"/>
      <c r="U1" s="13"/>
      <c r="V1" s="13"/>
      <c r="W1" s="13"/>
      <c r="X1" s="13"/>
      <c r="Y1" s="13"/>
      <c r="Z1" s="13"/>
    </row>
    <row r="2" spans="1:26" x14ac:dyDescent="0.2">
      <c r="A2" s="163"/>
      <c r="B2" s="148"/>
      <c r="C2" s="146"/>
      <c r="D2" s="147"/>
      <c r="E2" s="146"/>
      <c r="F2" s="145"/>
      <c r="I2" s="94"/>
      <c r="J2" s="250"/>
      <c r="K2" s="191" t="str">
        <f>_xll.RData(Instruments,L2:M2,"RTFEED:DTSIMI1",ReutersRtMode,,L3)</f>
        <v>Updated at 10:08:07</v>
      </c>
      <c r="L2" s="249" t="s">
        <v>199</v>
      </c>
      <c r="M2" s="249" t="s">
        <v>198</v>
      </c>
      <c r="N2" s="221" t="s">
        <v>233</v>
      </c>
      <c r="O2" s="196"/>
      <c r="P2" s="223" t="s">
        <v>229</v>
      </c>
      <c r="Q2" s="196"/>
      <c r="R2" s="416" t="s">
        <v>227</v>
      </c>
      <c r="S2" s="67" t="s">
        <v>226</v>
      </c>
      <c r="T2" s="164"/>
      <c r="U2" s="13"/>
      <c r="V2" s="13"/>
      <c r="W2" s="13"/>
      <c r="X2" s="13"/>
      <c r="Y2" s="13"/>
      <c r="Z2" s="247"/>
    </row>
    <row r="3" spans="1:26" x14ac:dyDescent="0.2">
      <c r="A3" s="94"/>
      <c r="B3" s="66"/>
      <c r="C3" s="65"/>
      <c r="D3" s="64"/>
      <c r="E3" s="48" t="str">
        <f>_xll.ohRangeRetrieveError(D3)</f>
        <v/>
      </c>
      <c r="F3" s="23"/>
      <c r="I3" s="94"/>
      <c r="J3" s="200" t="s">
        <v>14</v>
      </c>
      <c r="K3" s="239" t="str">
        <f t="shared" ref="K3:K40" si="0">Currency&amp;"_CURVE_3M_"&amp;J3</f>
        <v>USD_CURVE_3M_6M</v>
      </c>
      <c r="L3" s="194" t="s">
        <v>327</v>
      </c>
      <c r="M3" s="194" t="s">
        <v>327</v>
      </c>
      <c r="N3" s="198" t="e">
        <f>AVERAGE(L3,M3)</f>
        <v>#DIV/0!</v>
      </c>
      <c r="O3" s="196"/>
      <c r="P3" s="197" t="e">
        <v>#DIV/0!</v>
      </c>
      <c r="Q3" s="196"/>
      <c r="R3" s="261" t="e">
        <f t="array" ref="R3:R40">QuoteLive</f>
        <v>#DIV/0!</v>
      </c>
      <c r="S3" s="193" t="e">
        <f>_xll.qlSimpleQuoteSetValue(D3,R3/100,Trigger)</f>
        <v>#NUM!</v>
      </c>
      <c r="T3" s="164"/>
      <c r="U3" s="13"/>
      <c r="V3" s="13"/>
      <c r="W3" s="13"/>
      <c r="X3" s="13"/>
      <c r="Y3" s="13"/>
      <c r="Z3" s="230"/>
    </row>
    <row r="4" spans="1:26" x14ac:dyDescent="0.2">
      <c r="A4" s="94"/>
      <c r="B4" s="142" t="s">
        <v>8</v>
      </c>
      <c r="C4" s="49" t="str">
        <f t="shared" ref="C4:C40" si="1">Currency&amp;"_CURVE_3M_"&amp;B4&amp;QuoteSuffix</f>
        <v>USD_CURVE_3M_1Y_Quote</v>
      </c>
      <c r="D4" s="49" t="str">
        <f>_xll.qlSimpleQuote(C4,,RateTickValue,Permanent,Trigger,ObjectOverwrite)</f>
        <v>USD_CURVE_3M_1Y_Quote#0000</v>
      </c>
      <c r="E4" s="16" t="str">
        <f>_xll.ohRangeRetrieveError(D4)</f>
        <v/>
      </c>
      <c r="F4" s="23"/>
      <c r="I4" s="94"/>
      <c r="J4" s="200" t="s">
        <v>8</v>
      </c>
      <c r="K4" s="239" t="str">
        <f t="shared" si="0"/>
        <v>USD_CURVE_3M_1Y</v>
      </c>
      <c r="L4" s="194">
        <v>0.47949635500000004</v>
      </c>
      <c r="M4" s="194">
        <v>0.47949635500000004</v>
      </c>
      <c r="N4" s="198">
        <f t="shared" ref="N4:N40" si="2">AVERAGE(L4,M4)</f>
        <v>0.47949635500000004</v>
      </c>
      <c r="O4" s="196"/>
      <c r="P4" s="197">
        <v>0.31186784699999998</v>
      </c>
      <c r="Q4" s="196"/>
      <c r="R4" s="261">
        <v>0.47949635500000004</v>
      </c>
      <c r="S4" s="193">
        <f>_xll.qlSimpleQuoteSetValue(D4,R4/100,Trigger)</f>
        <v>-2.651999999898208E-8</v>
      </c>
      <c r="T4" s="164"/>
      <c r="U4" s="13"/>
      <c r="V4" s="13"/>
      <c r="W4" s="13"/>
      <c r="X4" s="13"/>
      <c r="Y4" s="13"/>
      <c r="Z4" s="230"/>
    </row>
    <row r="5" spans="1:26" x14ac:dyDescent="0.2">
      <c r="A5" s="94"/>
      <c r="B5" s="141" t="s">
        <v>107</v>
      </c>
      <c r="C5" s="49" t="str">
        <f t="shared" si="1"/>
        <v>USD_CURVE_3M_15M_Quote</v>
      </c>
      <c r="D5" s="49" t="str">
        <f>_xll.qlSimpleQuote(C5,,RateTickValue,Permanent,Trigger,ObjectOverwrite)</f>
        <v>USD_CURVE_3M_15M_Quote#0000</v>
      </c>
      <c r="E5" s="138" t="str">
        <f>_xll.ohRangeRetrieveError(D5)</f>
        <v/>
      </c>
      <c r="F5" s="23"/>
      <c r="I5" s="94"/>
      <c r="J5" s="200" t="s">
        <v>107</v>
      </c>
      <c r="K5" s="239" t="str">
        <f t="shared" si="0"/>
        <v>USD_CURVE_3M_15M</v>
      </c>
      <c r="L5" s="194" t="s">
        <v>327</v>
      </c>
      <c r="M5" s="194" t="s">
        <v>327</v>
      </c>
      <c r="N5" s="198" t="e">
        <f t="shared" si="2"/>
        <v>#DIV/0!</v>
      </c>
      <c r="O5" s="196"/>
      <c r="P5" s="197" t="e">
        <v>#DIV/0!</v>
      </c>
      <c r="Q5" s="196"/>
      <c r="R5" s="261" t="e">
        <v>#DIV/0!</v>
      </c>
      <c r="S5" s="193">
        <f>_xll.qlSimpleQuoteSetValue(D5,R5/100,Trigger)</f>
        <v>0</v>
      </c>
      <c r="T5" s="164"/>
      <c r="U5" s="13"/>
      <c r="V5" s="13"/>
      <c r="W5" s="13"/>
      <c r="X5" s="13"/>
      <c r="Y5" s="13"/>
      <c r="Z5" s="230"/>
    </row>
    <row r="6" spans="1:26" x14ac:dyDescent="0.2">
      <c r="A6" s="94"/>
      <c r="B6" s="141" t="s">
        <v>106</v>
      </c>
      <c r="C6" s="49" t="str">
        <f t="shared" si="1"/>
        <v>USD_CURVE_3M_18M_Quote</v>
      </c>
      <c r="D6" s="49" t="str">
        <f>_xll.qlSimpleQuote(C6,,RateTickValue,Permanent,Trigger,ObjectOverwrite)</f>
        <v>USD_CURVE_3M_18M_Quote#0000</v>
      </c>
      <c r="E6" s="138" t="str">
        <f>_xll.ohRangeRetrieveError(D6)</f>
        <v/>
      </c>
      <c r="F6" s="23"/>
      <c r="I6" s="94"/>
      <c r="J6" s="200" t="s">
        <v>106</v>
      </c>
      <c r="K6" s="239" t="str">
        <f t="shared" si="0"/>
        <v>USD_CURVE_3M_18M</v>
      </c>
      <c r="L6" s="194" t="s">
        <v>327</v>
      </c>
      <c r="M6" s="194" t="s">
        <v>327</v>
      </c>
      <c r="N6" s="198" t="e">
        <f t="shared" si="2"/>
        <v>#DIV/0!</v>
      </c>
      <c r="O6" s="196"/>
      <c r="P6" s="197" t="e">
        <v>#DIV/0!</v>
      </c>
      <c r="Q6" s="196"/>
      <c r="R6" s="261" t="e">
        <v>#DIV/0!</v>
      </c>
      <c r="S6" s="193">
        <f>_xll.qlSimpleQuoteSetValue(D6,R6/100,Trigger)</f>
        <v>0</v>
      </c>
      <c r="T6" s="164"/>
      <c r="U6" s="13"/>
      <c r="V6" s="13"/>
      <c r="W6" s="13"/>
      <c r="X6" s="13"/>
      <c r="Y6" s="13"/>
      <c r="Z6" s="230"/>
    </row>
    <row r="7" spans="1:26" x14ac:dyDescent="0.2">
      <c r="A7" s="94"/>
      <c r="B7" s="141" t="s">
        <v>105</v>
      </c>
      <c r="C7" s="49" t="str">
        <f t="shared" si="1"/>
        <v>USD_CURVE_3M_21M_Quote</v>
      </c>
      <c r="D7" s="49" t="str">
        <f>_xll.qlSimpleQuote(C7,,RateTickValue,Permanent,Trigger,ObjectOverwrite)</f>
        <v>USD_CURVE_3M_21M_Quote#0000</v>
      </c>
      <c r="E7" s="138" t="str">
        <f>_xll.ohRangeRetrieveError(D7)</f>
        <v/>
      </c>
      <c r="F7" s="23"/>
      <c r="I7" s="94"/>
      <c r="J7" s="200" t="s">
        <v>105</v>
      </c>
      <c r="K7" s="239" t="str">
        <f t="shared" si="0"/>
        <v>USD_CURVE_3M_21M</v>
      </c>
      <c r="L7" s="194" t="s">
        <v>327</v>
      </c>
      <c r="M7" s="194" t="s">
        <v>327</v>
      </c>
      <c r="N7" s="198" t="e">
        <f t="shared" si="2"/>
        <v>#DIV/0!</v>
      </c>
      <c r="O7" s="196"/>
      <c r="P7" s="197" t="e">
        <v>#DIV/0!</v>
      </c>
      <c r="Q7" s="196"/>
      <c r="R7" s="261" t="e">
        <v>#DIV/0!</v>
      </c>
      <c r="S7" s="193">
        <f>_xll.qlSimpleQuoteSetValue(D7,R7/100,Trigger)</f>
        <v>0</v>
      </c>
      <c r="T7" s="164"/>
      <c r="U7" s="13"/>
      <c r="V7" s="13"/>
      <c r="W7" s="13"/>
      <c r="X7" s="13"/>
      <c r="Y7" s="13"/>
      <c r="Z7" s="230"/>
    </row>
    <row r="8" spans="1:26" x14ac:dyDescent="0.2">
      <c r="A8" s="94"/>
      <c r="B8" s="141" t="s">
        <v>84</v>
      </c>
      <c r="C8" s="49" t="str">
        <f t="shared" si="1"/>
        <v>USD_CURVE_3M_2Y_Quote</v>
      </c>
      <c r="D8" s="49" t="str">
        <f>_xll.qlSimpleQuote(C8,,RateTickValue,Permanent,Trigger,ObjectOverwrite)</f>
        <v>USD_CURVE_3M_2Y_Quote#0000</v>
      </c>
      <c r="E8" s="138" t="str">
        <f>_xll.ohRangeRetrieveError(D8)</f>
        <v/>
      </c>
      <c r="F8" s="23"/>
      <c r="I8" s="94"/>
      <c r="J8" s="200" t="s">
        <v>84</v>
      </c>
      <c r="K8" s="239" t="str">
        <f t="shared" si="0"/>
        <v>USD_CURVE_3M_2Y</v>
      </c>
      <c r="L8" s="194">
        <v>0.89373250100000001</v>
      </c>
      <c r="M8" s="194">
        <v>0.89373250100000001</v>
      </c>
      <c r="N8" s="198">
        <f t="shared" si="2"/>
        <v>0.89373250100000001</v>
      </c>
      <c r="O8" s="196"/>
      <c r="P8" s="197">
        <v>0.70405521100000001</v>
      </c>
      <c r="Q8" s="196"/>
      <c r="R8" s="261">
        <v>0.89373250100000001</v>
      </c>
      <c r="S8" s="193">
        <f>_xll.qlSimpleQuoteSetValue(D8,R8/100,Trigger)</f>
        <v>1.7640000000117284E-7</v>
      </c>
      <c r="T8" s="164"/>
      <c r="U8" s="13"/>
      <c r="V8" s="13"/>
      <c r="W8" s="13"/>
      <c r="X8" s="13"/>
      <c r="Y8" s="13"/>
      <c r="Z8" s="230"/>
    </row>
    <row r="9" spans="1:26" x14ac:dyDescent="0.2">
      <c r="A9" s="94"/>
      <c r="B9" s="141" t="s">
        <v>83</v>
      </c>
      <c r="C9" s="49" t="str">
        <f t="shared" si="1"/>
        <v>USD_CURVE_3M_3Y_Quote</v>
      </c>
      <c r="D9" s="49" t="str">
        <f>_xll.qlSimpleQuote(C9,,RateTickValue,Permanent,Trigger,ObjectOverwrite)</f>
        <v>USD_CURVE_3M_3Y_Quote#0000</v>
      </c>
      <c r="E9" s="138" t="str">
        <f>_xll.ohRangeRetrieveError(D9)</f>
        <v/>
      </c>
      <c r="F9" s="23"/>
      <c r="I9" s="94"/>
      <c r="J9" s="200" t="s">
        <v>83</v>
      </c>
      <c r="K9" s="239" t="str">
        <f t="shared" si="0"/>
        <v>USD_CURVE_3M_3Y</v>
      </c>
      <c r="L9" s="194">
        <v>1.226</v>
      </c>
      <c r="M9" s="194">
        <v>1.226</v>
      </c>
      <c r="N9" s="198">
        <f t="shared" si="2"/>
        <v>1.226</v>
      </c>
      <c r="O9" s="196"/>
      <c r="P9" s="197">
        <v>1.129</v>
      </c>
      <c r="Q9" s="196"/>
      <c r="R9" s="261">
        <v>1.226</v>
      </c>
      <c r="S9" s="193">
        <f>_xll.qlSimpleQuoteSetValue(D9,R9/100,Trigger)</f>
        <v>-1.0000000000001327E-5</v>
      </c>
      <c r="T9" s="164"/>
      <c r="U9" s="13"/>
      <c r="V9" s="13"/>
      <c r="W9" s="13"/>
      <c r="X9" s="13"/>
      <c r="Y9" s="13"/>
      <c r="Z9" s="230"/>
    </row>
    <row r="10" spans="1:26" x14ac:dyDescent="0.2">
      <c r="A10" s="94"/>
      <c r="B10" s="141" t="s">
        <v>82</v>
      </c>
      <c r="C10" s="49" t="str">
        <f t="shared" si="1"/>
        <v>USD_CURVE_3M_4Y_Quote</v>
      </c>
      <c r="D10" s="49" t="str">
        <f>_xll.qlSimpleQuote(C10,,RateTickValue,Permanent,Trigger,ObjectOverwrite)</f>
        <v>USD_CURVE_3M_4Y_Quote#0000</v>
      </c>
      <c r="E10" s="138" t="str">
        <f>_xll.ohRangeRetrieveError(D10)</f>
        <v/>
      </c>
      <c r="F10" s="23"/>
      <c r="I10" s="94"/>
      <c r="J10" s="200" t="s">
        <v>82</v>
      </c>
      <c r="K10" s="239" t="str">
        <f t="shared" si="0"/>
        <v>USD_CURVE_3M_4Y</v>
      </c>
      <c r="L10" s="194">
        <v>1.4670000000000001</v>
      </c>
      <c r="M10" s="194">
        <v>1.4670000000000001</v>
      </c>
      <c r="N10" s="198">
        <f t="shared" si="2"/>
        <v>1.4670000000000001</v>
      </c>
      <c r="O10" s="196"/>
      <c r="P10" s="197">
        <v>1.468</v>
      </c>
      <c r="Q10" s="196"/>
      <c r="R10" s="261">
        <v>1.4670000000000001</v>
      </c>
      <c r="S10" s="193">
        <f>_xll.qlSimpleQuoteSetValue(D10,R10/100,Trigger)</f>
        <v>0</v>
      </c>
      <c r="T10" s="164"/>
      <c r="U10" s="13"/>
      <c r="V10" s="13"/>
      <c r="W10" s="13"/>
      <c r="X10" s="13"/>
      <c r="Y10" s="13"/>
      <c r="Z10" s="230"/>
    </row>
    <row r="11" spans="1:26" x14ac:dyDescent="0.2">
      <c r="A11" s="94"/>
      <c r="B11" s="141" t="s">
        <v>81</v>
      </c>
      <c r="C11" s="49" t="str">
        <f t="shared" si="1"/>
        <v>USD_CURVE_3M_5Y_Quote</v>
      </c>
      <c r="D11" s="49" t="str">
        <f>_xll.qlSimpleQuote(C11,,RateTickValue,Permanent,Trigger,ObjectOverwrite)</f>
        <v>USD_CURVE_3M_5Y_Quote#0000</v>
      </c>
      <c r="E11" s="138" t="str">
        <f>_xll.ohRangeRetrieveError(D11)</f>
        <v/>
      </c>
      <c r="F11" s="23"/>
      <c r="I11" s="94"/>
      <c r="J11" s="200" t="s">
        <v>81</v>
      </c>
      <c r="K11" s="239" t="str">
        <f t="shared" si="0"/>
        <v>USD_CURVE_3M_5Y</v>
      </c>
      <c r="L11" s="194">
        <v>1.6400000000000001</v>
      </c>
      <c r="M11" s="194">
        <v>1.6400000000000001</v>
      </c>
      <c r="N11" s="198">
        <f t="shared" si="2"/>
        <v>1.6400000000000001</v>
      </c>
      <c r="O11" s="196"/>
      <c r="P11" s="197">
        <v>1.7230000000000001</v>
      </c>
      <c r="Q11" s="196"/>
      <c r="R11" s="261">
        <v>1.6400000000000001</v>
      </c>
      <c r="S11" s="193">
        <f>_xll.qlSimpleQuoteSetValue(D11,R11/100,Trigger)</f>
        <v>0</v>
      </c>
      <c r="T11" s="164"/>
      <c r="U11" s="13"/>
      <c r="V11" s="13"/>
      <c r="W11" s="13"/>
      <c r="X11" s="13"/>
      <c r="Y11" s="13"/>
      <c r="Z11" s="230"/>
    </row>
    <row r="12" spans="1:26" x14ac:dyDescent="0.2">
      <c r="A12" s="94"/>
      <c r="B12" s="141" t="s">
        <v>80</v>
      </c>
      <c r="C12" s="49" t="str">
        <f t="shared" si="1"/>
        <v>USD_CURVE_3M_6Y_Quote</v>
      </c>
      <c r="D12" s="49" t="str">
        <f>_xll.qlSimpleQuote(C12,,RateTickValue,Permanent,Trigger,ObjectOverwrite)</f>
        <v>USD_CURVE_3M_6Y_Quote#0000</v>
      </c>
      <c r="E12" s="138" t="str">
        <f>_xll.ohRangeRetrieveError(D12)</f>
        <v/>
      </c>
      <c r="F12" s="23"/>
      <c r="I12" s="94"/>
      <c r="J12" s="200" t="s">
        <v>80</v>
      </c>
      <c r="K12" s="239" t="str">
        <f t="shared" si="0"/>
        <v>USD_CURVE_3M_6Y</v>
      </c>
      <c r="L12" s="194">
        <v>1.7709999999999999</v>
      </c>
      <c r="M12" s="194">
        <v>1.7709999999999999</v>
      </c>
      <c r="N12" s="198">
        <f t="shared" si="2"/>
        <v>1.7709999999999999</v>
      </c>
      <c r="O12" s="196"/>
      <c r="P12" s="197">
        <v>1.921</v>
      </c>
      <c r="Q12" s="196"/>
      <c r="R12" s="261">
        <v>1.7709999999999999</v>
      </c>
      <c r="S12" s="193">
        <f>_xll.qlSimpleQuoteSetValue(D12,R12/100,Trigger)</f>
        <v>0</v>
      </c>
      <c r="T12" s="164"/>
      <c r="U12" s="13"/>
      <c r="V12" s="13"/>
      <c r="W12" s="13"/>
      <c r="X12" s="13"/>
      <c r="Y12" s="13"/>
      <c r="Z12" s="230"/>
    </row>
    <row r="13" spans="1:26" x14ac:dyDescent="0.2">
      <c r="A13" s="94"/>
      <c r="B13" s="141" t="s">
        <v>79</v>
      </c>
      <c r="C13" s="49" t="str">
        <f t="shared" si="1"/>
        <v>USD_CURVE_3M_7Y_Quote</v>
      </c>
      <c r="D13" s="49" t="str">
        <f>_xll.qlSimpleQuote(C13,,RateTickValue,Permanent,Trigger,ObjectOverwrite)</f>
        <v>USD_CURVE_3M_7Y_Quote#0000</v>
      </c>
      <c r="E13" s="138" t="str">
        <f>_xll.ohRangeRetrieveError(D13)</f>
        <v/>
      </c>
      <c r="F13" s="23"/>
      <c r="I13" s="94"/>
      <c r="J13" s="200" t="s">
        <v>79</v>
      </c>
      <c r="K13" s="239" t="str">
        <f t="shared" si="0"/>
        <v>USD_CURVE_3M_7Y</v>
      </c>
      <c r="L13" s="194">
        <v>1.875</v>
      </c>
      <c r="M13" s="194">
        <v>1.875</v>
      </c>
      <c r="N13" s="198">
        <f t="shared" si="2"/>
        <v>1.875</v>
      </c>
      <c r="O13" s="196"/>
      <c r="P13" s="197">
        <v>2.0840000000000001</v>
      </c>
      <c r="Q13" s="196"/>
      <c r="R13" s="261">
        <v>1.875</v>
      </c>
      <c r="S13" s="193">
        <f>_xll.qlSimpleQuoteSetValue(D13,R13/100,Trigger)</f>
        <v>9.9999999999995925E-6</v>
      </c>
      <c r="T13" s="164"/>
      <c r="U13" s="13"/>
      <c r="V13" s="13"/>
      <c r="W13" s="13"/>
      <c r="X13" s="13"/>
      <c r="Y13" s="13"/>
      <c r="Z13" s="230"/>
    </row>
    <row r="14" spans="1:26" x14ac:dyDescent="0.2">
      <c r="A14" s="94"/>
      <c r="B14" s="141" t="s">
        <v>78</v>
      </c>
      <c r="C14" s="49" t="str">
        <f t="shared" si="1"/>
        <v>USD_CURVE_3M_8Y_Quote</v>
      </c>
      <c r="D14" s="49" t="str">
        <f>_xll.qlSimpleQuote(C14,,RateTickValue,Permanent,Trigger,ObjectOverwrite)</f>
        <v>USD_CURVE_3M_8Y_Quote#0000</v>
      </c>
      <c r="E14" s="138" t="str">
        <f>_xll.ohRangeRetrieveError(D14)</f>
        <v/>
      </c>
      <c r="F14" s="23"/>
      <c r="I14" s="94"/>
      <c r="J14" s="200" t="s">
        <v>78</v>
      </c>
      <c r="K14" s="239" t="str">
        <f t="shared" si="0"/>
        <v>USD_CURVE_3M_8Y</v>
      </c>
      <c r="L14" s="194">
        <v>1.9570000000000001</v>
      </c>
      <c r="M14" s="194">
        <v>1.9570000000000001</v>
      </c>
      <c r="N14" s="198">
        <f t="shared" si="2"/>
        <v>1.9570000000000001</v>
      </c>
      <c r="O14" s="196"/>
      <c r="P14" s="197">
        <v>2.2170000000000001</v>
      </c>
      <c r="Q14" s="196"/>
      <c r="R14" s="261">
        <v>1.9570000000000001</v>
      </c>
      <c r="S14" s="193">
        <f>_xll.qlSimpleQuoteSetValue(D14,R14/100,Trigger)</f>
        <v>9.9999999999995925E-6</v>
      </c>
      <c r="T14" s="164"/>
      <c r="U14" s="13"/>
      <c r="V14" s="13"/>
      <c r="W14" s="13"/>
      <c r="X14" s="13"/>
      <c r="Y14" s="13"/>
      <c r="Z14" s="230"/>
    </row>
    <row r="15" spans="1:26" x14ac:dyDescent="0.2">
      <c r="A15" s="94"/>
      <c r="B15" s="141" t="s">
        <v>77</v>
      </c>
      <c r="C15" s="49" t="str">
        <f t="shared" si="1"/>
        <v>USD_CURVE_3M_9Y_Quote</v>
      </c>
      <c r="D15" s="49" t="str">
        <f>_xll.qlSimpleQuote(C15,,RateTickValue,Permanent,Trigger,ObjectOverwrite)</f>
        <v>USD_CURVE_3M_9Y_Quote#0000</v>
      </c>
      <c r="E15" s="138" t="str">
        <f>_xll.ohRangeRetrieveError(D15)</f>
        <v/>
      </c>
      <c r="F15" s="23"/>
      <c r="I15" s="94"/>
      <c r="J15" s="200" t="s">
        <v>77</v>
      </c>
      <c r="K15" s="239" t="str">
        <f t="shared" si="0"/>
        <v>USD_CURVE_3M_9Y</v>
      </c>
      <c r="L15" s="194">
        <v>2.0259999999999998</v>
      </c>
      <c r="M15" s="194">
        <v>2.0259999999999998</v>
      </c>
      <c r="N15" s="198">
        <f t="shared" si="2"/>
        <v>2.0259999999999998</v>
      </c>
      <c r="O15" s="196"/>
      <c r="P15" s="197">
        <v>2.331</v>
      </c>
      <c r="Q15" s="196"/>
      <c r="R15" s="261">
        <v>2.0259999999999998</v>
      </c>
      <c r="S15" s="193">
        <f>_xll.qlSimpleQuoteSetValue(D15,R15/100,Trigger)</f>
        <v>9.9999999999961231E-6</v>
      </c>
      <c r="T15" s="164"/>
      <c r="U15" s="13"/>
      <c r="V15" s="13"/>
      <c r="W15" s="13"/>
      <c r="X15" s="13"/>
      <c r="Y15" s="13"/>
      <c r="Z15" s="230"/>
    </row>
    <row r="16" spans="1:26" x14ac:dyDescent="0.2">
      <c r="A16" s="94"/>
      <c r="B16" s="141" t="s">
        <v>76</v>
      </c>
      <c r="C16" s="49" t="str">
        <f t="shared" si="1"/>
        <v>USD_CURVE_3M_10Y_Quote</v>
      </c>
      <c r="D16" s="49" t="str">
        <f>_xll.qlSimpleQuote(C16,,RateTickValue,Permanent,Trigger,ObjectOverwrite)</f>
        <v>USD_CURVE_3M_10Y_Quote#0000</v>
      </c>
      <c r="E16" s="138" t="str">
        <f>_xll.ohRangeRetrieveError(D16)</f>
        <v/>
      </c>
      <c r="F16" s="23"/>
      <c r="I16" s="94"/>
      <c r="J16" s="200" t="s">
        <v>76</v>
      </c>
      <c r="K16" s="239" t="str">
        <f t="shared" si="0"/>
        <v>USD_CURVE_3M_10Y</v>
      </c>
      <c r="L16" s="194">
        <v>2.085</v>
      </c>
      <c r="M16" s="194">
        <v>2.085</v>
      </c>
      <c r="N16" s="198">
        <f t="shared" si="2"/>
        <v>2.085</v>
      </c>
      <c r="O16" s="196"/>
      <c r="P16" s="197">
        <v>2.427</v>
      </c>
      <c r="Q16" s="196"/>
      <c r="R16" s="261">
        <v>2.085</v>
      </c>
      <c r="S16" s="193">
        <f>_xll.qlSimpleQuoteSetValue(D16,R16/100,Trigger)</f>
        <v>1.9999999999999185E-5</v>
      </c>
      <c r="T16" s="164"/>
      <c r="U16" s="13"/>
      <c r="V16" s="13"/>
      <c r="W16" s="13"/>
      <c r="X16" s="13"/>
      <c r="Y16" s="13"/>
      <c r="Z16" s="230"/>
    </row>
    <row r="17" spans="1:26" x14ac:dyDescent="0.2">
      <c r="A17" s="94"/>
      <c r="B17" s="141" t="s">
        <v>75</v>
      </c>
      <c r="C17" s="49" t="str">
        <f t="shared" si="1"/>
        <v>USD_CURVE_3M_11Y_Quote</v>
      </c>
      <c r="D17" s="49" t="str">
        <f>_xll.qlSimpleQuote(C17,,RateTickValue,Permanent,Trigger,ObjectOverwrite)</f>
        <v>USD_CURVE_3M_11Y_Quote#0000</v>
      </c>
      <c r="E17" s="138" t="str">
        <f>_xll.ohRangeRetrieveError(D17)</f>
        <v/>
      </c>
      <c r="F17" s="23"/>
      <c r="I17" s="94"/>
      <c r="J17" s="200" t="s">
        <v>75</v>
      </c>
      <c r="K17" s="239" t="str">
        <f t="shared" si="0"/>
        <v>USD_CURVE_3M_11Y</v>
      </c>
      <c r="L17" s="194">
        <v>2.1370732979999998</v>
      </c>
      <c r="M17" s="194">
        <v>2.1370732979999998</v>
      </c>
      <c r="N17" s="198">
        <f t="shared" si="2"/>
        <v>2.1370732979999998</v>
      </c>
      <c r="O17" s="196"/>
      <c r="P17" s="197">
        <v>2.5114326</v>
      </c>
      <c r="Q17" s="196"/>
      <c r="R17" s="261">
        <v>2.1370732979999998</v>
      </c>
      <c r="S17" s="193">
        <f>_xll.qlSimpleQuoteSetValue(D17,R17/100,Trigger)</f>
        <v>2.2922559999995901E-5</v>
      </c>
      <c r="T17" s="164"/>
      <c r="U17" s="13"/>
      <c r="V17" s="13"/>
      <c r="W17" s="13"/>
      <c r="X17" s="13"/>
      <c r="Y17" s="13"/>
      <c r="Z17" s="230"/>
    </row>
    <row r="18" spans="1:26" x14ac:dyDescent="0.2">
      <c r="A18" s="94"/>
      <c r="B18" s="141" t="s">
        <v>74</v>
      </c>
      <c r="C18" s="49" t="str">
        <f t="shared" si="1"/>
        <v>USD_CURVE_3M_12Y_Quote</v>
      </c>
      <c r="D18" s="49" t="str">
        <f>_xll.qlSimpleQuote(C18,,RateTickValue,Permanent,Trigger,ObjectOverwrite)</f>
        <v>USD_CURVE_3M_12Y_Quote#0000</v>
      </c>
      <c r="E18" s="138" t="str">
        <f>_xll.ohRangeRetrieveError(D18)</f>
        <v/>
      </c>
      <c r="F18" s="23"/>
      <c r="I18" s="94"/>
      <c r="J18" s="200" t="s">
        <v>74</v>
      </c>
      <c r="K18" s="239" t="str">
        <f t="shared" si="0"/>
        <v>USD_CURVE_3M_12Y</v>
      </c>
      <c r="L18" s="194">
        <v>2.1829999999999998</v>
      </c>
      <c r="M18" s="194">
        <v>2.1829999999999998</v>
      </c>
      <c r="N18" s="198">
        <f t="shared" si="2"/>
        <v>2.1829999999999998</v>
      </c>
      <c r="O18" s="196"/>
      <c r="P18" s="197">
        <v>2.585</v>
      </c>
      <c r="Q18" s="196"/>
      <c r="R18" s="261">
        <v>2.1829999999999998</v>
      </c>
      <c r="S18" s="193">
        <f>_xll.qlSimpleQuoteSetValue(D18,R18/100,Trigger)</f>
        <v>1.9999999999999185E-5</v>
      </c>
      <c r="T18" s="164"/>
      <c r="U18" s="13"/>
      <c r="V18" s="13"/>
      <c r="W18" s="13"/>
      <c r="X18" s="13"/>
      <c r="Y18" s="13"/>
      <c r="Z18" s="230"/>
    </row>
    <row r="19" spans="1:26" x14ac:dyDescent="0.2">
      <c r="A19" s="94"/>
      <c r="B19" s="141" t="s">
        <v>73</v>
      </c>
      <c r="C19" s="49" t="str">
        <f t="shared" si="1"/>
        <v>USD_CURVE_3M_13Y_Quote</v>
      </c>
      <c r="D19" s="49" t="str">
        <f>_xll.qlSimpleQuote(C19,,RateTickValue,Permanent,Trigger,ObjectOverwrite)</f>
        <v>USD_CURVE_3M_13Y_Quote#0000</v>
      </c>
      <c r="E19" s="138" t="str">
        <f>_xll.ohRangeRetrieveError(D19)</f>
        <v/>
      </c>
      <c r="F19" s="23"/>
      <c r="I19" s="94"/>
      <c r="J19" s="200" t="s">
        <v>73</v>
      </c>
      <c r="K19" s="239" t="str">
        <f t="shared" si="0"/>
        <v>USD_CURVE_3M_13Y</v>
      </c>
      <c r="L19" s="194">
        <v>2.222999889</v>
      </c>
      <c r="M19" s="194">
        <v>2.222999889</v>
      </c>
      <c r="N19" s="198">
        <f t="shared" si="2"/>
        <v>2.222999889</v>
      </c>
      <c r="O19" s="196"/>
      <c r="P19" s="197">
        <v>2.647976581</v>
      </c>
      <c r="Q19" s="196"/>
      <c r="R19" s="261">
        <v>2.222999889</v>
      </c>
      <c r="S19" s="193">
        <f>_xll.qlSimpleQuoteSetValue(D19,R19/100,Trigger)</f>
        <v>1.5993190000000712E-5</v>
      </c>
      <c r="T19" s="164"/>
      <c r="U19" s="13"/>
      <c r="V19" s="13"/>
      <c r="W19" s="13"/>
      <c r="X19" s="13"/>
      <c r="Y19" s="13"/>
      <c r="Z19" s="230"/>
    </row>
    <row r="20" spans="1:26" x14ac:dyDescent="0.2">
      <c r="A20" s="94"/>
      <c r="B20" s="141" t="s">
        <v>72</v>
      </c>
      <c r="C20" s="49" t="str">
        <f t="shared" si="1"/>
        <v>USD_CURVE_3M_14Y_Quote</v>
      </c>
      <c r="D20" s="49" t="str">
        <f>_xll.qlSimpleQuote(C20,,RateTickValue,Permanent,Trigger,ObjectOverwrite)</f>
        <v>USD_CURVE_3M_14Y_Quote#0000</v>
      </c>
      <c r="E20" s="138" t="str">
        <f>_xll.ohRangeRetrieveError(D20)</f>
        <v/>
      </c>
      <c r="F20" s="23"/>
      <c r="I20" s="94"/>
      <c r="J20" s="200" t="s">
        <v>72</v>
      </c>
      <c r="K20" s="239" t="str">
        <f t="shared" si="0"/>
        <v>USD_CURVE_3M_14Y</v>
      </c>
      <c r="L20" s="194">
        <v>2.2570233659999999</v>
      </c>
      <c r="M20" s="194">
        <v>2.2570233659999999</v>
      </c>
      <c r="N20" s="198">
        <f t="shared" si="2"/>
        <v>2.2570233659999999</v>
      </c>
      <c r="O20" s="196"/>
      <c r="P20" s="197">
        <v>2.7024730460000002</v>
      </c>
      <c r="Q20" s="196"/>
      <c r="R20" s="261">
        <v>2.2570233659999999</v>
      </c>
      <c r="S20" s="193">
        <f>_xll.qlSimpleQuoteSetValue(D20,R20/100,Trigger)</f>
        <v>1.2463529999999501E-5</v>
      </c>
      <c r="T20" s="164"/>
      <c r="U20" s="13"/>
      <c r="V20" s="13"/>
      <c r="W20" s="13"/>
      <c r="X20" s="13"/>
      <c r="Y20" s="13"/>
      <c r="Z20" s="230"/>
    </row>
    <row r="21" spans="1:26" x14ac:dyDescent="0.2">
      <c r="A21" s="94"/>
      <c r="B21" s="141" t="s">
        <v>71</v>
      </c>
      <c r="C21" s="49" t="str">
        <f t="shared" si="1"/>
        <v>USD_CURVE_3M_15Y_Quote</v>
      </c>
      <c r="D21" s="49" t="str">
        <f>_xll.qlSimpleQuote(C21,,RateTickValue,Permanent,Trigger,ObjectOverwrite)</f>
        <v>USD_CURVE_3M_15Y_Quote#0000</v>
      </c>
      <c r="E21" s="138" t="str">
        <f>_xll.ohRangeRetrieveError(D21)</f>
        <v/>
      </c>
      <c r="F21" s="23"/>
      <c r="I21" s="94"/>
      <c r="J21" s="200" t="s">
        <v>71</v>
      </c>
      <c r="K21" s="239" t="str">
        <f t="shared" si="0"/>
        <v>USD_CURVE_3M_15Y</v>
      </c>
      <c r="L21" s="194">
        <v>2.286</v>
      </c>
      <c r="M21" s="194">
        <v>2.286</v>
      </c>
      <c r="N21" s="198">
        <f t="shared" si="2"/>
        <v>2.286</v>
      </c>
      <c r="O21" s="196"/>
      <c r="P21" s="197">
        <v>2.7490000000000001</v>
      </c>
      <c r="Q21" s="196"/>
      <c r="R21" s="261">
        <v>2.286</v>
      </c>
      <c r="S21" s="193">
        <f>_xll.qlSimpleQuoteSetValue(D21,R21/100,Trigger)</f>
        <v>9.9999999999995925E-6</v>
      </c>
      <c r="T21" s="164"/>
      <c r="U21" s="13"/>
      <c r="V21" s="13"/>
      <c r="W21" s="13"/>
      <c r="X21" s="13"/>
      <c r="Y21" s="13"/>
      <c r="Z21" s="230"/>
    </row>
    <row r="22" spans="1:26" x14ac:dyDescent="0.2">
      <c r="A22" s="94"/>
      <c r="B22" s="141" t="s">
        <v>70</v>
      </c>
      <c r="C22" s="49" t="str">
        <f t="shared" si="1"/>
        <v>USD_CURVE_3M_16Y_Quote</v>
      </c>
      <c r="D22" s="49" t="str">
        <f>_xll.qlSimpleQuote(C22,,RateTickValue,Permanent,Trigger,ObjectOverwrite)</f>
        <v>USD_CURVE_3M_16Y_Quote#0000</v>
      </c>
      <c r="E22" s="138" t="str">
        <f>_xll.ohRangeRetrieveError(D22)</f>
        <v/>
      </c>
      <c r="F22" s="23"/>
      <c r="I22" s="94"/>
      <c r="J22" s="200" t="s">
        <v>70</v>
      </c>
      <c r="K22" s="239" t="str">
        <f t="shared" si="0"/>
        <v>USD_CURVE_3M_16Y</v>
      </c>
      <c r="L22" s="194">
        <v>2.3103231219999998</v>
      </c>
      <c r="M22" s="194">
        <v>2.3103231219999998</v>
      </c>
      <c r="N22" s="198">
        <f t="shared" si="2"/>
        <v>2.3103231219999998</v>
      </c>
      <c r="O22" s="196"/>
      <c r="P22" s="197">
        <v>2.7893705230000001</v>
      </c>
      <c r="Q22" s="196"/>
      <c r="R22" s="261">
        <v>2.3103231219999998</v>
      </c>
      <c r="S22" s="193">
        <f>_xll.qlSimpleQuoteSetValue(D22,R22/100,Trigger)</f>
        <v>8.8964900000002012E-6</v>
      </c>
      <c r="T22" s="164"/>
      <c r="U22" s="13"/>
      <c r="V22" s="13"/>
      <c r="W22" s="13"/>
      <c r="X22" s="13"/>
      <c r="Y22" s="13"/>
      <c r="Z22" s="230"/>
    </row>
    <row r="23" spans="1:26" x14ac:dyDescent="0.2">
      <c r="A23" s="94"/>
      <c r="B23" s="141" t="s">
        <v>69</v>
      </c>
      <c r="C23" s="49" t="str">
        <f t="shared" si="1"/>
        <v>USD_CURVE_3M_17Y_Quote</v>
      </c>
      <c r="D23" s="49" t="str">
        <f>_xll.qlSimpleQuote(C23,,RateTickValue,Permanent,Trigger,ObjectOverwrite)</f>
        <v>USD_CURVE_3M_17Y_Quote#0000</v>
      </c>
      <c r="E23" s="138" t="str">
        <f>_xll.ohRangeRetrieveError(D23)</f>
        <v/>
      </c>
      <c r="F23" s="23"/>
      <c r="I23" s="94"/>
      <c r="J23" s="200" t="s">
        <v>69</v>
      </c>
      <c r="K23" s="239" t="str">
        <f t="shared" si="0"/>
        <v>USD_CURVE_3M_17Y</v>
      </c>
      <c r="L23" s="194">
        <v>2.3308168810000001</v>
      </c>
      <c r="M23" s="194">
        <v>2.3308168810000001</v>
      </c>
      <c r="N23" s="198">
        <f t="shared" si="2"/>
        <v>2.3308168810000001</v>
      </c>
      <c r="O23" s="196"/>
      <c r="P23" s="197">
        <v>2.824515297</v>
      </c>
      <c r="Q23" s="196"/>
      <c r="R23" s="261">
        <v>2.3308168810000001</v>
      </c>
      <c r="S23" s="193">
        <f>_xll.qlSimpleQuoteSetValue(D23,R23/100,Trigger)</f>
        <v>8.745860000002742E-6</v>
      </c>
      <c r="T23" s="164"/>
      <c r="U23" s="13"/>
      <c r="V23" s="13"/>
      <c r="W23" s="13"/>
      <c r="X23" s="13"/>
      <c r="Y23" s="13"/>
      <c r="Z23" s="230"/>
    </row>
    <row r="24" spans="1:26" x14ac:dyDescent="0.2">
      <c r="A24" s="94"/>
      <c r="B24" s="141" t="s">
        <v>68</v>
      </c>
      <c r="C24" s="49" t="str">
        <f t="shared" si="1"/>
        <v>USD_CURVE_3M_18Y_Quote</v>
      </c>
      <c r="D24" s="49" t="str">
        <f>_xll.qlSimpleQuote(C24,,RateTickValue,Permanent,Trigger,ObjectOverwrite)</f>
        <v>USD_CURVE_3M_18Y_Quote#0000</v>
      </c>
      <c r="E24" s="138" t="str">
        <f>_xll.ohRangeRetrieveError(D24)</f>
        <v/>
      </c>
      <c r="F24" s="23"/>
      <c r="I24" s="94"/>
      <c r="J24" s="200" t="s">
        <v>68</v>
      </c>
      <c r="K24" s="239" t="str">
        <f t="shared" si="0"/>
        <v>USD_CURVE_3M_18Y</v>
      </c>
      <c r="L24" s="194">
        <v>2.3483642269999998</v>
      </c>
      <c r="M24" s="194">
        <v>2.3483642269999998</v>
      </c>
      <c r="N24" s="198">
        <f t="shared" si="2"/>
        <v>2.3483642269999998</v>
      </c>
      <c r="O24" s="196"/>
      <c r="P24" s="197">
        <v>2.855049443</v>
      </c>
      <c r="Q24" s="196"/>
      <c r="R24" s="261">
        <v>2.3483642269999998</v>
      </c>
      <c r="S24" s="193">
        <f>_xll.qlSimpleQuoteSetValue(D24,R24/100,Trigger)</f>
        <v>9.1014499999965415E-6</v>
      </c>
      <c r="T24" s="164"/>
      <c r="U24" s="13"/>
      <c r="V24" s="13"/>
      <c r="W24" s="13"/>
      <c r="X24" s="13"/>
      <c r="Y24" s="13"/>
      <c r="Z24" s="230"/>
    </row>
    <row r="25" spans="1:26" x14ac:dyDescent="0.2">
      <c r="A25" s="94"/>
      <c r="B25" s="141" t="s">
        <v>67</v>
      </c>
      <c r="C25" s="49" t="str">
        <f t="shared" si="1"/>
        <v>USD_CURVE_3M_19Y_Quote</v>
      </c>
      <c r="D25" s="49" t="str">
        <f>_xll.qlSimpleQuote(C25,,RateTickValue,Permanent,Trigger,ObjectOverwrite)</f>
        <v>USD_CURVE_3M_19Y_Quote#0000</v>
      </c>
      <c r="E25" s="138" t="str">
        <f>_xll.ohRangeRetrieveError(D25)</f>
        <v/>
      </c>
      <c r="F25" s="23"/>
      <c r="I25" s="94"/>
      <c r="J25" s="200" t="s">
        <v>67</v>
      </c>
      <c r="K25" s="239" t="str">
        <f t="shared" si="0"/>
        <v>USD_CURVE_3M_19Y</v>
      </c>
      <c r="L25" s="194">
        <v>2.3631992130000001</v>
      </c>
      <c r="M25" s="194">
        <v>2.3631992130000001</v>
      </c>
      <c r="N25" s="198">
        <f t="shared" si="2"/>
        <v>2.3631992130000001</v>
      </c>
      <c r="O25" s="196"/>
      <c r="P25" s="197">
        <v>2.8813265920000002</v>
      </c>
      <c r="Q25" s="196"/>
      <c r="R25" s="261">
        <v>2.3631992130000001</v>
      </c>
      <c r="S25" s="193">
        <f>_xll.qlSimpleQuoteSetValue(D25,R25/100,Trigger)</f>
        <v>9.6074300000026369E-6</v>
      </c>
      <c r="T25" s="164"/>
      <c r="U25" s="13"/>
      <c r="V25" s="13"/>
      <c r="W25" s="13"/>
      <c r="X25" s="13"/>
      <c r="Y25" s="13"/>
      <c r="Z25" s="230"/>
    </row>
    <row r="26" spans="1:26" x14ac:dyDescent="0.2">
      <c r="A26" s="94"/>
      <c r="B26" s="141" t="s">
        <v>66</v>
      </c>
      <c r="C26" s="49" t="str">
        <f t="shared" si="1"/>
        <v>USD_CURVE_3M_20Y_Quote</v>
      </c>
      <c r="D26" s="49" t="str">
        <f>_xll.qlSimpleQuote(C26,,RateTickValue,Permanent,Trigger,ObjectOverwrite)</f>
        <v>USD_CURVE_3M_20Y_Quote#0000</v>
      </c>
      <c r="E26" s="138" t="str">
        <f>_xll.ohRangeRetrieveError(D26)</f>
        <v/>
      </c>
      <c r="F26" s="23"/>
      <c r="I26" s="94"/>
      <c r="J26" s="200" t="s">
        <v>66</v>
      </c>
      <c r="K26" s="239" t="str">
        <f t="shared" si="0"/>
        <v>USD_CURVE_3M_20Y</v>
      </c>
      <c r="L26" s="194">
        <v>2.3759999999999999</v>
      </c>
      <c r="M26" s="194">
        <v>2.3759999999999999</v>
      </c>
      <c r="N26" s="198">
        <f t="shared" si="2"/>
        <v>2.3759999999999999</v>
      </c>
      <c r="O26" s="196"/>
      <c r="P26" s="197">
        <v>2.9039999999999999</v>
      </c>
      <c r="Q26" s="196"/>
      <c r="R26" s="261">
        <v>2.3759999999999999</v>
      </c>
      <c r="S26" s="193">
        <f>_xll.qlSimpleQuoteSetValue(D26,R26/100,Trigger)</f>
        <v>9.9999999999995925E-6</v>
      </c>
      <c r="T26" s="164"/>
      <c r="U26" s="13"/>
      <c r="V26" s="13"/>
      <c r="W26" s="13"/>
      <c r="X26" s="13"/>
      <c r="Y26" s="13"/>
      <c r="Z26" s="230"/>
    </row>
    <row r="27" spans="1:26" x14ac:dyDescent="0.2">
      <c r="A27" s="94"/>
      <c r="B27" s="141" t="s">
        <v>65</v>
      </c>
      <c r="C27" s="49" t="str">
        <f t="shared" si="1"/>
        <v>USD_CURVE_3M_21Y_Quote</v>
      </c>
      <c r="D27" s="49" t="str">
        <f>_xll.qlSimpleQuote(C27,,RateTickValue,Permanent,Trigger,ObjectOverwrite)</f>
        <v>USD_CURVE_3M_21Y_Quote#0000</v>
      </c>
      <c r="E27" s="138" t="str">
        <f>_xll.ohRangeRetrieveError(D27)</f>
        <v/>
      </c>
      <c r="F27" s="23"/>
      <c r="I27" s="94"/>
      <c r="J27" s="200" t="s">
        <v>65</v>
      </c>
      <c r="K27" s="239" t="str">
        <f t="shared" si="0"/>
        <v>USD_CURVE_3M_21Y</v>
      </c>
      <c r="L27" s="194">
        <v>2.3871617220000001</v>
      </c>
      <c r="M27" s="194">
        <v>2.3871617220000001</v>
      </c>
      <c r="N27" s="198">
        <f t="shared" si="2"/>
        <v>2.3871617220000001</v>
      </c>
      <c r="O27" s="196"/>
      <c r="P27" s="197">
        <v>2.9231765850000002</v>
      </c>
      <c r="Q27" s="196"/>
      <c r="R27" s="261">
        <v>2.3871617220000001</v>
      </c>
      <c r="S27" s="193">
        <f>_xll.qlSimpleQuoteSetValue(D27,R27/100,Trigger)</f>
        <v>1.012706000000016E-5</v>
      </c>
      <c r="T27" s="164"/>
      <c r="U27" s="13"/>
      <c r="V27" s="13"/>
      <c r="W27" s="13"/>
      <c r="X27" s="13"/>
      <c r="Y27" s="13"/>
      <c r="Z27" s="230"/>
    </row>
    <row r="28" spans="1:26" x14ac:dyDescent="0.2">
      <c r="A28" s="94"/>
      <c r="B28" s="141" t="s">
        <v>64</v>
      </c>
      <c r="C28" s="49" t="str">
        <f t="shared" si="1"/>
        <v>USD_CURVE_3M_22Y_Quote</v>
      </c>
      <c r="D28" s="49" t="str">
        <f>_xll.qlSimpleQuote(C28,,RateTickValue,Permanent,Trigger,ObjectOverwrite)</f>
        <v>USD_CURVE_3M_22Y_Quote#0000</v>
      </c>
      <c r="E28" s="138" t="str">
        <f>_xll.ohRangeRetrieveError(D28)</f>
        <v/>
      </c>
      <c r="F28" s="23"/>
      <c r="I28" s="94"/>
      <c r="J28" s="200" t="s">
        <v>64</v>
      </c>
      <c r="K28" s="239" t="str">
        <f t="shared" si="0"/>
        <v>USD_CURVE_3M_22Y</v>
      </c>
      <c r="L28" s="194">
        <v>2.3969554720000001</v>
      </c>
      <c r="M28" s="194">
        <v>2.3969554720000001</v>
      </c>
      <c r="N28" s="198">
        <f t="shared" si="2"/>
        <v>2.3969554720000001</v>
      </c>
      <c r="O28" s="196"/>
      <c r="P28" s="197">
        <v>2.9397080820000001</v>
      </c>
      <c r="Q28" s="196"/>
      <c r="R28" s="261">
        <v>2.3969554720000001</v>
      </c>
      <c r="S28" s="193">
        <f>_xll.qlSimpleQuoteSetValue(D28,R28/100,Trigger)</f>
        <v>1.0078369999999559E-5</v>
      </c>
      <c r="T28" s="164"/>
      <c r="U28" s="13"/>
      <c r="V28" s="13"/>
      <c r="W28" s="13"/>
      <c r="X28" s="13"/>
      <c r="Y28" s="13"/>
      <c r="Z28" s="230"/>
    </row>
    <row r="29" spans="1:26" x14ac:dyDescent="0.2">
      <c r="A29" s="94"/>
      <c r="B29" s="141" t="s">
        <v>63</v>
      </c>
      <c r="C29" s="49" t="str">
        <f t="shared" si="1"/>
        <v>USD_CURVE_3M_23Y_Quote</v>
      </c>
      <c r="D29" s="49" t="str">
        <f>_xll.qlSimpleQuote(C29,,RateTickValue,Permanent,Trigger,ObjectOverwrite)</f>
        <v>USD_CURVE_3M_23Y_Quote#0000</v>
      </c>
      <c r="E29" s="138" t="str">
        <f>_xll.ohRangeRetrieveError(D29)</f>
        <v/>
      </c>
      <c r="F29" s="23"/>
      <c r="I29" s="94"/>
      <c r="J29" s="200" t="s">
        <v>63</v>
      </c>
      <c r="K29" s="239" t="str">
        <f t="shared" si="0"/>
        <v>USD_CURVE_3M_23Y</v>
      </c>
      <c r="L29" s="194">
        <v>2.4055524369999999</v>
      </c>
      <c r="M29" s="194">
        <v>2.4055524369999999</v>
      </c>
      <c r="N29" s="198">
        <f t="shared" si="2"/>
        <v>2.4055524369999999</v>
      </c>
      <c r="O29" s="196"/>
      <c r="P29" s="197">
        <v>2.9540740520000002</v>
      </c>
      <c r="Q29" s="196"/>
      <c r="R29" s="261">
        <v>2.4055524369999999</v>
      </c>
      <c r="S29" s="193">
        <f>_xll.qlSimpleQuoteSetValue(D29,R29/100,Trigger)</f>
        <v>9.9776899999994006E-6</v>
      </c>
      <c r="T29" s="164"/>
      <c r="U29" s="13"/>
      <c r="V29" s="13"/>
      <c r="W29" s="13"/>
      <c r="X29" s="13"/>
      <c r="Y29" s="13"/>
      <c r="Z29" s="230"/>
    </row>
    <row r="30" spans="1:26" x14ac:dyDescent="0.2">
      <c r="A30" s="94"/>
      <c r="B30" s="141" t="s">
        <v>62</v>
      </c>
      <c r="C30" s="49" t="str">
        <f t="shared" si="1"/>
        <v>USD_CURVE_3M_24Y_Quote</v>
      </c>
      <c r="D30" s="49" t="str">
        <f>_xll.qlSimpleQuote(C30,,RateTickValue,Permanent,Trigger,ObjectOverwrite)</f>
        <v>USD_CURVE_3M_24Y_Quote#0000</v>
      </c>
      <c r="E30" s="138" t="str">
        <f>_xll.ohRangeRetrieveError(D30)</f>
        <v/>
      </c>
      <c r="F30" s="23"/>
      <c r="I30" s="94"/>
      <c r="J30" s="200" t="s">
        <v>62</v>
      </c>
      <c r="K30" s="239" t="str">
        <f t="shared" si="0"/>
        <v>USD_CURVE_3M_24Y</v>
      </c>
      <c r="L30" s="194">
        <v>2.4132188550000002</v>
      </c>
      <c r="M30" s="194">
        <v>2.4132188550000002</v>
      </c>
      <c r="N30" s="198">
        <f t="shared" si="2"/>
        <v>2.4132188550000002</v>
      </c>
      <c r="O30" s="196"/>
      <c r="P30" s="197">
        <v>2.966716704</v>
      </c>
      <c r="Q30" s="196"/>
      <c r="R30" s="261">
        <v>2.4132188550000002</v>
      </c>
      <c r="S30" s="193">
        <f>_xll.qlSimpleQuoteSetValue(D30,R30/100,Trigger)</f>
        <v>9.9245300000036507E-6</v>
      </c>
      <c r="T30" s="164"/>
      <c r="U30" s="13"/>
      <c r="V30" s="13"/>
      <c r="W30" s="13"/>
      <c r="X30" s="13"/>
      <c r="Y30" s="13"/>
      <c r="Z30" s="230"/>
    </row>
    <row r="31" spans="1:26" x14ac:dyDescent="0.2">
      <c r="A31" s="94"/>
      <c r="B31" s="141" t="s">
        <v>61</v>
      </c>
      <c r="C31" s="49" t="str">
        <f t="shared" si="1"/>
        <v>USD_CURVE_3M_25Y_Quote</v>
      </c>
      <c r="D31" s="49" t="str">
        <f>_xll.qlSimpleQuote(C31,,RateTickValue,Permanent,Trigger,ObjectOverwrite)</f>
        <v>USD_CURVE_3M_25Y_Quote#0000</v>
      </c>
      <c r="E31" s="138" t="str">
        <f>_xll.ohRangeRetrieveError(D31)</f>
        <v/>
      </c>
      <c r="F31" s="23"/>
      <c r="I31" s="94"/>
      <c r="J31" s="200" t="s">
        <v>61</v>
      </c>
      <c r="K31" s="239" t="str">
        <f t="shared" si="0"/>
        <v>USD_CURVE_3M_25Y</v>
      </c>
      <c r="L31" s="194">
        <v>2.42</v>
      </c>
      <c r="M31" s="194">
        <v>2.42</v>
      </c>
      <c r="N31" s="198">
        <f t="shared" si="2"/>
        <v>2.42</v>
      </c>
      <c r="O31" s="196"/>
      <c r="P31" s="197">
        <v>2.9780000000000002</v>
      </c>
      <c r="Q31" s="196"/>
      <c r="R31" s="261">
        <v>2.42</v>
      </c>
      <c r="S31" s="193">
        <f>_xll.qlSimpleQuoteSetValue(D31,R31/100,Trigger)</f>
        <v>9.9999999999995925E-6</v>
      </c>
      <c r="T31" s="164"/>
      <c r="U31" s="13"/>
      <c r="V31" s="13"/>
      <c r="W31" s="13"/>
      <c r="X31" s="13"/>
      <c r="Y31" s="13"/>
      <c r="Z31" s="230"/>
    </row>
    <row r="32" spans="1:26" x14ac:dyDescent="0.2">
      <c r="A32" s="94"/>
      <c r="B32" s="141" t="s">
        <v>60</v>
      </c>
      <c r="C32" s="49" t="str">
        <f t="shared" si="1"/>
        <v>USD_CURVE_3M_26Y_Quote</v>
      </c>
      <c r="D32" s="49" t="str">
        <f>_xll.qlSimpleQuote(C32,,RateTickValue,Permanent,Trigger,ObjectOverwrite)</f>
        <v>USD_CURVE_3M_26Y_Quote#0000</v>
      </c>
      <c r="E32" s="138" t="str">
        <f>_xll.ohRangeRetrieveError(D32)</f>
        <v/>
      </c>
      <c r="F32" s="23"/>
      <c r="I32" s="94"/>
      <c r="J32" s="200" t="s">
        <v>60</v>
      </c>
      <c r="K32" s="239" t="str">
        <f t="shared" si="0"/>
        <v>USD_CURVE_3M_26Y</v>
      </c>
      <c r="L32" s="194">
        <v>2.4261219829999998</v>
      </c>
      <c r="M32" s="194">
        <v>2.4261219829999998</v>
      </c>
      <c r="N32" s="198">
        <f t="shared" si="2"/>
        <v>2.4261219829999998</v>
      </c>
      <c r="O32" s="196"/>
      <c r="P32" s="197">
        <v>2.9882458120000002</v>
      </c>
      <c r="Q32" s="196"/>
      <c r="R32" s="261">
        <v>2.4261219829999998</v>
      </c>
      <c r="S32" s="193">
        <f>_xll.qlSimpleQuoteSetValue(D32,R32/100,Trigger)</f>
        <v>1.0229250000000356E-5</v>
      </c>
      <c r="T32" s="164"/>
      <c r="U32" s="13"/>
      <c r="V32" s="13"/>
      <c r="W32" s="13"/>
      <c r="X32" s="13"/>
      <c r="Y32" s="13"/>
      <c r="Z32" s="230"/>
    </row>
    <row r="33" spans="1:26" x14ac:dyDescent="0.2">
      <c r="A33" s="94"/>
      <c r="B33" s="141" t="s">
        <v>59</v>
      </c>
      <c r="C33" s="49" t="str">
        <f t="shared" si="1"/>
        <v>USD_CURVE_3M_27Y_Quote</v>
      </c>
      <c r="D33" s="49" t="str">
        <f>_xll.qlSimpleQuote(C33,,RateTickValue,Permanent,Trigger,ObjectOverwrite)</f>
        <v>USD_CURVE_3M_27Y_Quote#0000</v>
      </c>
      <c r="E33" s="138" t="str">
        <f>_xll.ohRangeRetrieveError(D33)</f>
        <v/>
      </c>
      <c r="F33" s="23"/>
      <c r="I33" s="94"/>
      <c r="J33" s="200" t="s">
        <v>59</v>
      </c>
      <c r="K33" s="239" t="str">
        <f t="shared" si="0"/>
        <v>USD_CURVE_3M_27Y</v>
      </c>
      <c r="L33" s="194">
        <v>2.4316835600000002</v>
      </c>
      <c r="M33" s="194">
        <v>2.4316835600000002</v>
      </c>
      <c r="N33" s="198">
        <f t="shared" si="2"/>
        <v>2.4316835600000002</v>
      </c>
      <c r="O33" s="196"/>
      <c r="P33" s="197">
        <v>2.9973740860000002</v>
      </c>
      <c r="Q33" s="196"/>
      <c r="R33" s="261">
        <v>2.4316835600000002</v>
      </c>
      <c r="S33" s="193">
        <f>_xll.qlSimpleQuoteSetValue(D33,R33/100,Trigger)</f>
        <v>1.0479610000002637E-5</v>
      </c>
      <c r="T33" s="164"/>
      <c r="U33" s="13"/>
      <c r="V33" s="13"/>
      <c r="W33" s="13"/>
      <c r="X33" s="13"/>
      <c r="Y33" s="13"/>
      <c r="Z33" s="230"/>
    </row>
    <row r="34" spans="1:26" x14ac:dyDescent="0.2">
      <c r="A34" s="94"/>
      <c r="B34" s="141" t="s">
        <v>58</v>
      </c>
      <c r="C34" s="49" t="str">
        <f t="shared" si="1"/>
        <v>USD_CURVE_3M_28Y_Quote</v>
      </c>
      <c r="D34" s="49" t="str">
        <f>_xll.qlSimpleQuote(C34,,RateTickValue,Permanent,Trigger,ObjectOverwrite)</f>
        <v>USD_CURVE_3M_28Y_Quote#0000</v>
      </c>
      <c r="E34" s="138" t="str">
        <f>_xll.ohRangeRetrieveError(D34)</f>
        <v/>
      </c>
      <c r="F34" s="23"/>
      <c r="I34" s="94"/>
      <c r="J34" s="200" t="s">
        <v>58</v>
      </c>
      <c r="K34" s="239" t="str">
        <f t="shared" si="0"/>
        <v>USD_CURVE_3M_28Y</v>
      </c>
      <c r="L34" s="194">
        <v>2.4367889069999999</v>
      </c>
      <c r="M34" s="194">
        <v>2.4367889069999999</v>
      </c>
      <c r="N34" s="198">
        <f t="shared" si="2"/>
        <v>2.4367889069999999</v>
      </c>
      <c r="O34" s="196"/>
      <c r="P34" s="197">
        <v>3.0055355239999999</v>
      </c>
      <c r="Q34" s="196"/>
      <c r="R34" s="261">
        <v>2.4367889069999999</v>
      </c>
      <c r="S34" s="193">
        <f>_xll.qlSimpleQuoteSetValue(D34,R34/100,Trigger)</f>
        <v>1.0604029999999875E-5</v>
      </c>
      <c r="T34" s="164"/>
      <c r="U34" s="13"/>
      <c r="V34" s="13"/>
      <c r="W34" s="13"/>
      <c r="X34" s="13"/>
      <c r="Y34" s="13"/>
      <c r="Z34" s="230"/>
    </row>
    <row r="35" spans="1:26" x14ac:dyDescent="0.2">
      <c r="A35" s="94"/>
      <c r="B35" s="141" t="s">
        <v>57</v>
      </c>
      <c r="C35" s="49" t="str">
        <f t="shared" si="1"/>
        <v>USD_CURVE_3M_29Y_Quote</v>
      </c>
      <c r="D35" s="49" t="str">
        <f>_xll.qlSimpleQuote(C35,,RateTickValue,Permanent,Trigger,ObjectOverwrite)</f>
        <v>USD_CURVE_3M_29Y_Quote#0000</v>
      </c>
      <c r="E35" s="138" t="str">
        <f>_xll.ohRangeRetrieveError(D35)</f>
        <v/>
      </c>
      <c r="F35" s="23"/>
      <c r="I35" s="94"/>
      <c r="J35" s="200" t="s">
        <v>57</v>
      </c>
      <c r="K35" s="239" t="str">
        <f t="shared" si="0"/>
        <v>USD_CURVE_3M_29Y</v>
      </c>
      <c r="L35" s="194">
        <v>2.4415266619999998</v>
      </c>
      <c r="M35" s="194">
        <v>2.4415266619999998</v>
      </c>
      <c r="N35" s="198">
        <f t="shared" si="2"/>
        <v>2.4415266619999998</v>
      </c>
      <c r="O35" s="196"/>
      <c r="P35" s="197">
        <v>3.012728756</v>
      </c>
      <c r="Q35" s="196"/>
      <c r="R35" s="261">
        <v>2.4415266619999998</v>
      </c>
      <c r="S35" s="193">
        <f>_xll.qlSimpleQuoteSetValue(D35,R35/100,Trigger)</f>
        <v>1.0479659999996366E-5</v>
      </c>
      <c r="T35" s="164"/>
      <c r="U35" s="13"/>
      <c r="V35" s="13"/>
      <c r="W35" s="13"/>
      <c r="X35" s="13"/>
      <c r="Y35" s="13"/>
      <c r="Z35" s="230"/>
    </row>
    <row r="36" spans="1:26" x14ac:dyDescent="0.2">
      <c r="A36" s="94"/>
      <c r="B36" s="141" t="s">
        <v>56</v>
      </c>
      <c r="C36" s="49" t="str">
        <f t="shared" si="1"/>
        <v>USD_CURVE_3M_30Y_Quote</v>
      </c>
      <c r="D36" s="49" t="str">
        <f>_xll.qlSimpleQuote(C36,,RateTickValue,Permanent,Trigger,ObjectOverwrite)</f>
        <v>USD_CURVE_3M_30Y_Quote#0000</v>
      </c>
      <c r="E36" s="138" t="str">
        <f>_xll.ohRangeRetrieveError(D36)</f>
        <v/>
      </c>
      <c r="F36" s="23"/>
      <c r="I36" s="94"/>
      <c r="J36" s="200" t="s">
        <v>56</v>
      </c>
      <c r="K36" s="239" t="str">
        <f t="shared" si="0"/>
        <v>USD_CURVE_3M_30Y</v>
      </c>
      <c r="L36" s="194">
        <v>2.4460000000000002</v>
      </c>
      <c r="M36" s="194">
        <v>2.4460000000000002</v>
      </c>
      <c r="N36" s="198">
        <f t="shared" si="2"/>
        <v>2.4460000000000002</v>
      </c>
      <c r="O36" s="196"/>
      <c r="P36" s="197">
        <v>3.0190000000000001</v>
      </c>
      <c r="Q36" s="196"/>
      <c r="R36" s="261">
        <v>2.4460000000000002</v>
      </c>
      <c r="S36" s="193">
        <f>_xll.qlSimpleQuoteSetValue(D36,R36/100,Trigger)</f>
        <v>1.0000000000003062E-5</v>
      </c>
      <c r="T36" s="164"/>
      <c r="U36" s="13"/>
      <c r="V36" s="13"/>
      <c r="W36" s="13"/>
      <c r="X36" s="13"/>
      <c r="Y36" s="13"/>
      <c r="Z36" s="230"/>
    </row>
    <row r="37" spans="1:26" x14ac:dyDescent="0.2">
      <c r="A37" s="94"/>
      <c r="B37" s="141" t="s">
        <v>51</v>
      </c>
      <c r="C37" s="49" t="str">
        <f t="shared" si="1"/>
        <v>USD_CURVE_3M_35Y_Quote</v>
      </c>
      <c r="D37" s="49" t="str">
        <f>_xll.qlSimpleQuote(C37,,RateTickValue,Permanent,Trigger,ObjectOverwrite)</f>
        <v>USD_CURVE_3M_35Y_Quote#0000</v>
      </c>
      <c r="E37" s="138" t="str">
        <f>_xll.ohRangeRetrieveError(D37)</f>
        <v/>
      </c>
      <c r="F37" s="23"/>
      <c r="I37" s="94"/>
      <c r="J37" s="200" t="s">
        <v>51</v>
      </c>
      <c r="K37" s="239" t="str">
        <f t="shared" si="0"/>
        <v>USD_CURVE_3M_35Y</v>
      </c>
      <c r="L37" s="194" t="s">
        <v>327</v>
      </c>
      <c r="M37" s="194" t="s">
        <v>327</v>
      </c>
      <c r="N37" s="198" t="e">
        <f t="shared" si="2"/>
        <v>#DIV/0!</v>
      </c>
      <c r="O37" s="196"/>
      <c r="P37" s="197" t="e">
        <v>#DIV/0!</v>
      </c>
      <c r="Q37" s="196"/>
      <c r="R37" s="261" t="e">
        <v>#DIV/0!</v>
      </c>
      <c r="S37" s="193">
        <f>_xll.qlSimpleQuoteSetValue(D37,R37/100,Trigger)</f>
        <v>0</v>
      </c>
      <c r="T37" s="164"/>
      <c r="U37" s="13"/>
      <c r="V37" s="13"/>
      <c r="W37" s="13"/>
      <c r="X37" s="13"/>
      <c r="Y37" s="13"/>
      <c r="Z37" s="230"/>
    </row>
    <row r="38" spans="1:26" x14ac:dyDescent="0.2">
      <c r="A38" s="94"/>
      <c r="B38" s="141" t="s">
        <v>46</v>
      </c>
      <c r="C38" s="49" t="str">
        <f t="shared" si="1"/>
        <v>USD_CURVE_3M_40Y_Quote</v>
      </c>
      <c r="D38" s="49" t="str">
        <f>_xll.qlSimpleQuote(C38,,RateTickValue,Permanent,Trigger,ObjectOverwrite)</f>
        <v>USD_CURVE_3M_40Y_Quote#0000</v>
      </c>
      <c r="E38" s="138" t="str">
        <f>_xll.ohRangeRetrieveError(D38)</f>
        <v/>
      </c>
      <c r="F38" s="23"/>
      <c r="I38" s="94"/>
      <c r="J38" s="200" t="s">
        <v>46</v>
      </c>
      <c r="K38" s="239" t="str">
        <f t="shared" si="0"/>
        <v>USD_CURVE_3M_40Y</v>
      </c>
      <c r="L38" s="194">
        <v>2.468</v>
      </c>
      <c r="M38" s="194">
        <v>2.468</v>
      </c>
      <c r="N38" s="198">
        <f t="shared" si="2"/>
        <v>2.468</v>
      </c>
      <c r="O38" s="196"/>
      <c r="P38" s="197">
        <v>3.04</v>
      </c>
      <c r="Q38" s="196"/>
      <c r="R38" s="261">
        <v>2.468</v>
      </c>
      <c r="S38" s="193">
        <f>_xll.qlSimpleQuoteSetValue(D38,R38/100,Trigger)</f>
        <v>0</v>
      </c>
      <c r="T38" s="164"/>
      <c r="U38" s="13"/>
      <c r="V38" s="13"/>
      <c r="W38" s="13"/>
      <c r="X38" s="13"/>
      <c r="Y38" s="13"/>
      <c r="Z38" s="230"/>
    </row>
    <row r="39" spans="1:26" x14ac:dyDescent="0.2">
      <c r="A39" s="94"/>
      <c r="B39" s="141" t="s">
        <v>36</v>
      </c>
      <c r="C39" s="49" t="str">
        <f t="shared" si="1"/>
        <v>USD_CURVE_3M_50Y_Quote</v>
      </c>
      <c r="D39" s="49" t="str">
        <f>_xll.qlSimpleQuote(C39,,RateTickValue,Permanent,Trigger,ObjectOverwrite)</f>
        <v>USD_CURVE_3M_50Y_Quote#0000</v>
      </c>
      <c r="E39" s="138" t="str">
        <f>_xll.ohRangeRetrieveError(D39)</f>
        <v/>
      </c>
      <c r="F39" s="23"/>
      <c r="I39" s="94"/>
      <c r="J39" s="200" t="s">
        <v>36</v>
      </c>
      <c r="K39" s="239" t="str">
        <f t="shared" si="0"/>
        <v>USD_CURVE_3M_50Y</v>
      </c>
      <c r="L39" s="194">
        <v>2.4460000000000002</v>
      </c>
      <c r="M39" s="194">
        <v>2.4460000000000002</v>
      </c>
      <c r="N39" s="198">
        <f t="shared" si="2"/>
        <v>2.4460000000000002</v>
      </c>
      <c r="O39" s="196"/>
      <c r="P39" s="197">
        <v>3.0190000000000001</v>
      </c>
      <c r="Q39" s="196"/>
      <c r="R39" s="261">
        <v>2.4460000000000002</v>
      </c>
      <c r="S39" s="193">
        <f>_xll.qlSimpleQuoteSetValue(D39,R39/100,Trigger)</f>
        <v>1.0000000000003062E-5</v>
      </c>
      <c r="T39" s="164"/>
      <c r="U39" s="13"/>
      <c r="V39" s="13"/>
      <c r="W39" s="13"/>
      <c r="X39" s="13"/>
      <c r="Y39" s="13"/>
      <c r="Z39" s="230"/>
    </row>
    <row r="40" spans="1:26" x14ac:dyDescent="0.2">
      <c r="A40" s="94"/>
      <c r="B40" s="141" t="s">
        <v>26</v>
      </c>
      <c r="C40" s="49" t="str">
        <f t="shared" si="1"/>
        <v>USD_CURVE_3M_60Y_Quote</v>
      </c>
      <c r="D40" s="49" t="str">
        <f>_xll.qlSimpleQuote(C40,,RateTickValue,Permanent,Trigger,ObjectOverwrite)</f>
        <v>USD_CURVE_3M_60Y_Quote#0000</v>
      </c>
      <c r="E40" s="138" t="str">
        <f>_xll.ohRangeRetrieveError(D40)</f>
        <v/>
      </c>
      <c r="F40" s="23"/>
      <c r="I40" s="94"/>
      <c r="J40" s="211" t="s">
        <v>26</v>
      </c>
      <c r="K40" s="234" t="str">
        <f t="shared" si="0"/>
        <v>USD_CURVE_3M_60Y</v>
      </c>
      <c r="L40" s="207">
        <v>2.4246948929999999</v>
      </c>
      <c r="M40" s="207">
        <v>2.4246948929999999</v>
      </c>
      <c r="N40" s="209">
        <f t="shared" si="2"/>
        <v>2.4246948929999999</v>
      </c>
      <c r="O40" s="196"/>
      <c r="P40" s="208">
        <v>3.0000456729999998</v>
      </c>
      <c r="Q40" s="196"/>
      <c r="R40" s="254">
        <v>2.4246948929999999</v>
      </c>
      <c r="S40" s="206">
        <f>_xll.qlSimpleQuoteSetValue(D40,R40/100,Trigger)</f>
        <v>2.0516269999996256E-5</v>
      </c>
      <c r="T40" s="164"/>
      <c r="U40" s="13"/>
      <c r="V40" s="13"/>
      <c r="W40" s="13"/>
      <c r="X40" s="13"/>
      <c r="Y40" s="13"/>
      <c r="Z40" s="230"/>
    </row>
    <row r="41" spans="1:26" ht="13.5" thickBot="1" x14ac:dyDescent="0.25">
      <c r="A41" s="22"/>
      <c r="B41" s="21"/>
      <c r="C41" s="21"/>
      <c r="D41" s="90"/>
      <c r="E41" s="90"/>
      <c r="F41" s="20"/>
      <c r="I41" s="157"/>
      <c r="J41" s="21"/>
      <c r="K41" s="21"/>
      <c r="L41" s="21"/>
      <c r="M41" s="21"/>
      <c r="N41" s="21"/>
      <c r="O41" s="156"/>
      <c r="P41" s="156"/>
      <c r="Q41" s="156"/>
      <c r="R41" s="156"/>
      <c r="S41" s="156"/>
      <c r="T41" s="231"/>
      <c r="U41" s="13"/>
      <c r="V41" s="13"/>
      <c r="W41" s="13"/>
      <c r="X41" s="13"/>
      <c r="Y41" s="13"/>
      <c r="Z41" s="13"/>
    </row>
  </sheetData>
  <conditionalFormatting sqref="S3:S40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134</vt:i4>
      </vt:variant>
    </vt:vector>
  </HeadingPairs>
  <TitlesOfParts>
    <vt:vector size="162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MxQuotes</vt:lpstr>
      <vt:lpstr>Swap3M_Mx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Swap3M_Mx!Conventions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Swap3M_Mx!Instruments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MxQuotes!Quote</vt:lpstr>
      <vt:lpstr>OIS!Quote</vt:lpstr>
      <vt:lpstr>Swap3M!Quote</vt:lpstr>
      <vt:lpstr>Swap3M_Mx!Quote</vt:lpstr>
      <vt:lpstr>Swaps1M!Quote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MxQuotes!QuoteLive</vt:lpstr>
      <vt:lpstr>OIS!QuoteLive</vt:lpstr>
      <vt:lpstr>Swap3M!QuoteLive</vt:lpstr>
      <vt:lpstr>Swap3M_Mx!QuoteLive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MxQuotes!QuoteStatic</vt:lpstr>
      <vt:lpstr>OIS!QuoteStatic</vt:lpstr>
      <vt:lpstr>Swap3M!QuoteStatic</vt:lpstr>
      <vt:lpstr>Swap3M_Mx!QuoteStatic</vt:lpstr>
      <vt:lpstr>Swap6M!QuoteStatic</vt:lpstr>
      <vt:lpstr>Swaps1M!QuoteStatic</vt:lpstr>
      <vt:lpstr>SwapsIMMDated!QuoteStatic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2015-02-10T09:08:15Z</dcterms:modified>
</cp:coreProperties>
</file>