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15165" windowHeight="9270" tabRatio="695" firstSheet="1" activeTab="6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  <sheet name="FRACharts" sheetId="36" r:id="rId6"/>
    <sheet name="3M Depo Charts" sheetId="38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>'3M Depo Charts'!$C$9</definedName>
    <definedName name="DayCounterOIS">'3M Depo Charts'!$C$10</definedName>
    <definedName name="DayCounterON">'3M Depo Charts'!$C$11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S4" i="38" l="1"/>
  <c r="Q4" i="38"/>
  <c r="B12" i="36" l="1"/>
  <c r="B13" i="36" l="1"/>
  <c r="B14" i="36" l="1"/>
  <c r="B15" i="36" l="1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J22" i="29" l="1"/>
  <c r="J19" i="29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8" i="33"/>
  <c r="D75" i="33"/>
  <c r="D82" i="33"/>
  <c r="D84" i="33"/>
  <c r="D83" i="33"/>
  <c r="D71" i="33"/>
  <c r="D67" i="33"/>
  <c r="D46" i="33"/>
  <c r="D57" i="33"/>
  <c r="D74" i="33"/>
  <c r="D54" i="33"/>
  <c r="D63" i="33"/>
  <c r="D65" i="33"/>
  <c r="D81" i="33"/>
  <c r="D70" i="33"/>
  <c r="D45" i="33"/>
  <c r="D51" i="33"/>
  <c r="D79" i="33"/>
  <c r="D58" i="33"/>
  <c r="D50" i="33"/>
  <c r="D60" i="33"/>
  <c r="D53" i="33"/>
  <c r="D80" i="33"/>
  <c r="D69" i="33"/>
  <c r="D56" i="33"/>
  <c r="D62" i="33"/>
  <c r="D47" i="33"/>
  <c r="D73" i="33"/>
  <c r="D59" i="33"/>
  <c r="D42" i="33"/>
  <c r="D78" i="33"/>
  <c r="D68" i="33"/>
  <c r="D77" i="33"/>
  <c r="D55" i="33"/>
  <c r="D76" i="33"/>
  <c r="D72" i="33"/>
  <c r="D52" i="33"/>
  <c r="D43" i="33"/>
  <c r="D44" i="33"/>
  <c r="D64" i="33"/>
  <c r="D49" i="33"/>
  <c r="D41" i="33"/>
  <c r="D66" i="33"/>
  <c r="D61" i="33"/>
  <c r="C9" i="33" l="1"/>
  <c r="C12" i="33"/>
  <c r="C13" i="33"/>
  <c r="C8" i="33"/>
  <c r="C14" i="33"/>
  <c r="C11" i="33"/>
  <c r="C10" i="33"/>
  <c r="A3" i="32"/>
  <c r="A16" i="32"/>
  <c r="A26" i="32"/>
  <c r="A7" i="32"/>
  <c r="A4" i="33"/>
  <c r="A16" i="33"/>
  <c r="A26" i="33"/>
  <c r="E53" i="33"/>
  <c r="E45" i="33"/>
  <c r="E60" i="33"/>
  <c r="E58" i="33"/>
  <c r="E66" i="33"/>
  <c r="E41" i="33"/>
  <c r="E81" i="33"/>
  <c r="E84" i="33"/>
  <c r="E68" i="33"/>
  <c r="E67" i="33"/>
  <c r="E55" i="33"/>
  <c r="E74" i="33"/>
  <c r="E62" i="33"/>
  <c r="E44" i="33"/>
  <c r="E64" i="33"/>
  <c r="E54" i="33"/>
  <c r="E47" i="33"/>
  <c r="E57" i="33"/>
  <c r="E59" i="33"/>
  <c r="E49" i="33"/>
  <c r="E75" i="33"/>
  <c r="E79" i="33"/>
  <c r="E51" i="33"/>
  <c r="E78" i="33"/>
  <c r="E63" i="33"/>
  <c r="E65" i="33"/>
  <c r="E50" i="33"/>
  <c r="E52" i="33"/>
  <c r="E80" i="33"/>
  <c r="E56" i="33"/>
  <c r="E70" i="33"/>
  <c r="E73" i="33"/>
  <c r="E48" i="33"/>
  <c r="E82" i="33"/>
  <c r="E83" i="33"/>
  <c r="E46" i="33"/>
  <c r="E61" i="33"/>
  <c r="E77" i="33"/>
  <c r="E43" i="33"/>
  <c r="E42" i="33"/>
  <c r="E72" i="33"/>
  <c r="E69" i="33"/>
  <c r="E71" i="33"/>
  <c r="E76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D23" i="33"/>
  <c r="O2" i="35"/>
  <c r="D11" i="33"/>
  <c r="O6" i="35"/>
  <c r="D35" i="33"/>
  <c r="D22" i="33"/>
  <c r="D37" i="33"/>
  <c r="D19" i="33"/>
  <c r="D16" i="33"/>
  <c r="D40" i="33"/>
  <c r="D5" i="33"/>
  <c r="D20" i="33"/>
  <c r="D32" i="33"/>
  <c r="D4" i="33"/>
  <c r="O3" i="35"/>
  <c r="D24" i="33"/>
  <c r="D36" i="33"/>
  <c r="B1" i="29"/>
  <c r="D15" i="33"/>
  <c r="D38" i="33"/>
  <c r="D10" i="33"/>
  <c r="D14" i="33"/>
  <c r="D28" i="33"/>
  <c r="O4" i="35"/>
  <c r="D18" i="29"/>
  <c r="J48" i="38"/>
  <c r="D12" i="33"/>
  <c r="D3" i="33"/>
  <c r="D29" i="33"/>
  <c r="D9" i="33"/>
  <c r="D17" i="33"/>
  <c r="D6" i="33"/>
  <c r="D27" i="33"/>
  <c r="F10" i="34"/>
  <c r="D18" i="33"/>
  <c r="J46" i="38"/>
  <c r="D13" i="33"/>
  <c r="D31" i="33"/>
  <c r="D25" i="33"/>
  <c r="D21" i="33"/>
  <c r="F46" i="32"/>
  <c r="J59" i="38"/>
  <c r="D8" i="33"/>
  <c r="O5" i="35"/>
  <c r="J60" i="38"/>
  <c r="D26" i="33"/>
  <c r="D34" i="33"/>
  <c r="F34" i="32"/>
  <c r="F48" i="32"/>
  <c r="F35" i="32"/>
  <c r="D19" i="29"/>
  <c r="E23" i="32"/>
  <c r="D39" i="33"/>
  <c r="J61" i="38"/>
  <c r="D33" i="33"/>
  <c r="D30" i="33"/>
  <c r="D7" i="33"/>
  <c r="E22" i="32"/>
  <c r="F40" i="32"/>
  <c r="J58" i="38"/>
  <c r="E21" i="32"/>
  <c r="J50" i="38"/>
  <c r="F37" i="32"/>
  <c r="J44" i="38"/>
  <c r="E27" i="32"/>
  <c r="E12" i="32"/>
  <c r="E20" i="32"/>
  <c r="F42" i="32"/>
  <c r="J49" i="38"/>
  <c r="F44" i="32"/>
  <c r="E19" i="32"/>
  <c r="F49" i="32"/>
  <c r="J47" i="38"/>
  <c r="E14" i="32"/>
  <c r="J45" i="38"/>
  <c r="F47" i="32"/>
  <c r="E24" i="32"/>
  <c r="E13" i="32"/>
  <c r="F38" i="32"/>
  <c r="F39" i="32"/>
  <c r="F41" i="32"/>
  <c r="F45" i="32"/>
  <c r="J57" i="38"/>
  <c r="J55" i="38"/>
  <c r="F43" i="32"/>
  <c r="J56" i="38"/>
  <c r="F36" i="32"/>
  <c r="I61" i="38" l="1"/>
  <c r="I49" i="38"/>
  <c r="I60" i="38"/>
  <c r="I48" i="38"/>
  <c r="I59" i="38"/>
  <c r="I47" i="38"/>
  <c r="I58" i="38"/>
  <c r="I46" i="38"/>
  <c r="I57" i="38"/>
  <c r="I45" i="38"/>
  <c r="I56" i="38"/>
  <c r="I44" i="38"/>
  <c r="I55" i="38"/>
  <c r="I50" i="38"/>
  <c r="B17" i="38"/>
  <c r="AB30" i="32"/>
  <c r="E2" i="34"/>
  <c r="D2" i="35"/>
  <c r="K34" i="32"/>
  <c r="E25" i="32"/>
  <c r="N25" i="32" s="1"/>
  <c r="E15" i="32"/>
  <c r="N15" i="32" s="1"/>
  <c r="E6" i="32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O45" i="38"/>
  <c r="F6" i="34"/>
  <c r="K48" i="38"/>
  <c r="E29" i="33"/>
  <c r="E5" i="33"/>
  <c r="N44" i="38"/>
  <c r="F27" i="32"/>
  <c r="O50" i="38"/>
  <c r="F3" i="34"/>
  <c r="F5" i="34"/>
  <c r="A10" i="32"/>
  <c r="E22" i="33"/>
  <c r="E40" i="33"/>
  <c r="N48" i="38"/>
  <c r="I32" i="35"/>
  <c r="O47" i="38"/>
  <c r="B36" i="32"/>
  <c r="P44" i="38"/>
  <c r="P46" i="38"/>
  <c r="F15" i="32"/>
  <c r="E34" i="33"/>
  <c r="I44" i="35"/>
  <c r="B35" i="32"/>
  <c r="N50" i="38"/>
  <c r="B39" i="32"/>
  <c r="E32" i="33"/>
  <c r="E7" i="33"/>
  <c r="O44" i="38"/>
  <c r="B37" i="32"/>
  <c r="N47" i="38"/>
  <c r="E4" i="33"/>
  <c r="F24" i="32"/>
  <c r="K45" i="38"/>
  <c r="C17" i="38"/>
  <c r="I56" i="35"/>
  <c r="E30" i="33"/>
  <c r="B47" i="32"/>
  <c r="F13" i="32"/>
  <c r="F25" i="32"/>
  <c r="P50" i="38"/>
  <c r="E35" i="33"/>
  <c r="O49" i="38"/>
  <c r="K44" i="38"/>
  <c r="E37" i="33"/>
  <c r="K49" i="38"/>
  <c r="F4" i="34"/>
  <c r="I20" i="35"/>
  <c r="E36" i="33"/>
  <c r="N45" i="38"/>
  <c r="I8" i="35"/>
  <c r="F23" i="32"/>
  <c r="P48" i="38"/>
  <c r="F19" i="32"/>
  <c r="B42" i="32"/>
  <c r="O46" i="38"/>
  <c r="P47" i="38"/>
  <c r="F22" i="32"/>
  <c r="B34" i="32"/>
  <c r="P45" i="38"/>
  <c r="E15" i="33"/>
  <c r="E27" i="33"/>
  <c r="F2" i="32"/>
  <c r="O48" i="38"/>
  <c r="B44" i="32"/>
  <c r="B18" i="38"/>
  <c r="P49" i="38"/>
  <c r="B43" i="32"/>
  <c r="E24" i="33"/>
  <c r="E18" i="33"/>
  <c r="E21" i="33"/>
  <c r="K47" i="38"/>
  <c r="B46" i="32"/>
  <c r="B41" i="32"/>
  <c r="E19" i="33"/>
  <c r="B49" i="32"/>
  <c r="E26" i="33"/>
  <c r="D20" i="29"/>
  <c r="E25" i="33"/>
  <c r="K46" i="38"/>
  <c r="N49" i="38"/>
  <c r="F6" i="32"/>
  <c r="F21" i="32"/>
  <c r="K50" i="38"/>
  <c r="AB31" i="32"/>
  <c r="F5" i="32"/>
  <c r="E6" i="33"/>
  <c r="E17" i="33"/>
  <c r="F14" i="32"/>
  <c r="B48" i="32"/>
  <c r="D21" i="29"/>
  <c r="E38" i="33"/>
  <c r="E28" i="33"/>
  <c r="E20" i="33"/>
  <c r="E23" i="33"/>
  <c r="E33" i="33"/>
  <c r="E16" i="33"/>
  <c r="F20" i="32"/>
  <c r="N46" i="38"/>
  <c r="B45" i="32"/>
  <c r="E31" i="33"/>
  <c r="E39" i="33"/>
  <c r="F2" i="34"/>
  <c r="B38" i="32"/>
  <c r="E3" i="33"/>
  <c r="F12" i="32"/>
  <c r="B40" i="32"/>
  <c r="B19" i="38"/>
  <c r="C19" i="38"/>
  <c r="P9" i="32" l="1"/>
  <c r="N6" i="32"/>
  <c r="D10" i="32"/>
  <c r="A6" i="35"/>
  <c r="A5" i="35"/>
  <c r="A4" i="35"/>
  <c r="O19" i="32"/>
  <c r="T19" i="32" s="1"/>
  <c r="O24" i="32"/>
  <c r="U24" i="32" s="1"/>
  <c r="O22" i="32"/>
  <c r="T22" i="32" s="1"/>
  <c r="O13" i="32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O14" i="32"/>
  <c r="O23" i="32"/>
  <c r="P23" i="32" s="1"/>
  <c r="O6" i="32"/>
  <c r="P6" i="32" s="1"/>
  <c r="A7" i="35"/>
  <c r="D7" i="32"/>
  <c r="T8" i="32"/>
  <c r="U8" i="32"/>
  <c r="P17" i="32"/>
  <c r="U17" i="32"/>
  <c r="T17" i="32"/>
  <c r="T9" i="32"/>
  <c r="U9" i="32"/>
  <c r="P18" i="32"/>
  <c r="U18" i="32"/>
  <c r="T18" i="32"/>
  <c r="B20" i="38"/>
  <c r="C38" i="32"/>
  <c r="B2" i="32"/>
  <c r="B23" i="32"/>
  <c r="C37" i="32"/>
  <c r="C39" i="32"/>
  <c r="C18" i="38"/>
  <c r="L45" i="38"/>
  <c r="AB32" i="32"/>
  <c r="L44" i="38"/>
  <c r="L48" i="38"/>
  <c r="C45" i="32"/>
  <c r="B27" i="32"/>
  <c r="E10" i="32"/>
  <c r="B14" i="32"/>
  <c r="B20" i="32"/>
  <c r="B25" i="32"/>
  <c r="L46" i="38"/>
  <c r="C48" i="32"/>
  <c r="B22" i="32"/>
  <c r="C35" i="32"/>
  <c r="C43" i="32"/>
  <c r="C34" i="32"/>
  <c r="L49" i="38"/>
  <c r="B19" i="32"/>
  <c r="B21" i="32"/>
  <c r="C49" i="32"/>
  <c r="C47" i="32"/>
  <c r="B6" i="32"/>
  <c r="C36" i="32"/>
  <c r="C42" i="32"/>
  <c r="B12" i="32"/>
  <c r="C40" i="32"/>
  <c r="L47" i="38"/>
  <c r="C46" i="32"/>
  <c r="L50" i="38"/>
  <c r="B15" i="32"/>
  <c r="B13" i="32"/>
  <c r="C44" i="32"/>
  <c r="C41" i="32"/>
  <c r="B24" i="32"/>
  <c r="C20" i="38"/>
  <c r="B21" i="38"/>
  <c r="C21" i="38"/>
  <c r="B22" i="38"/>
  <c r="B23" i="38"/>
  <c r="C22" i="38"/>
  <c r="C23" i="38"/>
  <c r="B24" i="38"/>
  <c r="B25" i="38"/>
  <c r="C24" i="38"/>
  <c r="C25" i="38"/>
  <c r="B26" i="38"/>
  <c r="C26" i="38"/>
  <c r="B27" i="38"/>
  <c r="B28" i="38"/>
  <c r="C27" i="38"/>
  <c r="B29" i="38"/>
  <c r="C28" i="38"/>
  <c r="B30" i="38"/>
  <c r="C29" i="38"/>
  <c r="C30" i="38"/>
  <c r="B31" i="38"/>
  <c r="B32" i="38"/>
  <c r="C31" i="38"/>
  <c r="C32" i="38"/>
  <c r="B33" i="38"/>
  <c r="B34" i="38"/>
  <c r="C33" i="38"/>
  <c r="C34" i="38"/>
  <c r="B35" i="38"/>
  <c r="C35" i="38"/>
  <c r="B36" i="38"/>
  <c r="B37" i="38"/>
  <c r="C36" i="38"/>
  <c r="B38" i="38"/>
  <c r="C37" i="38"/>
  <c r="C38" i="38"/>
  <c r="B39" i="38"/>
  <c r="B40" i="38"/>
  <c r="C39" i="38"/>
  <c r="B41" i="38"/>
  <c r="C40" i="38"/>
  <c r="B42" i="38"/>
  <c r="C41" i="38"/>
  <c r="C42" i="38"/>
  <c r="B43" i="38"/>
  <c r="C43" i="38"/>
  <c r="B44" i="38"/>
  <c r="C44" i="38"/>
  <c r="B45" i="38"/>
  <c r="B46" i="38"/>
  <c r="C45" i="38"/>
  <c r="B47" i="38"/>
  <c r="C46" i="38"/>
  <c r="B48" i="38"/>
  <c r="C47" i="38"/>
  <c r="C48" i="38"/>
  <c r="B49" i="38"/>
  <c r="B50" i="38"/>
  <c r="C49" i="38"/>
  <c r="C50" i="38"/>
  <c r="B51" i="38"/>
  <c r="B52" i="38"/>
  <c r="C51" i="38"/>
  <c r="B53" i="38"/>
  <c r="C52" i="38"/>
  <c r="B54" i="38"/>
  <c r="C53" i="38"/>
  <c r="C54" i="38"/>
  <c r="B55" i="38"/>
  <c r="C55" i="38"/>
  <c r="B56" i="38"/>
  <c r="B57" i="38"/>
  <c r="C56" i="38"/>
  <c r="C57" i="38"/>
  <c r="B58" i="38"/>
  <c r="C58" i="38"/>
  <c r="B59" i="38"/>
  <c r="B60" i="38"/>
  <c r="C59" i="38"/>
  <c r="B61" i="38"/>
  <c r="C60" i="38"/>
  <c r="B62" i="38"/>
  <c r="C61" i="38"/>
  <c r="C62" i="38"/>
  <c r="B63" i="38"/>
  <c r="C63" i="38"/>
  <c r="B64" i="38"/>
  <c r="C64" i="38"/>
  <c r="B65" i="38"/>
  <c r="C65" i="38"/>
  <c r="B66" i="38"/>
  <c r="C66" i="38"/>
  <c r="B67" i="38"/>
  <c r="B68" i="38"/>
  <c r="C67" i="38"/>
  <c r="C68" i="38"/>
  <c r="B69" i="38"/>
  <c r="B70" i="38"/>
  <c r="C69" i="38"/>
  <c r="B71" i="38"/>
  <c r="C70" i="38"/>
  <c r="B72" i="38"/>
  <c r="C71" i="38"/>
  <c r="C72" i="38"/>
  <c r="B73" i="38"/>
  <c r="C73" i="38"/>
  <c r="B74" i="38"/>
  <c r="C74" i="38"/>
  <c r="B75" i="38"/>
  <c r="B76" i="38"/>
  <c r="C75" i="38"/>
  <c r="B77" i="38"/>
  <c r="C76" i="38"/>
  <c r="C77" i="38"/>
  <c r="B78" i="38"/>
  <c r="C78" i="38"/>
  <c r="B79" i="38"/>
  <c r="B80" i="38"/>
  <c r="C79" i="38"/>
  <c r="B81" i="38"/>
  <c r="C80" i="38"/>
  <c r="B82" i="38"/>
  <c r="C81" i="38"/>
  <c r="C82" i="38"/>
  <c r="B83" i="38"/>
  <c r="C83" i="38" s="1"/>
  <c r="U13" i="32" l="1"/>
  <c r="P13" i="32"/>
  <c r="T12" i="32"/>
  <c r="P12" i="32"/>
  <c r="U14" i="32"/>
  <c r="P14" i="32"/>
  <c r="N10" i="32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T13" i="32"/>
  <c r="P24" i="32"/>
  <c r="P21" i="32"/>
  <c r="U6" i="32"/>
  <c r="T24" i="32"/>
  <c r="T21" i="32"/>
  <c r="T6" i="32"/>
  <c r="T14" i="32"/>
  <c r="AB33" i="32"/>
  <c r="C7" i="35"/>
  <c r="C12" i="32"/>
  <c r="D6" i="35"/>
  <c r="C2" i="32"/>
  <c r="C21" i="32"/>
  <c r="C15" i="32"/>
  <c r="C27" i="32"/>
  <c r="D5" i="35"/>
  <c r="C22" i="32"/>
  <c r="C20" i="32"/>
  <c r="C6" i="35"/>
  <c r="C24" i="32"/>
  <c r="C6" i="32"/>
  <c r="C14" i="32"/>
  <c r="C13" i="32"/>
  <c r="C5" i="35"/>
  <c r="F10" i="32"/>
  <c r="C25" i="32"/>
  <c r="D7" i="35"/>
  <c r="C23" i="32"/>
  <c r="C4" i="35"/>
  <c r="A11" i="32"/>
  <c r="D4" i="35"/>
  <c r="C19" i="32"/>
  <c r="O10" i="32" l="1"/>
  <c r="P10" i="32" s="1"/>
  <c r="D11" i="32"/>
  <c r="D2" i="33"/>
  <c r="I36" i="35"/>
  <c r="I3" i="35"/>
  <c r="I49" i="35"/>
  <c r="I55" i="35"/>
  <c r="I9" i="35"/>
  <c r="I24" i="35"/>
  <c r="I17" i="35"/>
  <c r="I35" i="35"/>
  <c r="I19" i="35"/>
  <c r="I11" i="35"/>
  <c r="I21" i="35"/>
  <c r="I15" i="35"/>
  <c r="I10" i="35"/>
  <c r="I13" i="35"/>
  <c r="I41" i="35"/>
  <c r="I6" i="35"/>
  <c r="I37" i="35"/>
  <c r="I33" i="35"/>
  <c r="B10" i="32"/>
  <c r="I25" i="35"/>
  <c r="I34" i="35"/>
  <c r="I30" i="35"/>
  <c r="I4" i="35"/>
  <c r="I53" i="35"/>
  <c r="I27" i="35"/>
  <c r="I22" i="35"/>
  <c r="I40" i="35"/>
  <c r="E11" i="32"/>
  <c r="I39" i="35"/>
  <c r="I16" i="35"/>
  <c r="I29" i="35"/>
  <c r="I52" i="35"/>
  <c r="I28" i="35"/>
  <c r="I23" i="35"/>
  <c r="I31" i="35"/>
  <c r="I47" i="35"/>
  <c r="I14" i="35"/>
  <c r="I42" i="35"/>
  <c r="I45" i="35"/>
  <c r="C10" i="32"/>
  <c r="I54" i="35"/>
  <c r="I18" i="35"/>
  <c r="I2" i="35"/>
  <c r="I26" i="35"/>
  <c r="I48" i="35"/>
  <c r="I50" i="35"/>
  <c r="I43" i="35"/>
  <c r="AB34" i="32"/>
  <c r="I38" i="35"/>
  <c r="I5" i="35"/>
  <c r="I12" i="35"/>
  <c r="I51" i="35"/>
  <c r="I46" i="35"/>
  <c r="D13" i="36" l="1"/>
  <c r="D20" i="36"/>
  <c r="D34" i="36"/>
  <c r="D44" i="36"/>
  <c r="D29" i="36"/>
  <c r="D36" i="36"/>
  <c r="D43" i="36"/>
  <c r="D38" i="36"/>
  <c r="D15" i="36"/>
  <c r="D54" i="36"/>
  <c r="D49" i="36"/>
  <c r="D41" i="36"/>
  <c r="D32" i="36"/>
  <c r="D31" i="36"/>
  <c r="D28" i="36"/>
  <c r="D24" i="36"/>
  <c r="D48" i="36"/>
  <c r="D39" i="36"/>
  <c r="D57" i="36"/>
  <c r="D22" i="36"/>
  <c r="D17" i="36"/>
  <c r="D18" i="36"/>
  <c r="D25" i="36"/>
  <c r="D59" i="36"/>
  <c r="D53" i="36"/>
  <c r="D55" i="36"/>
  <c r="D46" i="36"/>
  <c r="D37" i="36"/>
  <c r="D11" i="36"/>
  <c r="D56" i="36"/>
  <c r="D27" i="36"/>
  <c r="D42" i="36"/>
  <c r="D12" i="36"/>
  <c r="D51" i="36"/>
  <c r="D30" i="36"/>
  <c r="D26" i="36"/>
  <c r="D52" i="36"/>
  <c r="D19" i="36"/>
  <c r="D40" i="36"/>
  <c r="D21" i="36"/>
  <c r="D14" i="36"/>
  <c r="D47" i="36"/>
  <c r="D45" i="36"/>
  <c r="D16" i="36"/>
  <c r="D50" i="36"/>
  <c r="D35" i="36"/>
  <c r="D23" i="36"/>
  <c r="D33" i="36"/>
  <c r="D58" i="36"/>
  <c r="N11" i="32"/>
  <c r="U10" i="32"/>
  <c r="T10" i="32"/>
  <c r="A3" i="35"/>
  <c r="E28" i="36"/>
  <c r="E59" i="36"/>
  <c r="E48" i="36"/>
  <c r="E49" i="36"/>
  <c r="F49" i="36"/>
  <c r="E46" i="36"/>
  <c r="E26" i="36"/>
  <c r="E55" i="36"/>
  <c r="E31" i="36"/>
  <c r="E25" i="36"/>
  <c r="E42" i="36"/>
  <c r="E53" i="36"/>
  <c r="F53" i="36"/>
  <c r="E39" i="36"/>
  <c r="E43" i="36"/>
  <c r="E11" i="36"/>
  <c r="E17" i="36"/>
  <c r="E18" i="36"/>
  <c r="F25" i="36"/>
  <c r="E21" i="36"/>
  <c r="F21" i="36"/>
  <c r="E12" i="36"/>
  <c r="E22" i="36"/>
  <c r="E20" i="36"/>
  <c r="F17" i="36"/>
  <c r="E56" i="36"/>
  <c r="E27" i="36"/>
  <c r="E14" i="36"/>
  <c r="E19" i="36"/>
  <c r="E52" i="36"/>
  <c r="E38" i="36"/>
  <c r="E35" i="36"/>
  <c r="E45" i="36"/>
  <c r="F45" i="36" s="1"/>
  <c r="E33" i="36"/>
  <c r="E23" i="36"/>
  <c r="E51" i="36"/>
  <c r="E15" i="36"/>
  <c r="E2" i="33"/>
  <c r="E32" i="36"/>
  <c r="F11" i="32"/>
  <c r="E13" i="36"/>
  <c r="E58" i="36"/>
  <c r="D38" i="29"/>
  <c r="E50" i="36"/>
  <c r="AB35" i="32"/>
  <c r="D40" i="29"/>
  <c r="E47" i="36"/>
  <c r="E24" i="36"/>
  <c r="E44" i="36"/>
  <c r="E16" i="36"/>
  <c r="B11" i="32"/>
  <c r="E54" i="36"/>
  <c r="E57" i="36"/>
  <c r="F57" i="36"/>
  <c r="E30" i="36"/>
  <c r="D41" i="29"/>
  <c r="E37" i="36"/>
  <c r="E29" i="36"/>
  <c r="F29" i="36" s="1"/>
  <c r="D3" i="35"/>
  <c r="E36" i="36"/>
  <c r="E40" i="36"/>
  <c r="C3" i="35"/>
  <c r="E34" i="36"/>
  <c r="E41" i="36"/>
  <c r="F41" i="36"/>
  <c r="C43" i="29"/>
  <c r="D34" i="29"/>
  <c r="O11" i="32" l="1"/>
  <c r="P11" i="32" s="1"/>
  <c r="U11" i="32"/>
  <c r="T11" i="32"/>
  <c r="F37" i="36"/>
  <c r="F59" i="36"/>
  <c r="F36" i="36"/>
  <c r="F44" i="36"/>
  <c r="F23" i="36"/>
  <c r="F24" i="36"/>
  <c r="AB36" i="32"/>
  <c r="F51" i="36"/>
  <c r="F20" i="36"/>
  <c r="F19" i="36"/>
  <c r="F18" i="36"/>
  <c r="F28" i="36"/>
  <c r="F48" i="36"/>
  <c r="F30" i="36"/>
  <c r="F56" i="36"/>
  <c r="D36" i="29"/>
  <c r="C21" i="36"/>
  <c r="G54" i="35"/>
  <c r="C40" i="36"/>
  <c r="G35" i="35"/>
  <c r="J55" i="35"/>
  <c r="G55" i="35"/>
  <c r="J43" i="35"/>
  <c r="G45" i="35"/>
  <c r="J24" i="35"/>
  <c r="G43" i="35"/>
  <c r="J6" i="35"/>
  <c r="J3" i="35"/>
  <c r="F16" i="36"/>
  <c r="F26" i="36"/>
  <c r="C11" i="32"/>
  <c r="G53" i="35"/>
  <c r="G24" i="35"/>
  <c r="AB37" i="32"/>
  <c r="F46" i="36"/>
  <c r="G51" i="35"/>
  <c r="C42" i="36"/>
  <c r="J14" i="35"/>
  <c r="H14" i="35" s="1"/>
  <c r="J44" i="35"/>
  <c r="G13" i="35"/>
  <c r="J46" i="35"/>
  <c r="H46" i="35" s="1"/>
  <c r="J56" i="35"/>
  <c r="C44" i="29"/>
  <c r="F43" i="36"/>
  <c r="F52" i="36"/>
  <c r="G16" i="35"/>
  <c r="J21" i="35"/>
  <c r="H21" i="35" s="1"/>
  <c r="C33" i="36"/>
  <c r="G56" i="35"/>
  <c r="G44" i="35"/>
  <c r="G20" i="35"/>
  <c r="H55" i="35"/>
  <c r="F15" i="36"/>
  <c r="C58" i="36"/>
  <c r="F34" i="36"/>
  <c r="G50" i="35"/>
  <c r="J20" i="35"/>
  <c r="J41" i="35"/>
  <c r="J52" i="35"/>
  <c r="H52" i="35" s="1"/>
  <c r="G9" i="35"/>
  <c r="C12" i="36"/>
  <c r="C23" i="36"/>
  <c r="J28" i="35"/>
  <c r="G11" i="35"/>
  <c r="J9" i="35"/>
  <c r="H9" i="35" s="1"/>
  <c r="C51" i="36"/>
  <c r="J8" i="35"/>
  <c r="C19" i="36"/>
  <c r="J34" i="35"/>
  <c r="H34" i="35" s="1"/>
  <c r="J23" i="35"/>
  <c r="H23" i="35" s="1"/>
  <c r="G38" i="35"/>
  <c r="C17" i="36"/>
  <c r="F33" i="36"/>
  <c r="F32" i="36"/>
  <c r="G27" i="35"/>
  <c r="C24" i="36"/>
  <c r="C14" i="36"/>
  <c r="C47" i="36"/>
  <c r="C50" i="36"/>
  <c r="J15" i="35"/>
  <c r="C26" i="36"/>
  <c r="G49" i="35"/>
  <c r="F54" i="36"/>
  <c r="F22" i="36"/>
  <c r="G30" i="35"/>
  <c r="J33" i="35"/>
  <c r="H33" i="35" s="1"/>
  <c r="C46" i="36"/>
  <c r="J5" i="35"/>
  <c r="C38" i="36"/>
  <c r="G8" i="35"/>
  <c r="G4" i="35"/>
  <c r="C56" i="36"/>
  <c r="F47" i="36"/>
  <c r="F40" i="36"/>
  <c r="C39" i="36"/>
  <c r="C22" i="36"/>
  <c r="F13" i="36"/>
  <c r="J30" i="35"/>
  <c r="H30" i="35" s="1"/>
  <c r="G2" i="35"/>
  <c r="J54" i="35"/>
  <c r="J12" i="35"/>
  <c r="H12" i="35" s="1"/>
  <c r="C49" i="36"/>
  <c r="J40" i="35"/>
  <c r="H40" i="35" s="1"/>
  <c r="F31" i="36"/>
  <c r="F14" i="36"/>
  <c r="G39" i="35"/>
  <c r="F27" i="36"/>
  <c r="C43" i="36"/>
  <c r="J48" i="35"/>
  <c r="H48" i="35" s="1"/>
  <c r="J47" i="35"/>
  <c r="H47" i="35" s="1"/>
  <c r="C31" i="36"/>
  <c r="C27" i="36"/>
  <c r="C13" i="36"/>
  <c r="J51" i="35"/>
  <c r="H5" i="35"/>
  <c r="H6" i="35"/>
  <c r="F12" i="36"/>
  <c r="F55" i="36"/>
  <c r="G52" i="35"/>
  <c r="C44" i="36"/>
  <c r="J35" i="35"/>
  <c r="H35" i="35" s="1"/>
  <c r="G33" i="35"/>
  <c r="C55" i="36"/>
  <c r="G12" i="35"/>
  <c r="G41" i="35"/>
  <c r="J16" i="35"/>
  <c r="H16" i="35" s="1"/>
  <c r="J19" i="35"/>
  <c r="H19" i="35" s="1"/>
  <c r="H44" i="35"/>
  <c r="H15" i="35"/>
  <c r="H41" i="35"/>
  <c r="F42" i="36"/>
  <c r="C57" i="36"/>
  <c r="J31" i="35"/>
  <c r="H31" i="35" s="1"/>
  <c r="F11" i="36"/>
  <c r="G17" i="35"/>
  <c r="C34" i="36"/>
  <c r="G22" i="35"/>
  <c r="C37" i="36"/>
  <c r="G18" i="35"/>
  <c r="G47" i="35"/>
  <c r="C59" i="36"/>
  <c r="H51" i="35"/>
  <c r="H54" i="35"/>
  <c r="H8" i="35"/>
  <c r="F58" i="36"/>
  <c r="J18" i="35"/>
  <c r="J38" i="35"/>
  <c r="G42" i="35"/>
  <c r="C52" i="36"/>
  <c r="J29" i="35"/>
  <c r="H29" i="35" s="1"/>
  <c r="G34" i="35"/>
  <c r="H18" i="35"/>
  <c r="F38" i="36"/>
  <c r="G29" i="35"/>
  <c r="G25" i="35"/>
  <c r="G28" i="35"/>
  <c r="G19" i="35"/>
  <c r="H3" i="35"/>
  <c r="F35" i="36"/>
  <c r="C15" i="36"/>
  <c r="C32" i="36"/>
  <c r="C11" i="36"/>
  <c r="H38" i="35"/>
  <c r="G26" i="35"/>
  <c r="J49" i="35"/>
  <c r="H49" i="35" s="1"/>
  <c r="J42" i="35"/>
  <c r="H42" i="35" s="1"/>
  <c r="G6" i="35"/>
  <c r="H43" i="35"/>
  <c r="J25" i="35"/>
  <c r="H25" i="35" s="1"/>
  <c r="G15" i="35"/>
  <c r="F50" i="36"/>
  <c r="G40" i="35"/>
  <c r="C29" i="36"/>
  <c r="H24" i="35"/>
  <c r="F39" i="36"/>
  <c r="J13" i="35"/>
  <c r="H13" i="35" s="1"/>
  <c r="C53" i="36"/>
  <c r="G3" i="35"/>
  <c r="C35" i="36"/>
  <c r="H20" i="35"/>
  <c r="C18" i="36"/>
  <c r="C45" i="36"/>
  <c r="G10" i="35"/>
  <c r="G23" i="35"/>
  <c r="J39" i="35"/>
  <c r="H39" i="35" s="1"/>
  <c r="J45" i="35"/>
  <c r="H45" i="35" s="1"/>
  <c r="J27" i="35"/>
  <c r="H27" i="35" s="1"/>
  <c r="C20" i="36"/>
  <c r="G31" i="35"/>
  <c r="J53" i="35"/>
  <c r="H53" i="35" s="1"/>
  <c r="C48" i="36"/>
  <c r="C16" i="36"/>
  <c r="J11" i="35"/>
  <c r="H11" i="35" s="1"/>
  <c r="C41" i="36"/>
  <c r="G48" i="35"/>
  <c r="G5" i="35"/>
  <c r="J37" i="35"/>
  <c r="H37" i="35" s="1"/>
  <c r="C54" i="36"/>
  <c r="J22" i="35"/>
  <c r="H22" i="35" s="1"/>
  <c r="G32" i="35"/>
  <c r="G14" i="35"/>
  <c r="J4" i="35"/>
  <c r="H4" i="35" s="1"/>
  <c r="J36" i="35"/>
  <c r="H36" i="35" s="1"/>
  <c r="C25" i="36"/>
  <c r="G37" i="35"/>
  <c r="G21" i="35"/>
  <c r="C30" i="36"/>
  <c r="J32" i="35"/>
  <c r="H32" i="35" s="1"/>
  <c r="J17" i="35"/>
  <c r="H17" i="35" s="1"/>
  <c r="C28" i="36"/>
  <c r="J10" i="35"/>
  <c r="H10" i="35" s="1"/>
  <c r="J2" i="35"/>
  <c r="H2" i="35" s="1"/>
  <c r="J50" i="35"/>
  <c r="H50" i="35" s="1"/>
  <c r="G46" i="35"/>
  <c r="G36" i="35"/>
  <c r="C36" i="36"/>
  <c r="J26" i="35"/>
  <c r="H26" i="35" s="1"/>
  <c r="H28" i="35"/>
  <c r="H56" i="35"/>
  <c r="AB38" i="32"/>
  <c r="AB39" i="32"/>
  <c r="AB40" i="32"/>
  <c r="AB41" i="32" s="1"/>
  <c r="AB42" i="32"/>
  <c r="AB43" i="32"/>
  <c r="AB44" i="32"/>
  <c r="AB45" i="32"/>
  <c r="AB46" i="32"/>
  <c r="AB47" i="32"/>
  <c r="AB48" i="32"/>
  <c r="AB49" i="32"/>
  <c r="AB50" i="32"/>
  <c r="AB51" i="32"/>
  <c r="AB52" i="32"/>
  <c r="AB53" i="32"/>
  <c r="AB54" i="32"/>
  <c r="AB55" i="32"/>
  <c r="AB56" i="32"/>
  <c r="AB57" i="32"/>
  <c r="AB58" i="32"/>
  <c r="AB59" i="32"/>
  <c r="AB60" i="32"/>
  <c r="AB61" i="32"/>
  <c r="AB62" i="32"/>
  <c r="AB63" i="32"/>
  <c r="AB64" i="32"/>
  <c r="AB65" i="32"/>
  <c r="AB66" i="32"/>
  <c r="AB67" i="32"/>
  <c r="AB68" i="32"/>
  <c r="AB69" i="32"/>
  <c r="AB70" i="32"/>
  <c r="AB71" i="32"/>
  <c r="AB72" i="32"/>
  <c r="AB73" i="32"/>
  <c r="AB74" i="32"/>
  <c r="AB75" i="32"/>
  <c r="AB76" i="32"/>
  <c r="AB77" i="32"/>
  <c r="AB78" i="32"/>
  <c r="AB79" i="32"/>
  <c r="AB80" i="32"/>
  <c r="AB81" i="32"/>
  <c r="AB82" i="32"/>
  <c r="AB83" i="32"/>
  <c r="AB84" i="32"/>
  <c r="AB85" i="32"/>
  <c r="AB86" i="32"/>
  <c r="AB87" i="32"/>
  <c r="AB88" i="32"/>
  <c r="AB89" i="32"/>
  <c r="AB90" i="32"/>
  <c r="AB91" i="32"/>
  <c r="AB92" i="32"/>
  <c r="AB93" i="32"/>
  <c r="AB94" i="32"/>
  <c r="AB95" i="32"/>
  <c r="AB96" i="32"/>
  <c r="J20" i="29" l="1"/>
  <c r="J21" i="29"/>
  <c r="K5" i="35"/>
  <c r="G6" i="36"/>
  <c r="L4" i="34"/>
  <c r="B4" i="35"/>
  <c r="G20" i="32"/>
  <c r="L46" i="32"/>
  <c r="G26" i="32"/>
  <c r="G3" i="32"/>
  <c r="G13" i="32"/>
  <c r="L47" i="32"/>
  <c r="H27" i="32"/>
  <c r="G12" i="32"/>
  <c r="H24" i="32"/>
  <c r="G4" i="36"/>
  <c r="K2" i="34"/>
  <c r="M50" i="38"/>
  <c r="M46" i="38"/>
  <c r="B3" i="35"/>
  <c r="H14" i="32"/>
  <c r="G15" i="32"/>
  <c r="L40" i="32"/>
  <c r="K3" i="35"/>
  <c r="L2" i="34"/>
  <c r="L5" i="34"/>
  <c r="M49" i="38"/>
  <c r="K4" i="34"/>
  <c r="H22" i="32"/>
  <c r="B6" i="35"/>
  <c r="H19" i="32"/>
  <c r="G3" i="34"/>
  <c r="K4" i="35"/>
  <c r="L37" i="32"/>
  <c r="G5" i="34"/>
  <c r="H21" i="32"/>
  <c r="H15" i="32"/>
  <c r="G10" i="32"/>
  <c r="G2" i="32"/>
  <c r="L39" i="32"/>
  <c r="G5" i="36"/>
  <c r="E2" i="35" a="1"/>
  <c r="B5" i="35"/>
  <c r="G16" i="32"/>
  <c r="L49" i="32"/>
  <c r="K6" i="35"/>
  <c r="G24" i="32"/>
  <c r="G6" i="32"/>
  <c r="L35" i="32"/>
  <c r="L34" i="32"/>
  <c r="H2" i="32"/>
  <c r="G2" i="34"/>
  <c r="G5" i="32"/>
  <c r="G6" i="34"/>
  <c r="H10" i="32"/>
  <c r="L3" i="34"/>
  <c r="L45" i="32"/>
  <c r="H12" i="32"/>
  <c r="L41" i="32"/>
  <c r="G4" i="34"/>
  <c r="L42" i="32"/>
  <c r="M45" i="38"/>
  <c r="G7" i="36"/>
  <c r="M44" i="38"/>
  <c r="H11" i="32"/>
  <c r="M48" i="38"/>
  <c r="L36" i="32"/>
  <c r="L48" i="32"/>
  <c r="L44" i="32"/>
  <c r="H13" i="32"/>
  <c r="G23" i="32"/>
  <c r="H25" i="32"/>
  <c r="K5" i="34"/>
  <c r="H20" i="32"/>
  <c r="L6" i="34"/>
  <c r="G25" i="32"/>
  <c r="B7" i="35"/>
  <c r="L43" i="32"/>
  <c r="G3" i="36"/>
  <c r="H23" i="32"/>
  <c r="G22" i="32"/>
  <c r="G21" i="32"/>
  <c r="G7" i="32"/>
  <c r="G11" i="32"/>
  <c r="G27" i="32"/>
  <c r="G19" i="32"/>
  <c r="G14" i="32"/>
  <c r="M47" i="38"/>
  <c r="H11" i="36" a="1"/>
  <c r="K3" i="34"/>
  <c r="H6" i="32"/>
  <c r="L38" i="32"/>
  <c r="K6" i="34"/>
  <c r="K2" i="35"/>
  <c r="E16" i="32"/>
  <c r="E3" i="32"/>
  <c r="E7" i="32"/>
  <c r="E26" i="32"/>
  <c r="F16" i="32"/>
  <c r="F3" i="32"/>
  <c r="F7" i="32"/>
  <c r="F26" i="32"/>
  <c r="B16" i="32"/>
  <c r="C16" i="32" s="1"/>
  <c r="H16" i="32" s="1"/>
  <c r="B3" i="32"/>
  <c r="C3" i="32" s="1"/>
  <c r="H3" i="32" s="1"/>
  <c r="B7" i="32"/>
  <c r="C7" i="32" s="1"/>
  <c r="H7" i="32" s="1"/>
  <c r="B26" i="32"/>
  <c r="C26" i="32" s="1"/>
  <c r="H26" i="32" s="1"/>
  <c r="O26" i="32" l="1"/>
  <c r="O7" i="32"/>
  <c r="E4" i="32"/>
  <c r="O3" i="32"/>
  <c r="O16" i="32"/>
  <c r="N26" i="32"/>
  <c r="N7" i="32"/>
  <c r="N3" i="32"/>
  <c r="N16" i="32"/>
  <c r="D7" i="36"/>
  <c r="D4" i="36"/>
  <c r="H41" i="36"/>
  <c r="H44" i="36"/>
  <c r="H20" i="36"/>
  <c r="H59" i="36"/>
  <c r="H31" i="36"/>
  <c r="H17" i="36"/>
  <c r="H32" i="36"/>
  <c r="H58" i="36"/>
  <c r="H28" i="36"/>
  <c r="H24" i="36"/>
  <c r="H11" i="36"/>
  <c r="H36" i="36"/>
  <c r="H55" i="36"/>
  <c r="H30" i="36"/>
  <c r="H35" i="36"/>
  <c r="H42" i="36"/>
  <c r="H45" i="36"/>
  <c r="H19" i="36"/>
  <c r="H49" i="36"/>
  <c r="H13" i="36"/>
  <c r="H53" i="36"/>
  <c r="H39" i="36"/>
  <c r="H46" i="36"/>
  <c r="H57" i="36"/>
  <c r="H51" i="36"/>
  <c r="H15" i="36"/>
  <c r="H50" i="36"/>
  <c r="H48" i="36"/>
  <c r="H43" i="36"/>
  <c r="H23" i="36"/>
  <c r="H52" i="36"/>
  <c r="H54" i="36"/>
  <c r="H29" i="36"/>
  <c r="H37" i="36"/>
  <c r="H25" i="36"/>
  <c r="H18" i="36"/>
  <c r="H12" i="36"/>
  <c r="H38" i="36"/>
  <c r="H14" i="36"/>
  <c r="H26" i="36"/>
  <c r="H21" i="36"/>
  <c r="H47" i="36"/>
  <c r="H56" i="36"/>
  <c r="H33" i="36"/>
  <c r="H27" i="36"/>
  <c r="H34" i="36"/>
  <c r="H22" i="36"/>
  <c r="H16" i="36"/>
  <c r="H40" i="36"/>
  <c r="I14" i="32"/>
  <c r="I19" i="32"/>
  <c r="I27" i="32"/>
  <c r="I11" i="32"/>
  <c r="I7" i="32"/>
  <c r="J7" i="32" s="1"/>
  <c r="I21" i="32"/>
  <c r="I22" i="32"/>
  <c r="I25" i="32"/>
  <c r="E7" i="36"/>
  <c r="D6" i="36"/>
  <c r="I23" i="32"/>
  <c r="C5" i="36"/>
  <c r="E4" i="36"/>
  <c r="C7" i="36"/>
  <c r="C3" i="36"/>
  <c r="I6" i="32"/>
  <c r="I24" i="32"/>
  <c r="I16" i="32"/>
  <c r="J16" i="32" s="1"/>
  <c r="E65" i="35"/>
  <c r="E76" i="35"/>
  <c r="E27" i="35"/>
  <c r="E14" i="35"/>
  <c r="E22" i="35"/>
  <c r="E125" i="35"/>
  <c r="E110" i="35"/>
  <c r="E122" i="35"/>
  <c r="E57" i="35"/>
  <c r="E16" i="35"/>
  <c r="E81" i="35"/>
  <c r="E3" i="35"/>
  <c r="E23" i="35"/>
  <c r="E53" i="35"/>
  <c r="E9" i="35"/>
  <c r="E92" i="35"/>
  <c r="E113" i="35"/>
  <c r="E68" i="35"/>
  <c r="E80" i="35"/>
  <c r="E72" i="35"/>
  <c r="E39" i="35"/>
  <c r="E7" i="35"/>
  <c r="E20" i="35"/>
  <c r="E55" i="35"/>
  <c r="E18" i="35"/>
  <c r="E52" i="35"/>
  <c r="E107" i="35"/>
  <c r="E69" i="35"/>
  <c r="E90" i="35"/>
  <c r="E100" i="35"/>
  <c r="E2" i="35"/>
  <c r="E42" i="35"/>
  <c r="E4" i="35"/>
  <c r="E64" i="35"/>
  <c r="E30" i="35"/>
  <c r="E41" i="35"/>
  <c r="E34" i="35"/>
  <c r="E45" i="35"/>
  <c r="E120" i="35"/>
  <c r="E118" i="35"/>
  <c r="E56" i="35"/>
  <c r="E58" i="35"/>
  <c r="E87" i="35"/>
  <c r="E6" i="35"/>
  <c r="E49" i="35"/>
  <c r="E105" i="35"/>
  <c r="E38" i="35"/>
  <c r="E121" i="35"/>
  <c r="E28" i="35"/>
  <c r="E46" i="35"/>
  <c r="E106" i="35"/>
  <c r="E108" i="35"/>
  <c r="E40" i="35"/>
  <c r="E73" i="35"/>
  <c r="E33" i="35"/>
  <c r="E29" i="35"/>
  <c r="E43" i="35"/>
  <c r="E111" i="35"/>
  <c r="E54" i="35"/>
  <c r="E26" i="35"/>
  <c r="E50" i="35"/>
  <c r="E102" i="35"/>
  <c r="E96" i="35"/>
  <c r="E83" i="35"/>
  <c r="E17" i="35"/>
  <c r="E61" i="35"/>
  <c r="E99" i="35"/>
  <c r="E60" i="35"/>
  <c r="E78" i="35"/>
  <c r="E5" i="35"/>
  <c r="E115" i="35"/>
  <c r="E63" i="35"/>
  <c r="E66" i="35"/>
  <c r="E95" i="35"/>
  <c r="E51" i="35"/>
  <c r="E82" i="35"/>
  <c r="E124" i="35"/>
  <c r="E127" i="35"/>
  <c r="E24" i="35"/>
  <c r="E67" i="35"/>
  <c r="E10" i="35"/>
  <c r="E91" i="35"/>
  <c r="E79" i="35"/>
  <c r="E97" i="35"/>
  <c r="E89" i="35"/>
  <c r="E104" i="35"/>
  <c r="E112" i="35"/>
  <c r="E94" i="35"/>
  <c r="E103" i="35"/>
  <c r="E8" i="35"/>
  <c r="E86" i="35"/>
  <c r="E109" i="35"/>
  <c r="E117" i="35"/>
  <c r="E11" i="35"/>
  <c r="E13" i="35"/>
  <c r="E44" i="35"/>
  <c r="E25" i="35"/>
  <c r="E123" i="35"/>
  <c r="E59" i="35"/>
  <c r="E77" i="35"/>
  <c r="E119" i="35"/>
  <c r="E126" i="35"/>
  <c r="E19" i="35"/>
  <c r="E62" i="35"/>
  <c r="E98" i="35"/>
  <c r="E116" i="35"/>
  <c r="E47" i="35"/>
  <c r="E101" i="35"/>
  <c r="E71" i="35"/>
  <c r="E75" i="35"/>
  <c r="E88" i="35"/>
  <c r="E35" i="35"/>
  <c r="E12" i="35"/>
  <c r="E85" i="35"/>
  <c r="E70" i="35"/>
  <c r="E31" i="35"/>
  <c r="E32" i="35"/>
  <c r="E84" i="35"/>
  <c r="E15" i="35"/>
  <c r="E93" i="35"/>
  <c r="E48" i="35"/>
  <c r="E74" i="35"/>
  <c r="E37" i="35"/>
  <c r="E21" i="35"/>
  <c r="E36" i="35"/>
  <c r="E114" i="35"/>
  <c r="I2" i="32"/>
  <c r="I10" i="32"/>
  <c r="C6" i="36"/>
  <c r="C4" i="36"/>
  <c r="D5" i="36"/>
  <c r="E6" i="36"/>
  <c r="E3" i="36"/>
  <c r="I15" i="32"/>
  <c r="D3" i="36"/>
  <c r="I12" i="32"/>
  <c r="I13" i="32"/>
  <c r="I3" i="32"/>
  <c r="J3" i="32" s="1"/>
  <c r="I26" i="32"/>
  <c r="J26" i="32" s="1"/>
  <c r="I20" i="32"/>
  <c r="E5" i="36"/>
  <c r="F5" i="36"/>
  <c r="F7" i="36"/>
  <c r="B4" i="32"/>
  <c r="C4" i="32" s="1"/>
  <c r="H4" i="32" s="1"/>
  <c r="F4" i="36"/>
  <c r="H31" i="32"/>
  <c r="I31" i="32"/>
  <c r="F3" i="36"/>
  <c r="F6" i="36"/>
  <c r="I32" i="32" l="1"/>
  <c r="H32" i="32"/>
  <c r="J11" i="32"/>
  <c r="J13" i="32"/>
  <c r="J23" i="32"/>
  <c r="J27" i="32"/>
  <c r="J12" i="32"/>
  <c r="J10" i="32"/>
  <c r="J19" i="32"/>
  <c r="J24" i="32"/>
  <c r="J14" i="32"/>
  <c r="P16" i="32"/>
  <c r="U16" i="32"/>
  <c r="T16" i="32"/>
  <c r="U3" i="32"/>
  <c r="T3" i="32"/>
  <c r="P3" i="32"/>
  <c r="J22" i="32"/>
  <c r="G4" i="32"/>
  <c r="I4" i="32" s="1"/>
  <c r="N4" i="32"/>
  <c r="J20" i="32"/>
  <c r="J21" i="32"/>
  <c r="U7" i="32"/>
  <c r="T7" i="32"/>
  <c r="P7" i="32"/>
  <c r="T26" i="32"/>
  <c r="P26" i="32"/>
  <c r="U26" i="32"/>
  <c r="Z18" i="32" a="1"/>
  <c r="AD18" i="32" a="1"/>
  <c r="K11" i="32"/>
  <c r="L11" i="32" s="1"/>
  <c r="K13" i="32"/>
  <c r="L13" i="32" s="1"/>
  <c r="K12" i="32"/>
  <c r="L12" i="32" s="1"/>
  <c r="K10" i="32"/>
  <c r="L10" i="32" s="1"/>
  <c r="K14" i="32"/>
  <c r="L14" i="32" s="1"/>
  <c r="X18" i="32" a="1"/>
  <c r="Y9" i="32" a="1"/>
  <c r="AD9" i="32" a="1"/>
  <c r="B3" i="38" a="1"/>
  <c r="Z9" i="32" a="1"/>
  <c r="E3" i="38" a="1"/>
  <c r="C3" i="38" a="1"/>
  <c r="D3" i="38" a="1"/>
  <c r="F3" i="38" a="1"/>
  <c r="X9" i="32" a="1"/>
  <c r="K27" i="32"/>
  <c r="K23" i="32"/>
  <c r="L23" i="32" s="1"/>
  <c r="K19" i="32"/>
  <c r="K24" i="32"/>
  <c r="L24" i="32" s="1"/>
  <c r="K22" i="32"/>
  <c r="L22" i="32" s="1"/>
  <c r="K20" i="32"/>
  <c r="L20" i="32" s="1"/>
  <c r="K21" i="32"/>
  <c r="L21" i="32" s="1"/>
  <c r="Y18" i="32" a="1"/>
  <c r="L19" i="32"/>
  <c r="Y19" i="32" l="1"/>
  <c r="Y20" i="32"/>
  <c r="Y18" i="32"/>
  <c r="P31" i="32"/>
  <c r="K26" i="32"/>
  <c r="Q31" i="32" s="1"/>
  <c r="X10" i="32"/>
  <c r="X9" i="32"/>
  <c r="X11" i="32"/>
  <c r="F4" i="38"/>
  <c r="F5" i="38"/>
  <c r="F3" i="38"/>
  <c r="D4" i="38"/>
  <c r="D3" i="38"/>
  <c r="D5" i="38"/>
  <c r="C5" i="38"/>
  <c r="C3" i="38"/>
  <c r="C4" i="38"/>
  <c r="E3" i="38"/>
  <c r="E4" i="38"/>
  <c r="E5" i="38"/>
  <c r="Z10" i="32"/>
  <c r="Z11" i="32"/>
  <c r="Z9" i="32"/>
  <c r="B5" i="38"/>
  <c r="B4" i="38"/>
  <c r="B3" i="38"/>
  <c r="AD9" i="32"/>
  <c r="AD10" i="32"/>
  <c r="AD11" i="32"/>
  <c r="Y9" i="32"/>
  <c r="Y10" i="32"/>
  <c r="Y11" i="32"/>
  <c r="X19" i="32"/>
  <c r="X18" i="32"/>
  <c r="X20" i="32"/>
  <c r="AD19" i="32"/>
  <c r="AD18" i="32"/>
  <c r="AD20" i="32"/>
  <c r="Z18" i="32"/>
  <c r="Z20" i="32"/>
  <c r="Z19" i="32"/>
  <c r="U4" i="32"/>
  <c r="P4" i="32"/>
  <c r="T4" i="32"/>
  <c r="AC77" i="32"/>
  <c r="AC88" i="32"/>
  <c r="AC51" i="32"/>
  <c r="AC78" i="32"/>
  <c r="AC49" i="32"/>
  <c r="AC34" i="32"/>
  <c r="AC45" i="32"/>
  <c r="AC68" i="32"/>
  <c r="AC73" i="32"/>
  <c r="AC56" i="32"/>
  <c r="AC42" i="32"/>
  <c r="AC81" i="32"/>
  <c r="AC57" i="32"/>
  <c r="AC52" i="32"/>
  <c r="AC64" i="32"/>
  <c r="AC85" i="32"/>
  <c r="AC96" i="32"/>
  <c r="AC43" i="32"/>
  <c r="AC36" i="32"/>
  <c r="AC33" i="32"/>
  <c r="AC32" i="32"/>
  <c r="AC44" i="32"/>
  <c r="AC71" i="32"/>
  <c r="AC58" i="32"/>
  <c r="AC74" i="32"/>
  <c r="AC90" i="32"/>
  <c r="AC31" i="32"/>
  <c r="AC87" i="32"/>
  <c r="AC59" i="32"/>
  <c r="AC65" i="32"/>
  <c r="AC47" i="32"/>
  <c r="AC95" i="32"/>
  <c r="AC66" i="32"/>
  <c r="AC72" i="32"/>
  <c r="AC30" i="32"/>
  <c r="AC83" i="32"/>
  <c r="AC39" i="32"/>
  <c r="AC69" i="32"/>
  <c r="AC84" i="32"/>
  <c r="AC82" i="32"/>
  <c r="AC53" i="32"/>
  <c r="AC46" i="32"/>
  <c r="AC89" i="32"/>
  <c r="AC63" i="32"/>
  <c r="AC86" i="32"/>
  <c r="AC94" i="32"/>
  <c r="AC50" i="32"/>
  <c r="AC79" i="32"/>
  <c r="AC91" i="32"/>
  <c r="AC62" i="32"/>
  <c r="AC38" i="32"/>
  <c r="AC75" i="32"/>
  <c r="AC61" i="32"/>
  <c r="AC92" i="32"/>
  <c r="AC67" i="32"/>
  <c r="AC40" i="32"/>
  <c r="AC41" i="32"/>
  <c r="AC35" i="32"/>
  <c r="AC76" i="32"/>
  <c r="AC48" i="32"/>
  <c r="AC37" i="32"/>
  <c r="AC60" i="32"/>
  <c r="AC80" i="32"/>
  <c r="AC70" i="32"/>
  <c r="AC54" i="32"/>
  <c r="AC93" i="32"/>
  <c r="AC55" i="32"/>
  <c r="J4" i="32"/>
  <c r="H4" i="38"/>
  <c r="E10" i="38"/>
  <c r="H5" i="38"/>
  <c r="G3" i="38"/>
  <c r="H3" i="38"/>
  <c r="G4" i="38"/>
  <c r="K4" i="32"/>
  <c r="F10" i="38"/>
  <c r="G5" i="38"/>
  <c r="F9" i="38"/>
  <c r="F11" i="38"/>
  <c r="E11" i="38"/>
  <c r="E9" i="38"/>
  <c r="H11" i="38" l="1"/>
  <c r="O5" i="38" s="1"/>
  <c r="I11" i="38"/>
  <c r="N5" i="38" s="1"/>
  <c r="G11" i="38"/>
  <c r="P5" i="38" s="1"/>
  <c r="G9" i="38"/>
  <c r="H9" i="38"/>
  <c r="I9" i="38"/>
  <c r="N3" i="38" s="1"/>
  <c r="I5" i="38"/>
  <c r="T5" i="38" s="1"/>
  <c r="G10" i="38"/>
  <c r="H10" i="38"/>
  <c r="I10" i="38"/>
  <c r="N4" i="38" s="1"/>
  <c r="K3" i="32"/>
  <c r="N31" i="32"/>
  <c r="I4" i="38"/>
  <c r="I3" i="38"/>
  <c r="AF9" i="32" a="1"/>
  <c r="AF18" i="32" a="1"/>
  <c r="P10" i="38" l="1"/>
  <c r="P4" i="38"/>
  <c r="AG10" i="32"/>
  <c r="AF9" i="32"/>
  <c r="AH10" i="32"/>
  <c r="AG9" i="32"/>
  <c r="AH11" i="32"/>
  <c r="AH9" i="32"/>
  <c r="AF11" i="32"/>
  <c r="AG11" i="32"/>
  <c r="AF10" i="32"/>
  <c r="T3" i="38"/>
  <c r="T13" i="38"/>
  <c r="T9" i="38"/>
  <c r="T4" i="38"/>
  <c r="T10" i="38"/>
  <c r="O3" i="38"/>
  <c r="O9" i="38"/>
  <c r="P3" i="38"/>
  <c r="P13" i="38"/>
  <c r="V13" i="38" s="1"/>
  <c r="P9" i="38"/>
  <c r="AG20" i="32"/>
  <c r="AH19" i="32"/>
  <c r="AF18" i="32"/>
  <c r="AH18" i="32"/>
  <c r="AH20" i="32"/>
  <c r="AF19" i="32"/>
  <c r="AG19" i="32"/>
  <c r="AF20" i="32"/>
  <c r="AG18" i="32"/>
  <c r="O10" i="38"/>
  <c r="O4" i="38"/>
  <c r="AB18" i="32" l="1" a="1"/>
  <c r="AB9" i="32" a="1"/>
  <c r="V9" i="38" a="1"/>
  <c r="R13" i="38"/>
  <c r="V3" i="38" a="1"/>
  <c r="W10" i="38" l="1"/>
  <c r="W9" i="38"/>
  <c r="V10" i="38"/>
  <c r="V9" i="38"/>
  <c r="R9" i="38" s="1" a="1"/>
  <c r="AB10" i="32"/>
  <c r="T31" i="32" s="1"/>
  <c r="AB9" i="32"/>
  <c r="AB11" i="32"/>
  <c r="T32" i="32" s="1"/>
  <c r="X5" i="38"/>
  <c r="W5" i="38"/>
  <c r="X3" i="38"/>
  <c r="X4" i="38"/>
  <c r="V3" i="38"/>
  <c r="W3" i="38"/>
  <c r="V4" i="38"/>
  <c r="W4" i="38"/>
  <c r="V5" i="38"/>
  <c r="D72" i="38"/>
  <c r="D44" i="38"/>
  <c r="D54" i="38"/>
  <c r="D68" i="38"/>
  <c r="D48" i="38"/>
  <c r="D27" i="38"/>
  <c r="D79" i="38"/>
  <c r="Q47" i="38"/>
  <c r="M58" i="38" s="1"/>
  <c r="D36" i="38"/>
  <c r="D24" i="38"/>
  <c r="D60" i="38"/>
  <c r="D25" i="38"/>
  <c r="D63" i="38"/>
  <c r="D75" i="38"/>
  <c r="D81" i="38"/>
  <c r="D19" i="38"/>
  <c r="D42" i="38"/>
  <c r="D28" i="38"/>
  <c r="D26" i="38"/>
  <c r="D49" i="38"/>
  <c r="D35" i="38"/>
  <c r="D46" i="38"/>
  <c r="D56" i="38"/>
  <c r="D23" i="38"/>
  <c r="D69" i="38"/>
  <c r="D82" i="38"/>
  <c r="D33" i="38"/>
  <c r="D71" i="38"/>
  <c r="D45" i="38"/>
  <c r="D67" i="38"/>
  <c r="D17" i="38"/>
  <c r="D66" i="38"/>
  <c r="D76" i="38"/>
  <c r="D50" i="38"/>
  <c r="D59" i="38"/>
  <c r="D51" i="38"/>
  <c r="D83" i="38"/>
  <c r="D32" i="38"/>
  <c r="D61" i="38"/>
  <c r="D30" i="38"/>
  <c r="D70" i="38"/>
  <c r="D55" i="38"/>
  <c r="D77" i="38"/>
  <c r="D64" i="38"/>
  <c r="D58" i="38"/>
  <c r="D57" i="38"/>
  <c r="D73" i="38"/>
  <c r="D40" i="38"/>
  <c r="D21" i="38"/>
  <c r="D43" i="38"/>
  <c r="D80" i="38"/>
  <c r="Q46" i="38"/>
  <c r="M57" i="38" s="1"/>
  <c r="D65" i="38"/>
  <c r="D53" i="38"/>
  <c r="D62" i="38"/>
  <c r="D29" i="38"/>
  <c r="D34" i="38"/>
  <c r="D78" i="38"/>
  <c r="D22" i="38"/>
  <c r="D41" i="38"/>
  <c r="D37" i="38"/>
  <c r="Q45" i="38"/>
  <c r="M56" i="38" s="1"/>
  <c r="Q48" i="38"/>
  <c r="M59" i="38" s="1"/>
  <c r="D47" i="38"/>
  <c r="D20" i="38"/>
  <c r="Q50" i="38"/>
  <c r="M61" i="38" s="1"/>
  <c r="D18" i="38"/>
  <c r="D31" i="38"/>
  <c r="Q49" i="38"/>
  <c r="M60" i="38" s="1"/>
  <c r="Q44" i="38"/>
  <c r="M55" i="38" s="1"/>
  <c r="D52" i="38"/>
  <c r="D74" i="38"/>
  <c r="D39" i="38"/>
  <c r="D38" i="38"/>
  <c r="AB20" i="32"/>
  <c r="U32" i="32" s="1"/>
  <c r="AB19" i="32"/>
  <c r="U31" i="32" s="1"/>
  <c r="AB18" i="32"/>
  <c r="T30" i="32" l="1"/>
  <c r="AE88" i="32" s="1"/>
  <c r="AJ9" i="32" a="1"/>
  <c r="R10" i="38"/>
  <c r="R9" i="38"/>
  <c r="U30" i="32"/>
  <c r="AJ18" i="32" a="1"/>
  <c r="R3" i="38" a="1"/>
  <c r="AE94" i="32" l="1"/>
  <c r="AE36" i="32"/>
  <c r="AE50" i="32"/>
  <c r="AE42" i="32"/>
  <c r="AE45" i="32"/>
  <c r="AE95" i="32"/>
  <c r="AE37" i="32"/>
  <c r="AE92" i="32"/>
  <c r="AE59" i="32"/>
  <c r="AE31" i="32"/>
  <c r="AE60" i="32"/>
  <c r="AE32" i="32"/>
  <c r="AE61" i="32"/>
  <c r="AE69" i="32"/>
  <c r="AE44" i="32"/>
  <c r="AE58" i="32"/>
  <c r="AE70" i="32"/>
  <c r="AE93" i="32"/>
  <c r="AE53" i="32"/>
  <c r="AE66" i="32"/>
  <c r="AE78" i="32"/>
  <c r="AE40" i="32"/>
  <c r="AE64" i="32"/>
  <c r="AE90" i="32"/>
  <c r="AE86" i="32"/>
  <c r="AE55" i="32"/>
  <c r="AE72" i="32"/>
  <c r="AE84" i="32"/>
  <c r="AE74" i="32"/>
  <c r="AE49" i="32"/>
  <c r="AE80" i="32"/>
  <c r="AE81" i="32"/>
  <c r="E52" i="38"/>
  <c r="E19" i="38"/>
  <c r="E47" i="38"/>
  <c r="E83" i="38"/>
  <c r="E51" i="38"/>
  <c r="E65" i="38"/>
  <c r="R46" i="38"/>
  <c r="N57" i="38" s="1"/>
  <c r="E56" i="38"/>
  <c r="E41" i="38"/>
  <c r="R48" i="38"/>
  <c r="N59" i="38" s="1"/>
  <c r="E54" i="38"/>
  <c r="E60" i="38"/>
  <c r="E20" i="38"/>
  <c r="E40" i="38"/>
  <c r="E78" i="38"/>
  <c r="E55" i="38"/>
  <c r="E62" i="38"/>
  <c r="E61" i="38"/>
  <c r="E42" i="38"/>
  <c r="E21" i="38"/>
  <c r="E77" i="38"/>
  <c r="R49" i="38"/>
  <c r="N60" i="38" s="1"/>
  <c r="E18" i="38"/>
  <c r="E17" i="38"/>
  <c r="E38" i="38"/>
  <c r="E27" i="38"/>
  <c r="E74" i="38"/>
  <c r="E36" i="38"/>
  <c r="E46" i="38"/>
  <c r="E81" i="38"/>
  <c r="R47" i="38"/>
  <c r="N58" i="38" s="1"/>
  <c r="E50" i="38"/>
  <c r="E26" i="38"/>
  <c r="E76" i="38"/>
  <c r="E39" i="38"/>
  <c r="E35" i="38"/>
  <c r="E63" i="38"/>
  <c r="E45" i="38"/>
  <c r="E32" i="38"/>
  <c r="E49" i="38"/>
  <c r="E37" i="38"/>
  <c r="E22" i="38"/>
  <c r="E66" i="38"/>
  <c r="E44" i="38"/>
  <c r="E29" i="38"/>
  <c r="E73" i="38"/>
  <c r="E71" i="38"/>
  <c r="E23" i="38"/>
  <c r="E64" i="38"/>
  <c r="E70" i="38"/>
  <c r="E25" i="38"/>
  <c r="E28" i="38"/>
  <c r="E72" i="38"/>
  <c r="E30" i="38"/>
  <c r="E43" i="38"/>
  <c r="E59" i="38"/>
  <c r="E79" i="38"/>
  <c r="E57" i="38"/>
  <c r="R44" i="38"/>
  <c r="N55" i="38" s="1"/>
  <c r="E24" i="38"/>
  <c r="E82" i="38"/>
  <c r="E68" i="38"/>
  <c r="R45" i="38"/>
  <c r="N56" i="38" s="1"/>
  <c r="R50" i="38"/>
  <c r="N61" i="38" s="1"/>
  <c r="E75" i="38"/>
  <c r="E33" i="38"/>
  <c r="E58" i="38"/>
  <c r="E67" i="38"/>
  <c r="E80" i="38"/>
  <c r="E48" i="38"/>
  <c r="E53" i="38"/>
  <c r="E69" i="38"/>
  <c r="E31" i="38"/>
  <c r="E34" i="38"/>
  <c r="T37" i="32"/>
  <c r="O37" i="32" s="1"/>
  <c r="H37" i="32" s="1"/>
  <c r="J11" i="33" s="1"/>
  <c r="T34" i="32"/>
  <c r="O34" i="32" s="1"/>
  <c r="H34" i="32" s="1"/>
  <c r="J8" i="33" s="1"/>
  <c r="T38" i="32"/>
  <c r="O38" i="32" s="1"/>
  <c r="H38" i="32" s="1"/>
  <c r="J12" i="33" s="1"/>
  <c r="T40" i="32"/>
  <c r="O40" i="32" s="1"/>
  <c r="H40" i="32" s="1"/>
  <c r="J14" i="33" s="1"/>
  <c r="T39" i="32"/>
  <c r="O39" i="32" s="1"/>
  <c r="H39" i="32" s="1"/>
  <c r="J13" i="33" s="1"/>
  <c r="T35" i="32"/>
  <c r="O35" i="32" s="1"/>
  <c r="H35" i="32" s="1"/>
  <c r="J9" i="33" s="1"/>
  <c r="T36" i="32"/>
  <c r="O36" i="32" s="1"/>
  <c r="H36" i="32" s="1"/>
  <c r="J10" i="33" s="1"/>
  <c r="AE35" i="32"/>
  <c r="AE82" i="32"/>
  <c r="AE77" i="32"/>
  <c r="AE65" i="32"/>
  <c r="AE75" i="32"/>
  <c r="AE46" i="32"/>
  <c r="AE57" i="32"/>
  <c r="AE83" i="32"/>
  <c r="AE71" i="32"/>
  <c r="AE51" i="32"/>
  <c r="AE47" i="32"/>
  <c r="AE38" i="32"/>
  <c r="AJ11" i="32"/>
  <c r="AJ9" i="32"/>
  <c r="AJ10" i="32"/>
  <c r="AE85" i="32"/>
  <c r="AE63" i="32"/>
  <c r="AE96" i="32"/>
  <c r="R4" i="38"/>
  <c r="R5" i="38"/>
  <c r="R3" i="38"/>
  <c r="AE89" i="32"/>
  <c r="AE41" i="32"/>
  <c r="AE54" i="32"/>
  <c r="AE73" i="32"/>
  <c r="AE52" i="32"/>
  <c r="AE79" i="32"/>
  <c r="AE91" i="32"/>
  <c r="AE48" i="32"/>
  <c r="AE30" i="32"/>
  <c r="U39" i="32"/>
  <c r="P39" i="32" s="1"/>
  <c r="I39" i="32" s="1"/>
  <c r="J20" i="33" s="1"/>
  <c r="U40" i="32"/>
  <c r="P40" i="32" s="1"/>
  <c r="I40" i="32" s="1"/>
  <c r="J21" i="33" s="1"/>
  <c r="U35" i="32"/>
  <c r="P35" i="32" s="1"/>
  <c r="I35" i="32" s="1"/>
  <c r="J16" i="33" s="1"/>
  <c r="U34" i="32"/>
  <c r="P34" i="32" s="1"/>
  <c r="I34" i="32" s="1"/>
  <c r="J15" i="33" s="1"/>
  <c r="U41" i="32"/>
  <c r="P41" i="32" s="1"/>
  <c r="I41" i="32" s="1"/>
  <c r="J22" i="33" s="1"/>
  <c r="U43" i="32"/>
  <c r="P43" i="32" s="1"/>
  <c r="I43" i="32" s="1"/>
  <c r="J24" i="33" s="1"/>
  <c r="U37" i="32"/>
  <c r="P37" i="32" s="1"/>
  <c r="I37" i="32" s="1"/>
  <c r="J18" i="33" s="1"/>
  <c r="U42" i="32"/>
  <c r="P42" i="32" s="1"/>
  <c r="I42" i="32" s="1"/>
  <c r="J23" i="33" s="1"/>
  <c r="U38" i="32"/>
  <c r="P38" i="32" s="1"/>
  <c r="I38" i="32" s="1"/>
  <c r="J19" i="33" s="1"/>
  <c r="U36" i="32"/>
  <c r="P36" i="32" s="1"/>
  <c r="I36" i="32" s="1"/>
  <c r="J17" i="33" s="1"/>
  <c r="AE67" i="32"/>
  <c r="AJ20" i="32"/>
  <c r="AJ19" i="32"/>
  <c r="AJ18" i="32"/>
  <c r="AE43" i="32"/>
  <c r="AE34" i="32"/>
  <c r="AE62" i="32"/>
  <c r="AE39" i="32"/>
  <c r="AE76" i="32"/>
  <c r="AE87" i="32"/>
  <c r="AE68" i="32"/>
  <c r="AE56" i="32"/>
  <c r="AE33" i="32"/>
  <c r="F56" i="38" l="1"/>
  <c r="F32" i="38"/>
  <c r="F64" i="38"/>
  <c r="F53" i="38"/>
  <c r="F39" i="38"/>
  <c r="F27" i="38"/>
  <c r="F28" i="38"/>
  <c r="F57" i="38"/>
  <c r="F19" i="38"/>
  <c r="F31" i="38"/>
  <c r="F79" i="38"/>
  <c r="F26" i="38"/>
  <c r="F49" i="38"/>
  <c r="F80" i="38"/>
  <c r="F23" i="38"/>
  <c r="F61" i="38"/>
  <c r="F17" i="38"/>
  <c r="F25" i="38"/>
  <c r="F48" i="38"/>
  <c r="F66" i="38"/>
  <c r="F47" i="38"/>
  <c r="F42" i="38"/>
  <c r="F77" i="38"/>
  <c r="F21" i="38"/>
  <c r="F67" i="38"/>
  <c r="F20" i="38"/>
  <c r="F37" i="38"/>
  <c r="F40" i="38"/>
  <c r="F51" i="38"/>
  <c r="F81" i="38"/>
  <c r="S49" i="38"/>
  <c r="O60" i="38" s="1"/>
  <c r="F78" i="38"/>
  <c r="S48" i="38"/>
  <c r="O59" i="38" s="1"/>
  <c r="F60" i="38"/>
  <c r="S50" i="38"/>
  <c r="O61" i="38" s="1"/>
  <c r="F63" i="38"/>
  <c r="F72" i="38"/>
  <c r="S47" i="38"/>
  <c r="O58" i="38" s="1"/>
  <c r="F30" i="38"/>
  <c r="F36" i="38"/>
  <c r="F35" i="38"/>
  <c r="F83" i="38"/>
  <c r="S46" i="38"/>
  <c r="O57" i="38" s="1"/>
  <c r="S44" i="38"/>
  <c r="O55" i="38" s="1"/>
  <c r="F50" i="38"/>
  <c r="F54" i="38"/>
  <c r="F76" i="38"/>
  <c r="F69" i="38"/>
  <c r="F55" i="38"/>
  <c r="F75" i="38"/>
  <c r="F46" i="38"/>
  <c r="F34" i="38"/>
  <c r="F68" i="38"/>
  <c r="F33" i="38"/>
  <c r="F29" i="38"/>
  <c r="F41" i="38"/>
  <c r="F74" i="38"/>
  <c r="F71" i="38"/>
  <c r="F43" i="38"/>
  <c r="F52" i="38"/>
  <c r="F65" i="38"/>
  <c r="F24" i="38"/>
  <c r="F22" i="38"/>
  <c r="F38" i="38"/>
  <c r="F45" i="38"/>
  <c r="F82" i="38"/>
  <c r="F18" i="38"/>
  <c r="F62" i="38"/>
  <c r="F70" i="38"/>
  <c r="S45" i="38"/>
  <c r="O56" i="38" s="1"/>
  <c r="F73" i="38"/>
  <c r="F44" i="38"/>
  <c r="F59" i="38"/>
  <c r="F58" i="38"/>
  <c r="N3" i="33" a="1"/>
  <c r="N17" i="33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22" i="33"/>
  <c r="O22" i="33"/>
  <c r="N14" i="33"/>
  <c r="O14" i="33"/>
  <c r="N21" i="33"/>
  <c r="O21" i="33"/>
  <c r="N13" i="33"/>
  <c r="O13" i="33"/>
  <c r="N20" i="33"/>
  <c r="O20" i="33"/>
  <c r="N12" i="33"/>
  <c r="O12" i="33"/>
  <c r="N19" i="33"/>
  <c r="O19" i="33"/>
  <c r="N18" i="33"/>
  <c r="O18" i="33"/>
  <c r="P15" i="33"/>
  <c r="N11" i="33"/>
  <c r="O11" i="33"/>
  <c r="N10" i="33"/>
  <c r="O10" i="33"/>
  <c r="P8" i="33"/>
  <c r="K18" i="32"/>
  <c r="L26" i="32"/>
  <c r="D44" i="29"/>
  <c r="L3" i="32"/>
  <c r="K9" i="32"/>
  <c r="J31" i="32"/>
  <c r="D43" i="29"/>
  <c r="L27" i="32"/>
  <c r="L4" i="32"/>
  <c r="G31" i="32"/>
  <c r="N32" i="32"/>
  <c r="J32" i="32"/>
  <c r="Q32" i="32"/>
  <c r="O31" i="32"/>
  <c r="G32" i="32"/>
  <c r="L9" i="32"/>
  <c r="O32" i="32"/>
  <c r="AD37" i="32"/>
  <c r="AD89" i="32"/>
  <c r="AD84" i="32"/>
  <c r="AD54" i="32"/>
  <c r="AD76" i="32"/>
  <c r="AD92" i="32"/>
  <c r="AD74" i="32"/>
  <c r="AD87" i="32"/>
  <c r="AD40" i="32"/>
  <c r="AD69" i="32"/>
  <c r="AD33" i="32"/>
  <c r="AD55" i="32"/>
  <c r="AD77" i="32"/>
  <c r="AD78" i="32"/>
  <c r="AD46" i="32"/>
  <c r="AD95" i="32"/>
  <c r="AD44" i="32"/>
  <c r="AD36" i="32"/>
  <c r="AD39" i="32"/>
  <c r="AD73" i="32"/>
  <c r="AD88" i="32"/>
  <c r="AD79" i="32"/>
  <c r="AD91" i="32"/>
  <c r="AD56" i="32"/>
  <c r="AD60" i="32"/>
  <c r="AD48" i="32"/>
  <c r="AD81" i="32"/>
  <c r="AD90" i="32"/>
  <c r="AD34" i="32"/>
  <c r="AD94" i="32"/>
  <c r="AD63" i="32"/>
  <c r="AD75" i="32"/>
  <c r="AD53" i="32"/>
  <c r="AD65" i="32"/>
  <c r="AD96" i="32"/>
  <c r="AD43" i="32"/>
  <c r="AD59" i="32"/>
  <c r="AD67" i="32"/>
  <c r="AD49" i="32"/>
  <c r="AD58" i="32"/>
  <c r="AD45" i="32"/>
  <c r="AD70" i="32"/>
  <c r="AD51" i="32"/>
  <c r="AD86" i="32"/>
  <c r="AD50" i="32"/>
  <c r="AD64" i="32"/>
  <c r="AD72" i="32"/>
  <c r="AD68" i="32"/>
  <c r="AD35" i="32"/>
  <c r="AD93" i="32"/>
  <c r="AD61" i="32"/>
  <c r="AD66" i="32"/>
  <c r="AD57" i="32"/>
  <c r="AD41" i="32"/>
  <c r="AD83" i="32"/>
  <c r="AD80" i="32"/>
  <c r="AD52" i="32"/>
  <c r="AD82" i="32"/>
  <c r="AD71" i="32"/>
  <c r="AD32" i="32"/>
  <c r="AD31" i="32"/>
  <c r="AD42" i="32"/>
  <c r="AD47" i="32"/>
  <c r="AD38" i="32"/>
  <c r="AD62" i="32"/>
  <c r="AD85" i="32"/>
  <c r="AD30" i="32"/>
  <c r="L18" i="32"/>
  <c r="P32" i="32"/>
  <c r="Q45" i="32"/>
  <c r="J45" i="32"/>
  <c r="J36" i="33" s="1"/>
  <c r="Q46" i="32"/>
  <c r="J46" i="32"/>
  <c r="J37" i="33"/>
  <c r="Q40" i="32"/>
  <c r="J40" i="32" s="1"/>
  <c r="J31" i="33" s="1"/>
  <c r="Q48" i="32"/>
  <c r="J48" i="32" s="1"/>
  <c r="J39" i="33" s="1"/>
  <c r="Q38" i="32"/>
  <c r="J38" i="32"/>
  <c r="J29" i="33"/>
  <c r="Q35" i="32"/>
  <c r="J35" i="32"/>
  <c r="J26" i="33"/>
  <c r="Q37" i="32"/>
  <c r="J37" i="32" s="1"/>
  <c r="J28" i="33" s="1"/>
  <c r="Q42" i="32"/>
  <c r="J42" i="32"/>
  <c r="J33" i="33" s="1"/>
  <c r="N33" i="33" s="1"/>
  <c r="Q34" i="32"/>
  <c r="J34" i="32"/>
  <c r="J25" i="33"/>
  <c r="Q39" i="32"/>
  <c r="J39" i="32" s="1"/>
  <c r="J30" i="33" s="1"/>
  <c r="Q47" i="32"/>
  <c r="J47" i="32" s="1"/>
  <c r="J38" i="33" s="1"/>
  <c r="Q49" i="32"/>
  <c r="J49" i="32"/>
  <c r="J40" i="33"/>
  <c r="Q36" i="32"/>
  <c r="J36" i="32" s="1"/>
  <c r="J27" i="33" s="1"/>
  <c r="Q43" i="32"/>
  <c r="J43" i="32" s="1"/>
  <c r="J34" i="33" s="1"/>
  <c r="Q44" i="32"/>
  <c r="J44" i="32"/>
  <c r="J35" i="33"/>
  <c r="Q41" i="32"/>
  <c r="J41" i="32"/>
  <c r="J32" i="33" s="1"/>
  <c r="N38" i="32"/>
  <c r="G38" i="32"/>
  <c r="J7" i="33" s="1"/>
  <c r="N37" i="32"/>
  <c r="G37" i="32" s="1"/>
  <c r="J6" i="33" s="1"/>
  <c r="N34" i="32"/>
  <c r="G34" i="32" s="1"/>
  <c r="J3" i="33" s="1"/>
  <c r="N36" i="32"/>
  <c r="G36" i="32" s="1"/>
  <c r="J5" i="33" s="1"/>
  <c r="N35" i="32"/>
  <c r="G35" i="32"/>
  <c r="J4" i="33" s="1"/>
  <c r="O33" i="33"/>
  <c r="N25" i="33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N34" i="33"/>
  <c r="O34" i="33"/>
  <c r="N26" i="33"/>
  <c r="O26" i="33"/>
  <c r="P25" i="33"/>
  <c r="G23" i="36"/>
  <c r="I23" i="36"/>
  <c r="G50" i="36"/>
  <c r="I50" i="36"/>
  <c r="G47" i="36"/>
  <c r="I47" i="36"/>
  <c r="L3" i="35"/>
  <c r="H4" i="36"/>
  <c r="M3" i="35"/>
  <c r="I4" i="36" s="1"/>
  <c r="J4" i="36" s="1"/>
  <c r="G37" i="36"/>
  <c r="I37" i="36"/>
  <c r="G21" i="36"/>
  <c r="I21" i="36"/>
  <c r="G35" i="36"/>
  <c r="I35" i="36"/>
  <c r="G22" i="36"/>
  <c r="I22" i="36"/>
  <c r="G39" i="36"/>
  <c r="I39" i="36"/>
  <c r="G59" i="36"/>
  <c r="I59" i="36"/>
  <c r="G52" i="36"/>
  <c r="I52" i="36"/>
  <c r="G32" i="36"/>
  <c r="I32" i="36"/>
  <c r="G43" i="36"/>
  <c r="I43" i="36"/>
  <c r="L6" i="35"/>
  <c r="M6" i="35"/>
  <c r="I7" i="36" s="1"/>
  <c r="J7" i="36" s="1"/>
  <c r="H7" i="36"/>
  <c r="L5" i="35"/>
  <c r="M5" i="35"/>
  <c r="I6" i="36" s="1"/>
  <c r="J6" i="36" s="1"/>
  <c r="H6" i="36"/>
  <c r="G57" i="36"/>
  <c r="I57" i="36"/>
  <c r="G42" i="36"/>
  <c r="I42" i="36"/>
  <c r="L2" i="35"/>
  <c r="M2" i="35"/>
  <c r="H3" i="36"/>
  <c r="I3" i="36"/>
  <c r="J3" i="36" s="1"/>
  <c r="G26" i="36"/>
  <c r="I26" i="36"/>
  <c r="G38" i="36"/>
  <c r="I38" i="36"/>
  <c r="G14" i="36"/>
  <c r="I14" i="36"/>
  <c r="G17" i="36"/>
  <c r="I17" i="36"/>
  <c r="G48" i="36"/>
  <c r="I48" i="36"/>
  <c r="G41" i="36"/>
  <c r="I41" i="36"/>
  <c r="G30" i="36"/>
  <c r="I30" i="36"/>
  <c r="G33" i="36"/>
  <c r="I33" i="36"/>
  <c r="G56" i="36"/>
  <c r="I56" i="36"/>
  <c r="P6" i="35"/>
  <c r="P5" i="35"/>
  <c r="P3" i="35"/>
  <c r="P2" i="35"/>
  <c r="P2" i="33"/>
  <c r="L4" i="35"/>
  <c r="M4" i="35"/>
  <c r="P4" i="35"/>
  <c r="G58" i="36"/>
  <c r="I58" i="36"/>
  <c r="G51" i="36"/>
  <c r="I51" i="36"/>
  <c r="G34" i="36"/>
  <c r="I34" i="36"/>
  <c r="G31" i="36"/>
  <c r="I31" i="36"/>
  <c r="G15" i="36"/>
  <c r="I15" i="36"/>
  <c r="G18" i="36"/>
  <c r="I18" i="36"/>
  <c r="G20" i="36"/>
  <c r="I20" i="36"/>
  <c r="G16" i="36"/>
  <c r="I16" i="36"/>
  <c r="G19" i="36"/>
  <c r="I19" i="36"/>
  <c r="G46" i="36"/>
  <c r="I46" i="36"/>
  <c r="G12" i="36"/>
  <c r="I12" i="36"/>
  <c r="G25" i="36"/>
  <c r="I25" i="36"/>
  <c r="G45" i="36"/>
  <c r="I45" i="36"/>
  <c r="G11" i="36"/>
  <c r="I11" i="36"/>
  <c r="G49" i="36"/>
  <c r="I49" i="36"/>
  <c r="G36" i="36"/>
  <c r="I36" i="36"/>
  <c r="G44" i="36"/>
  <c r="I44" i="36"/>
  <c r="G54" i="36"/>
  <c r="I54" i="36"/>
  <c r="G24" i="36"/>
  <c r="I24" i="36"/>
  <c r="G55" i="36"/>
  <c r="I55" i="36"/>
  <c r="G28" i="36"/>
  <c r="I28" i="36"/>
  <c r="G53" i="36"/>
  <c r="I53" i="36"/>
  <c r="G27" i="36"/>
  <c r="I27" i="36"/>
  <c r="G29" i="36"/>
  <c r="I29" i="36"/>
  <c r="G13" i="36"/>
  <c r="I13" i="36"/>
  <c r="H5" i="36"/>
  <c r="I5" i="36"/>
  <c r="J5" i="36" s="1"/>
  <c r="G40" i="36"/>
  <c r="I40" i="36"/>
  <c r="L53" i="35"/>
  <c r="M53" i="35"/>
  <c r="N53" i="35"/>
  <c r="J56" i="36"/>
  <c r="L30" i="35"/>
  <c r="M30" i="35"/>
  <c r="N30" i="35"/>
  <c r="J33" i="36"/>
  <c r="L48" i="35"/>
  <c r="M48" i="35"/>
  <c r="N48" i="35"/>
  <c r="J51" i="36"/>
  <c r="L22" i="35"/>
  <c r="M22" i="35"/>
  <c r="N22" i="35"/>
  <c r="J25" i="36"/>
  <c r="L27" i="35"/>
  <c r="M27" i="35"/>
  <c r="N27" i="35"/>
  <c r="J30" i="36"/>
  <c r="L38" i="35"/>
  <c r="M38" i="35"/>
  <c r="N38" i="35"/>
  <c r="J41" i="36"/>
  <c r="L45" i="35"/>
  <c r="M45" i="35"/>
  <c r="N45" i="35"/>
  <c r="J48" i="36"/>
  <c r="L55" i="35"/>
  <c r="M55" i="35"/>
  <c r="N55" i="35"/>
  <c r="J58" i="36"/>
  <c r="L8" i="35"/>
  <c r="M8" i="35"/>
  <c r="N8" i="35"/>
  <c r="J11" i="36"/>
  <c r="L16" i="35"/>
  <c r="M16" i="35"/>
  <c r="N16" i="35"/>
  <c r="J19" i="36" s="1"/>
  <c r="L13" i="35"/>
  <c r="M13" i="35"/>
  <c r="N13" i="35"/>
  <c r="J16" i="36"/>
  <c r="L21" i="35"/>
  <c r="M21" i="35"/>
  <c r="N21" i="35"/>
  <c r="J24" i="36" s="1"/>
  <c r="L54" i="35"/>
  <c r="M54" i="35"/>
  <c r="N54" i="35"/>
  <c r="J57" i="36"/>
  <c r="L25" i="35"/>
  <c r="M25" i="35"/>
  <c r="N25" i="35"/>
  <c r="J28" i="36"/>
  <c r="L28" i="35"/>
  <c r="M28" i="35"/>
  <c r="N28" i="35"/>
  <c r="J31" i="36"/>
  <c r="L31" i="35"/>
  <c r="M31" i="35"/>
  <c r="N31" i="35"/>
  <c r="J34" i="36"/>
  <c r="L12" i="35"/>
  <c r="M12" i="35"/>
  <c r="N12" i="35"/>
  <c r="J15" i="36" s="1"/>
  <c r="L24" i="35"/>
  <c r="M24" i="35"/>
  <c r="N24" i="35"/>
  <c r="J27" i="36" s="1"/>
  <c r="L49" i="35"/>
  <c r="M49" i="35"/>
  <c r="N49" i="35"/>
  <c r="J52" i="36" s="1"/>
  <c r="L56" i="35"/>
  <c r="M56" i="35"/>
  <c r="N56" i="35"/>
  <c r="J59" i="36" s="1"/>
  <c r="L40" i="35"/>
  <c r="M40" i="35"/>
  <c r="N40" i="35"/>
  <c r="J43" i="36" s="1"/>
  <c r="L39" i="35"/>
  <c r="M39" i="35"/>
  <c r="N39" i="35"/>
  <c r="J42" i="36" s="1"/>
  <c r="L14" i="35"/>
  <c r="M14" i="35"/>
  <c r="N14" i="35"/>
  <c r="J17" i="36" s="1"/>
  <c r="L42" i="35"/>
  <c r="M42" i="35"/>
  <c r="N42" i="35"/>
  <c r="J45" i="36" s="1"/>
  <c r="L32" i="35"/>
  <c r="M32" i="35"/>
  <c r="N32" i="35"/>
  <c r="J35" i="36" s="1"/>
  <c r="L50" i="35"/>
  <c r="M50" i="35"/>
  <c r="N50" i="35"/>
  <c r="J53" i="36" s="1"/>
  <c r="L33" i="35"/>
  <c r="M33" i="35"/>
  <c r="N33" i="35"/>
  <c r="J36" i="36" s="1"/>
  <c r="L43" i="35"/>
  <c r="M43" i="35"/>
  <c r="N43" i="35"/>
  <c r="J46" i="36"/>
  <c r="L9" i="35"/>
  <c r="M9" i="35"/>
  <c r="J73" i="33"/>
  <c r="J79" i="33"/>
  <c r="J68" i="33"/>
  <c r="J59" i="33"/>
  <c r="N59" i="33"/>
  <c r="J46" i="33"/>
  <c r="J74" i="33"/>
  <c r="N74" i="33" s="1"/>
  <c r="J45" i="33"/>
  <c r="N45" i="33" s="1"/>
  <c r="J77" i="33"/>
  <c r="J83" i="33"/>
  <c r="J70" i="33"/>
  <c r="N70" i="33"/>
  <c r="N83" i="33"/>
  <c r="N73" i="33"/>
  <c r="N79" i="33"/>
  <c r="J62" i="33"/>
  <c r="N62" i="33" s="1"/>
  <c r="J61" i="33"/>
  <c r="N61" i="33"/>
  <c r="N68" i="33"/>
  <c r="J82" i="33"/>
  <c r="N82" i="33"/>
  <c r="J55" i="33"/>
  <c r="N55" i="33" s="1"/>
  <c r="N46" i="33"/>
  <c r="J48" i="33"/>
  <c r="N48" i="33" s="1"/>
  <c r="J84" i="33"/>
  <c r="N84" i="33"/>
  <c r="J72" i="33"/>
  <c r="N72" i="33" s="1"/>
  <c r="J63" i="33"/>
  <c r="N63" i="33"/>
  <c r="J53" i="33"/>
  <c r="N53" i="33" s="1"/>
  <c r="J52" i="33"/>
  <c r="N52" i="33"/>
  <c r="J44" i="33"/>
  <c r="N44" i="33"/>
  <c r="J78" i="33"/>
  <c r="N78" i="33"/>
  <c r="J58" i="33"/>
  <c r="N58" i="33" s="1"/>
  <c r="N77" i="33"/>
  <c r="J69" i="33"/>
  <c r="N69" i="33"/>
  <c r="N9" i="35"/>
  <c r="J12" i="36" s="1"/>
  <c r="J56" i="33"/>
  <c r="N56" i="33"/>
  <c r="O73" i="33"/>
  <c r="O70" i="33"/>
  <c r="O84" i="33"/>
  <c r="O58" i="33"/>
  <c r="O48" i="33"/>
  <c r="O77" i="33"/>
  <c r="O44" i="33"/>
  <c r="O55" i="33"/>
  <c r="O53" i="33"/>
  <c r="O82" i="33"/>
  <c r="O72" i="33"/>
  <c r="O62" i="33"/>
  <c r="O68" i="33"/>
  <c r="O79" i="33"/>
  <c r="O69" i="33"/>
  <c r="O83" i="33"/>
  <c r="O78" i="33"/>
  <c r="O45" i="33"/>
  <c r="O74" i="33"/>
  <c r="O59" i="33"/>
  <c r="O61" i="33"/>
  <c r="O63" i="33"/>
  <c r="O52" i="33"/>
  <c r="O46" i="33"/>
  <c r="O56" i="33"/>
  <c r="L15" i="35"/>
  <c r="M15" i="35"/>
  <c r="J41" i="33" l="1"/>
  <c r="N41" i="33" s="1"/>
  <c r="N15" i="35"/>
  <c r="J47" i="33"/>
  <c r="N47" i="33"/>
  <c r="J18" i="36"/>
  <c r="O41" i="33"/>
  <c r="O47" i="33"/>
  <c r="L23" i="35"/>
  <c r="M23" i="35"/>
  <c r="N23" i="35"/>
  <c r="J54" i="33"/>
  <c r="N54" i="33"/>
  <c r="J26" i="36"/>
  <c r="O54" i="33"/>
  <c r="L36" i="35"/>
  <c r="M36" i="35"/>
  <c r="N36" i="35"/>
  <c r="J66" i="33"/>
  <c r="J39" i="36"/>
  <c r="N66" i="33"/>
  <c r="O66" i="33"/>
  <c r="L19" i="35"/>
  <c r="M19" i="35"/>
  <c r="N19" i="35"/>
  <c r="J51" i="33" s="1"/>
  <c r="N51" i="33" s="1"/>
  <c r="J22" i="36"/>
  <c r="O51" i="33"/>
  <c r="L37" i="35"/>
  <c r="M37" i="35"/>
  <c r="N37" i="35"/>
  <c r="J67" i="33" s="1"/>
  <c r="N67" i="33" s="1"/>
  <c r="J40" i="36"/>
  <c r="O67" i="33"/>
  <c r="L44" i="35"/>
  <c r="M44" i="35"/>
  <c r="N44" i="35"/>
  <c r="J47" i="36"/>
  <c r="L10" i="35"/>
  <c r="M10" i="35"/>
  <c r="L26" i="35"/>
  <c r="M26" i="35"/>
  <c r="L47" i="35"/>
  <c r="M47" i="35"/>
  <c r="L11" i="35"/>
  <c r="M11" i="35"/>
  <c r="L20" i="35"/>
  <c r="M20" i="35"/>
  <c r="L51" i="35"/>
  <c r="M51" i="35"/>
  <c r="L52" i="35"/>
  <c r="M52" i="35"/>
  <c r="N52" i="35"/>
  <c r="J55" i="36" s="1"/>
  <c r="N26" i="35"/>
  <c r="J57" i="33" s="1"/>
  <c r="N57" i="33" s="1"/>
  <c r="J29" i="36"/>
  <c r="J81" i="33"/>
  <c r="N81" i="33" s="1"/>
  <c r="N10" i="35"/>
  <c r="J42" i="33" s="1"/>
  <c r="N42" i="33" s="1"/>
  <c r="J13" i="36"/>
  <c r="O81" i="33"/>
  <c r="O57" i="33"/>
  <c r="O42" i="33"/>
  <c r="L46" i="35"/>
  <c r="M46" i="35"/>
  <c r="L35" i="35"/>
  <c r="M35" i="35"/>
  <c r="L29" i="35"/>
  <c r="M29" i="35"/>
  <c r="L18" i="35"/>
  <c r="M18" i="35"/>
  <c r="N11" i="35"/>
  <c r="J43" i="33" s="1"/>
  <c r="N43" i="33" s="1"/>
  <c r="O43" i="33"/>
  <c r="L41" i="35"/>
  <c r="M41" i="35"/>
  <c r="L17" i="35"/>
  <c r="M17" i="35"/>
  <c r="L34" i="35"/>
  <c r="M34" i="35"/>
  <c r="J14" i="36" l="1"/>
  <c r="N47" i="35"/>
  <c r="J76" i="33" s="1"/>
  <c r="N76" i="33" s="1"/>
  <c r="N18" i="35"/>
  <c r="N20" i="35"/>
  <c r="J23" i="36"/>
  <c r="N17" i="35"/>
  <c r="J49" i="33"/>
  <c r="N49" i="33"/>
  <c r="N34" i="35"/>
  <c r="N51" i="35"/>
  <c r="J80" i="33"/>
  <c r="N80" i="33"/>
  <c r="N35" i="35"/>
  <c r="J65" i="33" s="1"/>
  <c r="N65" i="33" s="1"/>
  <c r="J50" i="33"/>
  <c r="N50" i="33"/>
  <c r="N46" i="35"/>
  <c r="J75" i="33" s="1"/>
  <c r="N75" i="33" s="1"/>
  <c r="J64" i="33"/>
  <c r="N64" i="33"/>
  <c r="J54" i="36"/>
  <c r="N29" i="35"/>
  <c r="J60" i="33" s="1"/>
  <c r="N60" i="33" s="1"/>
  <c r="N41" i="35"/>
  <c r="J71" i="33" s="1"/>
  <c r="N71" i="33" s="1"/>
  <c r="O76" i="33"/>
  <c r="O71" i="33"/>
  <c r="O60" i="33"/>
  <c r="O75" i="33"/>
  <c r="O49" i="33"/>
  <c r="O65" i="33"/>
  <c r="O64" i="33"/>
  <c r="O50" i="33"/>
  <c r="O80" i="33"/>
  <c r="P41" i="33"/>
  <c r="J50" i="36" l="1"/>
  <c r="J49" i="36"/>
  <c r="J21" i="36"/>
  <c r="J44" i="36"/>
  <c r="J20" i="36"/>
  <c r="J32" i="36"/>
  <c r="J37" i="36"/>
  <c r="J38" i="36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<sst xmlns="http://schemas.openxmlformats.org/spreadsheetml/2006/main" count="341" uniqueCount="171">
  <si>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</si>
  <si>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</si>
  <si>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</si>
  <si>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</si>
  <si>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</si>
  <si>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</si>
  <si>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</si>
  <si>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</si>
  <si>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</si>
  <si>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</si>
  <si>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</si>
  <si>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</si>
  <si>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</si>
  <si>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</si>
  <si>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</si>
  <si>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</si>
  <si>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</si>
  <si>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</si>
  <si>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</si>
  <si>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</si>
  <si>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</si>
  <si>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</si>
  <si>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</si>
  <si>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</si>
  <si>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</si>
  <si>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</si>
  <si>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</si>
  <si>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</si>
  <si>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</si>
  <si>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</si>
  <si>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</si>
  <si>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</si>
  <si>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</si>
  <si>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</si>
  <si>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</si>
  <si>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</si>
  <si>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</si>
  <si>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</si>
  <si>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</si>
  <si>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</si>
  <si>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</si>
  <si>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</si>
  <si>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</si>
  <si>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</si>
  <si>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</si>
  <si>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</si>
  <si>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</si>
  <si>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</si>
  <si>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</si>
  <si>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</si>
  <si>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</si>
  <si>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</si>
  <si>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</si>
  <si>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</si>
  <si>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</si>
  <si>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</si>
  <si>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</si>
  <si>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</si>
  <si>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</si>
  <si>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</si>
  <si>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</si>
  <si>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</si>
  <si>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</si>
  <si>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</si>
  <si>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</si>
  <si>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</si>
  <si>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</si>
  <si>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</si>
  <si>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</si>
  <si>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</si>
  <si>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</si>
  <si>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</si>
  <si>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</si>
  <si>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</si>
  <si>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</si>
  <si>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</si>
  <si>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</si>
  <si>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</si>
  <si>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</si>
  <si>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</si>
  <si>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</si>
  <si>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</si>
  <si>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</si>
  <si>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</si>
  <si>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</si>
  <si>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</si>
  <si>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</si>
  <si>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</si>
  <si>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</si>
  <si>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</si>
  <si>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</si>
  <si>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</si>
  <si>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</si>
  <si>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</si>
  <si>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</si>
  <si>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</si>
  <si>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</si>
  <si>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</si>
  <si>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</si>
  <si>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</si>
  <si>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</si>
  <si>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</si>
  <si>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</si>
  <si>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</si>
  <si>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</si>
  <si>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</si>
  <si>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</si>
  <si>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</si>
  <si>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</si>
  <si>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</si>
  <si>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</si>
  <si>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</si>
  <si>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</si>
  <si>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</si>
  <si>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</si>
  <si>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</si>
  <si>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</si>
  <si>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</si>
  <si>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</si>
  <si>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</si>
  <si>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</si>
  <si>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</si>
  <si>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</si>
  <si>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</si>
  <si>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</si>
  <si>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</si>
  <si>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</si>
  <si>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</si>
  <si>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</si>
  <si>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</si>
  <si>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</si>
  <si>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</si>
  <si>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</si>
  <si>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</si>
  <si>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</si>
  <si>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</si>
  <si>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</si>
  <si>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</si>
  <si>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</si>
  <si>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</si>
  <si>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</si>
  <si>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</si>
  <si>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</si>
  <si>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</si>
  <si>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</si>
  <si>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</si>
  <si>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</si>
  <si>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</si>
  <si>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</si>
  <si>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</si>
  <si>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</si>
  <si>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</si>
  <si>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</si>
  <si>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</si>
  <si>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</si>
  <si>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</si>
  <si>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</si>
  <si>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</si>
  <si>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</si>
  <si>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3M market day counter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</si>
  <si>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</si>
  <si>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</si>
  <si>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</si>
  <si>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</si>
  <si>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</si>
  <si>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</si>
  <si>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</si>
  <si>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</si>
  <si>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</si>
  <si>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</si>
  <si>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3M Synthetic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</si>
</sst>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36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0" fillId="11" borderId="0" xfId="0" applyNumberFormat="1" applyFill="1"/>
    <xf numFmtId="0" fontId="0" fillId="11" borderId="0" xfId="0" applyFill="1" applyAlignment="1">
      <alignment horizontal="center"/>
    </xf>
    <xf numFmtId="171" fontId="10" fillId="11" borderId="0" xfId="0" applyNumberFormat="1" applyFont="1" applyFill="1"/>
    <xf numFmtId="181" fontId="0" fillId="11" borderId="0" xfId="0" applyNumberFormat="1" applyFill="1"/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171" fontId="10" fillId="11" borderId="58" xfId="0" applyNumberFormat="1" applyFont="1" applyFill="1" applyBorder="1" applyAlignment="1"/>
    <xf numFmtId="0" fontId="24" fillId="15" borderId="60" xfId="0" applyFont="1" applyFill="1" applyBorder="1" applyAlignment="1">
      <alignment horizontal="center" vertical="center" wrapText="1"/>
    </xf>
    <xf numFmtId="171" fontId="10" fillId="11" borderId="61" xfId="0" applyNumberFormat="1" applyFont="1" applyFill="1" applyBorder="1" applyAlignment="1"/>
    <xf numFmtId="0" fontId="24" fillId="15" borderId="62" xfId="0" applyFont="1" applyFill="1" applyBorder="1" applyAlignment="1">
      <alignment horizontal="center" vertical="center" wrapText="1"/>
    </xf>
    <xf numFmtId="171" fontId="10" fillId="11" borderId="63" xfId="0" applyNumberFormat="1" applyFont="1" applyFill="1" applyBorder="1" applyAlignment="1"/>
    <xf numFmtId="0" fontId="26" fillId="15" borderId="57" xfId="0" applyFont="1" applyFill="1" applyBorder="1" applyAlignment="1">
      <alignment horizontal="center" vertical="center" wrapText="1"/>
    </xf>
    <xf numFmtId="0" fontId="26" fillId="15" borderId="45" xfId="0" applyFont="1" applyFill="1" applyBorder="1" applyAlignment="1">
      <alignment horizontal="center" vertical="center" wrapText="1"/>
    </xf>
    <xf numFmtId="0" fontId="26" fillId="15" borderId="58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11" borderId="65" xfId="0" applyFill="1" applyBorder="1"/>
    <xf numFmtId="0" fontId="0" fillId="11" borderId="8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0" fontId="27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3" fontId="0" fillId="11" borderId="64" xfId="0" applyNumberFormat="1" applyFill="1" applyBorder="1"/>
    <xf numFmtId="173" fontId="0" fillId="11" borderId="17" xfId="0" applyNumberFormat="1" applyFill="1" applyBorder="1"/>
    <xf numFmtId="173" fontId="0" fillId="11" borderId="40" xfId="0" applyNumberFormat="1" applyFill="1" applyBorder="1"/>
    <xf numFmtId="173" fontId="0" fillId="11" borderId="8" xfId="0" applyNumberFormat="1" applyFill="1" applyBorder="1"/>
    <xf numFmtId="173" fontId="0" fillId="11" borderId="46" xfId="0" applyNumberFormat="1" applyFill="1" applyBorder="1"/>
    <xf numFmtId="173" fontId="0" fillId="11" borderId="32" xfId="0" applyNumberForma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24" fillId="15" borderId="48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0" fontId="0" fillId="11" borderId="28" xfId="0" applyFill="1" applyBorder="1"/>
    <xf numFmtId="172" fontId="0" fillId="11" borderId="28" xfId="0" applyNumberFormat="1" applyFill="1" applyBorder="1"/>
    <xf numFmtId="172" fontId="0" fillId="11" borderId="50" xfId="0" applyNumberFormat="1" applyFill="1" applyBorder="1"/>
    <xf numFmtId="172" fontId="0" fillId="11" borderId="8" xfId="0" applyNumberFormat="1" applyFill="1" applyBorder="1"/>
    <xf numFmtId="172" fontId="0" fillId="11" borderId="31" xfId="0" applyNumberFormat="1" applyFill="1" applyBorder="1"/>
    <xf numFmtId="172" fontId="0" fillId="11" borderId="32" xfId="0" applyNumberFormat="1" applyFill="1" applyBorder="1"/>
    <xf numFmtId="172" fontId="0" fillId="11" borderId="33" xfId="0" applyNumberFormat="1" applyFill="1" applyBorder="1"/>
    <xf numFmtId="171" fontId="10" fillId="11" borderId="28" xfId="0" applyNumberFormat="1" applyFont="1" applyFill="1" applyBorder="1" applyAlignment="1"/>
    <xf numFmtId="171" fontId="10" fillId="11" borderId="28" xfId="0" applyNumberFormat="1" applyFont="1" applyFill="1" applyBorder="1"/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26" fillId="15" borderId="1" xfId="0" applyFont="1" applyFill="1" applyBorder="1" applyAlignment="1">
      <alignment horizontal="centerContinuous" vertical="center" wrapText="1"/>
    </xf>
    <xf numFmtId="0" fontId="26" fillId="15" borderId="2" xfId="0" applyFont="1" applyFill="1" applyBorder="1" applyAlignment="1">
      <alignment horizontal="centerContinuous" vertical="center" wrapText="1"/>
    </xf>
    <xf numFmtId="0" fontId="26" fillId="15" borderId="3" xfId="0" applyFont="1" applyFill="1" applyBorder="1" applyAlignment="1">
      <alignment horizontal="centerContinuous" vertical="center" wrapText="1"/>
    </xf>
    <xf numFmtId="0" fontId="10" fillId="11" borderId="48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73" fontId="0" fillId="11" borderId="65" xfId="0" applyNumberFormat="1" applyFill="1" applyBorder="1"/>
    <xf numFmtId="173" fontId="0" fillId="11" borderId="31" xfId="0" applyNumberFormat="1" applyFill="1" applyBorder="1"/>
    <xf numFmtId="173" fontId="0" fillId="11" borderId="33" xfId="0" applyNumberFormat="1" applyFill="1" applyBorder="1"/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1.449999999999545E-3</c:v>
                </c:pt>
                <c:pt idx="1">
                  <c:v>1.449999999999545E-3</c:v>
                </c:pt>
                <c:pt idx="2">
                  <c:v>1.449999999999545E-3</c:v>
                </c:pt>
                <c:pt idx="3">
                  <c:v>1.449999999999545E-3</c:v>
                </c:pt>
                <c:pt idx="4">
                  <c:v>1.449999999999545E-3</c:v>
                </c:pt>
                <c:pt idx="5">
                  <c:v>1.449999999999545E-3</c:v>
                </c:pt>
                <c:pt idx="6">
                  <c:v>1.449999999999545E-3</c:v>
                </c:pt>
                <c:pt idx="7">
                  <c:v>1.449999999999545E-3</c:v>
                </c:pt>
                <c:pt idx="8">
                  <c:v>1.449999999999545E-3</c:v>
                </c:pt>
                <c:pt idx="9">
                  <c:v>1.449999999999545E-3</c:v>
                </c:pt>
                <c:pt idx="10">
                  <c:v>1.449999999999545E-3</c:v>
                </c:pt>
                <c:pt idx="11">
                  <c:v>1.449999999999545E-3</c:v>
                </c:pt>
                <c:pt idx="12">
                  <c:v>1.449999999999545E-3</c:v>
                </c:pt>
                <c:pt idx="13">
                  <c:v>1.449999999999545E-3</c:v>
                </c:pt>
                <c:pt idx="14">
                  <c:v>1.449999999999545E-3</c:v>
                </c:pt>
                <c:pt idx="15">
                  <c:v>1.449999999999545E-3</c:v>
                </c:pt>
                <c:pt idx="16">
                  <c:v>1.449999999999545E-3</c:v>
                </c:pt>
                <c:pt idx="17">
                  <c:v>1.449999999999545E-3</c:v>
                </c:pt>
                <c:pt idx="18">
                  <c:v>1.449999999999545E-3</c:v>
                </c:pt>
                <c:pt idx="19">
                  <c:v>1.449999999999545E-3</c:v>
                </c:pt>
                <c:pt idx="20">
                  <c:v>1.449999999999545E-3</c:v>
                </c:pt>
                <c:pt idx="21">
                  <c:v>1.449999999999545E-3</c:v>
                </c:pt>
                <c:pt idx="22">
                  <c:v>1.449999999999545E-3</c:v>
                </c:pt>
                <c:pt idx="23">
                  <c:v>1.449999999999545E-3</c:v>
                </c:pt>
                <c:pt idx="24">
                  <c:v>1.449999999999545E-3</c:v>
                </c:pt>
                <c:pt idx="25">
                  <c:v>1.449999999999545E-3</c:v>
                </c:pt>
                <c:pt idx="26">
                  <c:v>1.449999999999545E-3</c:v>
                </c:pt>
                <c:pt idx="27">
                  <c:v>1.449999999999545E-3</c:v>
                </c:pt>
                <c:pt idx="28">
                  <c:v>1.449999999999545E-3</c:v>
                </c:pt>
                <c:pt idx="29">
                  <c:v>1.449999999999545E-3</c:v>
                </c:pt>
                <c:pt idx="30">
                  <c:v>1.449999999999545E-3</c:v>
                </c:pt>
                <c:pt idx="31">
                  <c:v>1.449999999999545E-3</c:v>
                </c:pt>
                <c:pt idx="32">
                  <c:v>1.449999999999545E-3</c:v>
                </c:pt>
                <c:pt idx="33">
                  <c:v>1.449999999999545E-3</c:v>
                </c:pt>
                <c:pt idx="34">
                  <c:v>1.449999999999545E-3</c:v>
                </c:pt>
                <c:pt idx="35">
                  <c:v>1.449999999999545E-3</c:v>
                </c:pt>
                <c:pt idx="36">
                  <c:v>1.449999999999545E-3</c:v>
                </c:pt>
                <c:pt idx="37">
                  <c:v>1.449999999999545E-3</c:v>
                </c:pt>
                <c:pt idx="38">
                  <c:v>1.449999999999545E-3</c:v>
                </c:pt>
                <c:pt idx="39">
                  <c:v>1.449999999999545E-3</c:v>
                </c:pt>
                <c:pt idx="40">
                  <c:v>1.449999999999545E-3</c:v>
                </c:pt>
                <c:pt idx="41">
                  <c:v>1.449999999999545E-3</c:v>
                </c:pt>
                <c:pt idx="42">
                  <c:v>1.449999999999545E-3</c:v>
                </c:pt>
                <c:pt idx="43">
                  <c:v>1.449999999999545E-3</c:v>
                </c:pt>
                <c:pt idx="44">
                  <c:v>1.449999999999545E-3</c:v>
                </c:pt>
                <c:pt idx="45">
                  <c:v>1.449999999999545E-3</c:v>
                </c:pt>
                <c:pt idx="46">
                  <c:v>1.449999999999545E-3</c:v>
                </c:pt>
                <c:pt idx="47">
                  <c:v>1.449999999999545E-3</c:v>
                </c:pt>
                <c:pt idx="48">
                  <c:v>1.449999999999545E-3</c:v>
                </c:pt>
                <c:pt idx="49">
                  <c:v>1.449999999999545E-3</c:v>
                </c:pt>
                <c:pt idx="50">
                  <c:v>1.449999999999545E-3</c:v>
                </c:pt>
                <c:pt idx="51">
                  <c:v>1.449999999999545E-3</c:v>
                </c:pt>
                <c:pt idx="52">
                  <c:v>1.449999999999545E-3</c:v>
                </c:pt>
                <c:pt idx="53">
                  <c:v>1.449999999999545E-3</c:v>
                </c:pt>
                <c:pt idx="54">
                  <c:v>1.449999999999545E-3</c:v>
                </c:pt>
                <c:pt idx="55">
                  <c:v>1.449999999999545E-3</c:v>
                </c:pt>
                <c:pt idx="56">
                  <c:v>1.449999999999545E-3</c:v>
                </c:pt>
                <c:pt idx="57">
                  <c:v>1.449999999999545E-3</c:v>
                </c:pt>
                <c:pt idx="58">
                  <c:v>1.449999999999545E-3</c:v>
                </c:pt>
                <c:pt idx="59">
                  <c:v>1.449999999999545E-3</c:v>
                </c:pt>
                <c:pt idx="60">
                  <c:v>1.449999999999545E-3</c:v>
                </c:pt>
                <c:pt idx="61">
                  <c:v>1.449999999999545E-3</c:v>
                </c:pt>
                <c:pt idx="62">
                  <c:v>1.449999999999545E-3</c:v>
                </c:pt>
                <c:pt idx="63">
                  <c:v>1.449999999999545E-3</c:v>
                </c:pt>
                <c:pt idx="64">
                  <c:v>1.449999999999545E-3</c:v>
                </c:pt>
                <c:pt idx="65">
                  <c:v>1.449999999999545E-3</c:v>
                </c:pt>
                <c:pt idx="66">
                  <c:v>1.449999999999545E-3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1.5959197085554555E-3</c:v>
                </c:pt>
                <c:pt idx="1">
                  <c:v>1.5943336247668043E-3</c:v>
                </c:pt>
                <c:pt idx="2">
                  <c:v>1.5927475409781532E-3</c:v>
                </c:pt>
                <c:pt idx="3">
                  <c:v>1.591161457189502E-3</c:v>
                </c:pt>
                <c:pt idx="4">
                  <c:v>1.5895753734008508E-3</c:v>
                </c:pt>
                <c:pt idx="5">
                  <c:v>1.584817122034897E-3</c:v>
                </c:pt>
                <c:pt idx="6">
                  <c:v>1.5832310382462458E-3</c:v>
                </c:pt>
                <c:pt idx="7">
                  <c:v>1.5816449544575947E-3</c:v>
                </c:pt>
                <c:pt idx="8">
                  <c:v>1.5800588706689435E-3</c:v>
                </c:pt>
                <c:pt idx="9">
                  <c:v>1.5784727868802923E-3</c:v>
                </c:pt>
                <c:pt idx="10">
                  <c:v>1.5737145355143387E-3</c:v>
                </c:pt>
                <c:pt idx="11">
                  <c:v>1.5721284517256876E-3</c:v>
                </c:pt>
                <c:pt idx="12">
                  <c:v>1.5705423679370364E-3</c:v>
                </c:pt>
                <c:pt idx="13">
                  <c:v>1.568956284148385E-3</c:v>
                </c:pt>
                <c:pt idx="14">
                  <c:v>1.5673702003597338E-3</c:v>
                </c:pt>
                <c:pt idx="15">
                  <c:v>1.5626119489937803E-3</c:v>
                </c:pt>
                <c:pt idx="16">
                  <c:v>1.5610258652051291E-3</c:v>
                </c:pt>
                <c:pt idx="17">
                  <c:v>1.5594397814164779E-3</c:v>
                </c:pt>
                <c:pt idx="18">
                  <c:v>1.5578536976278267E-3</c:v>
                </c:pt>
                <c:pt idx="19">
                  <c:v>1.5562676138391755E-3</c:v>
                </c:pt>
                <c:pt idx="20">
                  <c:v>1.551509362473222E-3</c:v>
                </c:pt>
                <c:pt idx="21">
                  <c:v>1.5499232786845706E-3</c:v>
                </c:pt>
                <c:pt idx="22">
                  <c:v>1.5483371948959194E-3</c:v>
                </c:pt>
                <c:pt idx="23">
                  <c:v>1.5467511111072682E-3</c:v>
                </c:pt>
                <c:pt idx="24">
                  <c:v>1.545165027318617E-3</c:v>
                </c:pt>
                <c:pt idx="25">
                  <c:v>1.5404067759526635E-3</c:v>
                </c:pt>
                <c:pt idx="26">
                  <c:v>1.5388206921640123E-3</c:v>
                </c:pt>
                <c:pt idx="27">
                  <c:v>1.5372346083753611E-3</c:v>
                </c:pt>
                <c:pt idx="28">
                  <c:v>1.5356485245867099E-3</c:v>
                </c:pt>
                <c:pt idx="29">
                  <c:v>1.5340624407980587E-3</c:v>
                </c:pt>
                <c:pt idx="30">
                  <c:v>1.529304189432105E-3</c:v>
                </c:pt>
                <c:pt idx="31">
                  <c:v>1.5277181056434538E-3</c:v>
                </c:pt>
                <c:pt idx="32">
                  <c:v>1.5261320218548026E-3</c:v>
                </c:pt>
                <c:pt idx="33">
                  <c:v>1.5245459380661514E-3</c:v>
                </c:pt>
                <c:pt idx="34">
                  <c:v>1.5229598542775002E-3</c:v>
                </c:pt>
                <c:pt idx="35">
                  <c:v>1.5182016029115467E-3</c:v>
                </c:pt>
                <c:pt idx="36">
                  <c:v>1.5166155191228955E-3</c:v>
                </c:pt>
                <c:pt idx="37">
                  <c:v>1.5150294353342441E-3</c:v>
                </c:pt>
                <c:pt idx="38">
                  <c:v>1.5134433515455929E-3</c:v>
                </c:pt>
                <c:pt idx="39">
                  <c:v>1.5118572677569418E-3</c:v>
                </c:pt>
                <c:pt idx="40">
                  <c:v>1.5070990163909882E-3</c:v>
                </c:pt>
                <c:pt idx="41">
                  <c:v>1.505512932602337E-3</c:v>
                </c:pt>
                <c:pt idx="42">
                  <c:v>1.5039268488136858E-3</c:v>
                </c:pt>
                <c:pt idx="43">
                  <c:v>1.5023407650250347E-3</c:v>
                </c:pt>
                <c:pt idx="44">
                  <c:v>1.5007546812363835E-3</c:v>
                </c:pt>
                <c:pt idx="45">
                  <c:v>1.4959964298704297E-3</c:v>
                </c:pt>
                <c:pt idx="46">
                  <c:v>1.4944103460817785E-3</c:v>
                </c:pt>
                <c:pt idx="47">
                  <c:v>1.4928242622931273E-3</c:v>
                </c:pt>
                <c:pt idx="48">
                  <c:v>1.4912381785044762E-3</c:v>
                </c:pt>
                <c:pt idx="49">
                  <c:v>1.489652094715825E-3</c:v>
                </c:pt>
                <c:pt idx="50">
                  <c:v>1.4848938433498714E-3</c:v>
                </c:pt>
                <c:pt idx="51">
                  <c:v>1.4833077595612202E-3</c:v>
                </c:pt>
                <c:pt idx="52">
                  <c:v>1.4817216757725691E-3</c:v>
                </c:pt>
                <c:pt idx="53">
                  <c:v>1.4801355919839177E-3</c:v>
                </c:pt>
                <c:pt idx="54">
                  <c:v>1.4785495081952665E-3</c:v>
                </c:pt>
                <c:pt idx="55">
                  <c:v>1.4737912568293129E-3</c:v>
                </c:pt>
                <c:pt idx="56">
                  <c:v>1.4722051730406617E-3</c:v>
                </c:pt>
                <c:pt idx="57">
                  <c:v>1.4706190892520106E-3</c:v>
                </c:pt>
                <c:pt idx="58">
                  <c:v>1.4690330054633594E-3</c:v>
                </c:pt>
                <c:pt idx="59">
                  <c:v>1.4674469216747082E-3</c:v>
                </c:pt>
                <c:pt idx="60">
                  <c:v>1.4626886703087544E-3</c:v>
                </c:pt>
                <c:pt idx="61">
                  <c:v>1.4611025865201032E-3</c:v>
                </c:pt>
                <c:pt idx="62">
                  <c:v>1.4595165027314521E-3</c:v>
                </c:pt>
                <c:pt idx="63">
                  <c:v>1.4579304189428009E-3</c:v>
                </c:pt>
                <c:pt idx="64">
                  <c:v>1.4563443351541497E-3</c:v>
                </c:pt>
                <c:pt idx="65">
                  <c:v>1.4515860837881962E-3</c:v>
                </c:pt>
                <c:pt idx="66">
                  <c:v>1.449999999999545E-3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1.9316864354794985E-3</c:v>
                </c:pt>
                <c:pt idx="1">
                  <c:v>1.9138119463756387E-3</c:v>
                </c:pt>
                <c:pt idx="2">
                  <c:v>1.8961828620735787E-3</c:v>
                </c:pt>
                <c:pt idx="3">
                  <c:v>1.8787991825733187E-3</c:v>
                </c:pt>
                <c:pt idx="4">
                  <c:v>1.8616609078748584E-3</c:v>
                </c:pt>
                <c:pt idx="5">
                  <c:v>1.8117185125902768E-3</c:v>
                </c:pt>
                <c:pt idx="6">
                  <c:v>1.7955618570990159E-3</c:v>
                </c:pt>
                <c:pt idx="7">
                  <c:v>1.7796506064095548E-3</c:v>
                </c:pt>
                <c:pt idx="8">
                  <c:v>1.7639847605218936E-3</c:v>
                </c:pt>
                <c:pt idx="9">
                  <c:v>1.7485643194360325E-3</c:v>
                </c:pt>
                <c:pt idx="10">
                  <c:v>1.7037754249892478E-3</c:v>
                </c:pt>
                <c:pt idx="11">
                  <c:v>1.689336603110586E-3</c:v>
                </c:pt>
                <c:pt idx="12">
                  <c:v>1.6751431860337238E-3</c:v>
                </c:pt>
                <c:pt idx="13">
                  <c:v>1.6611951737586616E-3</c:v>
                </c:pt>
                <c:pt idx="14">
                  <c:v>1.6474925662853994E-3</c:v>
                </c:pt>
                <c:pt idx="15">
                  <c:v>1.6078571726764117E-3</c:v>
                </c:pt>
                <c:pt idx="16">
                  <c:v>1.595136184410349E-3</c:v>
                </c:pt>
                <c:pt idx="17">
                  <c:v>1.5826606009460859E-3</c:v>
                </c:pt>
                <c:pt idx="18">
                  <c:v>1.5704304222836226E-3</c:v>
                </c:pt>
                <c:pt idx="19">
                  <c:v>1.5584456484229593E-3</c:v>
                </c:pt>
                <c:pt idx="20">
                  <c:v>1.5239637556517685E-3</c:v>
                </c:pt>
                <c:pt idx="21">
                  <c:v>1.5129606009983048E-3</c:v>
                </c:pt>
                <c:pt idx="22">
                  <c:v>1.5022028511466408E-3</c:v>
                </c:pt>
                <c:pt idx="23">
                  <c:v>1.4916905060967766E-3</c:v>
                </c:pt>
                <c:pt idx="24">
                  <c:v>1.4814235658487122E-3</c:v>
                </c:pt>
                <c:pt idx="25">
                  <c:v>1.4520951739153184E-3</c:v>
                </c:pt>
                <c:pt idx="26">
                  <c:v>1.4428098528744535E-3</c:v>
                </c:pt>
                <c:pt idx="27">
                  <c:v>1.4337699366353885E-3</c:v>
                </c:pt>
                <c:pt idx="28">
                  <c:v>1.4249754251981234E-3</c:v>
                </c:pt>
                <c:pt idx="29">
                  <c:v>1.4164263185626582E-3</c:v>
                </c:pt>
                <c:pt idx="30">
                  <c:v>1.392251427467061E-3</c:v>
                </c:pt>
                <c:pt idx="31">
                  <c:v>1.3846839400387953E-3</c:v>
                </c:pt>
                <c:pt idx="32">
                  <c:v>1.3773618574123292E-3</c:v>
                </c:pt>
                <c:pt idx="33">
                  <c:v>1.370285179587663E-3</c:v>
                </c:pt>
                <c:pt idx="34">
                  <c:v>1.3634539065647969E-3</c:v>
                </c:pt>
                <c:pt idx="35">
                  <c:v>1.3444325163069967E-3</c:v>
                </c:pt>
                <c:pt idx="36">
                  <c:v>1.3385828624913297E-3</c:v>
                </c:pt>
                <c:pt idx="37">
                  <c:v>1.3329786134774629E-3</c:v>
                </c:pt>
                <c:pt idx="38">
                  <c:v>1.3276197692653957E-3</c:v>
                </c:pt>
                <c:pt idx="39">
                  <c:v>1.3225063298551282E-3</c:v>
                </c:pt>
                <c:pt idx="40">
                  <c:v>1.3086384404351254E-3</c:v>
                </c:pt>
                <c:pt idx="41">
                  <c:v>1.3045066202320575E-3</c:v>
                </c:pt>
                <c:pt idx="42">
                  <c:v>1.3006202048307892E-3</c:v>
                </c:pt>
                <c:pt idx="43">
                  <c:v>1.2969791942313213E-3</c:v>
                </c:pt>
                <c:pt idx="44">
                  <c:v>1.2935835884336528E-3</c:v>
                </c:pt>
                <c:pt idx="45">
                  <c:v>1.2848691998514469E-3</c:v>
                </c:pt>
                <c:pt idx="46">
                  <c:v>1.2824552132609779E-3</c:v>
                </c:pt>
                <c:pt idx="47">
                  <c:v>1.2802866314723087E-3</c:v>
                </c:pt>
                <c:pt idx="48">
                  <c:v>1.2783634544854395E-3</c:v>
                </c:pt>
                <c:pt idx="49">
                  <c:v>1.2766856823003703E-3</c:v>
                </c:pt>
                <c:pt idx="50">
                  <c:v>1.2731247945559614E-3</c:v>
                </c:pt>
                <c:pt idx="51">
                  <c:v>1.2724286415780914E-3</c:v>
                </c:pt>
                <c:pt idx="52">
                  <c:v>1.2719778934020213E-3</c:v>
                </c:pt>
                <c:pt idx="53">
                  <c:v>1.271772550027751E-3</c:v>
                </c:pt>
                <c:pt idx="54">
                  <c:v>1.2718126114552805E-3</c:v>
                </c:pt>
                <c:pt idx="55">
                  <c:v>1.2734052245486685E-3</c:v>
                </c:pt>
                <c:pt idx="56">
                  <c:v>1.2744269051833978E-3</c:v>
                </c:pt>
                <c:pt idx="57">
                  <c:v>1.2756939906199266E-3</c:v>
                </c:pt>
                <c:pt idx="58">
                  <c:v>1.2772064808582553E-3</c:v>
                </c:pt>
                <c:pt idx="59">
                  <c:v>1.2789643758983839E-3</c:v>
                </c:pt>
                <c:pt idx="60">
                  <c:v>1.2857104898295689E-3</c:v>
                </c:pt>
                <c:pt idx="61">
                  <c:v>1.2884500040768968E-3</c:v>
                </c:pt>
                <c:pt idx="62">
                  <c:v>1.291434923126025E-3</c:v>
                </c:pt>
                <c:pt idx="63">
                  <c:v>1.2946652469769525E-3</c:v>
                </c:pt>
                <c:pt idx="64">
                  <c:v>1.2981409756296801E-3</c:v>
                </c:pt>
                <c:pt idx="65">
                  <c:v>1.3100405903986622E-3</c:v>
                </c:pt>
                <c:pt idx="66">
                  <c:v>1.3144979382585891E-3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616448"/>
        <c:axId val="569082624"/>
      </c:lineChart>
      <c:dateAx>
        <c:axId val="570616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69082624"/>
        <c:crosses val="autoZero"/>
        <c:auto val="1"/>
        <c:lblOffset val="100"/>
        <c:baseTimeUnit val="days"/>
        <c:majorUnit val="1"/>
        <c:majorTimeUnit val="months"/>
      </c:dateAx>
      <c:valAx>
        <c:axId val="569082624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061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41893</c:v>
                </c:pt>
                <c:pt idx="1">
                  <c:v>41925</c:v>
                </c:pt>
                <c:pt idx="2">
                  <c:v>41954</c:v>
                </c:pt>
                <c:pt idx="3">
                  <c:v>41984</c:v>
                </c:pt>
                <c:pt idx="4">
                  <c:v>42016</c:v>
                </c:pt>
                <c:pt idx="5">
                  <c:v>42046</c:v>
                </c:pt>
                <c:pt idx="6">
                  <c:v>42074</c:v>
                </c:pt>
                <c:pt idx="7">
                  <c:v>42107</c:v>
                </c:pt>
                <c:pt idx="8">
                  <c:v>42135</c:v>
                </c:pt>
                <c:pt idx="9">
                  <c:v>42166</c:v>
                </c:pt>
                <c:pt idx="10">
                  <c:v>42198</c:v>
                </c:pt>
                <c:pt idx="11">
                  <c:v>42258</c:v>
                </c:pt>
                <c:pt idx="12">
                  <c:v>42289</c:v>
                </c:pt>
                <c:pt idx="13">
                  <c:v>42319</c:v>
                </c:pt>
                <c:pt idx="14">
                  <c:v>42349</c:v>
                </c:pt>
                <c:pt idx="15">
                  <c:v>42380</c:v>
                </c:pt>
                <c:pt idx="16">
                  <c:v>42411</c:v>
                </c:pt>
                <c:pt idx="17">
                  <c:v>42440</c:v>
                </c:pt>
                <c:pt idx="18">
                  <c:v>42471</c:v>
                </c:pt>
                <c:pt idx="19">
                  <c:v>42501</c:v>
                </c:pt>
                <c:pt idx="20">
                  <c:v>42534</c:v>
                </c:pt>
                <c:pt idx="21">
                  <c:v>42562</c:v>
                </c:pt>
                <c:pt idx="22">
                  <c:v>42625</c:v>
                </c:pt>
                <c:pt idx="23">
                  <c:v>42654</c:v>
                </c:pt>
                <c:pt idx="24">
                  <c:v>42685</c:v>
                </c:pt>
                <c:pt idx="25">
                  <c:v>42716</c:v>
                </c:pt>
                <c:pt idx="26">
                  <c:v>42746</c:v>
                </c:pt>
                <c:pt idx="27">
                  <c:v>42779</c:v>
                </c:pt>
                <c:pt idx="28">
                  <c:v>42807</c:v>
                </c:pt>
                <c:pt idx="29">
                  <c:v>42836</c:v>
                </c:pt>
                <c:pt idx="30">
                  <c:v>42866</c:v>
                </c:pt>
                <c:pt idx="31">
                  <c:v>42898</c:v>
                </c:pt>
                <c:pt idx="32">
                  <c:v>42927</c:v>
                </c:pt>
                <c:pt idx="33">
                  <c:v>42989</c:v>
                </c:pt>
                <c:pt idx="34">
                  <c:v>43019</c:v>
                </c:pt>
                <c:pt idx="35">
                  <c:v>43052</c:v>
                </c:pt>
                <c:pt idx="36">
                  <c:v>43080</c:v>
                </c:pt>
                <c:pt idx="37">
                  <c:v>43111</c:v>
                </c:pt>
                <c:pt idx="38">
                  <c:v>43143</c:v>
                </c:pt>
                <c:pt idx="39">
                  <c:v>43171</c:v>
                </c:pt>
                <c:pt idx="40">
                  <c:v>43201</c:v>
                </c:pt>
                <c:pt idx="41">
                  <c:v>43231</c:v>
                </c:pt>
                <c:pt idx="42">
                  <c:v>43262</c:v>
                </c:pt>
                <c:pt idx="43">
                  <c:v>43292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4.8249498610409298E-3</c:v>
                </c:pt>
                <c:pt idx="1">
                  <c:v>4.8017030568435776E-3</c:v>
                </c:pt>
                <c:pt idx="2">
                  <c:v>4.7872787954381735E-3</c:v>
                </c:pt>
                <c:pt idx="3">
                  <c:v>4.7783660686085382E-3</c:v>
                </c:pt>
                <c:pt idx="4">
                  <c:v>4.7875674985318438E-3</c:v>
                </c:pt>
                <c:pt idx="5">
                  <c:v>4.7985773584707887E-3</c:v>
                </c:pt>
                <c:pt idx="6">
                  <c:v>4.8050642102595072E-3</c:v>
                </c:pt>
                <c:pt idx="7">
                  <c:v>4.8421533951498079E-3</c:v>
                </c:pt>
                <c:pt idx="8">
                  <c:v>4.8882020331937224E-3</c:v>
                </c:pt>
                <c:pt idx="9">
                  <c:v>4.9632987847044469E-3</c:v>
                </c:pt>
                <c:pt idx="10">
                  <c:v>5.0417725017325209E-3</c:v>
                </c:pt>
                <c:pt idx="11">
                  <c:v>5.2045811574610865E-3</c:v>
                </c:pt>
                <c:pt idx="12">
                  <c:v>5.3136153315283749E-3</c:v>
                </c:pt>
                <c:pt idx="13">
                  <c:v>5.4257391783314162E-3</c:v>
                </c:pt>
                <c:pt idx="14">
                  <c:v>5.5356936133734436E-3</c:v>
                </c:pt>
                <c:pt idx="15">
                  <c:v>5.6447618464241147E-3</c:v>
                </c:pt>
                <c:pt idx="16">
                  <c:v>5.7661057744114929E-3</c:v>
                </c:pt>
                <c:pt idx="17">
                  <c:v>5.8841846104302426E-3</c:v>
                </c:pt>
                <c:pt idx="18">
                  <c:v>6.0182254178672246E-3</c:v>
                </c:pt>
                <c:pt idx="19">
                  <c:v>6.1595591956409672E-3</c:v>
                </c:pt>
                <c:pt idx="20">
                  <c:v>6.3215463959505171E-3</c:v>
                </c:pt>
                <c:pt idx="21">
                  <c:v>6.4663389568383467E-3</c:v>
                </c:pt>
                <c:pt idx="22">
                  <c:v>6.8294383840059088E-3</c:v>
                </c:pt>
                <c:pt idx="23">
                  <c:v>7.0164824379157324E-3</c:v>
                </c:pt>
                <c:pt idx="24">
                  <c:v>7.2353741567241139E-3</c:v>
                </c:pt>
                <c:pt idx="25">
                  <c:v>7.4527628305732264E-3</c:v>
                </c:pt>
                <c:pt idx="26">
                  <c:v>7.6789780771461865E-3</c:v>
                </c:pt>
                <c:pt idx="27">
                  <c:v>7.9371033380415401E-3</c:v>
                </c:pt>
                <c:pt idx="28">
                  <c:v>8.16249655671554E-3</c:v>
                </c:pt>
                <c:pt idx="29">
                  <c:v>8.4009123097550983E-3</c:v>
                </c:pt>
                <c:pt idx="30">
                  <c:v>8.651631951055859E-3</c:v>
                </c:pt>
                <c:pt idx="31">
                  <c:v>8.9221858278864478E-3</c:v>
                </c:pt>
                <c:pt idx="32">
                  <c:v>9.1688576203865588E-3</c:v>
                </c:pt>
                <c:pt idx="33">
                  <c:v>9.6958257491254161E-3</c:v>
                </c:pt>
                <c:pt idx="34">
                  <c:v>9.950109858384619E-3</c:v>
                </c:pt>
                <c:pt idx="35">
                  <c:v>1.0230119284083183E-2</c:v>
                </c:pt>
                <c:pt idx="36">
                  <c:v>1.0468486876714186E-2</c:v>
                </c:pt>
                <c:pt idx="37">
                  <c:v>1.0733818025410242E-2</c:v>
                </c:pt>
                <c:pt idx="38">
                  <c:v>1.1009915941889471E-2</c:v>
                </c:pt>
                <c:pt idx="39">
                  <c:v>1.1253873237975925E-2</c:v>
                </c:pt>
                <c:pt idx="40">
                  <c:v>1.1518257481378365E-2</c:v>
                </c:pt>
                <c:pt idx="41">
                  <c:v>1.1795569247187335E-2</c:v>
                </c:pt>
                <c:pt idx="42">
                  <c:v>1.2067714997359745E-2</c:v>
                </c:pt>
                <c:pt idx="43">
                  <c:v>1.2344932254171319E-2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667392"/>
        <c:axId val="382669568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42593</c:v>
                </c:pt>
                <c:pt idx="1">
                  <c:v>42958</c:v>
                </c:pt>
                <c:pt idx="2">
                  <c:v>43325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6.6375706368830816E-3</c:v>
                </c:pt>
                <c:pt idx="1">
                  <c:v>9.440504988937691E-3</c:v>
                </c:pt>
                <c:pt idx="2">
                  <c:v>1.2656095445309433E-2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42227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5.1099341522098714E-3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41862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4.840000000017588E-3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76992"/>
        <c:axId val="382671104"/>
      </c:scatterChart>
      <c:dateAx>
        <c:axId val="382667392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82669568"/>
        <c:crosses val="autoZero"/>
        <c:auto val="1"/>
        <c:lblOffset val="100"/>
        <c:baseTimeUnit val="months"/>
      </c:dateAx>
      <c:valAx>
        <c:axId val="382669568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382667392"/>
        <c:crosses val="autoZero"/>
        <c:crossBetween val="between"/>
      </c:valAx>
      <c:valAx>
        <c:axId val="382671104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382676992"/>
        <c:crosses val="max"/>
        <c:crossBetween val="midCat"/>
      </c:valAx>
      <c:valAx>
        <c:axId val="382676992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382671104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41862</c:v>
                </c:pt>
                <c:pt idx="1">
                  <c:v>41893</c:v>
                </c:pt>
                <c:pt idx="2">
                  <c:v>41925</c:v>
                </c:pt>
                <c:pt idx="3">
                  <c:v>41954</c:v>
                </c:pt>
                <c:pt idx="4">
                  <c:v>41984</c:v>
                </c:pt>
                <c:pt idx="5">
                  <c:v>42016</c:v>
                </c:pt>
                <c:pt idx="6">
                  <c:v>42046</c:v>
                </c:pt>
                <c:pt idx="7">
                  <c:v>42074</c:v>
                </c:pt>
                <c:pt idx="8">
                  <c:v>42107</c:v>
                </c:pt>
                <c:pt idx="9">
                  <c:v>42135</c:v>
                </c:pt>
                <c:pt idx="10">
                  <c:v>42166</c:v>
                </c:pt>
                <c:pt idx="11">
                  <c:v>42198</c:v>
                </c:pt>
                <c:pt idx="12">
                  <c:v>42227</c:v>
                </c:pt>
                <c:pt idx="13">
                  <c:v>42258</c:v>
                </c:pt>
                <c:pt idx="14">
                  <c:v>42289</c:v>
                </c:pt>
                <c:pt idx="15">
                  <c:v>42319</c:v>
                </c:pt>
                <c:pt idx="16">
                  <c:v>42349</c:v>
                </c:pt>
                <c:pt idx="17">
                  <c:v>42380</c:v>
                </c:pt>
                <c:pt idx="18">
                  <c:v>42411</c:v>
                </c:pt>
                <c:pt idx="19">
                  <c:v>42440</c:v>
                </c:pt>
                <c:pt idx="20">
                  <c:v>42471</c:v>
                </c:pt>
                <c:pt idx="21">
                  <c:v>42501</c:v>
                </c:pt>
                <c:pt idx="22">
                  <c:v>42534</c:v>
                </c:pt>
                <c:pt idx="23">
                  <c:v>42562</c:v>
                </c:pt>
                <c:pt idx="24">
                  <c:v>42593</c:v>
                </c:pt>
                <c:pt idx="25">
                  <c:v>42625</c:v>
                </c:pt>
                <c:pt idx="26">
                  <c:v>42654</c:v>
                </c:pt>
                <c:pt idx="27">
                  <c:v>42685</c:v>
                </c:pt>
                <c:pt idx="28">
                  <c:v>42716</c:v>
                </c:pt>
                <c:pt idx="29">
                  <c:v>42746</c:v>
                </c:pt>
                <c:pt idx="30">
                  <c:v>42779</c:v>
                </c:pt>
                <c:pt idx="31">
                  <c:v>42807</c:v>
                </c:pt>
                <c:pt idx="32">
                  <c:v>42836</c:v>
                </c:pt>
                <c:pt idx="33">
                  <c:v>42866</c:v>
                </c:pt>
                <c:pt idx="34">
                  <c:v>42898</c:v>
                </c:pt>
                <c:pt idx="35">
                  <c:v>42927</c:v>
                </c:pt>
                <c:pt idx="36">
                  <c:v>42958</c:v>
                </c:pt>
                <c:pt idx="37">
                  <c:v>42989</c:v>
                </c:pt>
                <c:pt idx="38">
                  <c:v>43019</c:v>
                </c:pt>
                <c:pt idx="39">
                  <c:v>43052</c:v>
                </c:pt>
                <c:pt idx="40">
                  <c:v>43080</c:v>
                </c:pt>
                <c:pt idx="41">
                  <c:v>43111</c:v>
                </c:pt>
                <c:pt idx="42">
                  <c:v>43143</c:v>
                </c:pt>
                <c:pt idx="43">
                  <c:v>43171</c:v>
                </c:pt>
                <c:pt idx="44">
                  <c:v>43201</c:v>
                </c:pt>
                <c:pt idx="45">
                  <c:v>43231</c:v>
                </c:pt>
                <c:pt idx="46">
                  <c:v>43262</c:v>
                </c:pt>
                <c:pt idx="47">
                  <c:v>43292</c:v>
                </c:pt>
                <c:pt idx="48">
                  <c:v>43325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4.3699999999999998E-3</c:v>
                </c:pt>
                <c:pt idx="1">
                  <c:v>4.3931222497483541E-3</c:v>
                </c:pt>
                <c:pt idx="2">
                  <c:v>4.416746038715909E-3</c:v>
                </c:pt>
                <c:pt idx="3">
                  <c:v>4.4377308525791062E-3</c:v>
                </c:pt>
                <c:pt idx="4">
                  <c:v>4.4588071179993945E-3</c:v>
                </c:pt>
                <c:pt idx="5">
                  <c:v>4.480347086999288E-3</c:v>
                </c:pt>
                <c:pt idx="6">
                  <c:v>4.4994376273330772E-3</c:v>
                </c:pt>
                <c:pt idx="7">
                  <c:v>4.5161038042543095E-3</c:v>
                </c:pt>
                <c:pt idx="8">
                  <c:v>4.5340823741249611E-3</c:v>
                </c:pt>
                <c:pt idx="9">
                  <c:v>4.5477292865327571E-3</c:v>
                </c:pt>
                <c:pt idx="10">
                  <c:v>4.5608998879490626E-3</c:v>
                </c:pt>
                <c:pt idx="11">
                  <c:v>4.5721221321361012E-3</c:v>
                </c:pt>
                <c:pt idx="12">
                  <c:v>4.5799999999999999E-3</c:v>
                </c:pt>
                <c:pt idx="13">
                  <c:v>4.5860708966579287E-3</c:v>
                </c:pt>
                <c:pt idx="14">
                  <c:v>4.590322893589305E-3</c:v>
                </c:pt>
                <c:pt idx="15">
                  <c:v>4.5932856697071282E-3</c:v>
                </c:pt>
                <c:pt idx="16">
                  <c:v>4.595679344505596E-3</c:v>
                </c:pt>
                <c:pt idx="17">
                  <c:v>4.5981475249681943E-3</c:v>
                </c:pt>
                <c:pt idx="18">
                  <c:v>4.6012192576731208E-3</c:v>
                </c:pt>
                <c:pt idx="19">
                  <c:v>4.60518448380429E-3</c:v>
                </c:pt>
                <c:pt idx="20">
                  <c:v>4.611173005586131E-3</c:v>
                </c:pt>
                <c:pt idx="21">
                  <c:v>4.6192571293090052E-3</c:v>
                </c:pt>
                <c:pt idx="22">
                  <c:v>4.6314228510207665E-3</c:v>
                </c:pt>
                <c:pt idx="23">
                  <c:v>4.6449696050789233E-3</c:v>
                </c:pt>
                <c:pt idx="24">
                  <c:v>4.6639999999999997E-3</c:v>
                </c:pt>
                <c:pt idx="25">
                  <c:v>4.6890410874850727E-3</c:v>
                </c:pt>
                <c:pt idx="26">
                  <c:v>4.7163971428852303E-3</c:v>
                </c:pt>
                <c:pt idx="27">
                  <c:v>4.7496948217803777E-3</c:v>
                </c:pt>
                <c:pt idx="28">
                  <c:v>4.7863165166388347E-3</c:v>
                </c:pt>
                <c:pt idx="29">
                  <c:v>4.8240880200769946E-3</c:v>
                </c:pt>
                <c:pt idx="30">
                  <c:v>4.8673172285794595E-3</c:v>
                </c:pt>
                <c:pt idx="31">
                  <c:v>4.9046075042412478E-3</c:v>
                </c:pt>
                <c:pt idx="32">
                  <c:v>4.9430841105701203E-3</c:v>
                </c:pt>
                <c:pt idx="33">
                  <c:v>4.9819691462207917E-3</c:v>
                </c:pt>
                <c:pt idx="34">
                  <c:v>5.0215230452372644E-3</c:v>
                </c:pt>
                <c:pt idx="35">
                  <c:v>5.0548565345041796E-3</c:v>
                </c:pt>
                <c:pt idx="36">
                  <c:v>5.0870000000000004E-3</c:v>
                </c:pt>
                <c:pt idx="37">
                  <c:v>5.1150186270868406E-3</c:v>
                </c:pt>
                <c:pt idx="38">
                  <c:v>5.1384761072279829E-3</c:v>
                </c:pt>
                <c:pt idx="39">
                  <c:v>5.1605114618292619E-3</c:v>
                </c:pt>
                <c:pt idx="40">
                  <c:v>5.1764204919434974E-3</c:v>
                </c:pt>
                <c:pt idx="41">
                  <c:v>5.1913822319537241E-3</c:v>
                </c:pt>
                <c:pt idx="42">
                  <c:v>5.2042670252862742E-3</c:v>
                </c:pt>
                <c:pt idx="43">
                  <c:v>5.2137110440769168E-3</c:v>
                </c:pt>
                <c:pt idx="44">
                  <c:v>5.2222442759300713E-3</c:v>
                </c:pt>
                <c:pt idx="45">
                  <c:v>5.2294512248488899E-3</c:v>
                </c:pt>
                <c:pt idx="46">
                  <c:v>5.2358459139271573E-3</c:v>
                </c:pt>
                <c:pt idx="47">
                  <c:v>5.2413456300956889E-3</c:v>
                </c:pt>
                <c:pt idx="48">
                  <c:v>5.2469999999999999E-3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710528"/>
        <c:axId val="382712448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41862</c:v>
                </c:pt>
                <c:pt idx="1">
                  <c:v>42227</c:v>
                </c:pt>
                <c:pt idx="2">
                  <c:v>42593</c:v>
                </c:pt>
                <c:pt idx="3">
                  <c:v>42958</c:v>
                </c:pt>
                <c:pt idx="4">
                  <c:v>43325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4.3699999999999998E-3</c:v>
                </c:pt>
                <c:pt idx="1">
                  <c:v>4.5799999999999999E-3</c:v>
                </c:pt>
                <c:pt idx="2">
                  <c:v>4.6639999999999997E-3</c:v>
                </c:pt>
                <c:pt idx="3">
                  <c:v>5.0870000000000004E-3</c:v>
                </c:pt>
                <c:pt idx="4">
                  <c:v>5.2469999999999999E-3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710528"/>
        <c:axId val="382712448"/>
      </c:scatterChart>
      <c:dateAx>
        <c:axId val="3827105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82712448"/>
        <c:crosses val="autoZero"/>
        <c:auto val="1"/>
        <c:lblOffset val="100"/>
        <c:baseTimeUnit val="months"/>
      </c:dateAx>
      <c:valAx>
        <c:axId val="382712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2710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'3M Depo Charts'!$D$17:$D$114</c:f>
              <c:numCache>
                <c:formatCode>0.0000%</c:formatCode>
                <c:ptCount val="98"/>
                <c:pt idx="0">
                  <c:v>1.470138888888427E-3</c:v>
                </c:pt>
                <c:pt idx="1">
                  <c:v>1.470138888888427E-3</c:v>
                </c:pt>
                <c:pt idx="2">
                  <c:v>1.470138888888427E-3</c:v>
                </c:pt>
                <c:pt idx="3">
                  <c:v>1.470138888888427E-3</c:v>
                </c:pt>
                <c:pt idx="4">
                  <c:v>1.470138888888427E-3</c:v>
                </c:pt>
                <c:pt idx="5">
                  <c:v>1.470138888888427E-3</c:v>
                </c:pt>
                <c:pt idx="6">
                  <c:v>1.470138888888427E-3</c:v>
                </c:pt>
                <c:pt idx="7">
                  <c:v>1.470138888888427E-3</c:v>
                </c:pt>
                <c:pt idx="8">
                  <c:v>1.470138888888427E-3</c:v>
                </c:pt>
                <c:pt idx="9">
                  <c:v>1.470138888888427E-3</c:v>
                </c:pt>
                <c:pt idx="10">
                  <c:v>1.470138888888427E-3</c:v>
                </c:pt>
                <c:pt idx="11">
                  <c:v>1.470138888888427E-3</c:v>
                </c:pt>
                <c:pt idx="12">
                  <c:v>1.470138888888427E-3</c:v>
                </c:pt>
                <c:pt idx="13">
                  <c:v>1.470138888888427E-3</c:v>
                </c:pt>
                <c:pt idx="14">
                  <c:v>1.470138888888427E-3</c:v>
                </c:pt>
                <c:pt idx="15">
                  <c:v>1.470138888888427E-3</c:v>
                </c:pt>
                <c:pt idx="16">
                  <c:v>1.470138888888427E-3</c:v>
                </c:pt>
                <c:pt idx="17">
                  <c:v>1.470138888888427E-3</c:v>
                </c:pt>
                <c:pt idx="18">
                  <c:v>1.470138888888427E-3</c:v>
                </c:pt>
                <c:pt idx="19">
                  <c:v>1.470138888888427E-3</c:v>
                </c:pt>
                <c:pt idx="20">
                  <c:v>1.470138888888427E-3</c:v>
                </c:pt>
                <c:pt idx="21">
                  <c:v>1.470138888888427E-3</c:v>
                </c:pt>
                <c:pt idx="22">
                  <c:v>1.470138888888427E-3</c:v>
                </c:pt>
                <c:pt idx="23">
                  <c:v>1.470138888888427E-3</c:v>
                </c:pt>
                <c:pt idx="24">
                  <c:v>1.470138888888427E-3</c:v>
                </c:pt>
                <c:pt idx="25">
                  <c:v>1.470138888888427E-3</c:v>
                </c:pt>
                <c:pt idx="26">
                  <c:v>1.470138888888427E-3</c:v>
                </c:pt>
                <c:pt idx="27">
                  <c:v>1.470138888888427E-3</c:v>
                </c:pt>
                <c:pt idx="28">
                  <c:v>1.470138888888427E-3</c:v>
                </c:pt>
                <c:pt idx="29">
                  <c:v>1.470138888888427E-3</c:v>
                </c:pt>
                <c:pt idx="30">
                  <c:v>1.470138888888427E-3</c:v>
                </c:pt>
                <c:pt idx="31">
                  <c:v>1.470138888888427E-3</c:v>
                </c:pt>
                <c:pt idx="32">
                  <c:v>1.470138888888427E-3</c:v>
                </c:pt>
                <c:pt idx="33">
                  <c:v>1.470138888888427E-3</c:v>
                </c:pt>
                <c:pt idx="34">
                  <c:v>1.470138888888427E-3</c:v>
                </c:pt>
                <c:pt idx="35">
                  <c:v>1.470138888888427E-3</c:v>
                </c:pt>
                <c:pt idx="36">
                  <c:v>1.470138888888427E-3</c:v>
                </c:pt>
                <c:pt idx="37">
                  <c:v>1.470138888888427E-3</c:v>
                </c:pt>
                <c:pt idx="38">
                  <c:v>1.470138888888427E-3</c:v>
                </c:pt>
                <c:pt idx="39">
                  <c:v>1.470138888888427E-3</c:v>
                </c:pt>
                <c:pt idx="40">
                  <c:v>1.470138888888427E-3</c:v>
                </c:pt>
                <c:pt idx="41">
                  <c:v>1.470138888888427E-3</c:v>
                </c:pt>
                <c:pt idx="42">
                  <c:v>1.470138888888427E-3</c:v>
                </c:pt>
                <c:pt idx="43">
                  <c:v>1.470138888888427E-3</c:v>
                </c:pt>
                <c:pt idx="44">
                  <c:v>1.470138888888427E-3</c:v>
                </c:pt>
                <c:pt idx="45">
                  <c:v>1.470138888888427E-3</c:v>
                </c:pt>
                <c:pt idx="46">
                  <c:v>1.470138888888427E-3</c:v>
                </c:pt>
                <c:pt idx="47">
                  <c:v>1.470138888888427E-3</c:v>
                </c:pt>
                <c:pt idx="48">
                  <c:v>1.470138888888427E-3</c:v>
                </c:pt>
                <c:pt idx="49">
                  <c:v>1.470138888888427E-3</c:v>
                </c:pt>
                <c:pt idx="50">
                  <c:v>1.470138888888427E-3</c:v>
                </c:pt>
                <c:pt idx="51">
                  <c:v>1.470138888888427E-3</c:v>
                </c:pt>
                <c:pt idx="52">
                  <c:v>1.470138888888427E-3</c:v>
                </c:pt>
                <c:pt idx="53">
                  <c:v>1.470138888888427E-3</c:v>
                </c:pt>
                <c:pt idx="54">
                  <c:v>1.470138888888427E-3</c:v>
                </c:pt>
                <c:pt idx="55">
                  <c:v>1.470138888888427E-3</c:v>
                </c:pt>
                <c:pt idx="56">
                  <c:v>1.470138888888427E-3</c:v>
                </c:pt>
                <c:pt idx="57">
                  <c:v>1.470138888888427E-3</c:v>
                </c:pt>
                <c:pt idx="58">
                  <c:v>1.470138888888427E-3</c:v>
                </c:pt>
                <c:pt idx="59">
                  <c:v>1.470138888888427E-3</c:v>
                </c:pt>
                <c:pt idx="60">
                  <c:v>1.470138888888427E-3</c:v>
                </c:pt>
                <c:pt idx="61">
                  <c:v>1.470138888888427E-3</c:v>
                </c:pt>
                <c:pt idx="62">
                  <c:v>1.470138888888427E-3</c:v>
                </c:pt>
                <c:pt idx="63">
                  <c:v>1.470138888888427E-3</c:v>
                </c:pt>
                <c:pt idx="64">
                  <c:v>1.470138888888427E-3</c:v>
                </c:pt>
                <c:pt idx="65">
                  <c:v>1.470138888888427E-3</c:v>
                </c:pt>
                <c:pt idx="66">
                  <c:v>1.470138888888427E-3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'3M Depo Charts'!$E$17:$E$114</c:f>
              <c:numCache>
                <c:formatCode>0.0000%</c:formatCode>
                <c:ptCount val="98"/>
                <c:pt idx="0">
                  <c:v>1.7315148359518338E-3</c:v>
                </c:pt>
                <c:pt idx="1">
                  <c:v>1.7258327501461076E-3</c:v>
                </c:pt>
                <c:pt idx="2">
                  <c:v>1.7201506643403813E-3</c:v>
                </c:pt>
                <c:pt idx="3">
                  <c:v>1.7144685785346551E-3</c:v>
                </c:pt>
                <c:pt idx="4">
                  <c:v>1.708786492728929E-3</c:v>
                </c:pt>
                <c:pt idx="5">
                  <c:v>1.6917402353117501E-3</c:v>
                </c:pt>
                <c:pt idx="6">
                  <c:v>1.6860581495060239E-3</c:v>
                </c:pt>
                <c:pt idx="7">
                  <c:v>1.6803760637002978E-3</c:v>
                </c:pt>
                <c:pt idx="8">
                  <c:v>1.6746939778945714E-3</c:v>
                </c:pt>
                <c:pt idx="9">
                  <c:v>1.6690118920888453E-3</c:v>
                </c:pt>
                <c:pt idx="10">
                  <c:v>1.6519656346716666E-3</c:v>
                </c:pt>
                <c:pt idx="11">
                  <c:v>1.6462835488659404E-3</c:v>
                </c:pt>
                <c:pt idx="12">
                  <c:v>1.6406014630602141E-3</c:v>
                </c:pt>
                <c:pt idx="13">
                  <c:v>1.6349193772544879E-3</c:v>
                </c:pt>
                <c:pt idx="14">
                  <c:v>1.6292372914487618E-3</c:v>
                </c:pt>
                <c:pt idx="15">
                  <c:v>1.6121910340315829E-3</c:v>
                </c:pt>
                <c:pt idx="16">
                  <c:v>1.6065089482258568E-3</c:v>
                </c:pt>
                <c:pt idx="17">
                  <c:v>1.6008268624201306E-3</c:v>
                </c:pt>
                <c:pt idx="18">
                  <c:v>1.5951447766144042E-3</c:v>
                </c:pt>
                <c:pt idx="19">
                  <c:v>1.5894626908086781E-3</c:v>
                </c:pt>
                <c:pt idx="20">
                  <c:v>1.5724164333914994E-3</c:v>
                </c:pt>
                <c:pt idx="21">
                  <c:v>1.5667343475857733E-3</c:v>
                </c:pt>
                <c:pt idx="22">
                  <c:v>1.5610522617800469E-3</c:v>
                </c:pt>
                <c:pt idx="23">
                  <c:v>1.5553701759743208E-3</c:v>
                </c:pt>
                <c:pt idx="24">
                  <c:v>1.5496880901685944E-3</c:v>
                </c:pt>
                <c:pt idx="25">
                  <c:v>1.5326418327514157E-3</c:v>
                </c:pt>
                <c:pt idx="26">
                  <c:v>1.5269597469456896E-3</c:v>
                </c:pt>
                <c:pt idx="27">
                  <c:v>1.5212776611399634E-3</c:v>
                </c:pt>
                <c:pt idx="28">
                  <c:v>1.5155955753342371E-3</c:v>
                </c:pt>
                <c:pt idx="29">
                  <c:v>1.5099134895285109E-3</c:v>
                </c:pt>
                <c:pt idx="30">
                  <c:v>1.4928672321113323E-3</c:v>
                </c:pt>
                <c:pt idx="31">
                  <c:v>1.4871851463056059E-3</c:v>
                </c:pt>
                <c:pt idx="32">
                  <c:v>1.4815030604998797E-3</c:v>
                </c:pt>
                <c:pt idx="33">
                  <c:v>1.4758209746941536E-3</c:v>
                </c:pt>
                <c:pt idx="34">
                  <c:v>1.4701388888884272E-3</c:v>
                </c:pt>
                <c:pt idx="35">
                  <c:v>1.4530926314712486E-3</c:v>
                </c:pt>
                <c:pt idx="36">
                  <c:v>1.4474105456655224E-3</c:v>
                </c:pt>
                <c:pt idx="37">
                  <c:v>1.4417284598597963E-3</c:v>
                </c:pt>
                <c:pt idx="38">
                  <c:v>1.4360463740540699E-3</c:v>
                </c:pt>
                <c:pt idx="39">
                  <c:v>1.4303642882483438E-3</c:v>
                </c:pt>
                <c:pt idx="40">
                  <c:v>1.4133180308311651E-3</c:v>
                </c:pt>
                <c:pt idx="41">
                  <c:v>1.4076359450254389E-3</c:v>
                </c:pt>
                <c:pt idx="42">
                  <c:v>1.4019538592197126E-3</c:v>
                </c:pt>
                <c:pt idx="43">
                  <c:v>1.3962717734139864E-3</c:v>
                </c:pt>
                <c:pt idx="44">
                  <c:v>1.3905896876082601E-3</c:v>
                </c:pt>
                <c:pt idx="45">
                  <c:v>1.3735434301910814E-3</c:v>
                </c:pt>
                <c:pt idx="46">
                  <c:v>1.3678613443853552E-3</c:v>
                </c:pt>
                <c:pt idx="47">
                  <c:v>1.3621792585796289E-3</c:v>
                </c:pt>
                <c:pt idx="48">
                  <c:v>1.3564971727739027E-3</c:v>
                </c:pt>
                <c:pt idx="49">
                  <c:v>1.3508150869681766E-3</c:v>
                </c:pt>
                <c:pt idx="50">
                  <c:v>1.3337688295509979E-3</c:v>
                </c:pt>
                <c:pt idx="51">
                  <c:v>1.3280867437452716E-3</c:v>
                </c:pt>
                <c:pt idx="52">
                  <c:v>1.3224046579395454E-3</c:v>
                </c:pt>
                <c:pt idx="53">
                  <c:v>1.3167225721338193E-3</c:v>
                </c:pt>
                <c:pt idx="54">
                  <c:v>1.3110404863280929E-3</c:v>
                </c:pt>
                <c:pt idx="55">
                  <c:v>1.2939942289109142E-3</c:v>
                </c:pt>
                <c:pt idx="56">
                  <c:v>1.2883121431051881E-3</c:v>
                </c:pt>
                <c:pt idx="57">
                  <c:v>1.2826300572994619E-3</c:v>
                </c:pt>
                <c:pt idx="58">
                  <c:v>1.2769479714937356E-3</c:v>
                </c:pt>
                <c:pt idx="59">
                  <c:v>1.2712658856880094E-3</c:v>
                </c:pt>
                <c:pt idx="60">
                  <c:v>1.2542196282708308E-3</c:v>
                </c:pt>
                <c:pt idx="61">
                  <c:v>1.2485375424651046E-3</c:v>
                </c:pt>
                <c:pt idx="62">
                  <c:v>1.2428554566593782E-3</c:v>
                </c:pt>
                <c:pt idx="63">
                  <c:v>1.2371733708536519E-3</c:v>
                </c:pt>
                <c:pt idx="64">
                  <c:v>1.2314912850479257E-3</c:v>
                </c:pt>
                <c:pt idx="65">
                  <c:v>1.2144450276307471E-3</c:v>
                </c:pt>
                <c:pt idx="66">
                  <c:v>1.2087629418250207E-3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41862</c:v>
                </c:pt>
                <c:pt idx="1">
                  <c:v>41863</c:v>
                </c:pt>
                <c:pt idx="2">
                  <c:v>41864</c:v>
                </c:pt>
                <c:pt idx="3">
                  <c:v>41865</c:v>
                </c:pt>
                <c:pt idx="4">
                  <c:v>41866</c:v>
                </c:pt>
                <c:pt idx="5">
                  <c:v>41869</c:v>
                </c:pt>
                <c:pt idx="6">
                  <c:v>41870</c:v>
                </c:pt>
                <c:pt idx="7">
                  <c:v>41871</c:v>
                </c:pt>
                <c:pt idx="8">
                  <c:v>41872</c:v>
                </c:pt>
                <c:pt idx="9">
                  <c:v>41873</c:v>
                </c:pt>
                <c:pt idx="10">
                  <c:v>41876</c:v>
                </c:pt>
                <c:pt idx="11">
                  <c:v>41877</c:v>
                </c:pt>
                <c:pt idx="12">
                  <c:v>41878</c:v>
                </c:pt>
                <c:pt idx="13">
                  <c:v>41879</c:v>
                </c:pt>
                <c:pt idx="14">
                  <c:v>41880</c:v>
                </c:pt>
                <c:pt idx="15">
                  <c:v>41883</c:v>
                </c:pt>
                <c:pt idx="16">
                  <c:v>41884</c:v>
                </c:pt>
                <c:pt idx="17">
                  <c:v>41885</c:v>
                </c:pt>
                <c:pt idx="18">
                  <c:v>41886</c:v>
                </c:pt>
                <c:pt idx="19">
                  <c:v>41887</c:v>
                </c:pt>
                <c:pt idx="20">
                  <c:v>41890</c:v>
                </c:pt>
                <c:pt idx="21">
                  <c:v>41891</c:v>
                </c:pt>
                <c:pt idx="22">
                  <c:v>41892</c:v>
                </c:pt>
                <c:pt idx="23">
                  <c:v>41893</c:v>
                </c:pt>
                <c:pt idx="24">
                  <c:v>41894</c:v>
                </c:pt>
                <c:pt idx="25">
                  <c:v>41897</c:v>
                </c:pt>
                <c:pt idx="26">
                  <c:v>41898</c:v>
                </c:pt>
                <c:pt idx="27">
                  <c:v>41899</c:v>
                </c:pt>
                <c:pt idx="28">
                  <c:v>41900</c:v>
                </c:pt>
                <c:pt idx="29">
                  <c:v>41901</c:v>
                </c:pt>
                <c:pt idx="30">
                  <c:v>41904</c:v>
                </c:pt>
                <c:pt idx="31">
                  <c:v>41905</c:v>
                </c:pt>
                <c:pt idx="32">
                  <c:v>41906</c:v>
                </c:pt>
                <c:pt idx="33">
                  <c:v>41907</c:v>
                </c:pt>
                <c:pt idx="34">
                  <c:v>41908</c:v>
                </c:pt>
                <c:pt idx="35">
                  <c:v>41911</c:v>
                </c:pt>
                <c:pt idx="36">
                  <c:v>41912</c:v>
                </c:pt>
                <c:pt idx="37">
                  <c:v>41913</c:v>
                </c:pt>
                <c:pt idx="38">
                  <c:v>41914</c:v>
                </c:pt>
                <c:pt idx="39">
                  <c:v>41915</c:v>
                </c:pt>
                <c:pt idx="40">
                  <c:v>41918</c:v>
                </c:pt>
                <c:pt idx="41">
                  <c:v>41919</c:v>
                </c:pt>
                <c:pt idx="42">
                  <c:v>41920</c:v>
                </c:pt>
                <c:pt idx="43">
                  <c:v>41921</c:v>
                </c:pt>
                <c:pt idx="44">
                  <c:v>41922</c:v>
                </c:pt>
                <c:pt idx="45">
                  <c:v>41925</c:v>
                </c:pt>
                <c:pt idx="46">
                  <c:v>41926</c:v>
                </c:pt>
                <c:pt idx="47">
                  <c:v>41927</c:v>
                </c:pt>
                <c:pt idx="48">
                  <c:v>41928</c:v>
                </c:pt>
                <c:pt idx="49">
                  <c:v>41929</c:v>
                </c:pt>
                <c:pt idx="50">
                  <c:v>41932</c:v>
                </c:pt>
                <c:pt idx="51">
                  <c:v>41933</c:v>
                </c:pt>
                <c:pt idx="52">
                  <c:v>41934</c:v>
                </c:pt>
                <c:pt idx="53">
                  <c:v>41935</c:v>
                </c:pt>
                <c:pt idx="54">
                  <c:v>41936</c:v>
                </c:pt>
                <c:pt idx="55">
                  <c:v>41939</c:v>
                </c:pt>
                <c:pt idx="56">
                  <c:v>41940</c:v>
                </c:pt>
                <c:pt idx="57">
                  <c:v>41941</c:v>
                </c:pt>
                <c:pt idx="58">
                  <c:v>41942</c:v>
                </c:pt>
                <c:pt idx="59">
                  <c:v>41943</c:v>
                </c:pt>
                <c:pt idx="60">
                  <c:v>41946</c:v>
                </c:pt>
                <c:pt idx="61">
                  <c:v>41947</c:v>
                </c:pt>
                <c:pt idx="62">
                  <c:v>41948</c:v>
                </c:pt>
                <c:pt idx="63">
                  <c:v>41949</c:v>
                </c:pt>
                <c:pt idx="64">
                  <c:v>41950</c:v>
                </c:pt>
                <c:pt idx="65">
                  <c:v>41953</c:v>
                </c:pt>
                <c:pt idx="66">
                  <c:v>41954</c:v>
                </c:pt>
              </c:numCache>
            </c:numRef>
          </c:cat>
          <c:val>
            <c:numRef>
              <c:f>'3M Depo Charts'!$F$17:$F$114</c:f>
              <c:numCache>
                <c:formatCode>0.0000%</c:formatCode>
                <c:ptCount val="98"/>
                <c:pt idx="0">
                  <c:v>1.9585154137500365E-3</c:v>
                </c:pt>
                <c:pt idx="1">
                  <c:v>1.9403926678530678E-3</c:v>
                </c:pt>
                <c:pt idx="2">
                  <c:v>1.9225187351579239E-3</c:v>
                </c:pt>
                <c:pt idx="3">
                  <c:v>1.9048936156646048E-3</c:v>
                </c:pt>
                <c:pt idx="4">
                  <c:v>1.8875173093731109E-3</c:v>
                </c:pt>
                <c:pt idx="5">
                  <c:v>1.8368812697095772E-3</c:v>
                </c:pt>
                <c:pt idx="6">
                  <c:v>1.8205002162253825E-3</c:v>
                </c:pt>
                <c:pt idx="7">
                  <c:v>1.8043679759430127E-3</c:v>
                </c:pt>
                <c:pt idx="8">
                  <c:v>1.7884845488624678E-3</c:v>
                </c:pt>
                <c:pt idx="9">
                  <c:v>1.7728499349837473E-3</c:v>
                </c:pt>
                <c:pt idx="10">
                  <c:v>1.7274389725585359E-3</c:v>
                </c:pt>
                <c:pt idx="11">
                  <c:v>1.7127996114871149E-3</c:v>
                </c:pt>
                <c:pt idx="12">
                  <c:v>1.6984090636175189E-3</c:v>
                </c:pt>
                <c:pt idx="13">
                  <c:v>1.6842673289497478E-3</c:v>
                </c:pt>
                <c:pt idx="14">
                  <c:v>1.6703744074838016E-3</c:v>
                </c:pt>
                <c:pt idx="15">
                  <c:v>1.630188522296912E-3</c:v>
                </c:pt>
                <c:pt idx="16">
                  <c:v>1.6172908536382651E-3</c:v>
                </c:pt>
                <c:pt idx="17">
                  <c:v>1.6046419981814431E-3</c:v>
                </c:pt>
                <c:pt idx="18">
                  <c:v>1.5922419559264462E-3</c:v>
                </c:pt>
                <c:pt idx="19">
                  <c:v>1.5800907268732735E-3</c:v>
                </c:pt>
                <c:pt idx="20">
                  <c:v>1.545129918924706E-3</c:v>
                </c:pt>
                <c:pt idx="21">
                  <c:v>1.5339739426788331E-3</c:v>
                </c:pt>
                <c:pt idx="22">
                  <c:v>1.5230667796347849E-3</c:v>
                </c:pt>
                <c:pt idx="23">
                  <c:v>1.5124084297925618E-3</c:v>
                </c:pt>
                <c:pt idx="24">
                  <c:v>1.5019988931521634E-3</c:v>
                </c:pt>
                <c:pt idx="25">
                  <c:v>1.4722631624419175E-3</c:v>
                </c:pt>
                <c:pt idx="26">
                  <c:v>1.4628488786088186E-3</c:v>
                </c:pt>
                <c:pt idx="27">
                  <c:v>1.4536834079775444E-3</c:v>
                </c:pt>
                <c:pt idx="28">
                  <c:v>1.4447667505480951E-3</c:v>
                </c:pt>
                <c:pt idx="29">
                  <c:v>1.4360989063204707E-3</c:v>
                </c:pt>
                <c:pt idx="30">
                  <c:v>1.4115882528485469E-3</c:v>
                </c:pt>
                <c:pt idx="31">
                  <c:v>1.4039156614282218E-3</c:v>
                </c:pt>
                <c:pt idx="32">
                  <c:v>1.3964918832097216E-3</c:v>
                </c:pt>
                <c:pt idx="33">
                  <c:v>1.3893169181930466E-3</c:v>
                </c:pt>
                <c:pt idx="34">
                  <c:v>1.382390766378196E-3</c:v>
                </c:pt>
                <c:pt idx="35">
                  <c:v>1.3631051901445937E-3</c:v>
                </c:pt>
                <c:pt idx="36">
                  <c:v>1.3571742911370425E-3</c:v>
                </c:pt>
                <c:pt idx="37">
                  <c:v>1.3514922053313163E-3</c:v>
                </c:pt>
                <c:pt idx="38">
                  <c:v>1.3460589327274153E-3</c:v>
                </c:pt>
                <c:pt idx="39">
                  <c:v>1.3408744733253387E-3</c:v>
                </c:pt>
                <c:pt idx="40">
                  <c:v>1.3268139743300585E-3</c:v>
                </c:pt>
                <c:pt idx="41">
                  <c:v>1.3226247677352813E-3</c:v>
                </c:pt>
                <c:pt idx="42">
                  <c:v>1.3186843743423289E-3</c:v>
                </c:pt>
                <c:pt idx="43">
                  <c:v>1.3149927941512015E-3</c:v>
                </c:pt>
                <c:pt idx="44">
                  <c:v>1.3115500271618991E-3</c:v>
                </c:pt>
                <c:pt idx="45">
                  <c:v>1.3027146054049405E-3</c:v>
                </c:pt>
                <c:pt idx="46">
                  <c:v>1.3002670912229375E-3</c:v>
                </c:pt>
                <c:pt idx="47">
                  <c:v>1.2980683902427592E-3</c:v>
                </c:pt>
                <c:pt idx="48">
                  <c:v>1.2961185024644058E-3</c:v>
                </c:pt>
                <c:pt idx="49">
                  <c:v>1.2944174278878774E-3</c:v>
                </c:pt>
                <c:pt idx="50">
                  <c:v>1.2908070833692405E-3</c:v>
                </c:pt>
                <c:pt idx="51">
                  <c:v>1.2901012616000113E-3</c:v>
                </c:pt>
                <c:pt idx="52">
                  <c:v>1.289644253032607E-3</c:v>
                </c:pt>
                <c:pt idx="53">
                  <c:v>1.2894360576670278E-3</c:v>
                </c:pt>
                <c:pt idx="54">
                  <c:v>1.289476675503273E-3</c:v>
                </c:pt>
                <c:pt idx="55">
                  <c:v>1.2910914082229583E-3</c:v>
                </c:pt>
                <c:pt idx="56">
                  <c:v>1.2921272788665031E-3</c:v>
                </c:pt>
                <c:pt idx="57">
                  <c:v>1.2934119627118726E-3</c:v>
                </c:pt>
                <c:pt idx="58">
                  <c:v>1.2949454597590672E-3</c:v>
                </c:pt>
                <c:pt idx="59">
                  <c:v>1.2967277700080865E-3</c:v>
                </c:pt>
                <c:pt idx="60">
                  <c:v>1.3035675799660936E-3</c:v>
                </c:pt>
                <c:pt idx="61">
                  <c:v>1.3063451430224125E-3</c:v>
                </c:pt>
                <c:pt idx="62">
                  <c:v>1.309371519280556E-3</c:v>
                </c:pt>
                <c:pt idx="63">
                  <c:v>1.3126467087405244E-3</c:v>
                </c:pt>
                <c:pt idx="64">
                  <c:v>1.3161707114023179E-3</c:v>
                </c:pt>
                <c:pt idx="65">
                  <c:v>1.3282355985986467E-3</c:v>
                </c:pt>
                <c:pt idx="66">
                  <c:v>1.3327548540677395E-3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001728"/>
        <c:axId val="383003264"/>
      </c:lineChart>
      <c:dateAx>
        <c:axId val="383001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83003264"/>
        <c:crosses val="autoZero"/>
        <c:auto val="1"/>
        <c:lblOffset val="100"/>
        <c:baseTimeUnit val="days"/>
      </c:dateAx>
      <c:valAx>
        <c:axId val="383003264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83001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686698016914555"/>
          <c:y val="0.57744337513366384"/>
          <c:w val="0.19980205599300088"/>
          <c:h val="0.212740157480314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4861067366579179"/>
          <c:h val="0.71120151647710705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Charts'!$K$54</c:f>
              <c:strCache>
                <c:ptCount val="1"/>
              </c:strCache>
            </c:strRef>
          </c:tx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41863</c:v>
                </c:pt>
                <c:pt idx="1">
                  <c:v>41869</c:v>
                </c:pt>
                <c:pt idx="2">
                  <c:v>41876</c:v>
                </c:pt>
                <c:pt idx="3">
                  <c:v>41883</c:v>
                </c:pt>
                <c:pt idx="4">
                  <c:v>41893</c:v>
                </c:pt>
                <c:pt idx="5">
                  <c:v>41925</c:v>
                </c:pt>
                <c:pt idx="6">
                  <c:v>41954</c:v>
                </c:pt>
              </c:numCache>
            </c:numRef>
          </c:cat>
          <c:val>
            <c:numRef>
              <c:f>'3M Depo Charts'!$K$55:$K$61</c:f>
            </c:numRef>
          </c:val>
          <c:smooth val="0"/>
        </c:ser>
        <c:ser>
          <c:idx val="1"/>
          <c:order val="1"/>
          <c:tx>
            <c:strRef>
              <c:f>'3M Depo Charts'!$M$54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41863</c:v>
                </c:pt>
                <c:pt idx="1">
                  <c:v>41869</c:v>
                </c:pt>
                <c:pt idx="2">
                  <c:v>41876</c:v>
                </c:pt>
                <c:pt idx="3">
                  <c:v>41883</c:v>
                </c:pt>
                <c:pt idx="4">
                  <c:v>41893</c:v>
                </c:pt>
                <c:pt idx="5">
                  <c:v>41925</c:v>
                </c:pt>
                <c:pt idx="6">
                  <c:v>41954</c:v>
                </c:pt>
              </c:numCache>
            </c:numRef>
          </c:cat>
          <c:val>
            <c:numRef>
              <c:f>'3M Depo Charts'!$M$55:$M$61</c:f>
              <c:numCache>
                <c:formatCode>0.0000%</c:formatCode>
                <c:ptCount val="7"/>
                <c:pt idx="0">
                  <c:v>1.8499999596344556E-3</c:v>
                </c:pt>
                <c:pt idx="1">
                  <c:v>1.8199999661050832E-3</c:v>
                </c:pt>
                <c:pt idx="2">
                  <c:v>1.8800000000006485E-3</c:v>
                </c:pt>
                <c:pt idx="3">
                  <c:v>2.119999995186644E-3</c:v>
                </c:pt>
                <c:pt idx="4">
                  <c:v>2.0899999999996113E-3</c:v>
                </c:pt>
                <c:pt idx="5">
                  <c:v>2.0700000000011954E-3</c:v>
                </c:pt>
                <c:pt idx="6">
                  <c:v>2.0500000000000002E-3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Charts'!$N$54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41863</c:v>
                </c:pt>
                <c:pt idx="1">
                  <c:v>41869</c:v>
                </c:pt>
                <c:pt idx="2">
                  <c:v>41876</c:v>
                </c:pt>
                <c:pt idx="3">
                  <c:v>41883</c:v>
                </c:pt>
                <c:pt idx="4">
                  <c:v>41893</c:v>
                </c:pt>
                <c:pt idx="5">
                  <c:v>41925</c:v>
                </c:pt>
                <c:pt idx="6">
                  <c:v>41954</c:v>
                </c:pt>
              </c:numCache>
            </c:numRef>
          </c:cat>
          <c:val>
            <c:numRef>
              <c:f>'3M Depo Charts'!$N$55:$N$61</c:f>
              <c:numCache>
                <c:formatCode>0.0000%</c:formatCode>
                <c:ptCount val="7"/>
                <c:pt idx="0">
                  <c:v>2.104993289765403E-3</c:v>
                </c:pt>
                <c:pt idx="1">
                  <c:v>2.0581805491944292E-3</c:v>
                </c:pt>
                <c:pt idx="2">
                  <c:v>2.0985657115414605E-3</c:v>
                </c:pt>
                <c:pt idx="3">
                  <c:v>2.3189508351789214E-3</c:v>
                </c:pt>
                <c:pt idx="4">
                  <c:v>2.260929594922554E-3</c:v>
                </c:pt>
                <c:pt idx="5">
                  <c:v>2.1512616107022668E-3</c:v>
                </c:pt>
                <c:pt idx="6">
                  <c:v>2.0500000000000002E-3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Charts'!$O$54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41863</c:v>
                </c:pt>
                <c:pt idx="1">
                  <c:v>41869</c:v>
                </c:pt>
                <c:pt idx="2">
                  <c:v>41876</c:v>
                </c:pt>
                <c:pt idx="3">
                  <c:v>41883</c:v>
                </c:pt>
                <c:pt idx="4">
                  <c:v>41893</c:v>
                </c:pt>
                <c:pt idx="5">
                  <c:v>41925</c:v>
                </c:pt>
                <c:pt idx="6">
                  <c:v>41954</c:v>
                </c:pt>
              </c:numCache>
            </c:numRef>
          </c:cat>
          <c:val>
            <c:numRef>
              <c:f>'3M Depo Charts'!$O$55:$O$61</c:f>
              <c:numCache>
                <c:formatCode>0.0000%</c:formatCode>
                <c:ptCount val="7"/>
                <c:pt idx="0">
                  <c:v>2.3227287001623196E-3</c:v>
                </c:pt>
                <c:pt idx="1">
                  <c:v>2.2407003705330673E-3</c:v>
                </c:pt>
                <c:pt idx="2">
                  <c:v>2.243722651806071E-3</c:v>
                </c:pt>
                <c:pt idx="3">
                  <c:v>2.4307531727989027E-3</c:v>
                </c:pt>
                <c:pt idx="4">
                  <c:v>2.3320356362440597E-3</c:v>
                </c:pt>
                <c:pt idx="5">
                  <c:v>2.1471101794718183E-3</c:v>
                </c:pt>
                <c:pt idx="6">
                  <c:v>2.0499999999999993E-3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633024"/>
        <c:axId val="587634944"/>
      </c:lineChart>
      <c:dateAx>
        <c:axId val="5876330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87634944"/>
        <c:crosses val="autoZero"/>
        <c:auto val="1"/>
        <c:lblOffset val="100"/>
        <c:baseTimeUnit val="days"/>
        <c:majorUnit val="7"/>
        <c:majorTimeUnit val="days"/>
      </c:dateAx>
      <c:valAx>
        <c:axId val="587634944"/>
        <c:scaling>
          <c:orientation val="minMax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7633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660536046132923"/>
          <c:y val="0.4484981044036162"/>
          <c:w val="0.1671659290763837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66676</xdr:colOff>
      <xdr:row>15</xdr:row>
      <xdr:rowOff>114300</xdr:rowOff>
    </xdr:from>
    <xdr:to>
      <xdr:col>15</xdr:col>
      <xdr:colOff>647701</xdr:colOff>
      <xdr:row>37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9</xdr:row>
      <xdr:rowOff>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7743825" y="148590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743825" y="148590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19050</xdr:colOff>
      <xdr:row>41</xdr:row>
      <xdr:rowOff>66675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0953750" y="62579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0953750" y="62579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41</xdr:row>
      <xdr:rowOff>76200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1515725" y="62674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1515725" y="62674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19050</xdr:colOff>
      <xdr:row>41</xdr:row>
      <xdr:rowOff>76200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2192000" y="62674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2192000" y="62674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7</xdr:col>
      <xdr:colOff>152399</xdr:colOff>
      <xdr:row>63</xdr:row>
      <xdr:rowOff>4762</xdr:rowOff>
    </xdr:from>
    <xdr:to>
      <xdr:col>16</xdr:col>
      <xdr:colOff>38099</xdr:colOff>
      <xdr:row>85</xdr:row>
      <xdr:rowOff>61912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Q4</v>
          </cell>
        </row>
        <row r="7">
          <cell r="D7" t="str">
            <v>U4</v>
          </cell>
        </row>
      </sheetData>
      <sheetData sheetId="8">
        <row r="6">
          <cell r="D6" t="str">
            <v>Future Code</v>
          </cell>
        </row>
        <row r="7">
          <cell r="D7" t="str">
            <v>Q4</v>
          </cell>
        </row>
      </sheetData>
      <sheetData sheetId="9">
        <row r="6">
          <cell r="D6" t="str">
            <v>Q4</v>
          </cell>
        </row>
        <row r="7">
          <cell r="D7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41858.740532407406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1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41862</v>
      </c>
      <c r="E18" s="3"/>
      <c r="F18" s="4"/>
      <c r="H18" s="182"/>
      <c r="I18" s="5" t="s">
        <v>27</v>
      </c>
      <c r="J18" s="360">
        <v>41858.739479166667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obj_003a0#0000</v>
      </c>
      <c r="E19" s="3"/>
      <c r="F19" s="4"/>
      <c r="H19" s="182"/>
      <c r="I19" s="5" t="s">
        <v>28</v>
      </c>
      <c r="J19" s="360">
        <f>_xll.qlSettingsEvaluationDate(Trigger)</f>
        <v>41858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4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obj_003ea#0000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obj_003d6#0000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obj_003d7#0000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41862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43689</v>
      </c>
      <c r="D44" s="258">
        <f>MIN(_xll.ohPack(SynthFra!E2:E127))</f>
        <v>0.96167768478388704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topLeftCell="E1" workbookViewId="0">
      <selection activeCell="E1" sqref="E1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48" x14ac:dyDescent="0.2">
      <c r="A2" s="36">
        <v>1</v>
      </c>
      <c r="B2" s="43" t="str">
        <f>_xll.qlMakeDatedOIS(,E2,F2,OvernightIndex,0,,,,Trigger)</f>
        <v>obj_003c1#0000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41862</v>
      </c>
      <c r="F2" s="47">
        <f>_xll.qlCalendarAdvance(Calendar,E2,A3,"mf")</f>
        <v>41893</v>
      </c>
      <c r="G2" s="48">
        <f>_xll.qlQuoteValue($D2,AllTriggers)</f>
        <v>8.9999999999999998E-4</v>
      </c>
      <c r="H2" s="49">
        <f>_xll.qlOvernightIndexedSwapFairRate(B2,_xll.ohTrigger(C2,InterestRatesTrigger))</f>
        <v>6.4000000000006706E-4</v>
      </c>
      <c r="I2" s="50">
        <f>G2-H2</f>
        <v>2.5999999999993292E-4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obj_00348#0004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41862</v>
      </c>
      <c r="F3" s="59">
        <f>_xll.qlInterestRateIndexMaturity(A4,E3)</f>
        <v>41893</v>
      </c>
      <c r="G3" s="60">
        <f>_xll.qlQuoteValue(D3,AllTriggers)</f>
        <v>9.6000000000000002E-4</v>
      </c>
      <c r="H3" s="61">
        <f>_xll.qlOvernightIndexedSwapFairRate(B3,_xll.ohTrigger(C3,InterestRatesTrigger))</f>
        <v>6.4000000000006706E-4</v>
      </c>
      <c r="I3" s="62">
        <f t="shared" ref="I3:I27" si="1">G3-H3</f>
        <v>3.1999999999993297E-4</v>
      </c>
      <c r="J3" s="51" t="b">
        <f>NOT(ISERROR(I3))</f>
        <v>1</v>
      </c>
      <c r="K3" s="63">
        <f>K4</f>
        <v>3.1179163823264938E-7</v>
      </c>
      <c r="L3" s="61">
        <f>_xll.ohFilter($I$2:$I$3,$J$2:$J$3)-K3*_xll.ohFilter($P$2:$P$3,$J$2:$J$3)</f>
        <v>3.1033445921472083E-4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obj_0034b#0004</v>
      </c>
      <c r="C4" s="56" t="b">
        <f>_xll.qlInstrumentSetPricingEngine(B4,OisEngine)</f>
        <v>1</v>
      </c>
      <c r="D4" s="64" t="s">
        <v>52</v>
      </c>
      <c r="E4" s="65">
        <f>F3</f>
        <v>41893</v>
      </c>
      <c r="F4" s="66">
        <f>F5</f>
        <v>41925</v>
      </c>
      <c r="G4" s="67">
        <f>((1+G5*(F5-E5)/360)/(1+G3*(F3-E3)/360)-1)/(F4-E4)*360</f>
        <v>9.4023477392346511E-4</v>
      </c>
      <c r="H4" s="68">
        <f>_xll.qlOvernightIndexedSwapFairRate(B4,_xll.ohTrigger(C4,InterestRatesTrigger))</f>
        <v>6.0059190071487523E-4</v>
      </c>
      <c r="I4" s="69">
        <f>G4-H4</f>
        <v>3.3964287320858988E-4</v>
      </c>
      <c r="J4" s="36" t="b">
        <f>NOT(ISERROR(I4))</f>
        <v>1</v>
      </c>
      <c r="K4" s="68">
        <f>(I4-_xll.ohFilter($I$2:$I$3,$J$2:$J$3))/(P4-_xll.ohFilter($P$2:$P$3,$J$2:$J$3))</f>
        <v>3.1179163823264938E-7</v>
      </c>
      <c r="L4" s="68">
        <f>_xll.ohFilter($I$2:$I$3,$J$2:$J$3)-K4*_xll.ohFilter($P$2:$P$3,$J$2:$J$3)</f>
        <v>3.1033445921472083E-4</v>
      </c>
      <c r="M4" s="70"/>
      <c r="N4" s="71">
        <f t="shared" si="0"/>
        <v>31</v>
      </c>
      <c r="O4" s="71">
        <f t="shared" si="0"/>
        <v>63</v>
      </c>
      <c r="P4" s="70">
        <f>(O4^2-N4^2)/(O4-N4)</f>
        <v>94</v>
      </c>
      <c r="T4" s="72">
        <f>(O4^3-N4^3)/3/(O4-N4)</f>
        <v>2294.3333333333335</v>
      </c>
      <c r="U4" s="72">
        <f>(O4+N4)/2</f>
        <v>47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41862</v>
      </c>
      <c r="F5" s="66">
        <f>_xll.qlCalendarAdvance(Calendar,E5,"2M","mf")</f>
        <v>41925</v>
      </c>
      <c r="G5" s="74">
        <f>_xll.qlQuoteValue($D5,AllTriggers)</f>
        <v>9.5E-4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obj_003ca#0000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41862</v>
      </c>
      <c r="F6" s="47">
        <f>_xll.qlCalendarAdvance(Calendar,E6,A7,"mf")</f>
        <v>41954</v>
      </c>
      <c r="G6" s="48">
        <f>_xll.qlQuoteValue($D6,AllTriggers)</f>
        <v>2.0999999999999999E-3</v>
      </c>
      <c r="H6" s="49">
        <f>_xll.qlOvernightIndexedSwapFairRate(B6,_xll.ohTrigger(C6,InterestRatesTrigger))</f>
        <v>6.000000000004552E-4</v>
      </c>
      <c r="I6" s="50">
        <f t="shared" si="1"/>
        <v>1.4999999999995447E-3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obj_0034a#0004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41862</v>
      </c>
      <c r="F7" s="59">
        <f>_xll.qlInterestRateIndexMaturity(A8,E7)</f>
        <v>41954</v>
      </c>
      <c r="G7" s="60">
        <f>_xll.qlQuoteValue(D7,AllTriggers)</f>
        <v>2.0500000000000002E-3</v>
      </c>
      <c r="H7" s="61">
        <f>_xll.qlOvernightIndexedSwapFairRate(B7,_xll.ohTrigger(C7,InterestRatesTrigger))</f>
        <v>6.000000000004552E-4</v>
      </c>
      <c r="I7" s="62">
        <f t="shared" si="1"/>
        <v>1.449999999999545E-3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92</v>
      </c>
      <c r="P7" s="52">
        <f t="shared" ref="P7:P27" si="6">(O7^2-N7^2)/(O7-N7)</f>
        <v>92</v>
      </c>
      <c r="Q7" s="51"/>
      <c r="R7" s="51"/>
      <c r="S7" s="51"/>
      <c r="T7" s="54">
        <f t="shared" si="4"/>
        <v>2821.333333333333</v>
      </c>
      <c r="U7" s="54">
        <f t="shared" si="5"/>
        <v>46</v>
      </c>
      <c r="V7" s="54">
        <v>1</v>
      </c>
      <c r="AO7" s="381"/>
      <c r="AP7" s="379" t="s">
        <v>148</v>
      </c>
      <c r="AQ7" s="380" t="s">
        <v>127</v>
      </c>
      <c r="AR7" s="380" t="s">
        <v>128</v>
      </c>
      <c r="AS7" s="380" t="s">
        <v>104</v>
      </c>
      <c r="AT7" s="380" t="s">
        <v>45</v>
      </c>
      <c r="AU7" s="380" t="s">
        <v>149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-41862</v>
      </c>
      <c r="P8" s="52">
        <f t="shared" si="6"/>
        <v>-41862</v>
      </c>
      <c r="Q8" s="51"/>
      <c r="R8" s="51"/>
      <c r="S8" s="51"/>
      <c r="T8" s="54">
        <f t="shared" si="4"/>
        <v>584142348</v>
      </c>
      <c r="U8" s="54">
        <f t="shared" si="5"/>
        <v>-20931</v>
      </c>
      <c r="V8" s="54">
        <v>1</v>
      </c>
      <c r="AB8" s="36" t="s">
        <v>53</v>
      </c>
      <c r="AF8" s="36" t="s">
        <v>54</v>
      </c>
      <c r="AJ8" s="36" t="s">
        <v>55</v>
      </c>
      <c r="AO8" s="381"/>
      <c r="AP8" s="382" t="s">
        <v>147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-1.5860837886512023E-6</v>
      </c>
      <c r="L9" s="61">
        <f>_xll.ohFilter($I$6:$I$9,$J$6:$J$9)-K9*_xll.ohFilter($P$6:$P$9,$J$6:$J$9)</f>
        <v>1.5959197085554555E-3</v>
      </c>
      <c r="M9" s="52"/>
      <c r="N9" s="53">
        <f t="shared" si="2"/>
        <v>-41862</v>
      </c>
      <c r="O9" s="53">
        <f t="shared" si="3"/>
        <v>-41862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-41862</v>
      </c>
      <c r="V9" s="54">
        <v>1</v>
      </c>
      <c r="X9" s="81">
        <f t="array" ref="X9:X11">_xll.ohFilter(T6:T14,$J6:$J14)</f>
        <v>2821.333333333333</v>
      </c>
      <c r="Y9" s="84">
        <f t="array" ref="Y9:Y11">_xll.ohFilter(U6:U14,$J6:$J14)</f>
        <v>46</v>
      </c>
      <c r="Z9" s="87">
        <f t="array" ref="Z9:Z11">_xll.ohFilter(V6:V14,$J6:$J14)</f>
        <v>1</v>
      </c>
      <c r="AB9" s="90">
        <f t="array" ref="AB9:AB11">MMULT(AF9:AH11,AD9:AD11)</f>
        <v>1.2270240089992775E-7</v>
      </c>
      <c r="AD9" s="90">
        <f t="array" ref="AD9:AD11">_xll.ohFilter(I6:I14,$J6:$J14)</f>
        <v>1.449999999999545E-3</v>
      </c>
      <c r="AF9" s="93">
        <f t="array" ref="AF9:AH11">MINVERSE(X9:Z11)</f>
        <v>3.0911032428483222E-3</v>
      </c>
      <c r="AG9" s="94">
        <v>-4.1027370314168626E-3</v>
      </c>
      <c r="AH9" s="95">
        <v>1.011633788568541E-3</v>
      </c>
      <c r="AJ9" s="102">
        <f t="array" ref="AJ9:AJ11">MMULT(X9:Z11,AB9:AB11)-AD9:AD11</f>
        <v>6.5052130349130266E-19</v>
      </c>
      <c r="AO9" s="381"/>
      <c r="AP9" s="386" t="s">
        <v>145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Q4</v>
      </c>
      <c r="B10" s="79" t="str">
        <f>_xll.qlMakeDatedOIS(,E10,F10,OvernightIndex,0,,,,EvaluationDate)</f>
        <v>obj_003cf#0000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2.0250000000000545E-3</v>
      </c>
      <c r="H10" s="68">
        <f>_xll.qlOvernightIndexedSwapFairRate(B10,_xll.ohTrigger(C10,InterestRatesTrigger))</f>
        <v>6.2543824112531283E-4</v>
      </c>
      <c r="I10" s="69">
        <f t="shared" si="1"/>
        <v>1.3995617588747418E-3</v>
      </c>
      <c r="J10" s="36" t="b">
        <f>AND(NOT(ISERROR(I10)))</f>
        <v>1</v>
      </c>
      <c r="K10" s="68">
        <f>(I10-_xll.ohFilter($I$6:$I$9,$J$6:$J$9))/(P10-_xll.ohFilter($P$6:$P$9,$J$6:$J$9))</f>
        <v>-2.8021245069335086E-6</v>
      </c>
      <c r="L10" s="68">
        <f>_xll.ohFilter($I$6:$I$9,$J$6:$J$9)-K10*_xll.ohFilter($P$6:$P$9,$J$6:$J$9)</f>
        <v>1.7077954546374278E-3</v>
      </c>
      <c r="M10" s="70"/>
      <c r="N10" s="71">
        <f t="shared" ref="N10:N18" si="7">E10-SettlementDate</f>
        <v>9</v>
      </c>
      <c r="O10" s="71">
        <f t="shared" ref="O10:O18" si="8">F10-SettlementDate</f>
        <v>101</v>
      </c>
      <c r="P10" s="70">
        <f t="shared" si="6"/>
        <v>110</v>
      </c>
      <c r="T10" s="72">
        <f t="shared" si="4"/>
        <v>3730.3333333333335</v>
      </c>
      <c r="U10" s="72">
        <f t="shared" si="5"/>
        <v>55</v>
      </c>
      <c r="V10" s="72">
        <v>1</v>
      </c>
      <c r="X10" s="82">
        <v>3730.3333333333335</v>
      </c>
      <c r="Y10" s="85">
        <v>55</v>
      </c>
      <c r="Z10" s="88">
        <v>1</v>
      </c>
      <c r="AA10" s="41" t="s">
        <v>56</v>
      </c>
      <c r="AB10" s="91">
        <v>-1.7997191504759761E-5</v>
      </c>
      <c r="AC10" s="41" t="s">
        <v>57</v>
      </c>
      <c r="AD10" s="91">
        <v>1.3995617588747418E-3</v>
      </c>
      <c r="AF10" s="96">
        <v>-0.42331253863879209</v>
      </c>
      <c r="AG10" s="97">
        <v>0.52548755128421476</v>
      </c>
      <c r="AH10" s="98">
        <v>-0.10217501264542275</v>
      </c>
      <c r="AJ10" s="103">
        <v>4.3368086899420177E-19</v>
      </c>
      <c r="AO10" s="381"/>
      <c r="AP10" s="390" t="s">
        <v>146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obj_003d8#0000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1.974999999999949E-3</v>
      </c>
      <c r="H11" s="68">
        <f>_xll.qlOvernightIndexedSwapFairRate(B11,_xll.ohTrigger(C11,InterestRatesTrigger))</f>
        <v>6.0826376571697296E-4</v>
      </c>
      <c r="I11" s="69">
        <f t="shared" si="1"/>
        <v>1.3667362342829762E-3</v>
      </c>
      <c r="J11" s="36" t="b">
        <f>NOT(ISERROR(I11))</f>
        <v>1</v>
      </c>
      <c r="K11" s="68">
        <f>(I11-_xll.ohFilter($I$6:$I$9,$J$6:$J$9))/(P11-_xll.ohFilter($P$6:$P$9,$J$6:$J$9))</f>
        <v>-1.1405995303639562E-6</v>
      </c>
      <c r="L11" s="68">
        <f>_xll.ohFilter($I$6:$I$9,$J$6:$J$9)-K11*_xll.ohFilter($P$6:$P$9,$J$6:$J$9)</f>
        <v>1.554935156793029E-3</v>
      </c>
      <c r="M11" s="70"/>
      <c r="N11" s="71">
        <f t="shared" si="7"/>
        <v>37</v>
      </c>
      <c r="O11" s="71">
        <f t="shared" si="8"/>
        <v>128</v>
      </c>
      <c r="P11" s="70">
        <f t="shared" si="6"/>
        <v>165</v>
      </c>
      <c r="T11" s="72">
        <f t="shared" si="4"/>
        <v>7496.3333333333339</v>
      </c>
      <c r="U11" s="72">
        <f t="shared" si="5"/>
        <v>82.5</v>
      </c>
      <c r="V11" s="72">
        <v>1</v>
      </c>
      <c r="X11" s="83">
        <v>7496.3333333333339</v>
      </c>
      <c r="Y11" s="86">
        <v>82.5</v>
      </c>
      <c r="Z11" s="89">
        <v>1</v>
      </c>
      <c r="AB11" s="92">
        <v>1.9316864354794985E-3</v>
      </c>
      <c r="AD11" s="92">
        <v>1.3667362342829762E-3</v>
      </c>
      <c r="AF11" s="99">
        <v>11.751344161561704</v>
      </c>
      <c r="AG11" s="100">
        <v>-12.597238614436439</v>
      </c>
      <c r="AH11" s="101">
        <v>1.8458944528747365</v>
      </c>
      <c r="AJ11" s="104">
        <v>4.3368086899420177E-19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obj_003cb#0000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41893</v>
      </c>
      <c r="F12" s="66">
        <f>_xll.qlInterestRateIndexMaturity($A$8,E12)</f>
        <v>41984</v>
      </c>
      <c r="G12" s="74">
        <f>_xll.qlQuoteValue(D12,AllTriggers)</f>
        <v>2E-3</v>
      </c>
      <c r="H12" s="68">
        <f>_xll.qlOvernightIndexedSwapFairRate(B12,_xll.ohTrigger(C12,InterestRatesTrigger))</f>
        <v>5.9974716704847973E-4</v>
      </c>
      <c r="I12" s="69">
        <f>G12-H12</f>
        <v>1.4002528329515203E-3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-8.15527328656142E-7</v>
      </c>
      <c r="L12" s="68">
        <f>_xll.ohFilter($I$6:$I$9,$J$6:$J$9)-K12*_xll.ohFilter($P$6:$P$9,$J$6:$J$9)</f>
        <v>1.52502851423591E-3</v>
      </c>
      <c r="M12" s="70"/>
      <c r="N12" s="71">
        <f t="shared" si="7"/>
        <v>31</v>
      </c>
      <c r="O12" s="71">
        <f t="shared" si="8"/>
        <v>122</v>
      </c>
      <c r="P12" s="70">
        <f t="shared" si="6"/>
        <v>153</v>
      </c>
      <c r="T12" s="72">
        <f t="shared" si="4"/>
        <v>6542.3333333333339</v>
      </c>
      <c r="U12" s="72">
        <f t="shared" si="5"/>
        <v>76.5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obj_003cd#0000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41925</v>
      </c>
      <c r="F13" s="66">
        <f>_xll.qlInterestRateIndexMaturity($A$8,E13)</f>
        <v>42017</v>
      </c>
      <c r="G13" s="74">
        <f>_xll.qlQuoteValue(D13,AllTriggers)</f>
        <v>1.97E-3</v>
      </c>
      <c r="H13" s="68">
        <f>_xll.qlOvernightIndexedSwapFairRate(B13,_xll.ohTrigger(C13,InterestRatesTrigger))</f>
        <v>5.8566662928317558E-4</v>
      </c>
      <c r="I13" s="69">
        <f>G13-H13</f>
        <v>1.3843333707168244E-3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-5.2116372446603636E-7</v>
      </c>
      <c r="L13" s="68">
        <f>_xll.ohFilter($I$6:$I$9,$J$6:$J$9)-K13*_xll.ohFilter($P$6:$P$9,$J$6:$J$9)</f>
        <v>1.4979470626504203E-3</v>
      </c>
      <c r="M13" s="70"/>
      <c r="N13" s="71">
        <f t="shared" si="7"/>
        <v>63</v>
      </c>
      <c r="O13" s="71">
        <f t="shared" si="8"/>
        <v>155</v>
      </c>
      <c r="P13" s="70">
        <f t="shared" si="6"/>
        <v>218</v>
      </c>
      <c r="T13" s="72">
        <f t="shared" si="4"/>
        <v>12586.333333333334</v>
      </c>
      <c r="U13" s="72">
        <f t="shared" si="5"/>
        <v>109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obj_003c4#0000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41954</v>
      </c>
      <c r="F14" s="66">
        <f>_xll.qlInterestRateIndexMaturity($A$8,E14)</f>
        <v>42046</v>
      </c>
      <c r="G14" s="74">
        <f>_xll.qlQuoteValue(D14,AllTriggers)</f>
        <v>1.9400000000000001E-3</v>
      </c>
      <c r="H14" s="68">
        <f>_xll.qlOvernightIndexedSwapFairRate(B14,_xll.ohTrigger(C14,InterestRatesTrigger))</f>
        <v>5.9990801410590179E-4</v>
      </c>
      <c r="I14" s="69">
        <f>G14-H14</f>
        <v>1.3400919858940984E-3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-5.9732616361655731E-7</v>
      </c>
      <c r="L14" s="68">
        <f>_xll.ohFilter($I$6:$I$9,$J$6:$J$9)-K14*_xll.ohFilter($P$6:$P$9,$J$6:$J$9)</f>
        <v>1.5049540070522682E-3</v>
      </c>
      <c r="M14" s="70"/>
      <c r="N14" s="71">
        <f t="shared" si="7"/>
        <v>92</v>
      </c>
      <c r="O14" s="71">
        <f t="shared" si="8"/>
        <v>184</v>
      </c>
      <c r="P14" s="70">
        <f t="shared" si="6"/>
        <v>276</v>
      </c>
      <c r="T14" s="72">
        <f t="shared" si="4"/>
        <v>19749.333333333336</v>
      </c>
      <c r="U14" s="72">
        <f t="shared" si="5"/>
        <v>138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obj_003cc#0000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41862</v>
      </c>
      <c r="F15" s="47">
        <f>_xll.qlCalendarAdvance(Calendar,E15,A16,"mf")</f>
        <v>42046</v>
      </c>
      <c r="G15" s="48">
        <f>_xll.qlQuoteValue($D15,AllTriggers)</f>
        <v>3.0999999999999999E-3</v>
      </c>
      <c r="H15" s="49">
        <f>_xll.qlOvernightIndexedSwapFairRate(B15,_xll.ohTrigger(C15,InterestRatesTrigger))</f>
        <v>6.0000000000088975E-4</v>
      </c>
      <c r="I15" s="50">
        <f t="shared" si="1"/>
        <v>2.4999999999991101E-3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184</v>
      </c>
      <c r="P15" s="52">
        <f t="shared" si="6"/>
        <v>184</v>
      </c>
      <c r="Q15" s="51"/>
      <c r="R15" s="51"/>
      <c r="S15" s="51"/>
      <c r="T15" s="54">
        <f t="shared" si="4"/>
        <v>11285.333333333332</v>
      </c>
      <c r="U15" s="54">
        <f t="shared" si="5"/>
        <v>92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obj_00349#0004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41862</v>
      </c>
      <c r="F16" s="59">
        <f>_xll.qlInterestRateIndexMaturity(A17,E16)</f>
        <v>42046</v>
      </c>
      <c r="G16" s="60">
        <f>_xll.qlQuoteValue(D16,AllTriggers)</f>
        <v>3.0399999999999997E-3</v>
      </c>
      <c r="H16" s="61">
        <f>_xll.qlOvernightIndexedSwapFairRate(B16,_xll.ohTrigger(C16,InterestRatesTrigger))</f>
        <v>6.0000000000088975E-4</v>
      </c>
      <c r="I16" s="62">
        <f t="shared" si="1"/>
        <v>2.43999999999911E-3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184</v>
      </c>
      <c r="P16" s="52">
        <f t="shared" si="6"/>
        <v>184</v>
      </c>
      <c r="Q16" s="51"/>
      <c r="R16" s="51"/>
      <c r="S16" s="51"/>
      <c r="T16" s="54">
        <f t="shared" si="4"/>
        <v>11285.333333333332</v>
      </c>
      <c r="U16" s="54">
        <f t="shared" si="5"/>
        <v>92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-41862</v>
      </c>
      <c r="O17" s="53">
        <f t="shared" si="8"/>
        <v>-41862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-41862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-2.6799230442837347E-7</v>
      </c>
      <c r="L18" s="61">
        <f>_xll.ohFilter($I$15:$I$18,$J$15:$J$18)-K18*_xll.ohFilter($P$15:$P$18,$J$15:$J$18)</f>
        <v>2.4893105840139308E-3</v>
      </c>
      <c r="M18" s="52"/>
      <c r="N18" s="53">
        <f t="shared" si="7"/>
        <v>-41862</v>
      </c>
      <c r="O18" s="53">
        <f t="shared" si="8"/>
        <v>-41862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-41862</v>
      </c>
      <c r="V18" s="54">
        <v>1</v>
      </c>
      <c r="X18" s="81">
        <f t="array" ref="X18:X20">_xll.ohFilter(T15:T24,$J15:$J24)</f>
        <v>11285.333333333332</v>
      </c>
      <c r="Y18" s="84">
        <f t="array" ref="Y18:Y20">_xll.ohFilter(U15:U24,$J15:$J24)</f>
        <v>92</v>
      </c>
      <c r="Z18" s="87">
        <f t="array" ref="Z18:Z20">_xll.ohFilter(V15:V24,$J15:$J24)</f>
        <v>1</v>
      </c>
      <c r="AB18" s="90">
        <f t="array" ref="AB18:AB20">MMULT(AF18:AH20,AD18:AD20)</f>
        <v>3.6407979254334157E-8</v>
      </c>
      <c r="AD18" s="90">
        <f t="array" ref="AD18:AD20">_xll.ohFilter(I15:I24,$J15:$J24)</f>
        <v>2.43999999999911E-3</v>
      </c>
      <c r="AF18" s="93">
        <f t="array" ref="AF18:AH20">MINVERSE(X18:Z20)</f>
        <v>5.1342406458084898E-4</v>
      </c>
      <c r="AG18" s="94">
        <v>-9.7945513858500454E-4</v>
      </c>
      <c r="AH18" s="95">
        <v>4.660310740041555E-4</v>
      </c>
      <c r="AJ18" s="102">
        <f t="array" ref="AJ18:AJ20">MMULT(X18:Z20,AB18:AB20)-AD18:AD20</f>
        <v>-4.3368086899420177E-18</v>
      </c>
    </row>
    <row r="19" spans="1:36" x14ac:dyDescent="0.2">
      <c r="A19" s="36">
        <v>1</v>
      </c>
      <c r="B19" s="79" t="str">
        <f>_xll.qlMakeDatedOIS(,E19,F19,OvernightIndex,0,,,,EvaluationDate)</f>
        <v>obj_003c8#0000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41893</v>
      </c>
      <c r="F19" s="66">
        <f>_xll.qlInterestRateIndexMaturity($A$17,E19)</f>
        <v>42074</v>
      </c>
      <c r="G19" s="67">
        <f>_xll.qlQuoteValue(D19,AllTriggers)</f>
        <v>3.0000000000000005E-3</v>
      </c>
      <c r="H19" s="68">
        <f>_xll.qlOvernightIndexedSwapFairRate(B19,_xll.ohTrigger(C19,InterestRatesTrigger))</f>
        <v>6.048285456821406E-4</v>
      </c>
      <c r="I19" s="69">
        <f t="shared" si="1"/>
        <v>2.39517145431786E-3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-7.5980585900423695E-7</v>
      </c>
      <c r="L19" s="68">
        <f>_xll.ohFilter($I$15:$I$18,$J$15:$J$18)-K19*_xll.ohFilter($P$15:$P$18,$J$15:$J$18)</f>
        <v>2.5798042780558897E-3</v>
      </c>
      <c r="M19" s="70"/>
      <c r="N19" s="71">
        <f t="shared" ref="N19:N27" si="11">E19-SettlementDate</f>
        <v>31</v>
      </c>
      <c r="O19" s="71">
        <f t="shared" ref="O19:O27" si="12">F19-SettlementDate</f>
        <v>212</v>
      </c>
      <c r="P19" s="70">
        <f t="shared" si="6"/>
        <v>243</v>
      </c>
      <c r="T19" s="72">
        <f t="shared" si="4"/>
        <v>17492.333333333336</v>
      </c>
      <c r="U19" s="72">
        <f t="shared" si="5"/>
        <v>121.5</v>
      </c>
      <c r="V19" s="72">
        <v>1</v>
      </c>
      <c r="X19" s="82">
        <v>17492.333333333336</v>
      </c>
      <c r="Y19" s="85">
        <v>121.5</v>
      </c>
      <c r="Z19" s="88">
        <v>1</v>
      </c>
      <c r="AA19" s="41" t="s">
        <v>56</v>
      </c>
      <c r="AB19" s="91">
        <v>-9.180097386878147E-6</v>
      </c>
      <c r="AC19" s="41" t="s">
        <v>57</v>
      </c>
      <c r="AD19" s="91">
        <v>2.39517145431786E-3</v>
      </c>
      <c r="AF19" s="96">
        <v>-0.14192620911367226</v>
      </c>
      <c r="AG19" s="97">
        <v>0.23998230661685171</v>
      </c>
      <c r="AH19" s="98">
        <v>-9.8056097503179479E-2</v>
      </c>
      <c r="AJ19" s="103">
        <v>-7.8062556418956319E-18</v>
      </c>
    </row>
    <row r="20" spans="1:36" x14ac:dyDescent="0.2">
      <c r="A20" s="36">
        <v>2</v>
      </c>
      <c r="B20" s="79" t="str">
        <f>_xll.qlMakeDatedOIS(,E20,F20,OvernightIndex,0,,,,EvaluationDate)</f>
        <v>obj_003c5#0000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41925</v>
      </c>
      <c r="F20" s="66">
        <f>_xll.qlInterestRateIndexMaturity($A$17,E20)</f>
        <v>42107</v>
      </c>
      <c r="G20" s="67">
        <f>_xll.qlQuoteValue(D20,AllTriggers)</f>
        <v>2.9900000000000005E-3</v>
      </c>
      <c r="H20" s="68">
        <f>_xll.qlOvernightIndexedSwapFairRate(B20,_xll.ohTrigger(C20,InterestRatesTrigger))</f>
        <v>5.6609242513473788E-4</v>
      </c>
      <c r="I20" s="69">
        <f t="shared" si="1"/>
        <v>2.4239075748652625E-3</v>
      </c>
      <c r="J20" s="36" t="b">
        <f t="shared" si="10"/>
        <v>1</v>
      </c>
      <c r="K20" s="68">
        <f>(I20-_xll.ohFilter($I$15:$I$18,$J$15:$J$18))/(P20-_xll.ohFilter($P$15:$P$18,$J$15:$J$18))</f>
        <v>-1.2977762204715725E-7</v>
      </c>
      <c r="L20" s="68">
        <f>_xll.ohFilter($I$15:$I$18,$J$15:$J$18)-K20*_xll.ohFilter($P$15:$P$18,$J$15:$J$18)</f>
        <v>2.463879082455787E-3</v>
      </c>
      <c r="M20" s="70"/>
      <c r="N20" s="71">
        <f t="shared" si="11"/>
        <v>63</v>
      </c>
      <c r="O20" s="71">
        <f t="shared" si="12"/>
        <v>245</v>
      </c>
      <c r="P20" s="70">
        <f t="shared" si="6"/>
        <v>308</v>
      </c>
      <c r="T20" s="72">
        <f t="shared" si="4"/>
        <v>26476.333333333336</v>
      </c>
      <c r="U20" s="72">
        <f t="shared" si="5"/>
        <v>154</v>
      </c>
      <c r="V20" s="72">
        <v>1</v>
      </c>
      <c r="X20" s="83">
        <v>26476.333333333336</v>
      </c>
      <c r="Y20" s="86">
        <v>154</v>
      </c>
      <c r="Z20" s="89">
        <v>1</v>
      </c>
      <c r="AB20" s="92">
        <v>2.8736927777136493E-3</v>
      </c>
      <c r="AD20" s="92">
        <v>2.4239075748652625E-3</v>
      </c>
      <c r="AF20" s="99">
        <v>8.2630495283081071</v>
      </c>
      <c r="AG20" s="100">
        <v>-11.024894484772389</v>
      </c>
      <c r="AH20" s="101">
        <v>3.7618449564642829</v>
      </c>
      <c r="AJ20" s="104">
        <v>-1.214306433183765E-17</v>
      </c>
    </row>
    <row r="21" spans="1:36" x14ac:dyDescent="0.2">
      <c r="A21" s="36">
        <v>3</v>
      </c>
      <c r="B21" s="79" t="str">
        <f>_xll.qlMakeDatedOIS(,E21,F21,OvernightIndex,0,,,,EvaluationDate)</f>
        <v>obj_003c9#0000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41954</v>
      </c>
      <c r="F21" s="66">
        <f>_xll.qlInterestRateIndexMaturity($A$17,E21)</f>
        <v>42135</v>
      </c>
      <c r="G21" s="67">
        <f>_xll.qlQuoteValue(D21,AllTriggers)</f>
        <v>2.9800000000000004E-3</v>
      </c>
      <c r="H21" s="68">
        <f>_xll.qlOvernightIndexedSwapFairRate(B21,_xll.ohTrigger(C21,InterestRatesTrigger))</f>
        <v>5.245052112351949E-4</v>
      </c>
      <c r="I21" s="69">
        <f t="shared" si="1"/>
        <v>2.4554947887648055E-3</v>
      </c>
      <c r="J21" s="36" t="b">
        <f t="shared" si="10"/>
        <v>1</v>
      </c>
      <c r="K21" s="68">
        <f>(I21-_xll.ohFilter($I$15:$I$18,$J$15:$J$18))/(P21-_xll.ohFilter($P$15:$P$18,$J$15:$J$18))</f>
        <v>8.5606567766273833E-8</v>
      </c>
      <c r="L21" s="68">
        <f>_xll.ohFilter($I$15:$I$18,$J$15:$J$18)-K21*_xll.ohFilter($P$15:$P$18,$J$15:$J$18)</f>
        <v>2.4242483915301156E-3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obj_003c7#0000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41984</v>
      </c>
      <c r="F22" s="66">
        <f>_xll.qlInterestRateIndexMaturity($A$17,E22)</f>
        <v>42166</v>
      </c>
      <c r="G22" s="67">
        <f>_xll.qlQuoteValue(D22,AllTriggers)</f>
        <v>2.9400000000000003E-3</v>
      </c>
      <c r="H22" s="68">
        <f>_xll.qlOvernightIndexedSwapFairRate(B22,_xll.ohTrigger(C22,InterestRatesTrigger))</f>
        <v>4.4287548078243347E-4</v>
      </c>
      <c r="I22" s="69">
        <f t="shared" si="1"/>
        <v>2.4971245192175668E-3</v>
      </c>
      <c r="J22" s="36" t="b">
        <f t="shared" si="10"/>
        <v>1</v>
      </c>
      <c r="K22" s="68">
        <f>(I22-_xll.ohFilter($I$15:$I$18,$J$15:$J$18))/(P22-_xll.ohFilter($P$15:$P$18,$J$15:$J$18))</f>
        <v>2.3605173230767287E-7</v>
      </c>
      <c r="L22" s="68">
        <f>_xll.ohFilter($I$15:$I$18,$J$15:$J$18)-K22*_xll.ohFilter($P$15:$P$18,$J$15:$J$18)</f>
        <v>2.3965664812544982E-3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obj_003c2#0000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42016</v>
      </c>
      <c r="F23" s="66">
        <f>_xll.qlInterestRateIndexMaturity($A$17,E23)</f>
        <v>42198</v>
      </c>
      <c r="G23" s="67">
        <f>_xll.qlQuoteValue(D23,AllTriggers)</f>
        <v>2.9100000000000003E-3</v>
      </c>
      <c r="H23" s="68">
        <f>_xll.qlOvernightIndexedSwapFairRate(B23,_xll.ohTrigger(C23,InterestRatesTrigger))</f>
        <v>3.7836442495856081E-4</v>
      </c>
      <c r="I23" s="69">
        <f t="shared" si="1"/>
        <v>2.5316355750414393E-3</v>
      </c>
      <c r="J23" s="36" t="b">
        <f t="shared" si="10"/>
        <v>1</v>
      </c>
      <c r="K23" s="68">
        <f>(I23-_xll.ohFilter($I$15:$I$18,$J$15:$J$18))/(P23-_xll.ohFilter($P$15:$P$18,$J$15:$J$18))</f>
        <v>2.9946266353702406E-7</v>
      </c>
      <c r="L23" s="68">
        <f>_xll.ohFilter($I$15:$I$18,$J$15:$J$18)-K23*_xll.ohFilter($P$15:$P$18,$J$15:$J$18)</f>
        <v>2.3848988699082976E-3</v>
      </c>
      <c r="M23" s="70"/>
      <c r="N23" s="71">
        <f t="shared" si="11"/>
        <v>154</v>
      </c>
      <c r="O23" s="71">
        <f t="shared" si="12"/>
        <v>336</v>
      </c>
      <c r="P23" s="70">
        <f t="shared" si="6"/>
        <v>490</v>
      </c>
      <c r="T23" s="72">
        <f t="shared" si="4"/>
        <v>62785.333333333328</v>
      </c>
      <c r="U23" s="72">
        <f t="shared" si="5"/>
        <v>245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obj_003ce#0000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42046</v>
      </c>
      <c r="F24" s="66">
        <f>_xll.qlInterestRateIndexMaturity($A$17,E24)</f>
        <v>42227</v>
      </c>
      <c r="G24" s="67">
        <f>_xll.qlQuoteValue(D24,AllTriggers)</f>
        <v>2.8900000000000002E-3</v>
      </c>
      <c r="H24" s="68">
        <f>_xll.qlOvernightIndexedSwapFairRate(B24,_xll.ohTrigger(C24,InterestRatesTrigger))</f>
        <v>3.3774172977147872E-4</v>
      </c>
      <c r="I24" s="69">
        <f t="shared" si="1"/>
        <v>2.5522582702285214E-3</v>
      </c>
      <c r="J24" s="36" t="b">
        <f t="shared" si="10"/>
        <v>1</v>
      </c>
      <c r="K24" s="68">
        <f>(I24-_xll.ohFilter($I$15:$I$18,$J$15:$J$18))/(P24-_xll.ohFilter($P$15:$P$18,$J$15:$J$18))</f>
        <v>3.0755690473811338E-7</v>
      </c>
      <c r="L24" s="68">
        <f>_xll.ohFilter($I$15:$I$18,$J$15:$J$18)-K24*_xll.ohFilter($P$15:$P$18,$J$15:$J$18)</f>
        <v>2.383409529527297E-3</v>
      </c>
      <c r="M24" s="70"/>
      <c r="N24" s="71">
        <f t="shared" si="11"/>
        <v>184</v>
      </c>
      <c r="O24" s="71">
        <f t="shared" si="12"/>
        <v>365</v>
      </c>
      <c r="P24" s="70">
        <f t="shared" si="6"/>
        <v>549</v>
      </c>
      <c r="T24" s="72">
        <f t="shared" si="4"/>
        <v>78080.333333333343</v>
      </c>
      <c r="U24" s="72">
        <f t="shared" si="5"/>
        <v>274.5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obj_003c6#0000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41862</v>
      </c>
      <c r="F25" s="47">
        <f>_xll.qlCalendarAdvance(Calendar,E25,A26,"mf")</f>
        <v>42227</v>
      </c>
      <c r="G25" s="48">
        <f>_xll.qlQuoteValue($D25,AllTriggers)</f>
        <v>4.8999999999999998E-3</v>
      </c>
      <c r="H25" s="49">
        <f>_xll.qlOvernightIndexedSwapFairRate(B25,_xll.ohTrigger(C25,InterestRatesTrigger))</f>
        <v>4.7000000001758797E-4</v>
      </c>
      <c r="I25" s="50">
        <f t="shared" si="1"/>
        <v>4.4299999999824115E-3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obj_00347#0004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41862</v>
      </c>
      <c r="F26" s="59">
        <f>_xll.qlInterestRateIndexMaturity(A27,E26)</f>
        <v>42227</v>
      </c>
      <c r="G26" s="60">
        <f>_xll.qlQuoteValue(D26,AllTriggers)</f>
        <v>4.8399999999999997E-3</v>
      </c>
      <c r="H26" s="61">
        <f>_xll.qlOvernightIndexedSwapFairRate(B26,_xll.ohTrigger(C26,InterestRatesTrigger))</f>
        <v>4.7000000001758797E-4</v>
      </c>
      <c r="I26" s="62">
        <f t="shared" si="1"/>
        <v>4.3699999999824114E-3</v>
      </c>
      <c r="J26" s="51" t="b">
        <f>NOT(ISERROR(I26))</f>
        <v>1</v>
      </c>
      <c r="K26" s="63">
        <f>K27</f>
        <v>2.8736778085870999E-7</v>
      </c>
      <c r="L26" s="61">
        <f>_xll.ohFilter($I$25:$I$26,$J$25:$J$26)-K26*_xll.ohFilter($P$25:$P$26,$J$25:$J$26)</f>
        <v>4.2651107599689826E-3</v>
      </c>
      <c r="M26" s="52"/>
      <c r="N26" s="53">
        <f t="shared" si="11"/>
        <v>0</v>
      </c>
      <c r="O26" s="53">
        <f t="shared" si="12"/>
        <v>365</v>
      </c>
      <c r="P26" s="52">
        <f t="shared" si="6"/>
        <v>365</v>
      </c>
      <c r="Q26" s="51"/>
      <c r="R26" s="51"/>
      <c r="S26" s="51"/>
      <c r="T26" s="54">
        <f t="shared" si="4"/>
        <v>44408.333333333328</v>
      </c>
      <c r="U26" s="54">
        <f t="shared" si="5"/>
        <v>182.5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obj_003c3#0000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42227</v>
      </c>
      <c r="F27" s="66">
        <f>_xll.qlInterestRateIndexMaturity(A27,E27)</f>
        <v>42593</v>
      </c>
      <c r="G27" s="67">
        <f>_xll.qlQuoteValue(D27,AllTriggers)</f>
        <v>5.11E-3</v>
      </c>
      <c r="H27" s="68">
        <f>_xll.qlOvernightIndexedSwapFairRate(B27,_xll.ohTrigger(C27,InterestRatesTrigger))</f>
        <v>5.299341522098719E-4</v>
      </c>
      <c r="I27" s="69">
        <f t="shared" si="1"/>
        <v>4.5800658477901284E-3</v>
      </c>
      <c r="J27" s="36" t="b">
        <f>NOT(ISERROR(I27))</f>
        <v>1</v>
      </c>
      <c r="K27" s="68">
        <f>(I27-_xll.ohFilter($I$25:$I$26,$J$25:$J$26))/(P27-_xll.ohFilter($P$25:$P$26,$J$25:$J$26))</f>
        <v>2.8736778085870999E-7</v>
      </c>
      <c r="L27" s="68">
        <f>_xll.ohFilter($I$25:$I$26,$J$25:$J$26)-K27*_xll.ohFilter($P$25:$P$26,$J$25:$J$26)</f>
        <v>4.2651107599689826E-3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  <c r="AC29" s="36" t="s">
        <v>58</v>
      </c>
      <c r="AD29" s="36" t="s">
        <v>143</v>
      </c>
      <c r="AE29" s="36" t="s">
        <v>144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1.2270240089992775E-7</v>
      </c>
      <c r="U30" s="113">
        <f>AB18</f>
        <v>3.6407979254334157E-8</v>
      </c>
      <c r="AB30" s="378">
        <f>SettlementDate</f>
        <v>41862</v>
      </c>
      <c r="AC30" s="105">
        <f>$H$32</f>
        <v>1.449999999999545E-3</v>
      </c>
      <c r="AD30" s="105">
        <f t="shared" ref="AD30:AD61" si="13">$O$32+$O$31*(AB30-SettlementDate)</f>
        <v>1.5959197085554555E-3</v>
      </c>
      <c r="AE30" s="105">
        <f t="shared" ref="AE30:AE61" si="14">$T$32+$T$31*(AB30-SettlementDate)+$T$30*(AB30-SettlementDate)^2</f>
        <v>1.9316864354794985E-3</v>
      </c>
    </row>
    <row r="31" spans="1:36" x14ac:dyDescent="0.2">
      <c r="D31" s="36">
        <v>4</v>
      </c>
      <c r="E31" s="42"/>
      <c r="F31" s="42" t="s">
        <v>60</v>
      </c>
      <c r="G31" s="114">
        <f>_xll.ohFilter(I2:I3,J2:J3)</f>
        <v>3.1999999999993297E-4</v>
      </c>
      <c r="H31" s="115">
        <f>_xll.ohFilter(I6:I9,J6:J9)</f>
        <v>1.449999999999545E-3</v>
      </c>
      <c r="I31" s="115">
        <f>_xll.ohFilter(I15:I18,J15:J18)</f>
        <v>2.43999999999911E-3</v>
      </c>
      <c r="J31" s="116">
        <f>_xll.ohFilter(I25:I26,J25:J26)</f>
        <v>4.3699999999824114E-3</v>
      </c>
      <c r="M31" s="41" t="s">
        <v>47</v>
      </c>
      <c r="N31" s="105">
        <f>K4</f>
        <v>3.1179163823264938E-7</v>
      </c>
      <c r="O31" s="105">
        <f>K9</f>
        <v>-1.5860837886512023E-6</v>
      </c>
      <c r="P31" s="105">
        <f>AVERAGE(K19:K21)</f>
        <v>-2.6799230442837347E-7</v>
      </c>
      <c r="Q31" s="105">
        <f>K26</f>
        <v>2.8736778085870999E-7</v>
      </c>
      <c r="R31" s="105"/>
      <c r="S31" s="117" t="s">
        <v>47</v>
      </c>
      <c r="T31" s="118">
        <f>AB10</f>
        <v>-1.7997191504759761E-5</v>
      </c>
      <c r="U31" s="69">
        <f>AB19</f>
        <v>-9.180097386878147E-6</v>
      </c>
      <c r="AB31" s="378">
        <f>_xll.qlCalendarAdvance(Calendar,AB30,"1d","mf")</f>
        <v>41863</v>
      </c>
      <c r="AC31" s="105">
        <f t="shared" ref="AC31:AC94" si="15">$H$32</f>
        <v>1.449999999999545E-3</v>
      </c>
      <c r="AD31" s="105">
        <f t="shared" si="13"/>
        <v>1.5943336247668043E-3</v>
      </c>
      <c r="AE31" s="105">
        <f t="shared" si="14"/>
        <v>1.9138119463756387E-3</v>
      </c>
    </row>
    <row r="32" spans="1:36" x14ac:dyDescent="0.2">
      <c r="E32" s="42"/>
      <c r="F32" s="42" t="s">
        <v>61</v>
      </c>
      <c r="G32" s="114">
        <f>IF(G31&lt;H31,G31,H31)</f>
        <v>3.1999999999993297E-4</v>
      </c>
      <c r="H32" s="115">
        <f>H31</f>
        <v>1.449999999999545E-3</v>
      </c>
      <c r="I32" s="115">
        <f>IF(I31&lt;H31,H31,I31)</f>
        <v>2.43999999999911E-3</v>
      </c>
      <c r="J32" s="116">
        <f>IF(J31&lt;I31,I31,J31)</f>
        <v>4.3699999999824114E-3</v>
      </c>
      <c r="M32" s="41" t="s">
        <v>48</v>
      </c>
      <c r="N32" s="105">
        <f>L4</f>
        <v>3.1033445921472083E-4</v>
      </c>
      <c r="O32" s="105">
        <f>L9</f>
        <v>1.5959197085554555E-3</v>
      </c>
      <c r="P32" s="105">
        <f>L18</f>
        <v>2.4893105840139308E-3</v>
      </c>
      <c r="Q32" s="105">
        <f>L26</f>
        <v>4.2651107599689826E-3</v>
      </c>
      <c r="R32" s="105"/>
      <c r="S32" s="117" t="s">
        <v>48</v>
      </c>
      <c r="T32" s="118">
        <f>AB11</f>
        <v>1.9316864354794985E-3</v>
      </c>
      <c r="U32" s="69">
        <f>AB20</f>
        <v>2.8736927777136493E-3</v>
      </c>
      <c r="AB32" s="378">
        <f>_xll.qlCalendarAdvance(Calendar,AB31,"1d","mf")</f>
        <v>41864</v>
      </c>
      <c r="AC32" s="105">
        <f t="shared" si="15"/>
        <v>1.449999999999545E-3</v>
      </c>
      <c r="AD32" s="105">
        <f t="shared" si="13"/>
        <v>1.5927475409781532E-3</v>
      </c>
      <c r="AE32" s="105">
        <f t="shared" si="14"/>
        <v>1.8961828620735787E-3</v>
      </c>
    </row>
    <row r="33" spans="2:3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  <c r="AB33" s="378">
        <f>_xll.qlCalendarAdvance(Calendar,AB32,"1d","mf")</f>
        <v>41865</v>
      </c>
      <c r="AC33" s="105">
        <f t="shared" si="15"/>
        <v>1.449999999999545E-3</v>
      </c>
      <c r="AD33" s="105">
        <f t="shared" si="13"/>
        <v>1.591161457189502E-3</v>
      </c>
      <c r="AE33" s="105">
        <f t="shared" si="14"/>
        <v>1.8787991825733187E-3</v>
      </c>
    </row>
    <row r="34" spans="2:31" x14ac:dyDescent="0.2">
      <c r="B34" s="43" t="str">
        <f>_xll.qlMakeDatedOIS(,E34,F34,OvernightIndex,0,,,,EvaluationDate)</f>
        <v>obj_003b3#0000</v>
      </c>
      <c r="C34" s="106" t="b">
        <f>_xll.qlInstrumentSetPricingEngine(B34,OisEngine)</f>
        <v>1</v>
      </c>
      <c r="D34" s="120" t="s">
        <v>66</v>
      </c>
      <c r="E34" s="121">
        <f t="shared" ref="E34:E49" si="16">SettlementDate</f>
        <v>41862</v>
      </c>
      <c r="F34" s="122">
        <f>_xll.qlCalendarAdvance(Calendar,SettlementDate,D34,"Following")</f>
        <v>41863</v>
      </c>
      <c r="G34" s="123">
        <f t="shared" ref="G34:J49" si="17">$L34+IF(G$30,G$32,N34)</f>
        <v>7.1064621048786488E-4</v>
      </c>
      <c r="H34" s="123">
        <f t="shared" si="17"/>
        <v>2.3227287001623301E-3</v>
      </c>
      <c r="I34" s="123">
        <f t="shared" si="17"/>
        <v>3.2691148246482061E-3</v>
      </c>
      <c r="J34" s="123">
        <f t="shared" si="17"/>
        <v>4.6653980873847525E-3</v>
      </c>
      <c r="K34" s="272">
        <f t="shared" ref="K34:K49" si="18">F34-SettlementDate</f>
        <v>1</v>
      </c>
      <c r="L34" s="125">
        <f>_xll.qlOvernightIndexedSwapFairRate(B34,_xll.ohTrigger(C34,InterestRatesTrigger))</f>
        <v>3.9999995963491136E-4</v>
      </c>
      <c r="N34" s="126">
        <f>N$31*$K34+N$32</f>
        <v>3.1064625085295346E-4</v>
      </c>
      <c r="O34" s="118">
        <f t="shared" ref="O34:P40" si="19">IF(O$30,T34,O$31*$K34+O$32)</f>
        <v>1.9227287405274187E-3</v>
      </c>
      <c r="P34" s="118">
        <f t="shared" si="19"/>
        <v>2.8691148650132948E-3</v>
      </c>
      <c r="Q34" s="69">
        <f t="shared" ref="Q34:Q49" si="20">Q$31*$K34+Q$32</f>
        <v>4.2653981277498412E-3</v>
      </c>
      <c r="R34" s="118"/>
      <c r="S34" s="127" t="s">
        <v>66</v>
      </c>
      <c r="T34" s="118">
        <f t="shared" ref="T34:U40" si="21">$K34*$K34/3*T$30+$K34/2*T$31+T$32</f>
        <v>1.9227287405274187E-3</v>
      </c>
      <c r="U34" s="69">
        <f t="shared" si="21"/>
        <v>2.8691148650132948E-3</v>
      </c>
      <c r="AB34" s="378">
        <f>_xll.qlCalendarAdvance(Calendar,AB33,"1d","mf")</f>
        <v>41866</v>
      </c>
      <c r="AC34" s="105">
        <f t="shared" si="15"/>
        <v>1.449999999999545E-3</v>
      </c>
      <c r="AD34" s="105">
        <f t="shared" si="13"/>
        <v>1.5895753734008508E-3</v>
      </c>
      <c r="AE34" s="105">
        <f t="shared" si="14"/>
        <v>1.8616609078748584E-3</v>
      </c>
    </row>
    <row r="35" spans="2:31" x14ac:dyDescent="0.2">
      <c r="B35" s="79" t="str">
        <f>_xll.qlMakeDatedOIS(,E35,F35,OvernightIndex,0,,,,EvaluationDate)</f>
        <v>obj_003aa#0000</v>
      </c>
      <c r="C35" s="70" t="b">
        <f>_xll.qlInstrumentSetPricingEngine(B35,OisEngine)</f>
        <v>1</v>
      </c>
      <c r="D35" s="128" t="s">
        <v>67</v>
      </c>
      <c r="E35" s="65">
        <f t="shared" si="16"/>
        <v>41862</v>
      </c>
      <c r="F35" s="129">
        <f>_xll.qlCalendarAdvance(Calendar,SettlementDate,D35,"Following")</f>
        <v>41869</v>
      </c>
      <c r="G35" s="123">
        <f t="shared" si="17"/>
        <v>6.8251696678788801E-4</v>
      </c>
      <c r="H35" s="123">
        <f t="shared" si="17"/>
        <v>2.2407003705330769E-3</v>
      </c>
      <c r="I35" s="123">
        <f t="shared" si="17"/>
        <v>3.2121570666262685E-3</v>
      </c>
      <c r="J35" s="123">
        <f t="shared" si="17"/>
        <v>4.6371223005405322E-3</v>
      </c>
      <c r="K35" s="130">
        <f t="shared" si="18"/>
        <v>7</v>
      </c>
      <c r="L35" s="131">
        <f>_xll.qlOvernightIndexedSwapFairRate(B35,_xll.ohTrigger(C35,InterestRatesTrigger))</f>
        <v>3.6999996610553865E-4</v>
      </c>
      <c r="N35" s="126">
        <f>N$31*$K35+N$32</f>
        <v>3.1251700068234936E-4</v>
      </c>
      <c r="O35" s="118">
        <f t="shared" si="19"/>
        <v>1.8707004044275382E-3</v>
      </c>
      <c r="P35" s="118">
        <f t="shared" si="19"/>
        <v>2.8421571005207299E-3</v>
      </c>
      <c r="Q35" s="69">
        <f t="shared" si="20"/>
        <v>4.2671223344349935E-3</v>
      </c>
      <c r="R35" s="118"/>
      <c r="S35" s="132" t="s">
        <v>67</v>
      </c>
      <c r="T35" s="118">
        <f t="shared" si="21"/>
        <v>1.8707004044275382E-3</v>
      </c>
      <c r="U35" s="69">
        <f t="shared" si="21"/>
        <v>2.8421571005207299E-3</v>
      </c>
      <c r="AB35" s="378">
        <f>_xll.qlCalendarAdvance(Calendar,AB34,"1d","mf")</f>
        <v>41869</v>
      </c>
      <c r="AC35" s="105">
        <f t="shared" si="15"/>
        <v>1.449999999999545E-3</v>
      </c>
      <c r="AD35" s="105">
        <f t="shared" si="13"/>
        <v>1.584817122034897E-3</v>
      </c>
      <c r="AE35" s="105">
        <f t="shared" si="14"/>
        <v>1.8117185125902768E-3</v>
      </c>
    </row>
    <row r="36" spans="2:31" x14ac:dyDescent="0.2">
      <c r="B36" s="79" t="str">
        <f>_xll.qlMakeDatedOIS(,E36,F36,OvernightIndex,0,,,,EvaluationDate)</f>
        <v>obj_003a9#0000</v>
      </c>
      <c r="C36" s="70" t="b">
        <f>_xll.qlInstrumentSetPricingEngine(B36,OisEngine)</f>
        <v>1</v>
      </c>
      <c r="D36" s="128" t="s">
        <v>68</v>
      </c>
      <c r="E36" s="65">
        <f t="shared" si="16"/>
        <v>41862</v>
      </c>
      <c r="F36" s="129">
        <f>_xll.qlCalendarAdvance(Calendar,SettlementDate,D36,"Following")</f>
        <v>41876</v>
      </c>
      <c r="G36" s="123">
        <f t="shared" si="17"/>
        <v>7.4469954215108198E-4</v>
      </c>
      <c r="H36" s="123">
        <f t="shared" si="17"/>
        <v>2.2437226518060797E-3</v>
      </c>
      <c r="I36" s="123">
        <f t="shared" si="17"/>
        <v>3.241810750651223E-3</v>
      </c>
      <c r="J36" s="123">
        <f t="shared" si="17"/>
        <v>4.6991339089021084E-3</v>
      </c>
      <c r="K36" s="130">
        <f t="shared" si="18"/>
        <v>14</v>
      </c>
      <c r="L36" s="131">
        <f>_xll.qlOvernightIndexedSwapFairRate(B36,_xll.ohTrigger(C36,InterestRatesTrigger))</f>
        <v>4.3000000000110409E-4</v>
      </c>
      <c r="N36" s="126">
        <f>N$31*$K36+N$32</f>
        <v>3.146995421499779E-4</v>
      </c>
      <c r="O36" s="118">
        <f t="shared" si="19"/>
        <v>1.8137226518049755E-3</v>
      </c>
      <c r="P36" s="118">
        <f t="shared" si="19"/>
        <v>2.811810750650119E-3</v>
      </c>
      <c r="Q36" s="69">
        <f t="shared" si="20"/>
        <v>4.2691339089010044E-3</v>
      </c>
      <c r="R36" s="118"/>
      <c r="S36" s="132" t="s">
        <v>68</v>
      </c>
      <c r="T36" s="118">
        <f t="shared" si="21"/>
        <v>1.8137226518049755E-3</v>
      </c>
      <c r="U36" s="69">
        <f t="shared" si="21"/>
        <v>2.811810750650119E-3</v>
      </c>
      <c r="AB36" s="378">
        <f>_xll.qlCalendarAdvance(Calendar,AB35,"1d","mf")</f>
        <v>41870</v>
      </c>
      <c r="AC36" s="105">
        <f t="shared" si="15"/>
        <v>1.449999999999545E-3</v>
      </c>
      <c r="AD36" s="105">
        <f t="shared" si="13"/>
        <v>1.5832310382462458E-3</v>
      </c>
      <c r="AE36" s="105">
        <f t="shared" si="14"/>
        <v>1.7955618570990159E-3</v>
      </c>
    </row>
    <row r="37" spans="2:31" x14ac:dyDescent="0.2">
      <c r="B37" s="133" t="str">
        <f>_xll.qlMakeDatedOIS(,E37,F37,OvernightIndex,0,,,,EvaluationDate)</f>
        <v>obj_003ac#0000</v>
      </c>
      <c r="C37" s="134" t="b">
        <f>_xll.qlInstrumentSetPricingEngine(B37,OisEngine)</f>
        <v>1</v>
      </c>
      <c r="D37" s="135" t="s">
        <v>69</v>
      </c>
      <c r="E37" s="136">
        <f t="shared" si="16"/>
        <v>41862</v>
      </c>
      <c r="F37" s="137">
        <f>_xll.qlCalendarAdvance(Calendar,SettlementDate,D37,"Following")</f>
        <v>41883</v>
      </c>
      <c r="G37" s="138">
        <f t="shared" si="17"/>
        <v>9.8688207880470637E-4</v>
      </c>
      <c r="H37" s="138">
        <f t="shared" si="17"/>
        <v>2.4307531727989105E-3</v>
      </c>
      <c r="I37" s="138">
        <f t="shared" si="17"/>
        <v>3.4526537232889157E-3</v>
      </c>
      <c r="J37" s="138">
        <f t="shared" si="17"/>
        <v>4.9411454785541148E-3</v>
      </c>
      <c r="K37" s="139">
        <f t="shared" si="18"/>
        <v>21</v>
      </c>
      <c r="L37" s="140">
        <f>_xll.qlOvernightIndexedSwapFairRate(B37,_xll.ohTrigger(C37,InterestRatesTrigger))</f>
        <v>6.6999999518709984E-4</v>
      </c>
      <c r="N37" s="141">
        <f>N$31*$K37+N$32</f>
        <v>3.1688208361760648E-4</v>
      </c>
      <c r="O37" s="142">
        <f t="shared" si="19"/>
        <v>1.7607531776118106E-3</v>
      </c>
      <c r="P37" s="142">
        <f t="shared" si="19"/>
        <v>2.7826537281018158E-3</v>
      </c>
      <c r="Q37" s="143">
        <f t="shared" si="20"/>
        <v>4.2711454833670153E-3</v>
      </c>
      <c r="R37" s="142"/>
      <c r="S37" s="144" t="s">
        <v>69</v>
      </c>
      <c r="T37" s="142">
        <f t="shared" si="21"/>
        <v>1.7607531776118106E-3</v>
      </c>
      <c r="U37" s="143">
        <f t="shared" si="21"/>
        <v>2.7826537281018158E-3</v>
      </c>
      <c r="AB37" s="378">
        <f>_xll.qlCalendarAdvance(Calendar,AB36,"1d","mf")</f>
        <v>41871</v>
      </c>
      <c r="AC37" s="105">
        <f t="shared" si="15"/>
        <v>1.449999999999545E-3</v>
      </c>
      <c r="AD37" s="105">
        <f t="shared" si="13"/>
        <v>1.5816449544575947E-3</v>
      </c>
      <c r="AE37" s="105">
        <f t="shared" si="14"/>
        <v>1.7796506064095548E-3</v>
      </c>
    </row>
    <row r="38" spans="2:31" x14ac:dyDescent="0.2">
      <c r="B38" s="79" t="str">
        <f>_xll.qlMakeDatedOIS(,E38,F38,OvernightIndex,0,,,,EvaluationDate)</f>
        <v>obj_003bf#0000</v>
      </c>
      <c r="C38" s="70" t="b">
        <f>_xll.qlInstrumentSetPricingEngine(B38,OisEngine)</f>
        <v>1</v>
      </c>
      <c r="D38" s="128" t="s">
        <v>62</v>
      </c>
      <c r="E38" s="65">
        <f t="shared" si="16"/>
        <v>41862</v>
      </c>
      <c r="F38" s="129">
        <f>_xll.qlCalendarAdvance(Calendar,SettlementDate,D38,"mf",TRUE)</f>
        <v>41893</v>
      </c>
      <c r="G38" s="145">
        <f t="shared" si="17"/>
        <v>9.6000000000000002E-4</v>
      </c>
      <c r="H38" s="145">
        <f t="shared" si="17"/>
        <v>2.3320356362440662E-3</v>
      </c>
      <c r="I38" s="145">
        <f t="shared" si="17"/>
        <v>3.3830639575715767E-3</v>
      </c>
      <c r="J38" s="145">
        <f t="shared" si="17"/>
        <v>4.9140191611756695E-3</v>
      </c>
      <c r="K38" s="124">
        <f t="shared" si="18"/>
        <v>31</v>
      </c>
      <c r="L38" s="131">
        <f>_xll.qlOvernightIndexedSwapFairRate(B38,_xll.ohTrigger(C38,InterestRatesTrigger))</f>
        <v>6.4000000000006706E-4</v>
      </c>
      <c r="N38" s="126">
        <f>N$31*$K38+N$32</f>
        <v>3.1999999999993297E-4</v>
      </c>
      <c r="O38" s="118">
        <f t="shared" si="19"/>
        <v>1.692035636243999E-3</v>
      </c>
      <c r="P38" s="118">
        <f t="shared" si="19"/>
        <v>2.7430639575715095E-3</v>
      </c>
      <c r="Q38" s="69">
        <f t="shared" si="20"/>
        <v>4.2740191611756028E-3</v>
      </c>
      <c r="R38" s="118"/>
      <c r="S38" s="132" t="s">
        <v>62</v>
      </c>
      <c r="T38" s="118">
        <f t="shared" si="21"/>
        <v>1.692035636243999E-3</v>
      </c>
      <c r="U38" s="69">
        <f t="shared" si="21"/>
        <v>2.7430639575715095E-3</v>
      </c>
      <c r="AB38" s="378">
        <f>_xll.qlCalendarAdvance(Calendar,AB37,"1d","mf")</f>
        <v>41872</v>
      </c>
      <c r="AC38" s="105">
        <f t="shared" si="15"/>
        <v>1.449999999999545E-3</v>
      </c>
      <c r="AD38" s="105">
        <f t="shared" si="13"/>
        <v>1.5800588706689435E-3</v>
      </c>
      <c r="AE38" s="105">
        <f t="shared" si="14"/>
        <v>1.7639847605218936E-3</v>
      </c>
    </row>
    <row r="39" spans="2:31" x14ac:dyDescent="0.2">
      <c r="B39" s="79" t="str">
        <f>_xll.qlMakeDatedOIS(,E39,F39,OvernightIndex,0,,,,EvaluationDate)</f>
        <v>obj_003ab#0000</v>
      </c>
      <c r="C39" s="70" t="b">
        <f>_xll.qlInstrumentSetPricingEngine(B39,OisEngine)</f>
        <v>1</v>
      </c>
      <c r="D39" s="128" t="s">
        <v>70</v>
      </c>
      <c r="E39" s="65">
        <f t="shared" si="16"/>
        <v>41862</v>
      </c>
      <c r="F39" s="129">
        <f>_xll.qlCalendarAdvance(Calendar,SettlementDate,D39,"mf",TRUE)</f>
        <v>41925</v>
      </c>
      <c r="G39" s="146"/>
      <c r="H39" s="123">
        <f t="shared" si="17"/>
        <v>2.1471101794718213E-3</v>
      </c>
      <c r="I39" s="123">
        <f t="shared" si="17"/>
        <v>3.2526874665821225E-3</v>
      </c>
      <c r="J39" s="123">
        <f t="shared" si="17"/>
        <v>4.9032149301647329E-3</v>
      </c>
      <c r="K39" s="130">
        <f t="shared" si="18"/>
        <v>63</v>
      </c>
      <c r="L39" s="131">
        <f>_xll.qlOvernightIndexedSwapFairRate(B39,_xll.ohTrigger(C39,InterestRatesTrigger))</f>
        <v>6.2000000000165102E-4</v>
      </c>
      <c r="N39" s="146"/>
      <c r="O39" s="118">
        <f t="shared" si="19"/>
        <v>1.5271101794701704E-3</v>
      </c>
      <c r="P39" s="118">
        <f t="shared" si="19"/>
        <v>2.6326874665804716E-3</v>
      </c>
      <c r="Q39" s="69">
        <f t="shared" si="20"/>
        <v>4.2832149301630816E-3</v>
      </c>
      <c r="R39" s="118"/>
      <c r="S39" s="132" t="s">
        <v>70</v>
      </c>
      <c r="T39" s="118">
        <f t="shared" si="21"/>
        <v>1.5271101794701704E-3</v>
      </c>
      <c r="U39" s="69">
        <f t="shared" si="21"/>
        <v>2.6326874665804716E-3</v>
      </c>
      <c r="AB39" s="378">
        <f>_xll.qlCalendarAdvance(Calendar,AB38,"1d","mf")</f>
        <v>41873</v>
      </c>
      <c r="AC39" s="105">
        <f t="shared" si="15"/>
        <v>1.449999999999545E-3</v>
      </c>
      <c r="AD39" s="105">
        <f t="shared" si="13"/>
        <v>1.5784727868802923E-3</v>
      </c>
      <c r="AE39" s="105">
        <f t="shared" si="14"/>
        <v>1.7485643194360325E-3</v>
      </c>
    </row>
    <row r="40" spans="2:31" x14ac:dyDescent="0.2">
      <c r="B40" s="79" t="str">
        <f>_xll.qlMakeDatedOIS(,E40,F40,OvernightIndex,0,,,,EvaluationDate)</f>
        <v>obj_003c0#0000</v>
      </c>
      <c r="C40" s="70" t="b">
        <f>_xll.qlInstrumentSetPricingEngine(B40,OisEngine)</f>
        <v>1</v>
      </c>
      <c r="D40" s="128" t="s">
        <v>63</v>
      </c>
      <c r="E40" s="65">
        <f t="shared" si="16"/>
        <v>41862</v>
      </c>
      <c r="F40" s="129">
        <f>_xll.qlCalendarAdvance(Calendar,SettlementDate,D40,"mf",TRUE)</f>
        <v>41954</v>
      </c>
      <c r="G40" s="147"/>
      <c r="H40" s="123">
        <f t="shared" si="17"/>
        <v>2.050000000000001E-3</v>
      </c>
      <c r="I40" s="123">
        <f t="shared" si="17"/>
        <v>3.1541273433872714E-3</v>
      </c>
      <c r="J40" s="123">
        <f t="shared" si="17"/>
        <v>4.8915485958084389E-3</v>
      </c>
      <c r="K40" s="130">
        <f t="shared" si="18"/>
        <v>92</v>
      </c>
      <c r="L40" s="131">
        <f>_xll.qlOvernightIndexedSwapFairRate(B40,_xll.ohTrigger(C40,InterestRatesTrigger))</f>
        <v>6.000000000004552E-4</v>
      </c>
      <c r="N40" s="147"/>
      <c r="O40" s="118">
        <f t="shared" si="19"/>
        <v>1.4499999999995458E-3</v>
      </c>
      <c r="P40" s="118">
        <f t="shared" si="19"/>
        <v>2.5541273433868162E-3</v>
      </c>
      <c r="Q40" s="69">
        <f t="shared" si="20"/>
        <v>4.2915485958079837E-3</v>
      </c>
      <c r="R40" s="118"/>
      <c r="S40" s="132" t="s">
        <v>63</v>
      </c>
      <c r="T40" s="118">
        <f t="shared" si="21"/>
        <v>1.4499999999995458E-3</v>
      </c>
      <c r="U40" s="69">
        <f t="shared" si="21"/>
        <v>2.5541273433868162E-3</v>
      </c>
      <c r="AB40" s="378">
        <f>_xll.qlCalendarAdvance(Calendar,AB39,"1d","mf")</f>
        <v>41876</v>
      </c>
      <c r="AC40" s="105">
        <f t="shared" si="15"/>
        <v>1.449999999999545E-3</v>
      </c>
      <c r="AD40" s="105">
        <f t="shared" si="13"/>
        <v>1.5737145355143387E-3</v>
      </c>
      <c r="AE40" s="105">
        <f t="shared" si="14"/>
        <v>1.7037754249892478E-3</v>
      </c>
    </row>
    <row r="41" spans="2:31" x14ac:dyDescent="0.2">
      <c r="B41" s="79" t="str">
        <f>_xll.qlMakeDatedOIS(,E41,F41,OvernightIndex,0,,,,EvaluationDate)</f>
        <v>obj_003b8#0000</v>
      </c>
      <c r="C41" s="70" t="b">
        <f>_xll.qlInstrumentSetPricingEngine(B41,OisEngine)</f>
        <v>1</v>
      </c>
      <c r="D41" s="128" t="s">
        <v>71</v>
      </c>
      <c r="E41" s="65">
        <f t="shared" si="16"/>
        <v>41862</v>
      </c>
      <c r="F41" s="129">
        <f>_xll.qlCalendarAdvance(Calendar,SettlementDate,D41,"mf",TRUE)</f>
        <v>41984</v>
      </c>
      <c r="G41" s="148"/>
      <c r="H41" s="149"/>
      <c r="I41" s="123">
        <f t="shared" si="17"/>
        <v>3.1043389581884425E-3</v>
      </c>
      <c r="J41" s="123">
        <f t="shared" si="17"/>
        <v>4.9101696292342687E-3</v>
      </c>
      <c r="K41" s="130">
        <f t="shared" si="18"/>
        <v>122</v>
      </c>
      <c r="L41" s="131">
        <f>_xll.qlOvernightIndexedSwapFairRate(B41,_xll.ohTrigger(C41,InterestRatesTrigger))</f>
        <v>6.1000000000052353E-4</v>
      </c>
      <c r="N41" s="148"/>
      <c r="O41" s="149"/>
      <c r="P41" s="118">
        <f>IF(P$30,U41,P$31*$K41+P$32)</f>
        <v>2.4943389581879188E-3</v>
      </c>
      <c r="Q41" s="69">
        <f t="shared" si="20"/>
        <v>4.3001696292337454E-3</v>
      </c>
      <c r="R41" s="118"/>
      <c r="S41" s="132" t="s">
        <v>71</v>
      </c>
      <c r="T41" s="149"/>
      <c r="U41" s="69">
        <f>$K41*$K41/3*U$30+$K41/2*U$31+U$32</f>
        <v>2.4943389581879188E-3</v>
      </c>
      <c r="AB41" s="378">
        <f>_xll.qlCalendarAdvance(Calendar,AB40,"1d","mf")</f>
        <v>41877</v>
      </c>
      <c r="AC41" s="105">
        <f t="shared" si="15"/>
        <v>1.449999999999545E-3</v>
      </c>
      <c r="AD41" s="105">
        <f t="shared" si="13"/>
        <v>1.5721284517256876E-3</v>
      </c>
      <c r="AE41" s="105">
        <f t="shared" si="14"/>
        <v>1.689336603110586E-3</v>
      </c>
    </row>
    <row r="42" spans="2:31" x14ac:dyDescent="0.2">
      <c r="B42" s="79" t="str">
        <f>_xll.qlMakeDatedOIS(,E42,F42,OvernightIndex,0,,,,EvaluationDate)</f>
        <v>obj_003b2#0000</v>
      </c>
      <c r="C42" s="70" t="b">
        <f>_xll.qlInstrumentSetPricingEngine(B42,OisEngine)</f>
        <v>1</v>
      </c>
      <c r="D42" s="128" t="s">
        <v>72</v>
      </c>
      <c r="E42" s="65">
        <f t="shared" si="16"/>
        <v>41862</v>
      </c>
      <c r="F42" s="129">
        <f>_xll.qlCalendarAdvance(Calendar,SettlementDate,D42,"mf",TRUE)</f>
        <v>42016</v>
      </c>
      <c r="G42" s="148"/>
      <c r="H42" s="150"/>
      <c r="I42" s="123">
        <f t="shared" si="17"/>
        <v>3.0546424909244823E-3</v>
      </c>
      <c r="J42" s="123">
        <f t="shared" si="17"/>
        <v>4.9093653982230784E-3</v>
      </c>
      <c r="K42" s="130">
        <f t="shared" si="18"/>
        <v>154</v>
      </c>
      <c r="L42" s="131">
        <f>_xll.qlOvernightIndexedSwapFairRate(B42,_xll.ohTrigger(C42,InterestRatesTrigger))</f>
        <v>6.0000000000185448E-4</v>
      </c>
      <c r="N42" s="148"/>
      <c r="O42" s="150"/>
      <c r="P42" s="118">
        <f>IF(P$30,U42,P$31*$K42+P$32)</f>
        <v>2.454642490922628E-3</v>
      </c>
      <c r="Q42" s="69">
        <f t="shared" si="20"/>
        <v>4.3093653982212241E-3</v>
      </c>
      <c r="R42" s="118"/>
      <c r="S42" s="132" t="s">
        <v>72</v>
      </c>
      <c r="T42" s="150"/>
      <c r="U42" s="69">
        <f>$K42*$K42/3*U$30+$K42/2*U$31+U$32</f>
        <v>2.454642490922628E-3</v>
      </c>
      <c r="AB42" s="378">
        <f>_xll.qlCalendarAdvance(Calendar,AB41,"1d","mf")</f>
        <v>41878</v>
      </c>
      <c r="AC42" s="105">
        <f t="shared" si="15"/>
        <v>1.449999999999545E-3</v>
      </c>
      <c r="AD42" s="105">
        <f t="shared" si="13"/>
        <v>1.5705423679370364E-3</v>
      </c>
      <c r="AE42" s="105">
        <f t="shared" si="14"/>
        <v>1.6751431860337238E-3</v>
      </c>
    </row>
    <row r="43" spans="2:31" x14ac:dyDescent="0.2">
      <c r="B43" s="79" t="str">
        <f>_xll.qlMakeDatedOIS(,E43,F43,OvernightIndex,0,,,,EvaluationDate)</f>
        <v>obj_003b5#0000</v>
      </c>
      <c r="C43" s="70" t="b">
        <f>_xll.qlInstrumentSetPricingEngine(B43,OisEngine)</f>
        <v>1</v>
      </c>
      <c r="D43" s="151" t="s">
        <v>64</v>
      </c>
      <c r="E43" s="65">
        <f t="shared" si="16"/>
        <v>41862</v>
      </c>
      <c r="F43" s="129">
        <f>_xll.qlCalendarAdvance(Calendar,SettlementDate,D43,"mf",TRUE)</f>
        <v>42046</v>
      </c>
      <c r="G43" s="148"/>
      <c r="H43" s="150"/>
      <c r="I43" s="123">
        <f t="shared" si="17"/>
        <v>3.0399999999999954E-3</v>
      </c>
      <c r="J43" s="123">
        <f t="shared" si="17"/>
        <v>4.9179864316478746E-3</v>
      </c>
      <c r="K43" s="130">
        <f t="shared" si="18"/>
        <v>184</v>
      </c>
      <c r="L43" s="131">
        <f>_xll.qlOvernightIndexedSwapFairRate(B43,_xll.ohTrigger(C43,InterestRatesTrigger))</f>
        <v>6.0000000000088975E-4</v>
      </c>
      <c r="N43" s="148"/>
      <c r="O43" s="150"/>
      <c r="P43" s="118">
        <f>IF(P$30,U43,P$31*$K43+P$32)</f>
        <v>2.4399999999991056E-3</v>
      </c>
      <c r="Q43" s="69">
        <f t="shared" si="20"/>
        <v>4.3179864316469849E-3</v>
      </c>
      <c r="R43" s="118"/>
      <c r="S43" s="152" t="s">
        <v>64</v>
      </c>
      <c r="T43" s="153"/>
      <c r="U43" s="143">
        <f>$K43*$K43/3*U$30+$K43/2*U$31+U$32</f>
        <v>2.4399999999991056E-3</v>
      </c>
      <c r="AB43" s="378">
        <f>_xll.qlCalendarAdvance(Calendar,AB42,"1d","mf")</f>
        <v>41879</v>
      </c>
      <c r="AC43" s="105">
        <f t="shared" si="15"/>
        <v>1.449999999999545E-3</v>
      </c>
      <c r="AD43" s="105">
        <f t="shared" si="13"/>
        <v>1.568956284148385E-3</v>
      </c>
      <c r="AE43" s="105">
        <f t="shared" si="14"/>
        <v>1.6611951737586616E-3</v>
      </c>
    </row>
    <row r="44" spans="2:31" x14ac:dyDescent="0.2">
      <c r="B44" s="79" t="str">
        <f>_xll.qlMakeDatedOIS(,E44,F44,OvernightIndex,0,,,,EvaluationDate)</f>
        <v>obj_003b4#0000</v>
      </c>
      <c r="C44" s="70" t="b">
        <f>_xll.qlInstrumentSetPricingEngine(B44,OisEngine)</f>
        <v>1</v>
      </c>
      <c r="D44" s="151" t="s">
        <v>73</v>
      </c>
      <c r="E44" s="65">
        <f t="shared" si="16"/>
        <v>41862</v>
      </c>
      <c r="F44" s="129">
        <f>_xll.qlCalendarAdvance(Calendar,SettlementDate,D44,"mf",TRUE)</f>
        <v>42074</v>
      </c>
      <c r="G44" s="148"/>
      <c r="H44" s="154"/>
      <c r="I44" s="149"/>
      <c r="J44" s="123">
        <f t="shared" si="17"/>
        <v>4.9360327295128389E-3</v>
      </c>
      <c r="K44" s="130">
        <f t="shared" si="18"/>
        <v>212</v>
      </c>
      <c r="L44" s="131">
        <f>_xll.qlOvernightIndexedSwapFairRate(B44,_xll.ohTrigger(C44,InterestRatesTrigger))</f>
        <v>6.1000000000180929E-4</v>
      </c>
      <c r="N44" s="155" t="s">
        <v>74</v>
      </c>
      <c r="O44" s="156"/>
      <c r="P44" s="149"/>
      <c r="Q44" s="69">
        <f t="shared" si="20"/>
        <v>4.3260327295110293E-3</v>
      </c>
      <c r="R44" s="118"/>
      <c r="S44" s="118"/>
      <c r="AB44" s="378">
        <f>_xll.qlCalendarAdvance(Calendar,AB43,"1d","mf")</f>
        <v>41880</v>
      </c>
      <c r="AC44" s="105">
        <f t="shared" si="15"/>
        <v>1.449999999999545E-3</v>
      </c>
      <c r="AD44" s="105">
        <f t="shared" si="13"/>
        <v>1.5673702003597338E-3</v>
      </c>
      <c r="AE44" s="105">
        <f t="shared" si="14"/>
        <v>1.6474925662853994E-3</v>
      </c>
    </row>
    <row r="45" spans="2:31" x14ac:dyDescent="0.2">
      <c r="B45" s="79" t="str">
        <f>_xll.qlMakeDatedOIS(,E45,F45,OvernightIndex,0,,,,EvaluationDate)</f>
        <v>obj_003bd#0000</v>
      </c>
      <c r="C45" s="70" t="b">
        <f>_xll.qlInstrumentSetPricingEngine(B45,OisEngine)</f>
        <v>1</v>
      </c>
      <c r="D45" s="151" t="s">
        <v>75</v>
      </c>
      <c r="E45" s="65">
        <f t="shared" si="16"/>
        <v>41862</v>
      </c>
      <c r="F45" s="129">
        <f>_xll.qlCalendarAdvance(Calendar,SettlementDate,D45,"mf",TRUE)</f>
        <v>42107</v>
      </c>
      <c r="G45" s="148"/>
      <c r="H45" s="154"/>
      <c r="I45" s="150"/>
      <c r="J45" s="123">
        <f t="shared" si="17"/>
        <v>4.9155158662862655E-3</v>
      </c>
      <c r="K45" s="130">
        <f t="shared" si="18"/>
        <v>245</v>
      </c>
      <c r="L45" s="131">
        <f>_xll.qlOvernightIndexedSwapFairRate(B45,_xll.ohTrigger(C45,InterestRatesTrigger))</f>
        <v>5.8000000000689922E-4</v>
      </c>
      <c r="N45" s="157"/>
      <c r="O45" s="158" t="s">
        <v>76</v>
      </c>
      <c r="P45" s="159"/>
      <c r="Q45" s="69">
        <f t="shared" si="20"/>
        <v>4.3355158662793667E-3</v>
      </c>
      <c r="R45" s="118"/>
      <c r="S45" s="118"/>
      <c r="AB45" s="378">
        <f>_xll.qlCalendarAdvance(Calendar,AB44,"1d","mf")</f>
        <v>41883</v>
      </c>
      <c r="AC45" s="105">
        <f t="shared" si="15"/>
        <v>1.449999999999545E-3</v>
      </c>
      <c r="AD45" s="105">
        <f t="shared" si="13"/>
        <v>1.5626119489937803E-3</v>
      </c>
      <c r="AE45" s="105">
        <f t="shared" si="14"/>
        <v>1.6078571726764117E-3</v>
      </c>
    </row>
    <row r="46" spans="2:31" x14ac:dyDescent="0.2">
      <c r="B46" s="79" t="str">
        <f>_xll.qlMakeDatedOIS(,E46,F46,OvernightIndex,0,,,,EvaluationDate)</f>
        <v>obj_003b7#0000</v>
      </c>
      <c r="C46" s="70" t="b">
        <f>_xll.qlInstrumentSetPricingEngine(B46,OisEngine)</f>
        <v>1</v>
      </c>
      <c r="D46" s="151" t="s">
        <v>77</v>
      </c>
      <c r="E46" s="65">
        <f t="shared" si="16"/>
        <v>41862</v>
      </c>
      <c r="F46" s="129">
        <f>_xll.qlCalendarAdvance(Calendar,SettlementDate,D46,"mf",TRUE)</f>
        <v>42135</v>
      </c>
      <c r="G46" s="148"/>
      <c r="H46" s="154"/>
      <c r="I46" s="150"/>
      <c r="J46" s="123">
        <f t="shared" si="17"/>
        <v>4.893562164149429E-3</v>
      </c>
      <c r="K46" s="130">
        <f t="shared" si="18"/>
        <v>273</v>
      </c>
      <c r="L46" s="131">
        <f>_xll.qlOvernightIndexedSwapFairRate(B46,_xll.ohTrigger(C46,InterestRatesTrigger))</f>
        <v>5.5000000000601898E-4</v>
      </c>
      <c r="N46" s="148"/>
      <c r="O46" s="156"/>
      <c r="P46" s="160" t="s">
        <v>78</v>
      </c>
      <c r="Q46" s="69">
        <f t="shared" si="20"/>
        <v>4.3435621641434103E-3</v>
      </c>
      <c r="R46" s="118"/>
      <c r="S46" s="118"/>
      <c r="AB46" s="378">
        <f>_xll.qlCalendarAdvance(Calendar,AB45,"1d","mf")</f>
        <v>41884</v>
      </c>
      <c r="AC46" s="105">
        <f t="shared" si="15"/>
        <v>1.449999999999545E-3</v>
      </c>
      <c r="AD46" s="105">
        <f t="shared" si="13"/>
        <v>1.5610258652051291E-3</v>
      </c>
      <c r="AE46" s="105">
        <f t="shared" si="14"/>
        <v>1.595136184410349E-3</v>
      </c>
    </row>
    <row r="47" spans="2:31" x14ac:dyDescent="0.2">
      <c r="B47" s="79" t="str">
        <f>_xll.qlMakeDatedOIS(,E47,F47,OvernightIndex,0,,,,EvaluationDate)</f>
        <v>obj_003ae#0000</v>
      </c>
      <c r="C47" s="70" t="b">
        <f>_xll.qlInstrumentSetPricingEngine(B47,OisEngine)</f>
        <v>1</v>
      </c>
      <c r="D47" s="151" t="s">
        <v>79</v>
      </c>
      <c r="E47" s="65">
        <f t="shared" si="16"/>
        <v>41862</v>
      </c>
      <c r="F47" s="129">
        <f>_xll.qlCalendarAdvance(Calendar,SettlementDate,D47,"mf",TRUE)</f>
        <v>42166</v>
      </c>
      <c r="G47" s="148"/>
      <c r="H47" s="154"/>
      <c r="I47" s="150"/>
      <c r="J47" s="123">
        <f t="shared" si="17"/>
        <v>4.862470565361628E-3</v>
      </c>
      <c r="K47" s="130">
        <f t="shared" si="18"/>
        <v>304</v>
      </c>
      <c r="L47" s="131">
        <f>_xll.qlOvernightIndexedSwapFairRate(B47,_xll.ohTrigger(C47,InterestRatesTrigger))</f>
        <v>5.1000000001159764E-4</v>
      </c>
      <c r="N47" s="148"/>
      <c r="O47" s="154"/>
      <c r="P47" s="150"/>
      <c r="Q47" s="69">
        <f t="shared" si="20"/>
        <v>4.3524705653500305E-3</v>
      </c>
      <c r="R47" s="118"/>
      <c r="S47" s="118"/>
      <c r="AB47" s="378">
        <f>_xll.qlCalendarAdvance(Calendar,AB46,"1d","mf")</f>
        <v>41885</v>
      </c>
      <c r="AC47" s="105">
        <f t="shared" si="15"/>
        <v>1.449999999999545E-3</v>
      </c>
      <c r="AD47" s="105">
        <f t="shared" si="13"/>
        <v>1.5594397814164779E-3</v>
      </c>
      <c r="AE47" s="105">
        <f t="shared" si="14"/>
        <v>1.5826606009460859E-3</v>
      </c>
    </row>
    <row r="48" spans="2:31" x14ac:dyDescent="0.2">
      <c r="B48" s="79" t="str">
        <f>_xll.qlMakeDatedOIS(,E48,F48,OvernightIndex,0,,,,EvaluationDate)</f>
        <v>obj_003bc#0000</v>
      </c>
      <c r="C48" s="70" t="b">
        <f>_xll.qlInstrumentSetPricingEngine(B48,OisEngine)</f>
        <v>1</v>
      </c>
      <c r="D48" s="151" t="s">
        <v>80</v>
      </c>
      <c r="E48" s="65">
        <f t="shared" si="16"/>
        <v>41862</v>
      </c>
      <c r="F48" s="129">
        <f>_xll.qlCalendarAdvance(Calendar,SettlementDate,D48,"mf",TRUE)</f>
        <v>42198</v>
      </c>
      <c r="G48" s="148"/>
      <c r="H48" s="154"/>
      <c r="I48" s="150"/>
      <c r="J48" s="123">
        <f t="shared" si="17"/>
        <v>4.8416663343563079E-3</v>
      </c>
      <c r="K48" s="130">
        <f t="shared" si="18"/>
        <v>336</v>
      </c>
      <c r="L48" s="131">
        <f>_xll.qlOvernightIndexedSwapFairRate(B48,_xll.ohTrigger(C48,InterestRatesTrigger))</f>
        <v>4.8000000001879872E-4</v>
      </c>
      <c r="N48" s="148"/>
      <c r="O48" s="154"/>
      <c r="P48" s="150"/>
      <c r="Q48" s="69">
        <f t="shared" si="20"/>
        <v>4.3616663343375092E-3</v>
      </c>
      <c r="R48" s="118"/>
      <c r="S48" s="118"/>
      <c r="AB48" s="378">
        <f>_xll.qlCalendarAdvance(Calendar,AB47,"1d","mf")</f>
        <v>41886</v>
      </c>
      <c r="AC48" s="105">
        <f t="shared" si="15"/>
        <v>1.449999999999545E-3</v>
      </c>
      <c r="AD48" s="105">
        <f t="shared" si="13"/>
        <v>1.5578536976278267E-3</v>
      </c>
      <c r="AE48" s="105">
        <f t="shared" si="14"/>
        <v>1.5704304222836226E-3</v>
      </c>
    </row>
    <row r="49" spans="2:31" x14ac:dyDescent="0.2">
      <c r="B49" s="133" t="str">
        <f>_xll.qlMakeDatedOIS(,E49,F49,OvernightIndex,0,,,,EvaluationDate)</f>
        <v>obj_003b9#0000</v>
      </c>
      <c r="C49" s="134" t="b">
        <f>_xll.qlInstrumentSetPricingEngine(B49,OisEngine)</f>
        <v>1</v>
      </c>
      <c r="D49" s="151" t="s">
        <v>81</v>
      </c>
      <c r="E49" s="65">
        <f t="shared" si="16"/>
        <v>41862</v>
      </c>
      <c r="F49" s="129">
        <f>_xll.qlCalendarAdvance(Calendar,SettlementDate,D49,"mf",TRUE)</f>
        <v>42227</v>
      </c>
      <c r="G49" s="148"/>
      <c r="H49" s="154"/>
      <c r="I49" s="150"/>
      <c r="J49" s="123">
        <f t="shared" si="17"/>
        <v>4.8399999999999997E-3</v>
      </c>
      <c r="K49" s="130">
        <f t="shared" si="18"/>
        <v>365</v>
      </c>
      <c r="L49" s="131">
        <f>_xll.qlOvernightIndexedSwapFairRate(B49,_xll.ohTrigger(C49,InterestRatesTrigger))</f>
        <v>4.7000000001758797E-4</v>
      </c>
      <c r="N49" s="161"/>
      <c r="O49" s="162"/>
      <c r="P49" s="153"/>
      <c r="Q49" s="143">
        <f t="shared" si="20"/>
        <v>4.3699999999824114E-3</v>
      </c>
      <c r="R49" s="118"/>
      <c r="S49" s="118"/>
      <c r="AB49" s="378">
        <f>_xll.qlCalendarAdvance(Calendar,AB48,"1d","mf")</f>
        <v>41887</v>
      </c>
      <c r="AC49" s="105">
        <f t="shared" si="15"/>
        <v>1.449999999999545E-3</v>
      </c>
      <c r="AD49" s="105">
        <f t="shared" si="13"/>
        <v>1.5562676138391755E-3</v>
      </c>
      <c r="AE49" s="105">
        <f t="shared" si="14"/>
        <v>1.5584456484229593E-3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41890</v>
      </c>
      <c r="AC50" s="105">
        <f t="shared" si="15"/>
        <v>1.449999999999545E-3</v>
      </c>
      <c r="AD50" s="105">
        <f t="shared" si="13"/>
        <v>1.551509362473222E-3</v>
      </c>
      <c r="AE50" s="105">
        <f t="shared" si="14"/>
        <v>1.5239637556517685E-3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41891</v>
      </c>
      <c r="AC51" s="105">
        <f t="shared" si="15"/>
        <v>1.449999999999545E-3</v>
      </c>
      <c r="AD51" s="105">
        <f t="shared" si="13"/>
        <v>1.5499232786845706E-3</v>
      </c>
      <c r="AE51" s="105">
        <f t="shared" si="14"/>
        <v>1.5129606009983048E-3</v>
      </c>
    </row>
    <row r="52" spans="2:31" x14ac:dyDescent="0.2">
      <c r="AB52" s="378">
        <f>_xll.qlCalendarAdvance(Calendar,AB51,"1d","mf")</f>
        <v>41892</v>
      </c>
      <c r="AC52" s="105">
        <f t="shared" si="15"/>
        <v>1.449999999999545E-3</v>
      </c>
      <c r="AD52" s="105">
        <f t="shared" si="13"/>
        <v>1.5483371948959194E-3</v>
      </c>
      <c r="AE52" s="105">
        <f t="shared" si="14"/>
        <v>1.5022028511466408E-3</v>
      </c>
    </row>
    <row r="53" spans="2:31" x14ac:dyDescent="0.2">
      <c r="AB53" s="378">
        <f>_xll.qlCalendarAdvance(Calendar,AB52,"1d","mf")</f>
        <v>41893</v>
      </c>
      <c r="AC53" s="105">
        <f t="shared" si="15"/>
        <v>1.449999999999545E-3</v>
      </c>
      <c r="AD53" s="105">
        <f t="shared" si="13"/>
        <v>1.5467511111072682E-3</v>
      </c>
      <c r="AE53" s="105">
        <f t="shared" si="14"/>
        <v>1.4916905060967766E-3</v>
      </c>
    </row>
    <row r="54" spans="2:31" x14ac:dyDescent="0.2">
      <c r="AB54" s="378">
        <f>_xll.qlCalendarAdvance(Calendar,AB53,"1d","mf")</f>
        <v>41894</v>
      </c>
      <c r="AC54" s="105">
        <f t="shared" si="15"/>
        <v>1.449999999999545E-3</v>
      </c>
      <c r="AD54" s="105">
        <f t="shared" si="13"/>
        <v>1.545165027318617E-3</v>
      </c>
      <c r="AE54" s="105">
        <f t="shared" si="14"/>
        <v>1.4814235658487122E-3</v>
      </c>
    </row>
    <row r="55" spans="2:31" x14ac:dyDescent="0.2">
      <c r="AB55" s="378">
        <f>_xll.qlCalendarAdvance(Calendar,AB54,"1d","mf")</f>
        <v>41897</v>
      </c>
      <c r="AC55" s="105">
        <f t="shared" si="15"/>
        <v>1.449999999999545E-3</v>
      </c>
      <c r="AD55" s="105">
        <f t="shared" si="13"/>
        <v>1.5404067759526635E-3</v>
      </c>
      <c r="AE55" s="105">
        <f t="shared" si="14"/>
        <v>1.4520951739153184E-3</v>
      </c>
    </row>
    <row r="56" spans="2:31" x14ac:dyDescent="0.2">
      <c r="AB56" s="378">
        <f>_xll.qlCalendarAdvance(Calendar,AB55,"1d","mf")</f>
        <v>41898</v>
      </c>
      <c r="AC56" s="105">
        <f t="shared" si="15"/>
        <v>1.449999999999545E-3</v>
      </c>
      <c r="AD56" s="105">
        <f t="shared" si="13"/>
        <v>1.5388206921640123E-3</v>
      </c>
      <c r="AE56" s="105">
        <f t="shared" si="14"/>
        <v>1.4428098528744535E-3</v>
      </c>
    </row>
    <row r="57" spans="2:31" x14ac:dyDescent="0.2">
      <c r="AB57" s="378">
        <f>_xll.qlCalendarAdvance(Calendar,AB56,"1d","mf")</f>
        <v>41899</v>
      </c>
      <c r="AC57" s="105">
        <f t="shared" si="15"/>
        <v>1.449999999999545E-3</v>
      </c>
      <c r="AD57" s="105">
        <f t="shared" si="13"/>
        <v>1.5372346083753611E-3</v>
      </c>
      <c r="AE57" s="105">
        <f t="shared" si="14"/>
        <v>1.4337699366353885E-3</v>
      </c>
    </row>
    <row r="58" spans="2:31" x14ac:dyDescent="0.2">
      <c r="AB58" s="378">
        <f>_xll.qlCalendarAdvance(Calendar,AB57,"1d","mf")</f>
        <v>41900</v>
      </c>
      <c r="AC58" s="105">
        <f t="shared" si="15"/>
        <v>1.449999999999545E-3</v>
      </c>
      <c r="AD58" s="105">
        <f t="shared" si="13"/>
        <v>1.5356485245867099E-3</v>
      </c>
      <c r="AE58" s="105">
        <f t="shared" si="14"/>
        <v>1.4249754251981234E-3</v>
      </c>
    </row>
    <row r="59" spans="2:31" x14ac:dyDescent="0.2">
      <c r="AB59" s="378">
        <f>_xll.qlCalendarAdvance(Calendar,AB58,"1d","mf")</f>
        <v>41901</v>
      </c>
      <c r="AC59" s="105">
        <f t="shared" si="15"/>
        <v>1.449999999999545E-3</v>
      </c>
      <c r="AD59" s="105">
        <f t="shared" si="13"/>
        <v>1.5340624407980587E-3</v>
      </c>
      <c r="AE59" s="105">
        <f t="shared" si="14"/>
        <v>1.4164263185626582E-3</v>
      </c>
    </row>
    <row r="60" spans="2:31" x14ac:dyDescent="0.2">
      <c r="AB60" s="378">
        <f>_xll.qlCalendarAdvance(Calendar,AB59,"1d","mf")</f>
        <v>41904</v>
      </c>
      <c r="AC60" s="105">
        <f t="shared" si="15"/>
        <v>1.449999999999545E-3</v>
      </c>
      <c r="AD60" s="105">
        <f t="shared" si="13"/>
        <v>1.529304189432105E-3</v>
      </c>
      <c r="AE60" s="105">
        <f t="shared" si="14"/>
        <v>1.392251427467061E-3</v>
      </c>
    </row>
    <row r="61" spans="2:31" x14ac:dyDescent="0.2">
      <c r="AB61" s="378">
        <f>_xll.qlCalendarAdvance(Calendar,AB60,"1d","mf")</f>
        <v>41905</v>
      </c>
      <c r="AC61" s="105">
        <f t="shared" si="15"/>
        <v>1.449999999999545E-3</v>
      </c>
      <c r="AD61" s="105">
        <f t="shared" si="13"/>
        <v>1.5277181056434538E-3</v>
      </c>
      <c r="AE61" s="105">
        <f t="shared" si="14"/>
        <v>1.3846839400387953E-3</v>
      </c>
    </row>
    <row r="62" spans="2:31" x14ac:dyDescent="0.2">
      <c r="AB62" s="378">
        <f>_xll.qlCalendarAdvance(Calendar,AB61,"1d","mf")</f>
        <v>41906</v>
      </c>
      <c r="AC62" s="105">
        <f t="shared" si="15"/>
        <v>1.449999999999545E-3</v>
      </c>
      <c r="AD62" s="105">
        <f t="shared" ref="AD62:AD93" si="22">$O$32+$O$31*(AB62-SettlementDate)</f>
        <v>1.5261320218548026E-3</v>
      </c>
      <c r="AE62" s="105">
        <f t="shared" ref="AE62:AE93" si="23">$T$32+$T$31*(AB62-SettlementDate)+$T$30*(AB62-SettlementDate)^2</f>
        <v>1.3773618574123292E-3</v>
      </c>
    </row>
    <row r="63" spans="2:31" x14ac:dyDescent="0.2">
      <c r="AB63" s="378">
        <f>_xll.qlCalendarAdvance(Calendar,AB62,"1d","mf")</f>
        <v>41907</v>
      </c>
      <c r="AC63" s="105">
        <f t="shared" si="15"/>
        <v>1.449999999999545E-3</v>
      </c>
      <c r="AD63" s="105">
        <f t="shared" si="22"/>
        <v>1.5245459380661514E-3</v>
      </c>
      <c r="AE63" s="105">
        <f t="shared" si="23"/>
        <v>1.370285179587663E-3</v>
      </c>
    </row>
    <row r="64" spans="2:31" x14ac:dyDescent="0.2">
      <c r="AB64" s="378">
        <f>_xll.qlCalendarAdvance(Calendar,AB63,"1d","mf")</f>
        <v>41908</v>
      </c>
      <c r="AC64" s="105">
        <f t="shared" si="15"/>
        <v>1.449999999999545E-3</v>
      </c>
      <c r="AD64" s="105">
        <f t="shared" si="22"/>
        <v>1.5229598542775002E-3</v>
      </c>
      <c r="AE64" s="105">
        <f t="shared" si="23"/>
        <v>1.3634539065647969E-3</v>
      </c>
    </row>
    <row r="65" spans="28:31" x14ac:dyDescent="0.2">
      <c r="AB65" s="378">
        <f>_xll.qlCalendarAdvance(Calendar,AB64,"1d","mf")</f>
        <v>41911</v>
      </c>
      <c r="AC65" s="105">
        <f t="shared" si="15"/>
        <v>1.449999999999545E-3</v>
      </c>
      <c r="AD65" s="105">
        <f t="shared" si="22"/>
        <v>1.5182016029115467E-3</v>
      </c>
      <c r="AE65" s="105">
        <f t="shared" si="23"/>
        <v>1.3444325163069967E-3</v>
      </c>
    </row>
    <row r="66" spans="28:31" x14ac:dyDescent="0.2">
      <c r="AB66" s="378">
        <f>_xll.qlCalendarAdvance(Calendar,AB65,"1d","mf")</f>
        <v>41912</v>
      </c>
      <c r="AC66" s="105">
        <f t="shared" si="15"/>
        <v>1.449999999999545E-3</v>
      </c>
      <c r="AD66" s="105">
        <f t="shared" si="22"/>
        <v>1.5166155191228955E-3</v>
      </c>
      <c r="AE66" s="105">
        <f t="shared" si="23"/>
        <v>1.3385828624913297E-3</v>
      </c>
    </row>
    <row r="67" spans="28:31" x14ac:dyDescent="0.2">
      <c r="AB67" s="378">
        <f>_xll.qlCalendarAdvance(Calendar,AB66,"1d","mf")</f>
        <v>41913</v>
      </c>
      <c r="AC67" s="105">
        <f t="shared" si="15"/>
        <v>1.449999999999545E-3</v>
      </c>
      <c r="AD67" s="105">
        <f t="shared" si="22"/>
        <v>1.5150294353342441E-3</v>
      </c>
      <c r="AE67" s="105">
        <f t="shared" si="23"/>
        <v>1.3329786134774629E-3</v>
      </c>
    </row>
    <row r="68" spans="28:31" x14ac:dyDescent="0.2">
      <c r="AB68" s="378">
        <f>_xll.qlCalendarAdvance(Calendar,AB67,"1d","mf")</f>
        <v>41914</v>
      </c>
      <c r="AC68" s="105">
        <f t="shared" si="15"/>
        <v>1.449999999999545E-3</v>
      </c>
      <c r="AD68" s="105">
        <f t="shared" si="22"/>
        <v>1.5134433515455929E-3</v>
      </c>
      <c r="AE68" s="105">
        <f t="shared" si="23"/>
        <v>1.3276197692653957E-3</v>
      </c>
    </row>
    <row r="69" spans="28:31" x14ac:dyDescent="0.2">
      <c r="AB69" s="378">
        <f>_xll.qlCalendarAdvance(Calendar,AB68,"1d","mf")</f>
        <v>41915</v>
      </c>
      <c r="AC69" s="105">
        <f t="shared" si="15"/>
        <v>1.449999999999545E-3</v>
      </c>
      <c r="AD69" s="105">
        <f t="shared" si="22"/>
        <v>1.5118572677569418E-3</v>
      </c>
      <c r="AE69" s="105">
        <f t="shared" si="23"/>
        <v>1.3225063298551282E-3</v>
      </c>
    </row>
    <row r="70" spans="28:31" x14ac:dyDescent="0.2">
      <c r="AB70" s="378">
        <f>_xll.qlCalendarAdvance(Calendar,AB69,"1d","mf")</f>
        <v>41918</v>
      </c>
      <c r="AC70" s="105">
        <f t="shared" si="15"/>
        <v>1.449999999999545E-3</v>
      </c>
      <c r="AD70" s="105">
        <f t="shared" si="22"/>
        <v>1.5070990163909882E-3</v>
      </c>
      <c r="AE70" s="105">
        <f t="shared" si="23"/>
        <v>1.3086384404351254E-3</v>
      </c>
    </row>
    <row r="71" spans="28:31" x14ac:dyDescent="0.2">
      <c r="AB71" s="378">
        <f>_xll.qlCalendarAdvance(Calendar,AB70,"1d","mf")</f>
        <v>41919</v>
      </c>
      <c r="AC71" s="105">
        <f t="shared" si="15"/>
        <v>1.449999999999545E-3</v>
      </c>
      <c r="AD71" s="105">
        <f t="shared" si="22"/>
        <v>1.505512932602337E-3</v>
      </c>
      <c r="AE71" s="105">
        <f t="shared" si="23"/>
        <v>1.3045066202320575E-3</v>
      </c>
    </row>
    <row r="72" spans="28:31" x14ac:dyDescent="0.2">
      <c r="AB72" s="378">
        <f>_xll.qlCalendarAdvance(Calendar,AB71,"1d","mf")</f>
        <v>41920</v>
      </c>
      <c r="AC72" s="105">
        <f t="shared" si="15"/>
        <v>1.449999999999545E-3</v>
      </c>
      <c r="AD72" s="105">
        <f t="shared" si="22"/>
        <v>1.5039268488136858E-3</v>
      </c>
      <c r="AE72" s="105">
        <f t="shared" si="23"/>
        <v>1.3006202048307892E-3</v>
      </c>
    </row>
    <row r="73" spans="28:31" x14ac:dyDescent="0.2">
      <c r="AB73" s="378">
        <f>_xll.qlCalendarAdvance(Calendar,AB72,"1d","mf")</f>
        <v>41921</v>
      </c>
      <c r="AC73" s="105">
        <f t="shared" si="15"/>
        <v>1.449999999999545E-3</v>
      </c>
      <c r="AD73" s="105">
        <f t="shared" si="22"/>
        <v>1.5023407650250347E-3</v>
      </c>
      <c r="AE73" s="105">
        <f t="shared" si="23"/>
        <v>1.2969791942313213E-3</v>
      </c>
    </row>
    <row r="74" spans="28:31" x14ac:dyDescent="0.2">
      <c r="AB74" s="378">
        <f>_xll.qlCalendarAdvance(Calendar,AB73,"1d","mf")</f>
        <v>41922</v>
      </c>
      <c r="AC74" s="105">
        <f t="shared" si="15"/>
        <v>1.449999999999545E-3</v>
      </c>
      <c r="AD74" s="105">
        <f t="shared" si="22"/>
        <v>1.5007546812363835E-3</v>
      </c>
      <c r="AE74" s="105">
        <f t="shared" si="23"/>
        <v>1.2935835884336528E-3</v>
      </c>
    </row>
    <row r="75" spans="28:31" x14ac:dyDescent="0.2">
      <c r="AB75" s="378">
        <f>_xll.qlCalendarAdvance(Calendar,AB74,"1d","mf")</f>
        <v>41925</v>
      </c>
      <c r="AC75" s="105">
        <f t="shared" si="15"/>
        <v>1.449999999999545E-3</v>
      </c>
      <c r="AD75" s="105">
        <f t="shared" si="22"/>
        <v>1.4959964298704297E-3</v>
      </c>
      <c r="AE75" s="105">
        <f t="shared" si="23"/>
        <v>1.2848691998514469E-3</v>
      </c>
    </row>
    <row r="76" spans="28:31" x14ac:dyDescent="0.2">
      <c r="AB76" s="378">
        <f>_xll.qlCalendarAdvance(Calendar,AB75,"1d","mf")</f>
        <v>41926</v>
      </c>
      <c r="AC76" s="105">
        <f t="shared" si="15"/>
        <v>1.449999999999545E-3</v>
      </c>
      <c r="AD76" s="105">
        <f t="shared" si="22"/>
        <v>1.4944103460817785E-3</v>
      </c>
      <c r="AE76" s="105">
        <f t="shared" si="23"/>
        <v>1.2824552132609779E-3</v>
      </c>
    </row>
    <row r="77" spans="28:31" x14ac:dyDescent="0.2">
      <c r="AB77" s="378">
        <f>_xll.qlCalendarAdvance(Calendar,AB76,"1d","mf")</f>
        <v>41927</v>
      </c>
      <c r="AC77" s="105">
        <f t="shared" si="15"/>
        <v>1.449999999999545E-3</v>
      </c>
      <c r="AD77" s="105">
        <f t="shared" si="22"/>
        <v>1.4928242622931273E-3</v>
      </c>
      <c r="AE77" s="105">
        <f t="shared" si="23"/>
        <v>1.2802866314723087E-3</v>
      </c>
    </row>
    <row r="78" spans="28:31" x14ac:dyDescent="0.2">
      <c r="AB78" s="378">
        <f>_xll.qlCalendarAdvance(Calendar,AB77,"1d","mf")</f>
        <v>41928</v>
      </c>
      <c r="AC78" s="105">
        <f t="shared" si="15"/>
        <v>1.449999999999545E-3</v>
      </c>
      <c r="AD78" s="105">
        <f t="shared" si="22"/>
        <v>1.4912381785044762E-3</v>
      </c>
      <c r="AE78" s="105">
        <f t="shared" si="23"/>
        <v>1.2783634544854395E-3</v>
      </c>
    </row>
    <row r="79" spans="28:31" x14ac:dyDescent="0.2">
      <c r="AB79" s="378">
        <f>_xll.qlCalendarAdvance(Calendar,AB78,"1d","mf")</f>
        <v>41929</v>
      </c>
      <c r="AC79" s="105">
        <f t="shared" si="15"/>
        <v>1.449999999999545E-3</v>
      </c>
      <c r="AD79" s="105">
        <f t="shared" si="22"/>
        <v>1.489652094715825E-3</v>
      </c>
      <c r="AE79" s="105">
        <f t="shared" si="23"/>
        <v>1.2766856823003703E-3</v>
      </c>
    </row>
    <row r="80" spans="28:31" x14ac:dyDescent="0.2">
      <c r="AB80" s="378">
        <f>_xll.qlCalendarAdvance(Calendar,AB79,"1d","mf")</f>
        <v>41932</v>
      </c>
      <c r="AC80" s="105">
        <f t="shared" si="15"/>
        <v>1.449999999999545E-3</v>
      </c>
      <c r="AD80" s="105">
        <f t="shared" si="22"/>
        <v>1.4848938433498714E-3</v>
      </c>
      <c r="AE80" s="105">
        <f t="shared" si="23"/>
        <v>1.2731247945559614E-3</v>
      </c>
    </row>
    <row r="81" spans="28:31" x14ac:dyDescent="0.2">
      <c r="AB81" s="378">
        <f>_xll.qlCalendarAdvance(Calendar,AB80,"1d","mf")</f>
        <v>41933</v>
      </c>
      <c r="AC81" s="105">
        <f t="shared" si="15"/>
        <v>1.449999999999545E-3</v>
      </c>
      <c r="AD81" s="105">
        <f t="shared" si="22"/>
        <v>1.4833077595612202E-3</v>
      </c>
      <c r="AE81" s="105">
        <f t="shared" si="23"/>
        <v>1.2724286415780914E-3</v>
      </c>
    </row>
    <row r="82" spans="28:31" x14ac:dyDescent="0.2">
      <c r="AB82" s="378">
        <f>_xll.qlCalendarAdvance(Calendar,AB81,"1d","mf")</f>
        <v>41934</v>
      </c>
      <c r="AC82" s="105">
        <f t="shared" si="15"/>
        <v>1.449999999999545E-3</v>
      </c>
      <c r="AD82" s="105">
        <f t="shared" si="22"/>
        <v>1.4817216757725691E-3</v>
      </c>
      <c r="AE82" s="105">
        <f t="shared" si="23"/>
        <v>1.2719778934020213E-3</v>
      </c>
    </row>
    <row r="83" spans="28:31" x14ac:dyDescent="0.2">
      <c r="AB83" s="378">
        <f>_xll.qlCalendarAdvance(Calendar,AB82,"1d","mf")</f>
        <v>41935</v>
      </c>
      <c r="AC83" s="105">
        <f t="shared" si="15"/>
        <v>1.449999999999545E-3</v>
      </c>
      <c r="AD83" s="105">
        <f t="shared" si="22"/>
        <v>1.4801355919839177E-3</v>
      </c>
      <c r="AE83" s="105">
        <f t="shared" si="23"/>
        <v>1.271772550027751E-3</v>
      </c>
    </row>
    <row r="84" spans="28:31" x14ac:dyDescent="0.2">
      <c r="AB84" s="378">
        <f>_xll.qlCalendarAdvance(Calendar,AB83,"1d","mf")</f>
        <v>41936</v>
      </c>
      <c r="AC84" s="105">
        <f t="shared" si="15"/>
        <v>1.449999999999545E-3</v>
      </c>
      <c r="AD84" s="105">
        <f t="shared" si="22"/>
        <v>1.4785495081952665E-3</v>
      </c>
      <c r="AE84" s="105">
        <f t="shared" si="23"/>
        <v>1.2718126114552805E-3</v>
      </c>
    </row>
    <row r="85" spans="28:31" x14ac:dyDescent="0.2">
      <c r="AB85" s="378">
        <f>_xll.qlCalendarAdvance(Calendar,AB84,"1d","mf")</f>
        <v>41939</v>
      </c>
      <c r="AC85" s="105">
        <f t="shared" si="15"/>
        <v>1.449999999999545E-3</v>
      </c>
      <c r="AD85" s="105">
        <f t="shared" si="22"/>
        <v>1.4737912568293129E-3</v>
      </c>
      <c r="AE85" s="105">
        <f t="shared" si="23"/>
        <v>1.2734052245486685E-3</v>
      </c>
    </row>
    <row r="86" spans="28:31" x14ac:dyDescent="0.2">
      <c r="AB86" s="378">
        <f>_xll.qlCalendarAdvance(Calendar,AB85,"1d","mf")</f>
        <v>41940</v>
      </c>
      <c r="AC86" s="105">
        <f t="shared" si="15"/>
        <v>1.449999999999545E-3</v>
      </c>
      <c r="AD86" s="105">
        <f t="shared" si="22"/>
        <v>1.4722051730406617E-3</v>
      </c>
      <c r="AE86" s="105">
        <f t="shared" si="23"/>
        <v>1.2744269051833978E-3</v>
      </c>
    </row>
    <row r="87" spans="28:31" x14ac:dyDescent="0.2">
      <c r="AB87" s="378">
        <f>_xll.qlCalendarAdvance(Calendar,AB86,"1d","mf")</f>
        <v>41941</v>
      </c>
      <c r="AC87" s="105">
        <f t="shared" si="15"/>
        <v>1.449999999999545E-3</v>
      </c>
      <c r="AD87" s="105">
        <f t="shared" si="22"/>
        <v>1.4706190892520106E-3</v>
      </c>
      <c r="AE87" s="105">
        <f t="shared" si="23"/>
        <v>1.2756939906199266E-3</v>
      </c>
    </row>
    <row r="88" spans="28:31" x14ac:dyDescent="0.2">
      <c r="AB88" s="378">
        <f>_xll.qlCalendarAdvance(Calendar,AB87,"1d","mf")</f>
        <v>41942</v>
      </c>
      <c r="AC88" s="105">
        <f t="shared" si="15"/>
        <v>1.449999999999545E-3</v>
      </c>
      <c r="AD88" s="105">
        <f t="shared" si="22"/>
        <v>1.4690330054633594E-3</v>
      </c>
      <c r="AE88" s="105">
        <f t="shared" si="23"/>
        <v>1.2772064808582553E-3</v>
      </c>
    </row>
    <row r="89" spans="28:31" x14ac:dyDescent="0.2">
      <c r="AB89" s="378">
        <f>_xll.qlCalendarAdvance(Calendar,AB88,"1d","mf")</f>
        <v>41943</v>
      </c>
      <c r="AC89" s="105">
        <f t="shared" si="15"/>
        <v>1.449999999999545E-3</v>
      </c>
      <c r="AD89" s="105">
        <f t="shared" si="22"/>
        <v>1.4674469216747082E-3</v>
      </c>
      <c r="AE89" s="105">
        <f t="shared" si="23"/>
        <v>1.2789643758983839E-3</v>
      </c>
    </row>
    <row r="90" spans="28:31" x14ac:dyDescent="0.2">
      <c r="AB90" s="378">
        <f>_xll.qlCalendarAdvance(Calendar,AB89,"1d","mf")</f>
        <v>41946</v>
      </c>
      <c r="AC90" s="105">
        <f t="shared" si="15"/>
        <v>1.449999999999545E-3</v>
      </c>
      <c r="AD90" s="105">
        <f t="shared" si="22"/>
        <v>1.4626886703087544E-3</v>
      </c>
      <c r="AE90" s="105">
        <f t="shared" si="23"/>
        <v>1.2857104898295689E-3</v>
      </c>
    </row>
    <row r="91" spans="28:31" x14ac:dyDescent="0.2">
      <c r="AB91" s="378">
        <f>_xll.qlCalendarAdvance(Calendar,AB90,"1d","mf")</f>
        <v>41947</v>
      </c>
      <c r="AC91" s="105">
        <f t="shared" si="15"/>
        <v>1.449999999999545E-3</v>
      </c>
      <c r="AD91" s="105">
        <f t="shared" si="22"/>
        <v>1.4611025865201032E-3</v>
      </c>
      <c r="AE91" s="105">
        <f t="shared" si="23"/>
        <v>1.2884500040768968E-3</v>
      </c>
    </row>
    <row r="92" spans="28:31" x14ac:dyDescent="0.2">
      <c r="AB92" s="378">
        <f>_xll.qlCalendarAdvance(Calendar,AB91,"1d","mf")</f>
        <v>41948</v>
      </c>
      <c r="AC92" s="105">
        <f t="shared" si="15"/>
        <v>1.449999999999545E-3</v>
      </c>
      <c r="AD92" s="105">
        <f t="shared" si="22"/>
        <v>1.4595165027314521E-3</v>
      </c>
      <c r="AE92" s="105">
        <f t="shared" si="23"/>
        <v>1.291434923126025E-3</v>
      </c>
    </row>
    <row r="93" spans="28:31" x14ac:dyDescent="0.2">
      <c r="AB93" s="378">
        <f>_xll.qlCalendarAdvance(Calendar,AB92,"1d","mf")</f>
        <v>41949</v>
      </c>
      <c r="AC93" s="105">
        <f t="shared" si="15"/>
        <v>1.449999999999545E-3</v>
      </c>
      <c r="AD93" s="105">
        <f t="shared" si="22"/>
        <v>1.4579304189428009E-3</v>
      </c>
      <c r="AE93" s="105">
        <f t="shared" si="23"/>
        <v>1.2946652469769525E-3</v>
      </c>
    </row>
    <row r="94" spans="28:31" x14ac:dyDescent="0.2">
      <c r="AB94" s="378">
        <f>_xll.qlCalendarAdvance(Calendar,AB93,"1d","mf")</f>
        <v>41950</v>
      </c>
      <c r="AC94" s="105">
        <f t="shared" si="15"/>
        <v>1.449999999999545E-3</v>
      </c>
      <c r="AD94" s="105">
        <f t="shared" ref="AD94:AD96" si="24">$O$32+$O$31*(AB94-SettlementDate)</f>
        <v>1.4563443351541497E-3</v>
      </c>
      <c r="AE94" s="105">
        <f t="shared" ref="AE94:AE96" si="25">$T$32+$T$31*(AB94-SettlementDate)+$T$30*(AB94-SettlementDate)^2</f>
        <v>1.2981409756296801E-3</v>
      </c>
    </row>
    <row r="95" spans="28:31" x14ac:dyDescent="0.2">
      <c r="AB95" s="378">
        <f>_xll.qlCalendarAdvance(Calendar,AB94,"1d","mf")</f>
        <v>41953</v>
      </c>
      <c r="AC95" s="105">
        <f t="shared" ref="AC95:AC96" si="26">$H$32</f>
        <v>1.449999999999545E-3</v>
      </c>
      <c r="AD95" s="105">
        <f t="shared" si="24"/>
        <v>1.4515860837881962E-3</v>
      </c>
      <c r="AE95" s="105">
        <f t="shared" si="25"/>
        <v>1.3100405903986622E-3</v>
      </c>
    </row>
    <row r="96" spans="28:31" x14ac:dyDescent="0.2">
      <c r="AB96" s="378">
        <f>_xll.qlCalendarAdvance(Calendar,AB95,"1d","mf")</f>
        <v>41954</v>
      </c>
      <c r="AC96" s="105">
        <f t="shared" si="26"/>
        <v>1.449999999999545E-3</v>
      </c>
      <c r="AD96" s="105">
        <f t="shared" si="24"/>
        <v>1.449999999999545E-3</v>
      </c>
      <c r="AE96" s="105">
        <f t="shared" si="25"/>
        <v>1.3144979382585891E-3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L6" sqref="A1:L6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32" t="s">
        <v>103</v>
      </c>
      <c r="C1" s="533"/>
      <c r="D1" s="533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EUR1YD_SYNTH1Y_Quote#0000</v>
      </c>
      <c r="F2" s="265" t="str">
        <f>_xll.qlDepositRateHelper(,E2,$F$10,)</f>
        <v>obj_003be#0000</v>
      </c>
      <c r="G2" s="199">
        <f>_xll.qlRateHelperQuoteValue(F2,InterestRatesTrigger)</f>
        <v>4.8399999999999997E-3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41862</v>
      </c>
      <c r="L2" s="202">
        <f>_xll.qlRateHelperLatestDate($F2,InterestRatesTrigger)</f>
        <v>42227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obj_003a7#0000</v>
      </c>
      <c r="G3" s="205">
        <f>_xll.qlRateHelperQuoteValue(F3,InterestRatesTrigger)</f>
        <v>5.11E-3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42227</v>
      </c>
      <c r="L3" s="208">
        <f>_xll.qlRateHelperLatestDate($F3,InterestRatesTrigger)</f>
        <v>42593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obj_003b1#0000</v>
      </c>
      <c r="G4" s="213">
        <f>_xll.qlRateHelperQuoteValue(F4,InterestRatesTrigger)</f>
        <v>5.6100000000000004E-3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41862</v>
      </c>
      <c r="L4" s="216">
        <f>_xll.qlRateHelperLatestDate($F4,InterestRatesTrigger)</f>
        <v>42958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obj_003a8#0000</v>
      </c>
      <c r="G5" s="220">
        <f>_xll.qlRateHelperQuoteValue(F5,InterestRatesTrigger)</f>
        <v>6.6E-3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41862</v>
      </c>
      <c r="L5" s="223">
        <f>_xll.qlRateHelperLatestDate($F5,InterestRatesTrigger)</f>
        <v>43325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obj_003a5#0000</v>
      </c>
      <c r="G6" s="199">
        <f>_xll.qlRateHelperQuoteValue(F6,InterestRatesTrigger)</f>
        <v>7.8300000000000002E-3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41862</v>
      </c>
      <c r="L6" s="202">
        <f>_xll.qlRateHelperLatestDate($F6,InterestRatesTrigger)</f>
        <v>43689</v>
      </c>
    </row>
    <row r="10" spans="2:13" x14ac:dyDescent="0.2">
      <c r="F10" s="195" t="str">
        <f>_xll.qlEuribor(,IborTenor,,,EvaluationDate)</f>
        <v>obj_00396#0000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topLeftCell="C1" zoomScaleNormal="100" workbookViewId="0">
      <selection activeCell="F48" sqref="F4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30" x14ac:dyDescent="0.2">
      <c r="A2" s="228"/>
      <c r="B2" s="229"/>
      <c r="C2" s="230"/>
      <c r="D2" s="231">
        <f>SettlementDate</f>
        <v>41862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41858</v>
      </c>
      <c r="H2" s="195" t="str">
        <f>_xll.qlMakeDatedOIS(,I2,J2,OvernightIndex,0,"Act/360",0)</f>
        <v>obj_00436#0000</v>
      </c>
      <c r="I2" s="233">
        <f>_xll.qlCalendarAdvance(Calendar,$D$2,F2&amp;"M","mf")</f>
        <v>41862</v>
      </c>
      <c r="J2" s="233">
        <f>_xll.qlInterestRateIndexMaturity(IborIndex,I2)</f>
        <v>42227</v>
      </c>
      <c r="K2" s="232">
        <f>_xll.qlIndexFixing(IborIndex,G2,TRUE,InterestRatesTrigger)</f>
        <v>4.8400000000012669E-3</v>
      </c>
      <c r="L2" s="232">
        <f>_xll.qlOvernightIndexedSwapFairRate(H2,Contribution!$P$25)</f>
        <v>4.7000000001758797E-4</v>
      </c>
      <c r="M2" s="209">
        <f>ROUND(K2-L2,6)</f>
        <v>4.3699999999999998E-3</v>
      </c>
      <c r="N2" s="232"/>
      <c r="O2" s="195" t="str">
        <f>_xll.qlSimpleQuote(,,,,EvaluationDate)</f>
        <v>obj_00379#0000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obj_003be#0000</v>
      </c>
      <c r="B3" s="235">
        <f>_xll.qlRateHelperRate($A3,InterestRatesTrigger)</f>
        <v>4.8399999999999997E-3</v>
      </c>
      <c r="C3" s="236">
        <f>_xll.qlRateHelperEarliestDate($A3)</f>
        <v>41862</v>
      </c>
      <c r="D3" s="231">
        <f>_xll.qlRateHelperLatestDate($A3)</f>
        <v>42227</v>
      </c>
      <c r="E3" s="232">
        <v>0.99511674101478553</v>
      </c>
      <c r="F3" s="195">
        <v>12</v>
      </c>
      <c r="G3" s="233">
        <f>_xll.qlInterestRateIndexFixingDate(IborIndex,I3)</f>
        <v>42223</v>
      </c>
      <c r="H3" s="195" t="str">
        <f>_xll.qlMakeDatedOIS(,I3,J3,OvernightIndex,0,"Act/360",0)</f>
        <v>obj_0041e#0000</v>
      </c>
      <c r="I3" s="233">
        <f>_xll.qlCalendarAdvance(Calendar,$D$2,F3&amp;"M","mf")</f>
        <v>42227</v>
      </c>
      <c r="J3" s="233">
        <f>_xll.qlInterestRateIndexMaturity(IborIndex,I3)</f>
        <v>42593</v>
      </c>
      <c r="K3" s="232">
        <f>_xll.qlIndexFixing(IborIndex,G3,TRUE,InterestRatesTrigger)</f>
        <v>5.1100000000013929E-3</v>
      </c>
      <c r="L3" s="232">
        <f>_xll.qlOvernightIndexedSwapFairRate(H3,Contribution!$P$25)</f>
        <v>5.299341522098719E-4</v>
      </c>
      <c r="M3" s="209">
        <f>ROUND(K3-L3,6)</f>
        <v>4.5799999999999999E-3</v>
      </c>
      <c r="N3" s="232"/>
      <c r="O3" s="195" t="str">
        <f>_xll.qlSimpleQuote(,,,,EvaluationDate)</f>
        <v>obj_00386#0000</v>
      </c>
      <c r="P3" s="232">
        <f>_xll.qlSimpleQuoteSetValue(O3,M3)</f>
        <v>0</v>
      </c>
      <c r="AB3" s="209"/>
      <c r="AC3" s="209"/>
      <c r="AD3" s="369"/>
    </row>
    <row r="4" spans="1:30" x14ac:dyDescent="0.2">
      <c r="A4" s="234" t="str">
        <f>RateHelpersFra!F3</f>
        <v>obj_003a7#0000</v>
      </c>
      <c r="B4" s="235">
        <f>_xll.qlRateHelperRate($A4,InterestRatesTrigger)</f>
        <v>5.11E-3</v>
      </c>
      <c r="C4" s="236">
        <f>_xll.qlRateHelperEarliestDate($A4)</f>
        <v>42227</v>
      </c>
      <c r="D4" s="231">
        <f>_xll.qlRateHelperLatestDate($A4)</f>
        <v>42593</v>
      </c>
      <c r="E4" s="232">
        <v>0.9899736628407162</v>
      </c>
      <c r="F4" s="195">
        <v>24</v>
      </c>
      <c r="G4" s="233">
        <f>_xll.qlInterestRateIndexFixingDate(IborIndex,I4)</f>
        <v>42591</v>
      </c>
      <c r="H4" s="195" t="str">
        <f>_xll.qlMakeDatedOIS(,I4,J4,OvernightIndex,0,"Act/360",0)</f>
        <v>obj_00431#0000</v>
      </c>
      <c r="I4" s="233">
        <f>_xll.qlCalendarAdvance(Calendar,$D$2,F4&amp;"M","mf")</f>
        <v>42593</v>
      </c>
      <c r="J4" s="233">
        <f>_xll.qlInterestRateIndexMaturity(IborIndex,I4)</f>
        <v>42958</v>
      </c>
      <c r="K4" s="232">
        <f>_xll.qlIndexFixing(IborIndex,G4,TRUE,InterestRatesTrigger)</f>
        <v>6.6380319328165046E-3</v>
      </c>
      <c r="L4" s="232">
        <f>_xll.qlOvernightIndexedSwapFairRate(H4,Contribution!$P$25)</f>
        <v>1.9735706368830819E-3</v>
      </c>
      <c r="M4" s="209">
        <f>ROUND(K4-L4,6)</f>
        <v>4.6639999999999997E-3</v>
      </c>
      <c r="N4" s="232"/>
      <c r="O4" s="195" t="str">
        <f>_xll.qlSimpleQuote(,,,,EvaluationDate)</f>
        <v>obj_0038e#0000</v>
      </c>
      <c r="P4" s="232">
        <f>_xll.qlSimpleQuoteSetValue(O4,M4)</f>
        <v>0</v>
      </c>
      <c r="AB4" s="209"/>
      <c r="AC4" s="209"/>
      <c r="AD4" s="369"/>
    </row>
    <row r="5" spans="1:30" x14ac:dyDescent="0.2">
      <c r="A5" s="234" t="str">
        <f>RateHelpersFra!F4</f>
        <v>obj_003b1#0000</v>
      </c>
      <c r="B5" s="235">
        <f>_xll.qlRateHelperRate($A5,InterestRatesTrigger)</f>
        <v>5.6100000000000004E-3</v>
      </c>
      <c r="C5" s="236">
        <f>_xll.qlRateHelperEarliestDate($A5)</f>
        <v>41862</v>
      </c>
      <c r="D5" s="231">
        <f>_xll.qlRateHelperLatestDate($A5)</f>
        <v>42958</v>
      </c>
      <c r="E5" s="232">
        <v>0.98335545756585363</v>
      </c>
      <c r="F5" s="195">
        <v>36</v>
      </c>
      <c r="G5" s="233">
        <f>_xll.qlInterestRateIndexFixingDate(IborIndex,I5)</f>
        <v>42956</v>
      </c>
      <c r="H5" s="195" t="str">
        <f>_xll.qlMakeDatedOIS(,I5,J5,OvernightIndex,0,"Act/360",0)</f>
        <v>obj_0040a#0000</v>
      </c>
      <c r="I5" s="233">
        <f>_xll.qlCalendarAdvance(Calendar,$D$2,F5&amp;"M","mf")</f>
        <v>42958</v>
      </c>
      <c r="J5" s="233">
        <f>_xll.qlInterestRateIndexMaturity(IborIndex,I5)</f>
        <v>43325</v>
      </c>
      <c r="K5" s="232">
        <f>_xll.qlIndexFixing(IborIndex,G5,TRUE,InterestRatesTrigger)</f>
        <v>9.4407933542456739E-3</v>
      </c>
      <c r="L5" s="232">
        <f>_xll.qlOvernightIndexedSwapFairRate(H5,Contribution!$P$25)</f>
        <v>4.3535049889376898E-3</v>
      </c>
      <c r="M5" s="209">
        <f>ROUND(K5-L5,6)</f>
        <v>5.0870000000000004E-3</v>
      </c>
      <c r="N5" s="232"/>
      <c r="O5" s="195" t="str">
        <f>_xll.qlSimpleQuote(,,,,EvaluationDate)</f>
        <v>obj_0039d#0000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obj_003a8#0000</v>
      </c>
      <c r="B6" s="235">
        <f>_xll.qlRateHelperRate($A6,InterestRatesTrigger)</f>
        <v>6.6E-3</v>
      </c>
      <c r="C6" s="236">
        <f>_xll.qlRateHelperEarliestDate($A6)</f>
        <v>41862</v>
      </c>
      <c r="D6" s="231">
        <f>_xll.qlRateHelperLatestDate($A6)</f>
        <v>43325</v>
      </c>
      <c r="E6" s="232">
        <v>0.97398150470788913</v>
      </c>
      <c r="F6" s="195">
        <v>48</v>
      </c>
      <c r="G6" s="233">
        <f>_xll.qlInterestRateIndexFixingDate(IborIndex,I6)</f>
        <v>43321</v>
      </c>
      <c r="H6" s="195" t="str">
        <f>_xll.qlMakeDatedOIS(,I6,J6,OvernightIndex,0,"Act/360",0)</f>
        <v>obj_0040b#0000</v>
      </c>
      <c r="I6" s="233">
        <f>_xll.qlCalendarAdvance(Calendar,$D$2,F6&amp;"M","mf")</f>
        <v>43325</v>
      </c>
      <c r="J6" s="233">
        <f>_xll.qlInterestRateIndexMaturity(IborIndex,I6)</f>
        <v>43690</v>
      </c>
      <c r="K6" s="232">
        <f>_xll.qlIndexFixing(IborIndex,G6,TRUE,InterestRatesTrigger)</f>
        <v>1.2655624892845673E-2</v>
      </c>
      <c r="L6" s="232">
        <f>_xll.qlOvernightIndexedSwapFairRate(H6,Contribution!$P$25)</f>
        <v>7.4090954453094326E-3</v>
      </c>
      <c r="M6" s="209">
        <f>ROUND(K6-L6,6)</f>
        <v>5.2469999999999999E-3</v>
      </c>
      <c r="N6" s="232"/>
      <c r="O6" s="195" t="str">
        <f>_xll.qlSimpleQuote(,,,,EvaluationDate)</f>
        <v>obj_0037b#0000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obj_003a5#0000</v>
      </c>
      <c r="B7" s="235">
        <f>_xll.qlRateHelperRate($A7,InterestRatesTrigger)</f>
        <v>7.8300000000000002E-3</v>
      </c>
      <c r="C7" s="236">
        <f>_xll.qlRateHelperEarliestDate($A7)</f>
        <v>41862</v>
      </c>
      <c r="D7" s="231">
        <f>_xll.qlRateHelperLatestDate($A7)</f>
        <v>43689</v>
      </c>
      <c r="E7" s="232">
        <v>0.96167768478388704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41858</v>
      </c>
      <c r="H8" s="374" t="str">
        <f>_xll.qlMakeDatedOIS(,I8,J8,OvernightIndex,0,"Act/360",0)</f>
        <v>obj_00419#0000</v>
      </c>
      <c r="I8" s="375">
        <f>_xll.qlCalendarAdvance(Calendar,$D$2,F8&amp;"M","mf")</f>
        <v>41862</v>
      </c>
      <c r="J8" s="375">
        <f>_xll.qlInterestRateIndexMaturity(IborIndex,I8)</f>
        <v>42227</v>
      </c>
      <c r="K8" s="374"/>
      <c r="L8" s="376">
        <f>_xll.qlOvernightIndexedSwapFairRate(H8,_xll.ohTrigger($P$2:$P$6))</f>
        <v>4.7000000001758797E-4</v>
      </c>
      <c r="M8" s="377">
        <f>_xll.qlInterpolationInterpolate(BasisInterpolator,I8,,L8)</f>
        <v>4.3699999999999998E-3</v>
      </c>
      <c r="N8" s="376">
        <f>L8+M8</f>
        <v>4.840000000017588E-3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41891</v>
      </c>
      <c r="H9" s="195" t="str">
        <f>_xll.qlMakeDatedOIS(,I9,J9,OvernightIndex,0,"Act/360",0)</f>
        <v>obj_003f7#0000</v>
      </c>
      <c r="I9" s="233">
        <f>_xll.qlCalendarAdvance(Calendar,$D$2,F9&amp;"M","mf")</f>
        <v>41893</v>
      </c>
      <c r="J9" s="233">
        <f>_xll.qlInterestRateIndexMaturity(IborIndex,I9)</f>
        <v>42258</v>
      </c>
      <c r="L9" s="232">
        <f>_xll.qlOvernightIndexedSwapFairRate(H9,_xll.ohTrigger($P$2:$P$6))</f>
        <v>4.318276112925755E-4</v>
      </c>
      <c r="M9" s="209">
        <f>_xll.qlInterpolationInterpolate(BasisInterpolator,I9,,L9)</f>
        <v>4.3931222497483541E-3</v>
      </c>
      <c r="N9" s="232">
        <f>L9+M9</f>
        <v>4.8249498610409298E-3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41921</v>
      </c>
      <c r="H10" s="195" t="str">
        <f>_xll.qlMakeDatedOIS(,I10,J10,OvernightIndex,0,"Act/360",0)</f>
        <v>obj_00435#0000</v>
      </c>
      <c r="I10" s="233">
        <f>_xll.qlCalendarAdvance(Calendar,$D$2,F10&amp;"M","mf")</f>
        <v>41925</v>
      </c>
      <c r="J10" s="233">
        <f>_xll.qlInterestRateIndexMaturity(IborIndex,I10)</f>
        <v>42290</v>
      </c>
      <c r="L10" s="232">
        <f>_xll.qlOvernightIndexedSwapFairRate(H10,_xll.ohTrigger($P$2:$P$6))</f>
        <v>3.8495701812766843E-4</v>
      </c>
      <c r="M10" s="209">
        <f>_xll.qlInterpolationInterpolate(BasisInterpolator,I10,,L10)</f>
        <v>4.416746038715909E-3</v>
      </c>
      <c r="N10" s="232">
        <f t="shared" ref="N10:N56" si="0">L10+M10</f>
        <v>4.8017030568435776E-3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41950</v>
      </c>
      <c r="H11" s="195" t="str">
        <f>_xll.qlMakeDatedOIS(,I11,J11,OvernightIndex,0,"Act/360",0)</f>
        <v>obj_0042e#0000</v>
      </c>
      <c r="I11" s="233">
        <f>_xll.qlCalendarAdvance(Calendar,$D$2,F11&amp;"M","mf")</f>
        <v>41954</v>
      </c>
      <c r="J11" s="233">
        <f>_xll.qlInterestRateIndexMaturity(IborIndex,I11)</f>
        <v>42319</v>
      </c>
      <c r="L11" s="232">
        <f>_xll.qlOvernightIndexedSwapFairRate(H11,_xll.ohTrigger($P$2:$P$6))</f>
        <v>3.4954794285906737E-4</v>
      </c>
      <c r="M11" s="209">
        <f>_xll.qlInterpolationInterpolate(BasisInterpolator,I11,,L11)</f>
        <v>4.4377308525791062E-3</v>
      </c>
      <c r="N11" s="232">
        <f t="shared" si="0"/>
        <v>4.7872787954381735E-3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41982</v>
      </c>
      <c r="H12" s="195" t="str">
        <f>_xll.qlMakeDatedOIS(,I12,J12,OvernightIndex,0,"Act/360",0)</f>
        <v>obj_00403#0000</v>
      </c>
      <c r="I12" s="233">
        <f>_xll.qlCalendarAdvance(Calendar,$D$2,F12&amp;"M","mf")</f>
        <v>41984</v>
      </c>
      <c r="J12" s="233">
        <f>_xll.qlInterestRateIndexMaturity(IborIndex,I12)</f>
        <v>42349</v>
      </c>
      <c r="L12" s="232">
        <f>_xll.qlOvernightIndexedSwapFairRate(H12,_xll.ohTrigger($P$2:$P$6))</f>
        <v>3.1955895060914382E-4</v>
      </c>
      <c r="M12" s="209">
        <f>_xll.qlInterpolationInterpolate(BasisInterpolator,I12,,L12)</f>
        <v>4.4588071179993945E-3</v>
      </c>
      <c r="N12" s="232">
        <f t="shared" si="0"/>
        <v>4.7783660686085382E-3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42012</v>
      </c>
      <c r="H13" s="195" t="str">
        <f>_xll.qlMakeDatedOIS(,I13,J13,OvernightIndex,0,"Act/360",0)</f>
        <v>obj_00428#0000</v>
      </c>
      <c r="I13" s="233">
        <f>_xll.qlCalendarAdvance(Calendar,$D$2,F13&amp;"M","mf")</f>
        <v>42016</v>
      </c>
      <c r="J13" s="233">
        <f>_xll.qlInterestRateIndexMaturity(IborIndex,I13)</f>
        <v>42381</v>
      </c>
      <c r="L13" s="232">
        <f>_xll.qlOvernightIndexedSwapFairRate(H13,_xll.ohTrigger($P$2:$P$6))</f>
        <v>3.0722041153255611E-4</v>
      </c>
      <c r="M13" s="209">
        <f>_xll.qlInterpolationInterpolate(BasisInterpolator,I13,,L13)</f>
        <v>4.480347086999288E-3</v>
      </c>
      <c r="N13" s="232">
        <f t="shared" si="0"/>
        <v>4.7875674985318438E-3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42044</v>
      </c>
      <c r="H14" s="195" t="str">
        <f>_xll.qlMakeDatedOIS(,I14,J14,OvernightIndex,0,"Act/360",0)</f>
        <v>obj_003ee#0000</v>
      </c>
      <c r="I14" s="233">
        <f>_xll.qlCalendarAdvance(Calendar,$D$2,F14&amp;"M","mf")</f>
        <v>42046</v>
      </c>
      <c r="J14" s="233">
        <f>_xll.qlInterestRateIndexMaturity(IborIndex,I14)</f>
        <v>42411</v>
      </c>
      <c r="L14" s="232">
        <f>_xll.qlOvernightIndexedSwapFairRate(H14,_xll.ohTrigger($P$2:$P$6))</f>
        <v>2.9913973113771122E-4</v>
      </c>
      <c r="M14" s="209">
        <f>_xll.qlInterpolationInterpolate(BasisInterpolator,I14,,L14)</f>
        <v>4.4994376273330772E-3</v>
      </c>
      <c r="N14" s="232">
        <f t="shared" si="0"/>
        <v>4.7985773584707887E-3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42072</v>
      </c>
      <c r="H15" s="195" t="str">
        <f>_xll.qlMakeDatedOIS(,I15,J15,OvernightIndex,0,"Act/360",0)</f>
        <v>obj_00412#0000</v>
      </c>
      <c r="I15" s="233">
        <f>_xll.qlCalendarAdvance(Calendar,$D$2,F15&amp;"M","mf")</f>
        <v>42074</v>
      </c>
      <c r="J15" s="233">
        <f>_xll.qlInterestRateIndexMaturity(IborIndex,I15)</f>
        <v>42440</v>
      </c>
      <c r="L15" s="232">
        <f>_xll.qlOvernightIndexedSwapFairRate(H15,_xll.ohTrigger($P$2:$P$6))</f>
        <v>2.8896040600519788E-4</v>
      </c>
      <c r="M15" s="209">
        <f>_xll.qlInterpolationInterpolate(BasisInterpolator,I15,,L15)</f>
        <v>4.5161038042543095E-3</v>
      </c>
      <c r="N15" s="232">
        <f t="shared" si="0"/>
        <v>4.8050642102595072E-3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42103</v>
      </c>
      <c r="H16" s="195" t="str">
        <f>_xll.qlMakeDatedOIS(,I16,J16,OvernightIndex,0,"Act/360",0)</f>
        <v>obj_0040f#0000</v>
      </c>
      <c r="I16" s="233">
        <f>_xll.qlCalendarAdvance(Calendar,$D$2,F16&amp;"M","mf")</f>
        <v>42107</v>
      </c>
      <c r="J16" s="233">
        <f>_xll.qlInterestRateIndexMaturity(IborIndex,I16)</f>
        <v>42473</v>
      </c>
      <c r="L16" s="232">
        <f>_xll.qlOvernightIndexedSwapFairRate(H16,_xll.ohTrigger($P$2:$P$6))</f>
        <v>3.0807102102484662E-4</v>
      </c>
      <c r="M16" s="209">
        <f>_xll.qlInterpolationInterpolate(BasisInterpolator,I16,,L16)</f>
        <v>4.5340823741249611E-3</v>
      </c>
      <c r="N16" s="232">
        <f t="shared" si="0"/>
        <v>4.8421533951498079E-3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42131</v>
      </c>
      <c r="H17" s="195" t="str">
        <f>_xll.qlMakeDatedOIS(,I17,J17,OvernightIndex,0,"Act/360",0)</f>
        <v>obj_00434#0000</v>
      </c>
      <c r="I17" s="233">
        <f>_xll.qlCalendarAdvance(Calendar,$D$2,F17&amp;"M","mf")</f>
        <v>42135</v>
      </c>
      <c r="J17" s="233">
        <f>_xll.qlInterestRateIndexMaturity(IborIndex,I17)</f>
        <v>42501</v>
      </c>
      <c r="L17" s="232">
        <f>_xll.qlOvernightIndexedSwapFairRate(H17,_xll.ohTrigger($P$2:$P$6))</f>
        <v>3.4047274666096502E-4</v>
      </c>
      <c r="M17" s="209">
        <f>_xll.qlInterpolationInterpolate(BasisInterpolator,I17,,L17)</f>
        <v>4.5477292865327571E-3</v>
      </c>
      <c r="N17" s="232">
        <f t="shared" si="0"/>
        <v>4.8882020331937224E-3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42164</v>
      </c>
      <c r="H18" s="195" t="str">
        <f>_xll.qlMakeDatedOIS(,I18,J18,OvernightIndex,0,"Act/360",0)</f>
        <v>obj_0041c#0000</v>
      </c>
      <c r="I18" s="233">
        <f>_xll.qlCalendarAdvance(Calendar,$D$2,F18&amp;"M","mf")</f>
        <v>42166</v>
      </c>
      <c r="J18" s="233">
        <f>_xll.qlInterestRateIndexMaturity(IborIndex,I18)</f>
        <v>42534</v>
      </c>
      <c r="L18" s="232">
        <f>_xll.qlOvernightIndexedSwapFairRate(H18,_xll.ohTrigger($P$2:$P$6))</f>
        <v>4.0239889675538446E-4</v>
      </c>
      <c r="M18" s="209">
        <f>_xll.qlInterpolationInterpolate(BasisInterpolator,I18,,L18)</f>
        <v>4.5608998879490626E-3</v>
      </c>
      <c r="N18" s="232">
        <f t="shared" si="0"/>
        <v>4.9632987847044469E-3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42194</v>
      </c>
      <c r="H19" s="195" t="str">
        <f>_xll.qlMakeDatedOIS(,I19,J19,OvernightIndex,0,"Act/360",0)</f>
        <v>obj_00410#0000</v>
      </c>
      <c r="I19" s="233">
        <f>_xll.qlCalendarAdvance(Calendar,$D$2,F19&amp;"M","mf")</f>
        <v>42198</v>
      </c>
      <c r="J19" s="233">
        <f>_xll.qlInterestRateIndexMaturity(IborIndex,I19)</f>
        <v>42564</v>
      </c>
      <c r="L19" s="232">
        <f>_xll.qlOvernightIndexedSwapFairRate(H19,_xll.ohTrigger($P$2:$P$6))</f>
        <v>4.6965036959641993E-4</v>
      </c>
      <c r="M19" s="209">
        <f>_xll.qlInterpolationInterpolate(BasisInterpolator,I19,,L19)</f>
        <v>4.5721221321361012E-3</v>
      </c>
      <c r="N19" s="232">
        <f t="shared" si="0"/>
        <v>5.0417725017325209E-3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42223</v>
      </c>
      <c r="H20" s="370" t="str">
        <f>_xll.qlMakeDatedOIS(,I20,J20,OvernightIndex,0,"Act/360",0)</f>
        <v>obj_00429#0000</v>
      </c>
      <c r="I20" s="371">
        <f>_xll.qlCalendarAdvance(Calendar,$D$2,F20&amp;"M","mf")</f>
        <v>42227</v>
      </c>
      <c r="J20" s="371">
        <f>_xll.qlInterestRateIndexMaturity(IborIndex,I20)</f>
        <v>42593</v>
      </c>
      <c r="K20" s="370"/>
      <c r="L20" s="372">
        <f>_xll.qlOvernightIndexedSwapFairRate(H20,_xll.ohTrigger($P$2:$P$6))</f>
        <v>5.299341522098719E-4</v>
      </c>
      <c r="M20" s="373">
        <f>_xll.qlInterpolationInterpolate(BasisInterpolator,I20,,L20)</f>
        <v>4.5799999999999999E-3</v>
      </c>
      <c r="N20" s="372">
        <f t="shared" ref="N20" si="1">L20+M20</f>
        <v>5.1099341522098714E-3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42256</v>
      </c>
      <c r="H21" s="195" t="str">
        <f>_xll.qlMakeDatedOIS(,I21,J21,OvernightIndex,0,"Act/360",0)</f>
        <v>obj_003f2#0000</v>
      </c>
      <c r="I21" s="233">
        <f>_xll.qlCalendarAdvance(Calendar,$D$2,F21&amp;"M","mf")</f>
        <v>42258</v>
      </c>
      <c r="J21" s="233">
        <f>_xll.qlInterestRateIndexMaturity(IborIndex,I21)</f>
        <v>42625</v>
      </c>
      <c r="L21" s="232">
        <f>_xll.qlOvernightIndexedSwapFairRate(H21,_xll.ohTrigger($P$2:$P$6))</f>
        <v>6.1851026080315767E-4</v>
      </c>
      <c r="M21" s="209">
        <f>_xll.qlInterpolationInterpolate(BasisInterpolator,I21,,L21)</f>
        <v>4.5860708966579287E-3</v>
      </c>
      <c r="N21" s="232">
        <f t="shared" si="0"/>
        <v>5.2045811574610865E-3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42285</v>
      </c>
      <c r="H22" s="195" t="str">
        <f>_xll.qlMakeDatedOIS(,I22,J22,OvernightIndex,0,"Act/360",0)</f>
        <v>obj_00430#0000</v>
      </c>
      <c r="I22" s="233">
        <f>_xll.qlCalendarAdvance(Calendar,$D$2,F22&amp;"M","mf")</f>
        <v>42289</v>
      </c>
      <c r="J22" s="233">
        <f>_xll.qlInterestRateIndexMaturity(IborIndex,I22)</f>
        <v>42655</v>
      </c>
      <c r="L22" s="232">
        <f>_xll.qlOvernightIndexedSwapFairRate(H22,_xll.ohTrigger($P$2:$P$6))</f>
        <v>7.2329243793907037E-4</v>
      </c>
      <c r="M22" s="209">
        <f>_xll.qlInterpolationInterpolate(BasisInterpolator,I22,,L22)</f>
        <v>4.590322893589305E-3</v>
      </c>
      <c r="N22" s="232">
        <f t="shared" si="0"/>
        <v>5.3136153315283749E-3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42317</v>
      </c>
      <c r="H23" s="195" t="str">
        <f>_xll.qlMakeDatedOIS(,I23,J23,OvernightIndex,0,"Act/360",0)</f>
        <v>obj_003f9#0000</v>
      </c>
      <c r="I23" s="233">
        <f>_xll.qlCalendarAdvance(Calendar,$D$2,F23&amp;"M","mf")</f>
        <v>42319</v>
      </c>
      <c r="J23" s="233">
        <f>_xll.qlInterestRateIndexMaturity(IborIndex,I23)</f>
        <v>42685</v>
      </c>
      <c r="L23" s="232">
        <f>_xll.qlOvernightIndexedSwapFairRate(H23,_xll.ohTrigger($P$2:$P$6))</f>
        <v>8.3245350862428834E-4</v>
      </c>
      <c r="M23" s="209">
        <f>_xll.qlInterpolationInterpolate(BasisInterpolator,I23,,L23)</f>
        <v>4.5932856697071282E-3</v>
      </c>
      <c r="N23" s="232">
        <f t="shared" si="0"/>
        <v>5.4257391783314162E-3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42347</v>
      </c>
      <c r="H24" s="195" t="str">
        <f>_xll.qlMakeDatedOIS(,I24,J24,OvernightIndex,0,"Act/360",0)</f>
        <v>obj_00426#0000</v>
      </c>
      <c r="I24" s="233">
        <f>_xll.qlCalendarAdvance(Calendar,$D$2,F24&amp;"M","mf")</f>
        <v>42349</v>
      </c>
      <c r="J24" s="233">
        <f>_xll.qlInterestRateIndexMaturity(IborIndex,I24)</f>
        <v>42716</v>
      </c>
      <c r="L24" s="232">
        <f>_xll.qlOvernightIndexedSwapFairRate(H24,_xll.ohTrigger($P$2:$P$6))</f>
        <v>9.4001426886784723E-4</v>
      </c>
      <c r="M24" s="209">
        <f>_xll.qlInterpolationInterpolate(BasisInterpolator,I24,,L24)</f>
        <v>4.595679344505596E-3</v>
      </c>
      <c r="N24" s="232">
        <f t="shared" si="0"/>
        <v>5.5356936133734436E-3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42376</v>
      </c>
      <c r="H25" s="195" t="str">
        <f>_xll.qlMakeDatedOIS(,I25,J25,OvernightIndex,0,"Act/360",0)</f>
        <v>obj_00424#0000</v>
      </c>
      <c r="I25" s="233">
        <f>_xll.qlCalendarAdvance(Calendar,$D$2,F25&amp;"M","mf")</f>
        <v>42380</v>
      </c>
      <c r="J25" s="233">
        <f>_xll.qlInterestRateIndexMaturity(IborIndex,I25)</f>
        <v>42746</v>
      </c>
      <c r="L25" s="232">
        <f>_xll.qlOvernightIndexedSwapFairRate(H25,_xll.ohTrigger($P$2:$P$6))</f>
        <v>1.0466143214559207E-3</v>
      </c>
      <c r="M25" s="209">
        <f>_xll.qlInterpolationInterpolate(BasisInterpolator,I25,,L25)</f>
        <v>4.5981475249681943E-3</v>
      </c>
      <c r="N25" s="232">
        <f t="shared" si="0"/>
        <v>5.6447618464241147E-3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42409</v>
      </c>
      <c r="H26" s="195" t="str">
        <f>_xll.qlMakeDatedOIS(,I26,J26,OvernightIndex,0,"Act/360",0)</f>
        <v>obj_00438#0000</v>
      </c>
      <c r="I26" s="233">
        <f>_xll.qlCalendarAdvance(Calendar,$D$2,F26&amp;"M","mf")</f>
        <v>42411</v>
      </c>
      <c r="J26" s="233">
        <f>_xll.qlInterestRateIndexMaturity(IborIndex,I26)</f>
        <v>42779</v>
      </c>
      <c r="L26" s="232">
        <f>_xll.qlOvernightIndexedSwapFairRate(H26,_xll.ohTrigger($P$2:$P$6))</f>
        <v>1.1648865167383721E-3</v>
      </c>
      <c r="M26" s="209">
        <f>_xll.qlInterpolationInterpolate(BasisInterpolator,I26,,L26)</f>
        <v>4.6012192576731208E-3</v>
      </c>
      <c r="N26" s="232">
        <f t="shared" si="0"/>
        <v>5.7661057744114929E-3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42438</v>
      </c>
      <c r="H27" s="195" t="str">
        <f>_xll.qlMakeDatedOIS(,I27,J27,OvernightIndex,0,"Act/360",0)</f>
        <v>obj_0042c#0000</v>
      </c>
      <c r="I27" s="233">
        <f>_xll.qlCalendarAdvance(Calendar,$D$2,F27&amp;"M","mf")</f>
        <v>42440</v>
      </c>
      <c r="J27" s="233">
        <f>_xll.qlInterestRateIndexMaturity(IborIndex,I27)</f>
        <v>42807</v>
      </c>
      <c r="L27" s="232">
        <f>_xll.qlOvernightIndexedSwapFairRate(H27,_xll.ohTrigger($P$2:$P$6))</f>
        <v>1.2790001266259523E-3</v>
      </c>
      <c r="M27" s="209">
        <f>_xll.qlInterpolationInterpolate(BasisInterpolator,I27,,L27)</f>
        <v>4.60518448380429E-3</v>
      </c>
      <c r="N27" s="232">
        <f t="shared" si="0"/>
        <v>5.8841846104302426E-3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42467</v>
      </c>
      <c r="H28" s="195" t="str">
        <f>_xll.qlMakeDatedOIS(,I28,J28,OvernightIndex,0,"Act/360",0)</f>
        <v>obj_00439#0000</v>
      </c>
      <c r="I28" s="233">
        <f>_xll.qlCalendarAdvance(Calendar,$D$2,F28&amp;"M","mf")</f>
        <v>42471</v>
      </c>
      <c r="J28" s="233">
        <f>_xll.qlInterestRateIndexMaturity(IborIndex,I28)</f>
        <v>42836</v>
      </c>
      <c r="L28" s="232">
        <f>_xll.qlOvernightIndexedSwapFairRate(H28,_xll.ohTrigger($P$2:$P$6))</f>
        <v>1.4070524122810936E-3</v>
      </c>
      <c r="M28" s="209">
        <f>_xll.qlInterpolationInterpolate(BasisInterpolator,I28,,L28)</f>
        <v>4.611173005586131E-3</v>
      </c>
      <c r="N28" s="232">
        <f t="shared" si="0"/>
        <v>6.0182254178672246E-3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42499</v>
      </c>
      <c r="H29" s="195" t="str">
        <f>_xll.qlMakeDatedOIS(,I29,J29,OvernightIndex,0,"Act/360",0)</f>
        <v>obj_0041b#0000</v>
      </c>
      <c r="I29" s="233">
        <f>_xll.qlCalendarAdvance(Calendar,$D$2,F29&amp;"M","mf")</f>
        <v>42501</v>
      </c>
      <c r="J29" s="233">
        <f>_xll.qlInterestRateIndexMaturity(IborIndex,I29)</f>
        <v>42866</v>
      </c>
      <c r="L29" s="232">
        <f>_xll.qlOvernightIndexedSwapFairRate(H29,_xll.ohTrigger($P$2:$P$6))</f>
        <v>1.5403020663319624E-3</v>
      </c>
      <c r="M29" s="209">
        <f>_xll.qlInterpolationInterpolate(BasisInterpolator,I29,,L29)</f>
        <v>4.6192571293090052E-3</v>
      </c>
      <c r="N29" s="232">
        <f t="shared" si="0"/>
        <v>6.1595591956409672E-3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42530</v>
      </c>
      <c r="H30" s="195" t="str">
        <f>_xll.qlMakeDatedOIS(,I30,J30,OvernightIndex,0,"Act/360",0)</f>
        <v>obj_00402#0000</v>
      </c>
      <c r="I30" s="233">
        <f>_xll.qlCalendarAdvance(Calendar,$D$2,F30&amp;"M","mf")</f>
        <v>42534</v>
      </c>
      <c r="J30" s="233">
        <f>_xll.qlInterestRateIndexMaturity(IborIndex,I30)</f>
        <v>42899</v>
      </c>
      <c r="L30" s="232">
        <f>_xll.qlOvernightIndexedSwapFairRate(H30,_xll.ohTrigger($P$2:$P$6))</f>
        <v>1.6901235449297506E-3</v>
      </c>
      <c r="M30" s="209">
        <f>_xll.qlInterpolationInterpolate(BasisInterpolator,I30,,L30)</f>
        <v>4.6314228510207665E-3</v>
      </c>
      <c r="N30" s="232">
        <f t="shared" si="0"/>
        <v>6.3215463959505171E-3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42558</v>
      </c>
      <c r="H31" s="195" t="str">
        <f>_xll.qlMakeDatedOIS(,I31,J31,OvernightIndex,0,"Act/360",0)</f>
        <v>obj_00415#0000</v>
      </c>
      <c r="I31" s="233">
        <f>_xll.qlCalendarAdvance(Calendar,$D$2,F31&amp;"M","mf")</f>
        <v>42562</v>
      </c>
      <c r="J31" s="233">
        <f>_xll.qlInterestRateIndexMaturity(IborIndex,I31)</f>
        <v>42927</v>
      </c>
      <c r="L31" s="232">
        <f>_xll.qlOvernightIndexedSwapFairRate(H31,_xll.ohTrigger($P$2:$P$6))</f>
        <v>1.8213693517594232E-3</v>
      </c>
      <c r="M31" s="209">
        <f>_xll.qlInterpolationInterpolate(BasisInterpolator,I31,,L31)</f>
        <v>4.6449696050789233E-3</v>
      </c>
      <c r="N31" s="232">
        <f t="shared" si="0"/>
        <v>6.4663389568383467E-3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42591</v>
      </c>
      <c r="H32" s="374" t="str">
        <f>_xll.qlMakeDatedOIS(,I32,J32,OvernightIndex,0,"Act/360",0)</f>
        <v>obj_00433#0000</v>
      </c>
      <c r="I32" s="375">
        <f>_xll.qlCalendarAdvance(Calendar,$D$2,F32&amp;"M","mf")</f>
        <v>42593</v>
      </c>
      <c r="J32" s="375">
        <f>_xll.qlInterestRateIndexMaturity(IborIndex,I32)</f>
        <v>42958</v>
      </c>
      <c r="K32" s="374"/>
      <c r="L32" s="376">
        <f>_xll.qlOvernightIndexedSwapFairRate(H32,_xll.ohTrigger($P$2:$P$6))</f>
        <v>1.9735706368830819E-3</v>
      </c>
      <c r="M32" s="377">
        <f>_xll.qlInterpolationInterpolate(BasisInterpolator,I32,,L32)</f>
        <v>4.6639999999999997E-3</v>
      </c>
      <c r="N32" s="376">
        <f t="shared" ref="N32" si="2">L32+M32</f>
        <v>6.6375706368830816E-3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42621</v>
      </c>
      <c r="H33" s="195" t="str">
        <f>_xll.qlMakeDatedOIS(,I33,J33,OvernightIndex,0,"Act/360",0)</f>
        <v>obj_003fe#0000</v>
      </c>
      <c r="I33" s="233">
        <f>_xll.qlCalendarAdvance(Calendar,$D$2,F33&amp;"M","mf")</f>
        <v>42625</v>
      </c>
      <c r="J33" s="233">
        <f>_xll.qlInterestRateIndexMaturity(IborIndex,I33)</f>
        <v>42990</v>
      </c>
      <c r="L33" s="232">
        <f>_xll.qlOvernightIndexedSwapFairRate(H33,_xll.ohTrigger($P$2:$P$6))</f>
        <v>2.1403972965208366E-3</v>
      </c>
      <c r="M33" s="209">
        <f>_xll.qlInterpolationInterpolate(BasisInterpolator,I33,,L33)</f>
        <v>4.6890410874850727E-3</v>
      </c>
      <c r="N33" s="232">
        <f t="shared" si="0"/>
        <v>6.8294383840059088E-3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42650</v>
      </c>
      <c r="H34" s="195" t="str">
        <f>_xll.qlMakeDatedOIS(,I34,J34,OvernightIndex,0,"Act/360",0)</f>
        <v>obj_003f8#0000</v>
      </c>
      <c r="I34" s="233">
        <f>_xll.qlCalendarAdvance(Calendar,$D$2,F34&amp;"M","mf")</f>
        <v>42654</v>
      </c>
      <c r="J34" s="233">
        <f>_xll.qlInterestRateIndexMaturity(IborIndex,I34)</f>
        <v>43019</v>
      </c>
      <c r="L34" s="232">
        <f>_xll.qlOvernightIndexedSwapFairRate(H34,_xll.ohTrigger($P$2:$P$6))</f>
        <v>2.3000852950305021E-3</v>
      </c>
      <c r="M34" s="209">
        <f>_xll.qlInterpolationInterpolate(BasisInterpolator,I34,,L34)</f>
        <v>4.7163971428852303E-3</v>
      </c>
      <c r="N34" s="232">
        <f t="shared" si="0"/>
        <v>7.0164824379157324E-3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42683</v>
      </c>
      <c r="H35" s="195" t="str">
        <f>_xll.qlMakeDatedOIS(,I35,J35,OvernightIndex,0,"Act/360",0)</f>
        <v>obj_0040e#0000</v>
      </c>
      <c r="I35" s="233">
        <f>_xll.qlCalendarAdvance(Calendar,$D$2,F35&amp;"M","mf")</f>
        <v>42685</v>
      </c>
      <c r="J35" s="233">
        <f>_xll.qlInterestRateIndexMaturity(IborIndex,I35)</f>
        <v>43052</v>
      </c>
      <c r="L35" s="232">
        <f>_xll.qlOvernightIndexedSwapFairRate(H35,_xll.ohTrigger($P$2:$P$6))</f>
        <v>2.4856793349437357E-3</v>
      </c>
      <c r="M35" s="209">
        <f>_xll.qlInterpolationInterpolate(BasisInterpolator,I35,,L35)</f>
        <v>4.7496948217803777E-3</v>
      </c>
      <c r="N35" s="232">
        <f t="shared" si="0"/>
        <v>7.2353741567241139E-3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42712</v>
      </c>
      <c r="H36" s="195" t="str">
        <f>_xll.qlMakeDatedOIS(,I36,J36,OvernightIndex,0,"Act/360",0)</f>
        <v>obj_00432#0000</v>
      </c>
      <c r="I36" s="233">
        <f>_xll.qlCalendarAdvance(Calendar,$D$2,F36&amp;"M","mf")</f>
        <v>42716</v>
      </c>
      <c r="J36" s="233">
        <f>_xll.qlInterestRateIndexMaturity(IborIndex,I36)</f>
        <v>43081</v>
      </c>
      <c r="L36" s="232">
        <f>_xll.qlOvernightIndexedSwapFairRate(H36,_xll.ohTrigger($P$2:$P$6))</f>
        <v>2.6664463139343913E-3</v>
      </c>
      <c r="M36" s="209">
        <f>_xll.qlInterpolationInterpolate(BasisInterpolator,I36,,L36)</f>
        <v>4.7863165166388347E-3</v>
      </c>
      <c r="N36" s="232">
        <f t="shared" si="0"/>
        <v>7.4527628305732264E-3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42744</v>
      </c>
      <c r="H37" s="195" t="str">
        <f>_xll.qlMakeDatedOIS(,I37,J37,OvernightIndex,0,"Act/360",0)</f>
        <v>obj_0042f#0000</v>
      </c>
      <c r="I37" s="233">
        <f>_xll.qlCalendarAdvance(Calendar,$D$2,F37&amp;"M","mf")</f>
        <v>42746</v>
      </c>
      <c r="J37" s="233">
        <f>_xll.qlInterestRateIndexMaturity(IborIndex,I37)</f>
        <v>43111</v>
      </c>
      <c r="L37" s="232">
        <f>_xll.qlOvernightIndexedSwapFairRate(H37,_xll.ohTrigger($P$2:$P$6))</f>
        <v>2.8548900570691919E-3</v>
      </c>
      <c r="M37" s="209">
        <f>_xll.qlInterpolationInterpolate(BasisInterpolator,I37,,L37)</f>
        <v>4.8240880200769946E-3</v>
      </c>
      <c r="N37" s="232">
        <f t="shared" si="0"/>
        <v>7.6789780771461865E-3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42775</v>
      </c>
      <c r="H38" s="195" t="str">
        <f>_xll.qlMakeDatedOIS(,I38,J38,OvernightIndex,0,"Act/360",0)</f>
        <v>obj_00420#0000</v>
      </c>
      <c r="I38" s="233">
        <f>_xll.qlCalendarAdvance(Calendar,$D$2,F38&amp;"M","mf")</f>
        <v>42779</v>
      </c>
      <c r="J38" s="233">
        <f>_xll.qlInterestRateIndexMaturity(IborIndex,I38)</f>
        <v>43144</v>
      </c>
      <c r="L38" s="232">
        <f>_xll.qlOvernightIndexedSwapFairRate(H38,_xll.ohTrigger($P$2:$P$6))</f>
        <v>3.0697861094620806E-3</v>
      </c>
      <c r="M38" s="209">
        <f>_xll.qlInterpolationInterpolate(BasisInterpolator,I38,,L38)</f>
        <v>4.8673172285794595E-3</v>
      </c>
      <c r="N38" s="232">
        <f t="shared" si="0"/>
        <v>7.9371033380415401E-3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42803</v>
      </c>
      <c r="H39" s="195" t="str">
        <f>_xll.qlMakeDatedOIS(,I39,J39,OvernightIndex,0,"Act/360",0)</f>
        <v>obj_0042a#0000</v>
      </c>
      <c r="I39" s="233">
        <f>_xll.qlCalendarAdvance(Calendar,$D$2,F39&amp;"M","mf")</f>
        <v>42807</v>
      </c>
      <c r="J39" s="233">
        <f>_xll.qlInterestRateIndexMaturity(IborIndex,I39)</f>
        <v>43172</v>
      </c>
      <c r="L39" s="232">
        <f>_xll.qlOvernightIndexedSwapFairRate(H39,_xll.ohTrigger($P$2:$P$6))</f>
        <v>3.2578890524742931E-3</v>
      </c>
      <c r="M39" s="209">
        <f>_xll.qlInterpolationInterpolate(BasisInterpolator,I39,,L39)</f>
        <v>4.9046075042412478E-3</v>
      </c>
      <c r="N39" s="232">
        <f t="shared" si="0"/>
        <v>8.16249655671554E-3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42832</v>
      </c>
      <c r="H40" s="195" t="str">
        <f>_xll.qlMakeDatedOIS(,I40,J40,OvernightIndex,0,"Act/360",0)</f>
        <v>obj_00404#0000</v>
      </c>
      <c r="I40" s="233">
        <f>_xll.qlCalendarAdvance(Calendar,$D$2,F40&amp;"M","mf")</f>
        <v>42836</v>
      </c>
      <c r="J40" s="233">
        <f>_xll.qlInterestRateIndexMaturity(IborIndex,I40)</f>
        <v>43201</v>
      </c>
      <c r="L40" s="232">
        <f>_xll.qlOvernightIndexedSwapFairRate(H40,_xll.ohTrigger($P$2:$P$6))</f>
        <v>3.457828199184978E-3</v>
      </c>
      <c r="M40" s="209">
        <f>_xll.qlInterpolationInterpolate(BasisInterpolator,I40,,L40)</f>
        <v>4.9430841105701203E-3</v>
      </c>
      <c r="N40" s="232">
        <f t="shared" si="0"/>
        <v>8.4009123097550983E-3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42864</v>
      </c>
      <c r="H41" s="195" t="str">
        <f>_xll.qlMakeDatedOIS(,I41,J41,OvernightIndex,0,"Act/360",0)</f>
        <v>obj_00413#0000</v>
      </c>
      <c r="I41" s="233">
        <f>_xll.qlCalendarAdvance(Calendar,$D$2,F41&amp;"M","mf")</f>
        <v>42866</v>
      </c>
      <c r="J41" s="233">
        <f>_xll.qlInterestRateIndexMaturity(IborIndex,I41)</f>
        <v>43231</v>
      </c>
      <c r="L41" s="232">
        <f>_xll.qlOvernightIndexedSwapFairRate(H41,_xll.ohTrigger($P$2:$P$6))</f>
        <v>3.6696628048350668E-3</v>
      </c>
      <c r="M41" s="209">
        <f>_xll.qlInterpolationInterpolate(BasisInterpolator,I41,,L41)</f>
        <v>4.9819691462207917E-3</v>
      </c>
      <c r="N41" s="232">
        <f t="shared" si="0"/>
        <v>8.651631951055859E-3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42894</v>
      </c>
      <c r="H42" s="195" t="str">
        <f>_xll.qlMakeDatedOIS(,I42,J42,OvernightIndex,0,"Act/360",0)</f>
        <v>obj_00422#0000</v>
      </c>
      <c r="I42" s="233">
        <f>_xll.qlCalendarAdvance(Calendar,$D$2,F42&amp;"M","mf")</f>
        <v>42898</v>
      </c>
      <c r="J42" s="233">
        <f>_xll.qlInterestRateIndexMaturity(IborIndex,I42)</f>
        <v>43263</v>
      </c>
      <c r="L42" s="232">
        <f>_xll.qlOvernightIndexedSwapFairRate(H42,_xll.ohTrigger($P$2:$P$6))</f>
        <v>3.9006627826491829E-3</v>
      </c>
      <c r="M42" s="209">
        <f>_xll.qlInterpolationInterpolate(BasisInterpolator,I42,,L42)</f>
        <v>5.0215230452372644E-3</v>
      </c>
      <c r="N42" s="232">
        <f t="shared" si="0"/>
        <v>8.9221858278864478E-3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42923</v>
      </c>
      <c r="H43" s="195" t="str">
        <f>_xll.qlMakeDatedOIS(,I43,J43,OvernightIndex,0,"Act/360",0)</f>
        <v>obj_00423#0000</v>
      </c>
      <c r="I43" s="233">
        <f>_xll.qlCalendarAdvance(Calendar,$D$2,F43&amp;"M","mf")</f>
        <v>42927</v>
      </c>
      <c r="J43" s="233">
        <f>_xll.qlInterestRateIndexMaturity(IborIndex,I43)</f>
        <v>43292</v>
      </c>
      <c r="L43" s="232">
        <f>_xll.qlOvernightIndexedSwapFairRate(H43,_xll.ohTrigger($P$2:$P$6))</f>
        <v>4.1140010858823793E-3</v>
      </c>
      <c r="M43" s="209">
        <f>_xll.qlInterpolationInterpolate(BasisInterpolator,I43,,L43)</f>
        <v>5.0548565345041796E-3</v>
      </c>
      <c r="N43" s="232">
        <f t="shared" si="0"/>
        <v>9.1688576203865588E-3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42956</v>
      </c>
      <c r="H44" s="374" t="str">
        <f>_xll.qlMakeDatedOIS(,I44,J44,OvernightIndex,0,"Act/360",0)</f>
        <v>obj_00411#0000</v>
      </c>
      <c r="I44" s="375">
        <f>_xll.qlCalendarAdvance(Calendar,$D$2,F44&amp;"M","mf")</f>
        <v>42958</v>
      </c>
      <c r="J44" s="375">
        <f>_xll.qlInterestRateIndexMaturity(IborIndex,I44)</f>
        <v>43325</v>
      </c>
      <c r="K44" s="374"/>
      <c r="L44" s="376">
        <f>_xll.qlOvernightIndexedSwapFairRate(H44,_xll.ohTrigger($P$2:$P$6))</f>
        <v>4.3535049889376898E-3</v>
      </c>
      <c r="M44" s="377">
        <f>_xll.qlInterpolationInterpolate(BasisInterpolator,I44,,L44)</f>
        <v>5.0870000000000004E-3</v>
      </c>
      <c r="N44" s="376">
        <f t="shared" ref="N44" si="3">L44+M44</f>
        <v>9.440504988937691E-3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42985</v>
      </c>
      <c r="H45" s="195" t="str">
        <f>_xll.qlMakeDatedOIS(,I45,J45,OvernightIndex,0,"Act/360",0)</f>
        <v>obj_0042b#0000</v>
      </c>
      <c r="I45" s="233">
        <f>_xll.qlCalendarAdvance(Calendar,$D$2,F45&amp;"M","mf")</f>
        <v>42989</v>
      </c>
      <c r="J45" s="233">
        <f>_xll.qlInterestRateIndexMaturity(IborIndex,I45)</f>
        <v>43354</v>
      </c>
      <c r="L45" s="232">
        <f>_xll.qlOvernightIndexedSwapFairRate(H45,_xll.ohTrigger($P$2:$P$6))</f>
        <v>4.5808071220385755E-3</v>
      </c>
      <c r="M45" s="209">
        <f>_xll.qlInterpolationInterpolate(BasisInterpolator,I45,,L45)</f>
        <v>5.1150186270868406E-3</v>
      </c>
      <c r="N45" s="232">
        <f t="shared" si="0"/>
        <v>9.6958257491254161E-3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43017</v>
      </c>
      <c r="H46" s="195" t="str">
        <f>_xll.qlMakeDatedOIS(,I46,J46,OvernightIndex,0,"Act/360",0)</f>
        <v>obj_003ef#0000</v>
      </c>
      <c r="I46" s="233">
        <f>_xll.qlCalendarAdvance(Calendar,$D$2,F46&amp;"M","mf")</f>
        <v>43019</v>
      </c>
      <c r="J46" s="233">
        <f>_xll.qlInterestRateIndexMaturity(IborIndex,I46)</f>
        <v>43384</v>
      </c>
      <c r="L46" s="232">
        <f>_xll.qlOvernightIndexedSwapFairRate(H46,_xll.ohTrigger($P$2:$P$6))</f>
        <v>4.8116337511566361E-3</v>
      </c>
      <c r="M46" s="209">
        <f>_xll.qlInterpolationInterpolate(BasisInterpolator,I46,,L46)</f>
        <v>5.1384761072279829E-3</v>
      </c>
      <c r="N46" s="232">
        <f t="shared" si="0"/>
        <v>9.950109858384619E-3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43048</v>
      </c>
      <c r="H47" s="195" t="str">
        <f>_xll.qlMakeDatedOIS(,I47,J47,OvernightIndex,0,"Act/360",0)</f>
        <v>obj_00409#0000</v>
      </c>
      <c r="I47" s="233">
        <f>_xll.qlCalendarAdvance(Calendar,$D$2,F47&amp;"M","mf")</f>
        <v>43052</v>
      </c>
      <c r="J47" s="233">
        <f>_xll.qlInterestRateIndexMaturity(IborIndex,I47)</f>
        <v>43417</v>
      </c>
      <c r="L47" s="232">
        <f>_xll.qlOvernightIndexedSwapFairRate(H47,_xll.ohTrigger($P$2:$P$6))</f>
        <v>5.0696078222539215E-3</v>
      </c>
      <c r="M47" s="209">
        <f>_xll.qlInterpolationInterpolate(BasisInterpolator,I47,,L47)</f>
        <v>5.1605114618292619E-3</v>
      </c>
      <c r="N47" s="232">
        <f t="shared" si="0"/>
        <v>1.0230119284083183E-2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43076</v>
      </c>
      <c r="H48" s="195" t="str">
        <f>_xll.qlMakeDatedOIS(,I48,J48,OvernightIndex,0,"Act/360",0)</f>
        <v>obj_00408#0000</v>
      </c>
      <c r="I48" s="233">
        <f>_xll.qlCalendarAdvance(Calendar,$D$2,F48&amp;"M","mf")</f>
        <v>43080</v>
      </c>
      <c r="J48" s="233">
        <f>_xll.qlInterestRateIndexMaturity(IborIndex,I48)</f>
        <v>43445</v>
      </c>
      <c r="L48" s="232">
        <f>_xll.qlOvernightIndexedSwapFairRate(H48,_xll.ohTrigger($P$2:$P$6))</f>
        <v>5.2920663847706899E-3</v>
      </c>
      <c r="M48" s="209">
        <f>_xll.qlInterpolationInterpolate(BasisInterpolator,I48,,L48)</f>
        <v>5.1764204919434974E-3</v>
      </c>
      <c r="N48" s="232">
        <f t="shared" si="0"/>
        <v>1.0468486876714186E-2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43109</v>
      </c>
      <c r="H49" s="195" t="str">
        <f>_xll.qlMakeDatedOIS(,I49,J49,OvernightIndex,0,"Act/360",0)</f>
        <v>obj_00421#0000</v>
      </c>
      <c r="I49" s="233">
        <f>_xll.qlCalendarAdvance(Calendar,$D$2,F49&amp;"M","mf")</f>
        <v>43111</v>
      </c>
      <c r="J49" s="233">
        <f>_xll.qlInterestRateIndexMaturity(IborIndex,I49)</f>
        <v>43476</v>
      </c>
      <c r="L49" s="232">
        <f>_xll.qlOvernightIndexedSwapFairRate(H49,_xll.ohTrigger($P$2:$P$6))</f>
        <v>5.5424357934565176E-3</v>
      </c>
      <c r="M49" s="209">
        <f>_xll.qlInterpolationInterpolate(BasisInterpolator,I49,,L49)</f>
        <v>5.1913822319537241E-3</v>
      </c>
      <c r="N49" s="232">
        <f t="shared" si="0"/>
        <v>1.0733818025410242E-2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43139</v>
      </c>
      <c r="H50" s="195" t="str">
        <f>_xll.qlMakeDatedOIS(,I50,J50,OvernightIndex,0,"Act/360",0)</f>
        <v>obj_00437#0000</v>
      </c>
      <c r="I50" s="233">
        <f>_xll.qlCalendarAdvance(Calendar,$D$2,F50&amp;"M","mf")</f>
        <v>43143</v>
      </c>
      <c r="J50" s="233">
        <f>_xll.qlInterestRateIndexMaturity(IborIndex,I50)</f>
        <v>43508</v>
      </c>
      <c r="L50" s="232">
        <f>_xll.qlOvernightIndexedSwapFairRate(H50,_xll.ohTrigger($P$2:$P$6))</f>
        <v>5.8056489166031979E-3</v>
      </c>
      <c r="M50" s="209">
        <f>_xll.qlInterpolationInterpolate(BasisInterpolator,I50,,L50)</f>
        <v>5.2042670252862742E-3</v>
      </c>
      <c r="N50" s="232">
        <f t="shared" si="0"/>
        <v>1.1009915941889471E-2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43167</v>
      </c>
      <c r="H51" s="195" t="str">
        <f>_xll.qlMakeDatedOIS(,I51,J51,OvernightIndex,0,"Act/360",0)</f>
        <v>obj_00417#0000</v>
      </c>
      <c r="I51" s="233">
        <f>_xll.qlCalendarAdvance(Calendar,$D$2,F51&amp;"M","mf")</f>
        <v>43171</v>
      </c>
      <c r="J51" s="233">
        <f>_xll.qlInterestRateIndexMaturity(IborIndex,I51)</f>
        <v>43536</v>
      </c>
      <c r="L51" s="232">
        <f>_xll.qlOvernightIndexedSwapFairRate(H51,_xll.ohTrigger($P$2:$P$6))</f>
        <v>6.0401621938990088E-3</v>
      </c>
      <c r="M51" s="209">
        <f>_xll.qlInterpolationInterpolate(BasisInterpolator,I51,,L51)</f>
        <v>5.2137110440769168E-3</v>
      </c>
      <c r="N51" s="232">
        <f t="shared" si="0"/>
        <v>1.1253873237975925E-2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43199</v>
      </c>
      <c r="H52" s="195" t="str">
        <f>_xll.qlMakeDatedOIS(,I52,J52,OvernightIndex,0,"Act/360",0)</f>
        <v>obj_003f6#0000</v>
      </c>
      <c r="I52" s="233">
        <f>_xll.qlCalendarAdvance(Calendar,$D$2,F52&amp;"M","mf")</f>
        <v>43201</v>
      </c>
      <c r="J52" s="233">
        <f>_xll.qlInterestRateIndexMaturity(IborIndex,I52)</f>
        <v>43566</v>
      </c>
      <c r="L52" s="232">
        <f>_xll.qlOvernightIndexedSwapFairRate(H52,_xll.ohTrigger($P$2:$P$6))</f>
        <v>6.2960132054482934E-3</v>
      </c>
      <c r="M52" s="209">
        <f>_xll.qlInterpolationInterpolate(BasisInterpolator,I52,,L52)</f>
        <v>5.2222442759300713E-3</v>
      </c>
      <c r="N52" s="232">
        <f t="shared" si="0"/>
        <v>1.1518257481378365E-2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43229</v>
      </c>
      <c r="H53" s="195" t="str">
        <f>_xll.qlMakeDatedOIS(,I53,J53,OvernightIndex,0,"Act/360",0)</f>
        <v>obj_0042d#0000</v>
      </c>
      <c r="I53" s="233">
        <f>_xll.qlCalendarAdvance(Calendar,$D$2,F53&amp;"M","mf")</f>
        <v>43231</v>
      </c>
      <c r="J53" s="233">
        <f>_xll.qlInterestRateIndexMaturity(IborIndex,I53)</f>
        <v>43598</v>
      </c>
      <c r="L53" s="232">
        <f>_xll.qlOvernightIndexedSwapFairRate(H53,_xll.ohTrigger($P$2:$P$6))</f>
        <v>6.5661180223384446E-3</v>
      </c>
      <c r="M53" s="209">
        <f>_xll.qlInterpolationInterpolate(BasisInterpolator,I53,,L53)</f>
        <v>5.2294512248488899E-3</v>
      </c>
      <c r="N53" s="232">
        <f t="shared" si="0"/>
        <v>1.1795569247187335E-2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43258</v>
      </c>
      <c r="H54" s="195" t="str">
        <f>_xll.qlMakeDatedOIS(,I54,J54,OvernightIndex,0,"Act/360",0)</f>
        <v>obj_00418#0000</v>
      </c>
      <c r="I54" s="233">
        <f>_xll.qlCalendarAdvance(Calendar,$D$2,F54&amp;"M","mf")</f>
        <v>43262</v>
      </c>
      <c r="J54" s="233">
        <f>_xll.qlInterestRateIndexMaturity(IborIndex,I54)</f>
        <v>43627</v>
      </c>
      <c r="L54" s="232">
        <f>_xll.qlOvernightIndexedSwapFairRate(H54,_xll.ohTrigger($P$2:$P$6))</f>
        <v>6.8318690834325881E-3</v>
      </c>
      <c r="M54" s="209">
        <f>_xll.qlInterpolationInterpolate(BasisInterpolator,I54,,L54)</f>
        <v>5.2358459139271573E-3</v>
      </c>
      <c r="N54" s="232">
        <f t="shared" si="0"/>
        <v>1.2067714997359745E-2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43290</v>
      </c>
      <c r="H55" s="195" t="str">
        <f>_xll.qlMakeDatedOIS(,I55,J55,OvernightIndex,0,"Act/360",0)</f>
        <v>obj_003f3#0000</v>
      </c>
      <c r="I55" s="233">
        <f>_xll.qlCalendarAdvance(Calendar,$D$2,F55&amp;"M","mf")</f>
        <v>43292</v>
      </c>
      <c r="J55" s="233">
        <f>_xll.qlInterestRateIndexMaturity(IborIndex,I55)</f>
        <v>43657</v>
      </c>
      <c r="L55" s="232">
        <f>_xll.qlOvernightIndexedSwapFairRate(H55,_xll.ohTrigger($P$2:$P$6))</f>
        <v>7.1035866240756291E-3</v>
      </c>
      <c r="M55" s="209">
        <f>_xll.qlInterpolationInterpolate(BasisInterpolator,I55,,L55)</f>
        <v>5.2413456300956889E-3</v>
      </c>
      <c r="N55" s="232">
        <f t="shared" si="0"/>
        <v>1.2344932254171319E-2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43321</v>
      </c>
      <c r="H56" s="374" t="str">
        <f>_xll.qlMakeDatedOIS(,I56,J56,OvernightIndex,0,"Act/360",0)</f>
        <v>obj_0043a#0000</v>
      </c>
      <c r="I56" s="375">
        <f>_xll.qlCalendarAdvance(Calendar,$D$2,F56&amp;"M","mf")</f>
        <v>43325</v>
      </c>
      <c r="J56" s="375">
        <f>_xll.qlInterestRateIndexMaturity(IborIndex,I56)</f>
        <v>43690</v>
      </c>
      <c r="K56" s="374"/>
      <c r="L56" s="376">
        <f>_xll.qlOvernightIndexedSwapFairRate(H56,_xll.ohTrigger($P$2:$P$6))</f>
        <v>7.4090954453094326E-3</v>
      </c>
      <c r="M56" s="377">
        <f>_xll.qlInterpolationInterpolate(BasisInterpolator,I56,,L56)</f>
        <v>5.2469999999999999E-3</v>
      </c>
      <c r="N56" s="376">
        <f t="shared" si="0"/>
        <v>1.2656095445309433E-2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7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7.1064621048786488E-4</v>
      </c>
      <c r="K3" s="178" t="s">
        <v>87</v>
      </c>
      <c r="L3" s="284">
        <v>7.1064621048786488E-4</v>
      </c>
      <c r="M3" s="175"/>
      <c r="N3" s="288">
        <f t="array" ref="N3:N84">QuoteLive</f>
        <v>7.1064621048786488E-4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6.8251696678788801E-4</v>
      </c>
      <c r="K4" s="178" t="s">
        <v>87</v>
      </c>
      <c r="L4" s="284">
        <v>6.8251696678788801E-4</v>
      </c>
      <c r="M4" s="175"/>
      <c r="N4" s="288">
        <v>6.8251696678788801E-4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7.4469954215108198E-4</v>
      </c>
      <c r="K5" s="178" t="s">
        <v>87</v>
      </c>
      <c r="L5" s="284">
        <v>7.4469954215108198E-4</v>
      </c>
      <c r="M5" s="175"/>
      <c r="N5" s="288">
        <v>7.4469954215108198E-4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9.8688207880470637E-4</v>
      </c>
      <c r="K6" s="178" t="s">
        <v>87</v>
      </c>
      <c r="L6" s="285">
        <v>9.8688207880470637E-4</v>
      </c>
      <c r="M6" s="175"/>
      <c r="N6" s="290">
        <v>9.8688207880470637E-4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9.6000000000000002E-4</v>
      </c>
      <c r="K7" s="298" t="s">
        <v>87</v>
      </c>
      <c r="L7" s="286">
        <v>9.6000000000000002E-4</v>
      </c>
      <c r="M7" s="297"/>
      <c r="N7" s="292">
        <v>9.6000000000000002E-4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86</v>
      </c>
      <c r="J8" s="300">
        <f>SynthDepo!H34</f>
        <v>2.3227287001623301E-3</v>
      </c>
      <c r="K8" s="185"/>
      <c r="L8" s="301">
        <v>2.3227287001623301E-3</v>
      </c>
      <c r="M8" s="183"/>
      <c r="N8" s="302">
        <v>2.3227287001623301E-3</v>
      </c>
      <c r="O8" s="303">
        <f>_xll.qlSimpleQuoteSetValue(D8,ROUND($N8,6),EvaluationDate)</f>
        <v>0</v>
      </c>
      <c r="P8" s="354">
        <f>_xll.ohTrigger(O8:O14)</f>
        <v>7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88</v>
      </c>
      <c r="J9" s="278">
        <f>SynthDepo!H35</f>
        <v>2.2407003705330769E-3</v>
      </c>
      <c r="K9" s="185"/>
      <c r="L9" s="284">
        <v>2.2407003705330769E-3</v>
      </c>
      <c r="M9" s="183"/>
      <c r="N9" s="288">
        <v>2.2407003705330769E-3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89</v>
      </c>
      <c r="J10" s="278">
        <f>SynthDepo!H36</f>
        <v>2.2437226518060797E-3</v>
      </c>
      <c r="K10" s="185"/>
      <c r="L10" s="284">
        <v>2.2437226518060797E-3</v>
      </c>
      <c r="M10" s="183"/>
      <c r="N10" s="288">
        <v>2.2437226518060797E-3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90</v>
      </c>
      <c r="J11" s="280">
        <f>SynthDepo!H37</f>
        <v>2.4307531727989105E-3</v>
      </c>
      <c r="K11" s="185"/>
      <c r="L11" s="285">
        <v>2.4307531727989105E-3</v>
      </c>
      <c r="M11" s="183"/>
      <c r="N11" s="290">
        <v>2.4307531727989105E-3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91</v>
      </c>
      <c r="J12" s="278">
        <f>SynthDepo!H38</f>
        <v>2.3320356362440662E-3</v>
      </c>
      <c r="K12" s="185"/>
      <c r="L12" s="284">
        <v>2.3320356362440662E-3</v>
      </c>
      <c r="M12" s="183"/>
      <c r="N12" s="288">
        <v>2.3320356362440662E-3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92</v>
      </c>
      <c r="J13" s="278">
        <f>SynthDepo!H39</f>
        <v>2.1471101794718213E-3</v>
      </c>
      <c r="K13" s="185"/>
      <c r="L13" s="284">
        <v>2.1471101794718213E-3</v>
      </c>
      <c r="M13" s="183"/>
      <c r="N13" s="288">
        <v>2.1471101794718213E-3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93</v>
      </c>
      <c r="J14" s="282">
        <f>SynthDepo!H40</f>
        <v>2.050000000000001E-3</v>
      </c>
      <c r="K14" s="185"/>
      <c r="L14" s="286">
        <v>2.050000000000001E-3</v>
      </c>
      <c r="M14" s="183"/>
      <c r="N14" s="292">
        <v>2.050000000000001E-3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3.2691148246482061E-3</v>
      </c>
      <c r="K15" s="185"/>
      <c r="L15" s="301">
        <v>3.2691148246482061E-3</v>
      </c>
      <c r="M15" s="183"/>
      <c r="N15" s="302">
        <v>3.2691148246482061E-3</v>
      </c>
      <c r="O15" s="303">
        <f>_xll.qlSimpleQuoteSetValue(D15,ROUND($N15,6),EvaluationDate)</f>
        <v>0</v>
      </c>
      <c r="P15" s="355">
        <f>_xll.ohTrigger(O15:O24)</f>
        <v>7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3.2121570666262685E-3</v>
      </c>
      <c r="K16" s="185"/>
      <c r="L16" s="284">
        <v>3.2121570666262685E-3</v>
      </c>
      <c r="M16" s="183"/>
      <c r="N16" s="288">
        <v>3.2121570666262685E-3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3.241810750651223E-3</v>
      </c>
      <c r="K17" s="185"/>
      <c r="L17" s="284">
        <v>3.241810750651223E-3</v>
      </c>
      <c r="M17" s="183"/>
      <c r="N17" s="288">
        <v>3.241810750651223E-3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3.4526537232889157E-3</v>
      </c>
      <c r="K18" s="185"/>
      <c r="L18" s="284">
        <v>3.4526537232889157E-3</v>
      </c>
      <c r="M18" s="183"/>
      <c r="N18" s="288">
        <v>3.4526537232889157E-3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3.3830639575715767E-3</v>
      </c>
      <c r="K19" s="185"/>
      <c r="L19" s="284">
        <v>3.3830639575715767E-3</v>
      </c>
      <c r="M19" s="183"/>
      <c r="N19" s="288">
        <v>3.3830639575715767E-3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3.2526874665821225E-3</v>
      </c>
      <c r="K20" s="185"/>
      <c r="L20" s="284">
        <v>3.2526874665821225E-3</v>
      </c>
      <c r="M20" s="183"/>
      <c r="N20" s="288">
        <v>3.2526874665821225E-3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3.1541273433872714E-3</v>
      </c>
      <c r="K21" s="185"/>
      <c r="L21" s="284">
        <v>3.1541273433872714E-3</v>
      </c>
      <c r="M21" s="183"/>
      <c r="N21" s="288">
        <v>3.1541273433872714E-3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3.1043389581884425E-3</v>
      </c>
      <c r="K22" s="185"/>
      <c r="L22" s="284">
        <v>3.1043389581884425E-3</v>
      </c>
      <c r="M22" s="183"/>
      <c r="N22" s="288">
        <v>3.1043389581884425E-3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3.0546424909244823E-3</v>
      </c>
      <c r="K23" s="185"/>
      <c r="L23" s="284">
        <v>3.0546424909244823E-3</v>
      </c>
      <c r="M23" s="183"/>
      <c r="N23" s="288">
        <v>3.0546424909244823E-3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3.0399999999999954E-3</v>
      </c>
      <c r="K24" s="185"/>
      <c r="L24" s="286">
        <v>3.0399999999999954E-3</v>
      </c>
      <c r="M24" s="183"/>
      <c r="N24" s="292">
        <v>3.0399999999999954E-3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4.6653980873847525E-3</v>
      </c>
      <c r="K25" s="185"/>
      <c r="L25" s="301">
        <v>4.6653980873847525E-3</v>
      </c>
      <c r="M25" s="183"/>
      <c r="N25" s="302">
        <v>4.6653980873847525E-3</v>
      </c>
      <c r="O25" s="303">
        <f>_xll.qlSimpleQuoteSetValue(D25,ROUND($N25,6),EvaluationDate)</f>
        <v>0</v>
      </c>
      <c r="P25" s="355">
        <f>_xll.ohTrigger(O25:O40)</f>
        <v>7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4.6371223005405322E-3</v>
      </c>
      <c r="K26" s="185"/>
      <c r="L26" s="284">
        <v>4.6371223005405322E-3</v>
      </c>
      <c r="M26" s="183"/>
      <c r="N26" s="288">
        <v>4.6371223005405322E-3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4.6991339089021084E-3</v>
      </c>
      <c r="K27" s="185"/>
      <c r="L27" s="284">
        <v>4.6991339089021084E-3</v>
      </c>
      <c r="M27" s="183"/>
      <c r="N27" s="288">
        <v>4.6991339089021084E-3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4.9411454785541148E-3</v>
      </c>
      <c r="K28" s="185"/>
      <c r="L28" s="284">
        <v>4.9411454785541148E-3</v>
      </c>
      <c r="M28" s="183"/>
      <c r="N28" s="288">
        <v>4.9411454785541148E-3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4.9140191611756695E-3</v>
      </c>
      <c r="K29" s="185"/>
      <c r="L29" s="285">
        <v>4.9140191611756695E-3</v>
      </c>
      <c r="M29" s="183"/>
      <c r="N29" s="290">
        <v>4.9140191611756695E-3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4.9032149301647329E-3</v>
      </c>
      <c r="K30" s="185"/>
      <c r="L30" s="284">
        <v>4.9032149301647329E-3</v>
      </c>
      <c r="M30" s="183"/>
      <c r="N30" s="288">
        <v>4.9032149301647329E-3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4.8915485958084389E-3</v>
      </c>
      <c r="K31" s="185"/>
      <c r="L31" s="284">
        <v>4.8915485958084389E-3</v>
      </c>
      <c r="M31" s="183"/>
      <c r="N31" s="288">
        <v>4.8915485958084389E-3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4.9101696292342687E-3</v>
      </c>
      <c r="K32" s="185"/>
      <c r="L32" s="284">
        <v>4.9101696292342687E-3</v>
      </c>
      <c r="M32" s="183"/>
      <c r="N32" s="288">
        <v>4.9101696292342687E-3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4.9093653982230784E-3</v>
      </c>
      <c r="K33" s="185"/>
      <c r="L33" s="284">
        <v>4.9093653982230784E-3</v>
      </c>
      <c r="M33" s="183"/>
      <c r="N33" s="288">
        <v>4.9093653982230784E-3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4.9179864316478746E-3</v>
      </c>
      <c r="K34" s="185"/>
      <c r="L34" s="284">
        <v>4.9179864316478746E-3</v>
      </c>
      <c r="M34" s="183"/>
      <c r="N34" s="288">
        <v>4.9179864316478746E-3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4.9360327295128389E-3</v>
      </c>
      <c r="K35" s="185"/>
      <c r="L35" s="284">
        <v>4.9360327295128389E-3</v>
      </c>
      <c r="M35" s="183"/>
      <c r="N35" s="288">
        <v>4.9360327295128389E-3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4.9155158662862655E-3</v>
      </c>
      <c r="K36" s="185"/>
      <c r="L36" s="284">
        <v>4.9155158662862655E-3</v>
      </c>
      <c r="M36" s="183"/>
      <c r="N36" s="288">
        <v>4.9155158662862655E-3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4.893562164149429E-3</v>
      </c>
      <c r="K37" s="185"/>
      <c r="L37" s="284">
        <v>4.893562164149429E-3</v>
      </c>
      <c r="M37" s="183"/>
      <c r="N37" s="288">
        <v>4.893562164149429E-3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4.862470565361628E-3</v>
      </c>
      <c r="K38" s="185"/>
      <c r="L38" s="284">
        <v>4.862470565361628E-3</v>
      </c>
      <c r="M38" s="183"/>
      <c r="N38" s="288">
        <v>4.862470565361628E-3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4.8416663343563079E-3</v>
      </c>
      <c r="K39" s="185"/>
      <c r="L39" s="284">
        <v>4.8416663343563079E-3</v>
      </c>
      <c r="M39" s="183"/>
      <c r="N39" s="288">
        <v>4.8416663343563079E-3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4.8399999999999997E-3</v>
      </c>
      <c r="K40" s="185"/>
      <c r="L40" s="286">
        <v>4.8399999999999997E-3</v>
      </c>
      <c r="M40" s="183"/>
      <c r="N40" s="292">
        <v>4.8399999999999997E-3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4.8249498610409298E-3</v>
      </c>
      <c r="K41" s="241"/>
      <c r="L41" s="311">
        <v>4.8249498610409298E-3</v>
      </c>
      <c r="M41" s="242"/>
      <c r="N41" s="313">
        <v>4.8249498610409298E-3</v>
      </c>
      <c r="O41" s="314">
        <f>_xll.qlSimpleQuoteSetValue(D41,ROUND(N41,6),EvaluationDate)</f>
        <v>0</v>
      </c>
      <c r="P41" s="355">
        <f>_xll.ohTrigger(O41:O84)</f>
        <v>7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4.8017030568435776E-3</v>
      </c>
      <c r="K42" s="242"/>
      <c r="L42" s="311">
        <v>4.8017030568435776E-3</v>
      </c>
      <c r="M42" s="242"/>
      <c r="N42" s="313">
        <v>4.8017030568435776E-3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4.7872787954381735E-3</v>
      </c>
      <c r="K43" s="242"/>
      <c r="L43" s="311">
        <v>4.7872787954381735E-3</v>
      </c>
      <c r="M43" s="242"/>
      <c r="N43" s="313">
        <v>4.7872787954381735E-3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4.7783660686085382E-3</v>
      </c>
      <c r="K44" s="242"/>
      <c r="L44" s="311">
        <v>4.7783660686085382E-3</v>
      </c>
      <c r="M44" s="242"/>
      <c r="N44" s="313">
        <v>4.7783660686085382E-3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4.7875674985318438E-3</v>
      </c>
      <c r="K45" s="242"/>
      <c r="L45" s="311">
        <v>4.7875674985318438E-3</v>
      </c>
      <c r="M45" s="242"/>
      <c r="N45" s="313">
        <v>4.7875674985318438E-3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4.7985773584707887E-3</v>
      </c>
      <c r="K46" s="242"/>
      <c r="L46" s="311">
        <v>4.7985773584707887E-3</v>
      </c>
      <c r="M46" s="242"/>
      <c r="N46" s="313">
        <v>4.7985773584707887E-3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4.8050642102595072E-3</v>
      </c>
      <c r="K47" s="242"/>
      <c r="L47" s="311">
        <v>4.8050642102595072E-3</v>
      </c>
      <c r="M47" s="242"/>
      <c r="N47" s="313">
        <v>4.8050642102595072E-3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4.8421533951498079E-3</v>
      </c>
      <c r="K48" s="242"/>
      <c r="L48" s="311">
        <v>4.8421533951498079E-3</v>
      </c>
      <c r="M48" s="242"/>
      <c r="N48" s="313">
        <v>4.8421533951498079E-3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4.8882020331937224E-3</v>
      </c>
      <c r="K49" s="242"/>
      <c r="L49" s="311">
        <v>4.8882020331937224E-3</v>
      </c>
      <c r="M49" s="242"/>
      <c r="N49" s="313">
        <v>4.8882020331937224E-3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4.9632987847044469E-3</v>
      </c>
      <c r="K50" s="242"/>
      <c r="L50" s="311">
        <v>4.9632987847044469E-3</v>
      </c>
      <c r="M50" s="242"/>
      <c r="N50" s="313">
        <v>4.9632987847044469E-3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5.0417725017325209E-3</v>
      </c>
      <c r="K51" s="242"/>
      <c r="L51" s="311">
        <v>5.0417725017325209E-3</v>
      </c>
      <c r="M51" s="242"/>
      <c r="N51" s="313">
        <v>5.0417725017325209E-3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5.2045811574610865E-3</v>
      </c>
      <c r="K52" s="242"/>
      <c r="L52" s="311">
        <v>5.2045811574610865E-3</v>
      </c>
      <c r="M52" s="242"/>
      <c r="N52" s="313">
        <v>5.2045811574610865E-3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5.3136153315283749E-3</v>
      </c>
      <c r="K53" s="242"/>
      <c r="L53" s="311">
        <v>5.3136153315283749E-3</v>
      </c>
      <c r="M53" s="242"/>
      <c r="N53" s="313">
        <v>5.3136153315283749E-3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5.4257391783314162E-3</v>
      </c>
      <c r="K54" s="242"/>
      <c r="L54" s="311">
        <v>5.4257391783314162E-3</v>
      </c>
      <c r="M54" s="242"/>
      <c r="N54" s="313">
        <v>5.4257391783314162E-3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5.5356936133734436E-3</v>
      </c>
      <c r="K55" s="242"/>
      <c r="L55" s="311">
        <v>5.5356936133734436E-3</v>
      </c>
      <c r="M55" s="242"/>
      <c r="N55" s="313">
        <v>5.5356936133734436E-3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5.6447618464241147E-3</v>
      </c>
      <c r="K56" s="242"/>
      <c r="L56" s="311">
        <v>5.6447618464241147E-3</v>
      </c>
      <c r="M56" s="242"/>
      <c r="N56" s="313">
        <v>5.6447618464241147E-3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5.7661057744114929E-3</v>
      </c>
      <c r="K57" s="242"/>
      <c r="L57" s="311">
        <v>5.7661057744114929E-3</v>
      </c>
      <c r="M57" s="242"/>
      <c r="N57" s="313">
        <v>5.7661057744114929E-3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5.8841846104302426E-3</v>
      </c>
      <c r="K58" s="242"/>
      <c r="L58" s="311">
        <v>5.8841846104302426E-3</v>
      </c>
      <c r="M58" s="242"/>
      <c r="N58" s="313">
        <v>5.8841846104302426E-3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6.0182254178672246E-3</v>
      </c>
      <c r="K59" s="242"/>
      <c r="L59" s="311">
        <v>6.0182254178672246E-3</v>
      </c>
      <c r="M59" s="242"/>
      <c r="N59" s="313">
        <v>6.0182254178672246E-3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6.1595591956409672E-3</v>
      </c>
      <c r="K60" s="242"/>
      <c r="L60" s="311">
        <v>6.1595591956409672E-3</v>
      </c>
      <c r="M60" s="242"/>
      <c r="N60" s="313">
        <v>6.1595591956409672E-3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6.3215463959505171E-3</v>
      </c>
      <c r="K61" s="242"/>
      <c r="L61" s="311">
        <v>6.3215463959505171E-3</v>
      </c>
      <c r="M61" s="242"/>
      <c r="N61" s="313">
        <v>6.3215463959505171E-3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6.4663389568383467E-3</v>
      </c>
      <c r="K62" s="242"/>
      <c r="L62" s="311">
        <v>6.4663389568383467E-3</v>
      </c>
      <c r="M62" s="242"/>
      <c r="N62" s="313">
        <v>6.4663389568383467E-3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6.8294383840059088E-3</v>
      </c>
      <c r="K63" s="242"/>
      <c r="L63" s="311">
        <v>6.8294383840059088E-3</v>
      </c>
      <c r="M63" s="242"/>
      <c r="N63" s="313">
        <v>6.8294383840059088E-3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7.0164824379157324E-3</v>
      </c>
      <c r="K64" s="242"/>
      <c r="L64" s="311">
        <v>7.0164824379157324E-3</v>
      </c>
      <c r="M64" s="242"/>
      <c r="N64" s="313">
        <v>7.0164824379157324E-3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7.2353741567241139E-3</v>
      </c>
      <c r="K65" s="242"/>
      <c r="L65" s="311">
        <v>7.2353741567241139E-3</v>
      </c>
      <c r="M65" s="242"/>
      <c r="N65" s="313">
        <v>7.2353741567241139E-3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7.4527628305732264E-3</v>
      </c>
      <c r="K66" s="242"/>
      <c r="L66" s="311">
        <v>7.4527628305732264E-3</v>
      </c>
      <c r="M66" s="242"/>
      <c r="N66" s="313">
        <v>7.4527628305732264E-3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7.6789780771461865E-3</v>
      </c>
      <c r="K67" s="242"/>
      <c r="L67" s="311">
        <v>7.6789780771461865E-3</v>
      </c>
      <c r="M67" s="242"/>
      <c r="N67" s="313">
        <v>7.6789780771461865E-3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7.9371033380415401E-3</v>
      </c>
      <c r="K68" s="242"/>
      <c r="L68" s="311">
        <v>7.9371033380415401E-3</v>
      </c>
      <c r="M68" s="242"/>
      <c r="N68" s="313">
        <v>7.9371033380415401E-3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8.16249655671554E-3</v>
      </c>
      <c r="K69" s="242"/>
      <c r="L69" s="311">
        <v>8.16249655671554E-3</v>
      </c>
      <c r="M69" s="242"/>
      <c r="N69" s="313">
        <v>8.16249655671554E-3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8.4009123097550983E-3</v>
      </c>
      <c r="K70" s="242"/>
      <c r="L70" s="311">
        <v>8.4009123097550983E-3</v>
      </c>
      <c r="M70" s="242"/>
      <c r="N70" s="313">
        <v>8.4009123097550983E-3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8.651631951055859E-3</v>
      </c>
      <c r="K71" s="242"/>
      <c r="L71" s="311">
        <v>8.651631951055859E-3</v>
      </c>
      <c r="M71" s="242"/>
      <c r="N71" s="313">
        <v>8.651631951055859E-3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8.9221858278864478E-3</v>
      </c>
      <c r="K72" s="242"/>
      <c r="L72" s="311">
        <v>8.9221858278864478E-3</v>
      </c>
      <c r="M72" s="242"/>
      <c r="N72" s="313">
        <v>8.9221858278864478E-3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9.1688576203865588E-3</v>
      </c>
      <c r="K73" s="242"/>
      <c r="L73" s="311">
        <v>9.1688576203865588E-3</v>
      </c>
      <c r="M73" s="242"/>
      <c r="N73" s="313">
        <v>9.1688576203865588E-3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9.6958257491254161E-3</v>
      </c>
      <c r="K74" s="242"/>
      <c r="L74" s="311">
        <v>9.6958257491254161E-3</v>
      </c>
      <c r="M74" s="242"/>
      <c r="N74" s="313">
        <v>9.6958257491254161E-3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9.950109858384619E-3</v>
      </c>
      <c r="K75" s="242"/>
      <c r="L75" s="311">
        <v>9.950109858384619E-3</v>
      </c>
      <c r="M75" s="242"/>
      <c r="N75" s="313">
        <v>9.950109858384619E-3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1.0230119284083183E-2</v>
      </c>
      <c r="K76" s="242"/>
      <c r="L76" s="311">
        <v>1.0230119284083183E-2</v>
      </c>
      <c r="M76" s="242"/>
      <c r="N76" s="313">
        <v>1.0230119284083183E-2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1.0468486876714186E-2</v>
      </c>
      <c r="K77" s="242"/>
      <c r="L77" s="311">
        <v>1.0468486876714186E-2</v>
      </c>
      <c r="M77" s="242"/>
      <c r="N77" s="313">
        <v>1.0468486876714186E-2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1.0733818025410242E-2</v>
      </c>
      <c r="K78" s="242"/>
      <c r="L78" s="311">
        <v>1.0733818025410242E-2</v>
      </c>
      <c r="M78" s="242"/>
      <c r="N78" s="313">
        <v>1.0733818025410242E-2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1.1009915941889471E-2</v>
      </c>
      <c r="K79" s="242"/>
      <c r="L79" s="311">
        <v>1.1009915941889471E-2</v>
      </c>
      <c r="M79" s="242"/>
      <c r="N79" s="313">
        <v>1.1009915941889471E-2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1.1253873237975925E-2</v>
      </c>
      <c r="K80" s="242"/>
      <c r="L80" s="311">
        <v>1.1253873237975925E-2</v>
      </c>
      <c r="M80" s="242"/>
      <c r="N80" s="313">
        <v>1.1253873237975925E-2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1.1518257481378365E-2</v>
      </c>
      <c r="K81" s="242"/>
      <c r="L81" s="311">
        <v>1.1518257481378365E-2</v>
      </c>
      <c r="M81" s="242"/>
      <c r="N81" s="313">
        <v>1.1518257481378365E-2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1.1795569247187335E-2</v>
      </c>
      <c r="K82" s="242"/>
      <c r="L82" s="311">
        <v>1.1795569247187335E-2</v>
      </c>
      <c r="M82" s="242"/>
      <c r="N82" s="313">
        <v>1.1795569247187335E-2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1.2067714997359745E-2</v>
      </c>
      <c r="K83" s="242"/>
      <c r="L83" s="311">
        <v>1.2067714997359745E-2</v>
      </c>
      <c r="M83" s="242"/>
      <c r="N83" s="313">
        <v>1.2067714997359745E-2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1.2344932254171319E-2</v>
      </c>
      <c r="K84" s="242"/>
      <c r="L84" s="312">
        <v>1.2344932254171319E-2</v>
      </c>
      <c r="M84" s="242"/>
      <c r="N84" s="351">
        <v>1.2344932254171319E-2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0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148</v>
      </c>
      <c r="C2" s="394" t="s">
        <v>106</v>
      </c>
      <c r="D2" s="395" t="s">
        <v>127</v>
      </c>
      <c r="E2" s="418" t="s">
        <v>128</v>
      </c>
      <c r="F2" s="418"/>
      <c r="G2" s="418" t="s">
        <v>154</v>
      </c>
      <c r="H2" s="396" t="s">
        <v>45</v>
      </c>
      <c r="I2" s="429" t="s">
        <v>149</v>
      </c>
    </row>
    <row r="3" spans="1:10" x14ac:dyDescent="0.2">
      <c r="B3" s="401" t="s">
        <v>155</v>
      </c>
      <c r="C3" s="400">
        <f>RateHelpersFra!G2</f>
        <v>4.8399999999999997E-3</v>
      </c>
      <c r="D3" s="398">
        <f>RateHelpersFra!K2</f>
        <v>41862</v>
      </c>
      <c r="E3" s="398">
        <f>RateHelpersFra!L2</f>
        <v>42227</v>
      </c>
      <c r="F3" s="398" t="str">
        <f>_xll.qlMakeDatedOIS(,D3,E3,OvernightIndex,0,"Act/360",0)</f>
        <v>obj_0043b#0005</v>
      </c>
      <c r="G3" s="420">
        <f>_xll.qlIndexFixing(IborIndex,SynthFra!G2,TRUE,InterestRatesTrigger)</f>
        <v>4.8400000000012669E-3</v>
      </c>
      <c r="H3" s="400">
        <f>SynthFra!L2</f>
        <v>4.7000000001758797E-4</v>
      </c>
      <c r="I3" s="430">
        <f>SynthFra!M2</f>
        <v>4.3699999999999998E-3</v>
      </c>
      <c r="J3" s="424">
        <f>I3-H11</f>
        <v>0</v>
      </c>
    </row>
    <row r="4" spans="1:10" x14ac:dyDescent="0.2">
      <c r="B4" s="401" t="s">
        <v>150</v>
      </c>
      <c r="C4" s="400">
        <f>RateHelpersFra!G3</f>
        <v>5.11E-3</v>
      </c>
      <c r="D4" s="398">
        <f>RateHelpersFra!K3</f>
        <v>42227</v>
      </c>
      <c r="E4" s="398">
        <f>RateHelpersFra!L3</f>
        <v>42593</v>
      </c>
      <c r="F4" s="398" t="str">
        <f>_xll.qlMakeDatedOIS(,D4,E4,OvernightIndex,0,"Act/360",0)</f>
        <v>obj_0043d#0005</v>
      </c>
      <c r="G4" s="420">
        <f>_xll.qlIndexFixing(IborIndex,SynthFra!G3,TRUE,InterestRatesTrigger)</f>
        <v>5.1100000000013929E-3</v>
      </c>
      <c r="H4" s="400">
        <f>SynthFra!L3</f>
        <v>5.299341522098719E-4</v>
      </c>
      <c r="I4" s="430">
        <f>SynthFra!M3</f>
        <v>4.5799999999999999E-3</v>
      </c>
      <c r="J4" s="424">
        <f>I4-H23</f>
        <v>0</v>
      </c>
    </row>
    <row r="5" spans="1:10" x14ac:dyDescent="0.2">
      <c r="B5" s="401" t="s">
        <v>151</v>
      </c>
      <c r="C5" s="400">
        <f>RateHelpersFra!G4</f>
        <v>5.6100000000000004E-3</v>
      </c>
      <c r="D5" s="398">
        <f>RateHelpersFra!K4</f>
        <v>41862</v>
      </c>
      <c r="E5" s="398">
        <f>RateHelpersFra!L4</f>
        <v>42958</v>
      </c>
      <c r="F5" s="398" t="str">
        <f>_xll.qlMakeDatedOIS(,D5,E5,OvernightIndex,0,"Act/360",0)</f>
        <v>obj_0043f#0005</v>
      </c>
      <c r="G5" s="420">
        <f>_xll.qlIndexFixing(IborIndex,SynthFra!G4,TRUE,InterestRatesTrigger)</f>
        <v>6.6380319328165046E-3</v>
      </c>
      <c r="H5" s="400">
        <f>SynthFra!L4</f>
        <v>1.9735706368830819E-3</v>
      </c>
      <c r="I5" s="430">
        <f>SynthFra!M4</f>
        <v>4.6639999999999997E-3</v>
      </c>
      <c r="J5" s="424">
        <f>I5-H35</f>
        <v>0</v>
      </c>
    </row>
    <row r="6" spans="1:10" x14ac:dyDescent="0.2">
      <c r="B6" s="401" t="s">
        <v>152</v>
      </c>
      <c r="C6" s="400">
        <f>RateHelpersFra!G5</f>
        <v>6.6E-3</v>
      </c>
      <c r="D6" s="398">
        <f>RateHelpersFra!K5</f>
        <v>41862</v>
      </c>
      <c r="E6" s="398">
        <f>RateHelpersFra!L5</f>
        <v>43325</v>
      </c>
      <c r="F6" s="398" t="str">
        <f>_xll.qlMakeDatedOIS(,D6,E6,OvernightIndex,0,"Act/360",0)</f>
        <v>obj_0043e#0005</v>
      </c>
      <c r="G6" s="420">
        <f>_xll.qlIndexFixing(IborIndex,SynthFra!G5,TRUE,InterestRatesTrigger)</f>
        <v>9.4407933542456739E-3</v>
      </c>
      <c r="H6" s="400">
        <f>SynthFra!L5</f>
        <v>4.3535049889376898E-3</v>
      </c>
      <c r="I6" s="430">
        <f>SynthFra!M5</f>
        <v>5.0870000000000004E-3</v>
      </c>
      <c r="J6" s="424">
        <f>I6-H47</f>
        <v>0</v>
      </c>
    </row>
    <row r="7" spans="1:10" ht="12" thickBot="1" x14ac:dyDescent="0.25">
      <c r="B7" s="403" t="s">
        <v>153</v>
      </c>
      <c r="C7" s="428">
        <f>RateHelpersFra!G6</f>
        <v>7.8300000000000002E-3</v>
      </c>
      <c r="D7" s="426">
        <f>RateHelpersFra!K6</f>
        <v>41862</v>
      </c>
      <c r="E7" s="426">
        <f>RateHelpersFra!L6</f>
        <v>43689</v>
      </c>
      <c r="F7" s="426" t="str">
        <f>_xll.qlMakeDatedOIS(,D7,E7,OvernightIndex,0,"Act/360",0)</f>
        <v>obj_0043c#0005</v>
      </c>
      <c r="G7" s="427">
        <f>_xll.qlIndexFixing(IborIndex,SynthFra!G6,TRUE,InterestRatesTrigger)</f>
        <v>1.2655624892845673E-2</v>
      </c>
      <c r="H7" s="428">
        <f>SynthFra!L6</f>
        <v>7.4090954453094326E-3</v>
      </c>
      <c r="I7" s="431">
        <f>SynthFra!M6</f>
        <v>5.2469999999999999E-3</v>
      </c>
      <c r="J7" s="424">
        <f>I7-H59</f>
        <v>0</v>
      </c>
    </row>
    <row r="9" spans="1:10" ht="12" thickBot="1" x14ac:dyDescent="0.25"/>
    <row r="10" spans="1:10" ht="23.25" thickBot="1" x14ac:dyDescent="0.25">
      <c r="A10" s="402"/>
      <c r="B10" s="394" t="s">
        <v>148</v>
      </c>
      <c r="C10" s="394" t="s">
        <v>126</v>
      </c>
      <c r="D10" s="395" t="s">
        <v>127</v>
      </c>
      <c r="E10" s="418" t="s">
        <v>128</v>
      </c>
      <c r="F10" s="418"/>
      <c r="G10" s="418" t="s">
        <v>45</v>
      </c>
      <c r="H10" s="396" t="s">
        <v>149</v>
      </c>
      <c r="I10" s="395" t="s">
        <v>142</v>
      </c>
      <c r="J10" s="423"/>
    </row>
    <row r="11" spans="1:10" x14ac:dyDescent="0.2">
      <c r="A11" s="268"/>
      <c r="B11" s="405" t="s">
        <v>155</v>
      </c>
      <c r="C11" s="414">
        <f>_xll.qlInterestRateIndexFixingDate(IborIndex,D11)</f>
        <v>41858</v>
      </c>
      <c r="D11" s="415">
        <f>SynthFra!I2</f>
        <v>41862</v>
      </c>
      <c r="E11" s="415">
        <f>_xll.qlCalendarAdvance(Calendar,D11,"1Y","mf")</f>
        <v>42227</v>
      </c>
      <c r="F11" s="415" t="str">
        <f>_xll.qlMakeDatedOIS(,D11,E11,OvernightIndex,0,"Act/360",0)</f>
        <v>obj_00416#0000</v>
      </c>
      <c r="G11" s="419">
        <f>_xll.qlOvernightIndexedSwapFairRate(F11,Contribution!$P$25)</f>
        <v>4.7000000001758797E-4</v>
      </c>
      <c r="H11" s="417">
        <f t="array" ref="H11:H59">_xll.qlInterpolationInterpolate(BasisInterpolator,D11:D59,FALSE,_xll.ohTrigger(Trigger,InterestRatesTrigger))</f>
        <v>4.3699999999999998E-3</v>
      </c>
      <c r="I11" s="416">
        <f t="shared" ref="I11:I45" si="0">G11+H11</f>
        <v>4.840000000017588E-3</v>
      </c>
      <c r="J11" s="424">
        <f>SynthFra!N8-FRACharts!I11</f>
        <v>0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41891</v>
      </c>
      <c r="D12" s="398">
        <f>SynthFra!I9</f>
        <v>41893</v>
      </c>
      <c r="E12" s="398">
        <f>_xll.qlCalendarAdvance(Calendar,D12,"1Y","mf")</f>
        <v>42258</v>
      </c>
      <c r="F12" s="398" t="str">
        <f>_xll.qlMakeDatedOIS(,D12,E12,OvernightIndex,0,"Act/360",0)</f>
        <v>obj_0040c#0000</v>
      </c>
      <c r="G12" s="420">
        <f>_xll.qlOvernightIndexedSwapFairRate(F12,Contribution!$P$25)</f>
        <v>4.318276112925755E-4</v>
      </c>
      <c r="H12" s="400">
        <v>4.3931222497483541E-3</v>
      </c>
      <c r="I12" s="399">
        <f t="shared" si="0"/>
        <v>4.8249498610409298E-3</v>
      </c>
      <c r="J12" s="424">
        <f>SynthFra!N9-FRACharts!I12</f>
        <v>0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41921</v>
      </c>
      <c r="D13" s="398">
        <f>SynthFra!I10</f>
        <v>41925</v>
      </c>
      <c r="E13" s="398">
        <f>_xll.qlCalendarAdvance(Calendar,D13,"1Y","mf")</f>
        <v>42290</v>
      </c>
      <c r="F13" s="398" t="str">
        <f>_xll.qlMakeDatedOIS(,D13,E13,OvernightIndex,0,"Act/360",0)</f>
        <v>obj_00401#0000</v>
      </c>
      <c r="G13" s="420">
        <f>_xll.qlOvernightIndexedSwapFairRate(F13,Contribution!$P$25)</f>
        <v>3.8495701812766843E-4</v>
      </c>
      <c r="H13" s="400">
        <v>4.416746038715909E-3</v>
      </c>
      <c r="I13" s="399">
        <f t="shared" si="0"/>
        <v>4.8017030568435776E-3</v>
      </c>
      <c r="J13" s="424">
        <f>SynthFra!N10-FRACharts!I13</f>
        <v>0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41950</v>
      </c>
      <c r="D14" s="398">
        <f>SynthFra!I11</f>
        <v>41954</v>
      </c>
      <c r="E14" s="398">
        <f>_xll.qlCalendarAdvance(Calendar,D14,"1Y","mf")</f>
        <v>42319</v>
      </c>
      <c r="F14" s="398" t="str">
        <f>_xll.qlMakeDatedOIS(,D14,E14,OvernightIndex,0,"Act/360",0)</f>
        <v>obj_00406#0000</v>
      </c>
      <c r="G14" s="420">
        <f>_xll.qlOvernightIndexedSwapFairRate(F14,Contribution!$P$25)</f>
        <v>3.4954794285906737E-4</v>
      </c>
      <c r="H14" s="400">
        <v>4.4377308525791062E-3</v>
      </c>
      <c r="I14" s="399">
        <f t="shared" si="0"/>
        <v>4.7872787954381735E-3</v>
      </c>
      <c r="J14" s="424">
        <f>SynthFra!N11-FRACharts!I14</f>
        <v>0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41982</v>
      </c>
      <c r="D15" s="398">
        <f>SynthFra!I12</f>
        <v>41984</v>
      </c>
      <c r="E15" s="398">
        <f>_xll.qlCalendarAdvance(Calendar,D15,"1Y","mf")</f>
        <v>42349</v>
      </c>
      <c r="F15" s="398" t="str">
        <f>_xll.qlMakeDatedOIS(,D15,E15,OvernightIndex,0,"Act/360",0)</f>
        <v>obj_003f4#0000</v>
      </c>
      <c r="G15" s="420">
        <f>_xll.qlOvernightIndexedSwapFairRate(F15,Contribution!$P$25)</f>
        <v>3.1955895060914382E-4</v>
      </c>
      <c r="H15" s="400">
        <v>4.4588071179993945E-3</v>
      </c>
      <c r="I15" s="399">
        <f t="shared" si="0"/>
        <v>4.7783660686085382E-3</v>
      </c>
      <c r="J15" s="424">
        <f>SynthFra!N12-FRACharts!I15</f>
        <v>0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42012</v>
      </c>
      <c r="D16" s="398">
        <f>SynthFra!I13</f>
        <v>42016</v>
      </c>
      <c r="E16" s="398">
        <f>_xll.qlCalendarAdvance(Calendar,D16,"1Y","mf")</f>
        <v>42381</v>
      </c>
      <c r="F16" s="398" t="str">
        <f>_xll.qlMakeDatedOIS(,D16,E16,OvernightIndex,0,"Act/360",0)</f>
        <v>obj_003eb#0000</v>
      </c>
      <c r="G16" s="420">
        <f>_xll.qlOvernightIndexedSwapFairRate(F16,Contribution!$P$25)</f>
        <v>3.0722041153255611E-4</v>
      </c>
      <c r="H16" s="400">
        <v>4.480347086999288E-3</v>
      </c>
      <c r="I16" s="399">
        <f t="shared" si="0"/>
        <v>4.7875674985318438E-3</v>
      </c>
      <c r="J16" s="424">
        <f>SynthFra!N13-FRACharts!I16</f>
        <v>0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42044</v>
      </c>
      <c r="D17" s="398">
        <f>SynthFra!I14</f>
        <v>42046</v>
      </c>
      <c r="E17" s="398">
        <f>_xll.qlCalendarAdvance(Calendar,D17,"1Y","mf")</f>
        <v>42411</v>
      </c>
      <c r="F17" s="398" t="str">
        <f>_xll.qlMakeDatedOIS(,D17,E17,OvernightIndex,0,"Act/360",0)</f>
        <v>obj_003d4#0000</v>
      </c>
      <c r="G17" s="420">
        <f>_xll.qlOvernightIndexedSwapFairRate(F17,Contribution!$P$25)</f>
        <v>2.9913973113771122E-4</v>
      </c>
      <c r="H17" s="400">
        <v>4.4994376273330772E-3</v>
      </c>
      <c r="I17" s="399">
        <f t="shared" si="0"/>
        <v>4.7985773584707887E-3</v>
      </c>
      <c r="J17" s="424">
        <f>SynthFra!N14-FRACharts!I17</f>
        <v>0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42072</v>
      </c>
      <c r="D18" s="398">
        <f>SynthFra!I15</f>
        <v>42074</v>
      </c>
      <c r="E18" s="398">
        <f>_xll.qlCalendarAdvance(Calendar,D18,"1Y","mf")</f>
        <v>42440</v>
      </c>
      <c r="F18" s="398" t="str">
        <f>_xll.qlMakeDatedOIS(,D18,E18,OvernightIndex,0,"Act/360",0)</f>
        <v>obj_003e5#0000</v>
      </c>
      <c r="G18" s="420">
        <f>_xll.qlOvernightIndexedSwapFairRate(F18,Contribution!$P$25)</f>
        <v>2.8896040600519788E-4</v>
      </c>
      <c r="H18" s="400">
        <v>4.5161038042543095E-3</v>
      </c>
      <c r="I18" s="399">
        <f t="shared" si="0"/>
        <v>4.8050642102595072E-3</v>
      </c>
      <c r="J18" s="424">
        <f>SynthFra!N15-FRACharts!I18</f>
        <v>0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42103</v>
      </c>
      <c r="D19" s="398">
        <f>SynthFra!I16</f>
        <v>42107</v>
      </c>
      <c r="E19" s="398">
        <f>_xll.qlCalendarAdvance(Calendar,D19,"1Y","mf")</f>
        <v>42473</v>
      </c>
      <c r="F19" s="398" t="str">
        <f>_xll.qlMakeDatedOIS(,D19,E19,OvernightIndex,0,"Act/360",0)</f>
        <v>obj_003e4#0000</v>
      </c>
      <c r="G19" s="420">
        <f>_xll.qlOvernightIndexedSwapFairRate(F19,Contribution!$P$25)</f>
        <v>3.0807102102484662E-4</v>
      </c>
      <c r="H19" s="400">
        <v>4.5340823741249611E-3</v>
      </c>
      <c r="I19" s="399">
        <f t="shared" si="0"/>
        <v>4.8421533951498079E-3</v>
      </c>
      <c r="J19" s="424">
        <f>SynthFra!N16-FRACharts!I19</f>
        <v>0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42131</v>
      </c>
      <c r="D20" s="398">
        <f>SynthFra!I17</f>
        <v>42135</v>
      </c>
      <c r="E20" s="398">
        <f>_xll.qlCalendarAdvance(Calendar,D20,"1Y","mf")</f>
        <v>42501</v>
      </c>
      <c r="F20" s="398" t="str">
        <f>_xll.qlMakeDatedOIS(,D20,E20,OvernightIndex,0,"Act/360",0)</f>
        <v>obj_003e3#0000</v>
      </c>
      <c r="G20" s="420">
        <f>_xll.qlOvernightIndexedSwapFairRate(F20,Contribution!$P$25)</f>
        <v>3.4047274666096502E-4</v>
      </c>
      <c r="H20" s="400">
        <v>4.5477292865327571E-3</v>
      </c>
      <c r="I20" s="399">
        <f t="shared" si="0"/>
        <v>4.8882020331937224E-3</v>
      </c>
      <c r="J20" s="424">
        <f>SynthFra!N17-FRACharts!I20</f>
        <v>0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42164</v>
      </c>
      <c r="D21" s="398">
        <f>SynthFra!I18</f>
        <v>42166</v>
      </c>
      <c r="E21" s="398">
        <f>_xll.qlCalendarAdvance(Calendar,D21,"1Y","mf")</f>
        <v>42534</v>
      </c>
      <c r="F21" s="398" t="str">
        <f>_xll.qlMakeDatedOIS(,D21,E21,OvernightIndex,0,"Act/360",0)</f>
        <v>obj_003d3#0000</v>
      </c>
      <c r="G21" s="420">
        <f>_xll.qlOvernightIndexedSwapFairRate(F21,Contribution!$P$25)</f>
        <v>4.0239889675538446E-4</v>
      </c>
      <c r="H21" s="400">
        <v>4.5608998879490626E-3</v>
      </c>
      <c r="I21" s="399">
        <f t="shared" si="0"/>
        <v>4.9632987847044469E-3</v>
      </c>
      <c r="J21" s="424">
        <f>SynthFra!N18-FRACharts!I21</f>
        <v>0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42194</v>
      </c>
      <c r="D22" s="398">
        <f>SynthFra!I19</f>
        <v>42198</v>
      </c>
      <c r="E22" s="398">
        <f>_xll.qlCalendarAdvance(Calendar,D22,"1Y","mf")</f>
        <v>42564</v>
      </c>
      <c r="F22" s="398" t="str">
        <f>_xll.qlMakeDatedOIS(,D22,E22,OvernightIndex,0,"Act/360",0)</f>
        <v>obj_003fd#0000</v>
      </c>
      <c r="G22" s="420">
        <f>_xll.qlOvernightIndexedSwapFairRate(F22,Contribution!$P$25)</f>
        <v>4.6965036959641993E-4</v>
      </c>
      <c r="H22" s="400">
        <v>4.5721221321361012E-3</v>
      </c>
      <c r="I22" s="399">
        <f t="shared" si="0"/>
        <v>5.0417725017325209E-3</v>
      </c>
      <c r="J22" s="424">
        <f>SynthFra!N19-FRACharts!I22</f>
        <v>0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42223</v>
      </c>
      <c r="D23" s="411">
        <f>SynthFra!I3</f>
        <v>42227</v>
      </c>
      <c r="E23" s="411">
        <f>_xll.qlCalendarAdvance(Calendar,D23,"1Y","mf")</f>
        <v>42593</v>
      </c>
      <c r="F23" s="411" t="str">
        <f>_xll.qlMakeDatedOIS(,D23,E23,OvernightIndex,0,"Act/360",0)</f>
        <v>obj_003e0#0000</v>
      </c>
      <c r="G23" s="421">
        <f>_xll.qlOvernightIndexedSwapFairRate(F23,Contribution!$P$25)</f>
        <v>5.299341522098719E-4</v>
      </c>
      <c r="H23" s="413">
        <v>4.5799999999999999E-3</v>
      </c>
      <c r="I23" s="412">
        <f t="shared" si="0"/>
        <v>5.1099341522098714E-3</v>
      </c>
      <c r="J23" s="424">
        <f>SynthFra!N20-FRACharts!I23</f>
        <v>0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42256</v>
      </c>
      <c r="D24" s="398">
        <f>SynthFra!I21</f>
        <v>42258</v>
      </c>
      <c r="E24" s="398">
        <f>_xll.qlCalendarAdvance(Calendar,D24,"1Y","mf")</f>
        <v>42625</v>
      </c>
      <c r="F24" s="398" t="str">
        <f>_xll.qlMakeDatedOIS(,D24,E24,OvernightIndex,0,"Act/360",0)</f>
        <v>obj_003e1#0000</v>
      </c>
      <c r="G24" s="420">
        <f>_xll.qlOvernightIndexedSwapFairRate(F24,Contribution!$P$25)</f>
        <v>6.1851026080315767E-4</v>
      </c>
      <c r="H24" s="400">
        <v>4.5860708966579287E-3</v>
      </c>
      <c r="I24" s="399">
        <f t="shared" si="0"/>
        <v>5.2045811574610865E-3</v>
      </c>
      <c r="J24" s="424">
        <f>SynthFra!N21-FRACharts!I24</f>
        <v>0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42285</v>
      </c>
      <c r="D25" s="398">
        <f>SynthFra!I22</f>
        <v>42289</v>
      </c>
      <c r="E25" s="398">
        <f>_xll.qlCalendarAdvance(Calendar,D25,"1Y","mf")</f>
        <v>42655</v>
      </c>
      <c r="F25" s="398" t="str">
        <f>_xll.qlMakeDatedOIS(,D25,E25,OvernightIndex,0,"Act/360",0)</f>
        <v>obj_003d2#0000</v>
      </c>
      <c r="G25" s="420">
        <f>_xll.qlOvernightIndexedSwapFairRate(F25,Contribution!$P$25)</f>
        <v>7.2329243793907037E-4</v>
      </c>
      <c r="H25" s="400">
        <v>4.590322893589305E-3</v>
      </c>
      <c r="I25" s="399">
        <f t="shared" si="0"/>
        <v>5.3136153315283749E-3</v>
      </c>
      <c r="J25" s="424">
        <f>SynthFra!N22-FRACharts!I25</f>
        <v>0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42317</v>
      </c>
      <c r="D26" s="398">
        <f>SynthFra!I23</f>
        <v>42319</v>
      </c>
      <c r="E26" s="398">
        <f>_xll.qlCalendarAdvance(Calendar,D26,"1Y","mf")</f>
        <v>42685</v>
      </c>
      <c r="F26" s="398" t="str">
        <f>_xll.qlMakeDatedOIS(,D26,E26,OvernightIndex,0,"Act/360",0)</f>
        <v>obj_003ec#0000</v>
      </c>
      <c r="G26" s="420">
        <f>_xll.qlOvernightIndexedSwapFairRate(F26,Contribution!$P$25)</f>
        <v>8.3245350862428834E-4</v>
      </c>
      <c r="H26" s="400">
        <v>4.5932856697071282E-3</v>
      </c>
      <c r="I26" s="399">
        <f t="shared" si="0"/>
        <v>5.4257391783314162E-3</v>
      </c>
      <c r="J26" s="424">
        <f>SynthFra!N23-FRACharts!I26</f>
        <v>0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42347</v>
      </c>
      <c r="D27" s="398">
        <f>SynthFra!I24</f>
        <v>42349</v>
      </c>
      <c r="E27" s="398">
        <f>_xll.qlCalendarAdvance(Calendar,D27,"1Y","mf")</f>
        <v>42716</v>
      </c>
      <c r="F27" s="398" t="str">
        <f>_xll.qlMakeDatedOIS(,D27,E27,OvernightIndex,0,"Act/360",0)</f>
        <v>obj_00407#0000</v>
      </c>
      <c r="G27" s="420">
        <f>_xll.qlOvernightIndexedSwapFairRate(F27,Contribution!$P$25)</f>
        <v>9.4001426886784723E-4</v>
      </c>
      <c r="H27" s="400">
        <v>4.595679344505596E-3</v>
      </c>
      <c r="I27" s="399">
        <f t="shared" si="0"/>
        <v>5.5356936133734436E-3</v>
      </c>
      <c r="J27" s="424">
        <f>SynthFra!N24-FRACharts!I27</f>
        <v>0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42376</v>
      </c>
      <c r="D28" s="398">
        <f>SynthFra!I25</f>
        <v>42380</v>
      </c>
      <c r="E28" s="398">
        <f>_xll.qlCalendarAdvance(Calendar,D28,"1Y","mf")</f>
        <v>42746</v>
      </c>
      <c r="F28" s="398" t="str">
        <f>_xll.qlMakeDatedOIS(,D28,E28,OvernightIndex,0,"Act/360",0)</f>
        <v>obj_003e6#0000</v>
      </c>
      <c r="G28" s="420">
        <f>_xll.qlOvernightIndexedSwapFairRate(F28,Contribution!$P$25)</f>
        <v>1.0466143214559207E-3</v>
      </c>
      <c r="H28" s="400">
        <v>4.5981475249681943E-3</v>
      </c>
      <c r="I28" s="399">
        <f t="shared" si="0"/>
        <v>5.6447618464241147E-3</v>
      </c>
      <c r="J28" s="424">
        <f>SynthFra!N25-FRACharts!I28</f>
        <v>0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42409</v>
      </c>
      <c r="D29" s="398">
        <f>SynthFra!I26</f>
        <v>42411</v>
      </c>
      <c r="E29" s="398">
        <f>_xll.qlCalendarAdvance(Calendar,D29,"1Y","mf")</f>
        <v>42779</v>
      </c>
      <c r="F29" s="398" t="str">
        <f>_xll.qlMakeDatedOIS(,D29,E29,OvernightIndex,0,"Act/360",0)</f>
        <v>obj_003da#0000</v>
      </c>
      <c r="G29" s="420">
        <f>_xll.qlOvernightIndexedSwapFairRate(F29,Contribution!$P$25)</f>
        <v>1.1648865167383721E-3</v>
      </c>
      <c r="H29" s="400">
        <v>4.6012192576731208E-3</v>
      </c>
      <c r="I29" s="399">
        <f t="shared" si="0"/>
        <v>5.7661057744114929E-3</v>
      </c>
      <c r="J29" s="424">
        <f>SynthFra!N26-FRACharts!I29</f>
        <v>0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42438</v>
      </c>
      <c r="D30" s="398">
        <f>SynthFra!I27</f>
        <v>42440</v>
      </c>
      <c r="E30" s="398">
        <f>_xll.qlCalendarAdvance(Calendar,D30,"1Y","mf")</f>
        <v>42807</v>
      </c>
      <c r="F30" s="398" t="str">
        <f>_xll.qlMakeDatedOIS(,D30,E30,OvernightIndex,0,"Act/360",0)</f>
        <v>obj_003e8#0000</v>
      </c>
      <c r="G30" s="420">
        <f>_xll.qlOvernightIndexedSwapFairRate(F30,Contribution!$P$25)</f>
        <v>1.2790001266259523E-3</v>
      </c>
      <c r="H30" s="400">
        <v>4.60518448380429E-3</v>
      </c>
      <c r="I30" s="399">
        <f t="shared" si="0"/>
        <v>5.8841846104302426E-3</v>
      </c>
      <c r="J30" s="424">
        <f>SynthFra!N27-FRACharts!I30</f>
        <v>0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42467</v>
      </c>
      <c r="D31" s="398">
        <f>SynthFra!I28</f>
        <v>42471</v>
      </c>
      <c r="E31" s="398">
        <f>_xll.qlCalendarAdvance(Calendar,D31,"1Y","mf")</f>
        <v>42836</v>
      </c>
      <c r="F31" s="398" t="str">
        <f>_xll.qlMakeDatedOIS(,D31,E31,OvernightIndex,0,"Act/360",0)</f>
        <v>obj_00405#0000</v>
      </c>
      <c r="G31" s="420">
        <f>_xll.qlOvernightIndexedSwapFairRate(F31,Contribution!$P$25)</f>
        <v>1.4070524122810936E-3</v>
      </c>
      <c r="H31" s="400">
        <v>4.611173005586131E-3</v>
      </c>
      <c r="I31" s="399">
        <f t="shared" si="0"/>
        <v>6.0182254178672246E-3</v>
      </c>
      <c r="J31" s="424">
        <f>SynthFra!N28-FRACharts!I31</f>
        <v>0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42499</v>
      </c>
      <c r="D32" s="398">
        <f>SynthFra!I29</f>
        <v>42501</v>
      </c>
      <c r="E32" s="398">
        <f>_xll.qlCalendarAdvance(Calendar,D32,"1Y","mf")</f>
        <v>42866</v>
      </c>
      <c r="F32" s="398" t="str">
        <f>_xll.qlMakeDatedOIS(,D32,E32,OvernightIndex,0,"Act/360",0)</f>
        <v>obj_003fb#0000</v>
      </c>
      <c r="G32" s="420">
        <f>_xll.qlOvernightIndexedSwapFairRate(F32,Contribution!$P$25)</f>
        <v>1.5403020663319624E-3</v>
      </c>
      <c r="H32" s="400">
        <v>4.6192571293090052E-3</v>
      </c>
      <c r="I32" s="399">
        <f t="shared" si="0"/>
        <v>6.1595591956409672E-3</v>
      </c>
      <c r="J32" s="424">
        <f>SynthFra!N29-FRACharts!I32</f>
        <v>0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42530</v>
      </c>
      <c r="D33" s="398">
        <f>SynthFra!I30</f>
        <v>42534</v>
      </c>
      <c r="E33" s="398">
        <f>_xll.qlCalendarAdvance(Calendar,D33,"1Y","mf")</f>
        <v>42899</v>
      </c>
      <c r="F33" s="398" t="str">
        <f>_xll.qlMakeDatedOIS(,D33,E33,OvernightIndex,0,"Act/360",0)</f>
        <v>obj_003fa#0000</v>
      </c>
      <c r="G33" s="420">
        <f>_xll.qlOvernightIndexedSwapFairRate(F33,Contribution!$P$25)</f>
        <v>1.6901235449297506E-3</v>
      </c>
      <c r="H33" s="400">
        <v>4.6314228510207665E-3</v>
      </c>
      <c r="I33" s="399">
        <f t="shared" si="0"/>
        <v>6.3215463959505171E-3</v>
      </c>
      <c r="J33" s="424">
        <f>SynthFra!N30-FRACharts!I33</f>
        <v>0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42558</v>
      </c>
      <c r="D34" s="398">
        <f>SynthFra!I31</f>
        <v>42562</v>
      </c>
      <c r="E34" s="398">
        <f>_xll.qlCalendarAdvance(Calendar,D34,"1Y","mf")</f>
        <v>42927</v>
      </c>
      <c r="F34" s="398" t="str">
        <f>_xll.qlMakeDatedOIS(,D34,E34,OvernightIndex,0,"Act/360",0)</f>
        <v>obj_003f5#0000</v>
      </c>
      <c r="G34" s="420">
        <f>_xll.qlOvernightIndexedSwapFairRate(F34,Contribution!$P$25)</f>
        <v>1.8213693517594232E-3</v>
      </c>
      <c r="H34" s="400">
        <v>4.6449696050789233E-3</v>
      </c>
      <c r="I34" s="399">
        <f t="shared" si="0"/>
        <v>6.4663389568383467E-3</v>
      </c>
      <c r="J34" s="424">
        <f>SynthFra!N31-FRACharts!I34</f>
        <v>0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42591</v>
      </c>
      <c r="D35" s="411">
        <f>SynthFra!I4</f>
        <v>42593</v>
      </c>
      <c r="E35" s="411">
        <f>_xll.qlCalendarAdvance(Calendar,D35,"1Y","mf")</f>
        <v>42958</v>
      </c>
      <c r="F35" s="411" t="str">
        <f>_xll.qlMakeDatedOIS(,D35,E35,OvernightIndex,0,"Act/360",0)</f>
        <v>obj_0041f#0000</v>
      </c>
      <c r="G35" s="421">
        <f>_xll.qlOvernightIndexedSwapFairRate(F35,Contribution!$P$25)</f>
        <v>1.9735706368830819E-3</v>
      </c>
      <c r="H35" s="413">
        <v>4.6639999999999997E-3</v>
      </c>
      <c r="I35" s="412">
        <f t="shared" si="0"/>
        <v>6.6375706368830816E-3</v>
      </c>
      <c r="J35" s="424">
        <f>SynthFra!N32-FRACharts!I35</f>
        <v>0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42621</v>
      </c>
      <c r="D36" s="398">
        <f>SynthFra!I33</f>
        <v>42625</v>
      </c>
      <c r="E36" s="398">
        <f>_xll.qlCalendarAdvance(Calendar,D36,"1Y","mf")</f>
        <v>42990</v>
      </c>
      <c r="F36" s="398" t="str">
        <f>_xll.qlMakeDatedOIS(,D36,E36,OvernightIndex,0,"Act/360",0)</f>
        <v>obj_003de#0000</v>
      </c>
      <c r="G36" s="420">
        <f>_xll.qlOvernightIndexedSwapFairRate(F36,Contribution!$P$25)</f>
        <v>2.1403972965208366E-3</v>
      </c>
      <c r="H36" s="400">
        <v>4.6890410874850727E-3</v>
      </c>
      <c r="I36" s="399">
        <f t="shared" si="0"/>
        <v>6.8294383840059088E-3</v>
      </c>
      <c r="J36" s="424">
        <f>SynthFra!N33-FRACharts!I36</f>
        <v>0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42650</v>
      </c>
      <c r="D37" s="398">
        <f>SynthFra!I34</f>
        <v>42654</v>
      </c>
      <c r="E37" s="398">
        <f>_xll.qlCalendarAdvance(Calendar,D37,"1Y","mf")</f>
        <v>43019</v>
      </c>
      <c r="F37" s="398" t="str">
        <f>_xll.qlMakeDatedOIS(,D37,E37,OvernightIndex,0,"Act/360",0)</f>
        <v>obj_003dc#0000</v>
      </c>
      <c r="G37" s="420">
        <f>_xll.qlOvernightIndexedSwapFairRate(F37,Contribution!$P$25)</f>
        <v>2.3000852950305021E-3</v>
      </c>
      <c r="H37" s="400">
        <v>4.7163971428852303E-3</v>
      </c>
      <c r="I37" s="399">
        <f t="shared" si="0"/>
        <v>7.0164824379157324E-3</v>
      </c>
      <c r="J37" s="424">
        <f>SynthFra!N34-FRACharts!I37</f>
        <v>0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42683</v>
      </c>
      <c r="D38" s="398">
        <f>SynthFra!I35</f>
        <v>42685</v>
      </c>
      <c r="E38" s="398">
        <f>_xll.qlCalendarAdvance(Calendar,D38,"1Y","mf")</f>
        <v>43052</v>
      </c>
      <c r="F38" s="398" t="str">
        <f>_xll.qlMakeDatedOIS(,D38,E38,OvernightIndex,0,"Act/360",0)</f>
        <v>obj_0041d#0000</v>
      </c>
      <c r="G38" s="420">
        <f>_xll.qlOvernightIndexedSwapFairRate(F38,Contribution!$P$25)</f>
        <v>2.4856793349437357E-3</v>
      </c>
      <c r="H38" s="400">
        <v>4.7496948217803777E-3</v>
      </c>
      <c r="I38" s="399">
        <f t="shared" si="0"/>
        <v>7.2353741567241139E-3</v>
      </c>
      <c r="J38" s="424">
        <f>SynthFra!N35-FRACharts!I38</f>
        <v>0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42712</v>
      </c>
      <c r="D39" s="398">
        <f>SynthFra!I36</f>
        <v>42716</v>
      </c>
      <c r="E39" s="398">
        <f>_xll.qlCalendarAdvance(Calendar,D39,"1Y","mf")</f>
        <v>43081</v>
      </c>
      <c r="F39" s="398" t="str">
        <f>_xll.qlMakeDatedOIS(,D39,E39,OvernightIndex,0,"Act/360",0)</f>
        <v>obj_00427#0000</v>
      </c>
      <c r="G39" s="420">
        <f>_xll.qlOvernightIndexedSwapFairRate(F39,Contribution!$P$25)</f>
        <v>2.6664463139343913E-3</v>
      </c>
      <c r="H39" s="400">
        <v>4.7863165166388347E-3</v>
      </c>
      <c r="I39" s="399">
        <f t="shared" si="0"/>
        <v>7.4527628305732264E-3</v>
      </c>
      <c r="J39" s="424">
        <f>SynthFra!N36-FRACharts!I39</f>
        <v>0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42744</v>
      </c>
      <c r="D40" s="398">
        <f>SynthFra!I37</f>
        <v>42746</v>
      </c>
      <c r="E40" s="398">
        <f>_xll.qlCalendarAdvance(Calendar,D40,"1Y","mf")</f>
        <v>43111</v>
      </c>
      <c r="F40" s="398" t="str">
        <f>_xll.qlMakeDatedOIS(,D40,E40,OvernightIndex,0,"Act/360",0)</f>
        <v>obj_00400#0000</v>
      </c>
      <c r="G40" s="420">
        <f>_xll.qlOvernightIndexedSwapFairRate(F40,Contribution!$P$25)</f>
        <v>2.8548900570691919E-3</v>
      </c>
      <c r="H40" s="400">
        <v>4.8240880200769946E-3</v>
      </c>
      <c r="I40" s="399">
        <f t="shared" si="0"/>
        <v>7.6789780771461865E-3</v>
      </c>
      <c r="J40" s="424">
        <f>SynthFra!N37-FRACharts!I40</f>
        <v>0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42775</v>
      </c>
      <c r="D41" s="398">
        <f>SynthFra!I38</f>
        <v>42779</v>
      </c>
      <c r="E41" s="398">
        <f>_xll.qlCalendarAdvance(Calendar,D41,"1Y","mf")</f>
        <v>43144</v>
      </c>
      <c r="F41" s="398" t="str">
        <f>_xll.qlMakeDatedOIS(,D41,E41,OvernightIndex,0,"Act/360",0)</f>
        <v>obj_003db#0000</v>
      </c>
      <c r="G41" s="420">
        <f>_xll.qlOvernightIndexedSwapFairRate(F41,Contribution!$P$25)</f>
        <v>3.0697861094620806E-3</v>
      </c>
      <c r="H41" s="400">
        <v>4.8673172285794595E-3</v>
      </c>
      <c r="I41" s="399">
        <f t="shared" si="0"/>
        <v>7.9371033380415401E-3</v>
      </c>
      <c r="J41" s="424">
        <f>SynthFra!N38-FRACharts!I41</f>
        <v>0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42803</v>
      </c>
      <c r="D42" s="398">
        <f>SynthFra!I39</f>
        <v>42807</v>
      </c>
      <c r="E42" s="398">
        <f>_xll.qlCalendarAdvance(Calendar,D42,"1Y","mf")</f>
        <v>43172</v>
      </c>
      <c r="F42" s="398" t="str">
        <f>_xll.qlMakeDatedOIS(,D42,E42,OvernightIndex,0,"Act/360",0)</f>
        <v>obj_00414#0000</v>
      </c>
      <c r="G42" s="420">
        <f>_xll.qlOvernightIndexedSwapFairRate(F42,Contribution!$P$25)</f>
        <v>3.2578890524742931E-3</v>
      </c>
      <c r="H42" s="400">
        <v>4.9046075042412478E-3</v>
      </c>
      <c r="I42" s="399">
        <f t="shared" si="0"/>
        <v>8.16249655671554E-3</v>
      </c>
      <c r="J42" s="424">
        <f>SynthFra!N39-FRACharts!I42</f>
        <v>0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42832</v>
      </c>
      <c r="D43" s="398">
        <f>SynthFra!I40</f>
        <v>42836</v>
      </c>
      <c r="E43" s="398">
        <f>_xll.qlCalendarAdvance(Calendar,D43,"1Y","mf")</f>
        <v>43201</v>
      </c>
      <c r="F43" s="398" t="str">
        <f>_xll.qlMakeDatedOIS(,D43,E43,OvernightIndex,0,"Act/360",0)</f>
        <v>obj_003f0#0000</v>
      </c>
      <c r="G43" s="420">
        <f>_xll.qlOvernightIndexedSwapFairRate(F43,Contribution!$P$25)</f>
        <v>3.457828199184978E-3</v>
      </c>
      <c r="H43" s="400">
        <v>4.9430841105701203E-3</v>
      </c>
      <c r="I43" s="399">
        <f t="shared" si="0"/>
        <v>8.4009123097550983E-3</v>
      </c>
      <c r="J43" s="424">
        <f>SynthFra!N40-FRACharts!I43</f>
        <v>0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42864</v>
      </c>
      <c r="D44" s="398">
        <f>SynthFra!I41</f>
        <v>42866</v>
      </c>
      <c r="E44" s="398">
        <f>_xll.qlCalendarAdvance(Calendar,D44,"1Y","mf")</f>
        <v>43231</v>
      </c>
      <c r="F44" s="398" t="str">
        <f>_xll.qlMakeDatedOIS(,D44,E44,OvernightIndex,0,"Act/360",0)</f>
        <v>obj_003df#0000</v>
      </c>
      <c r="G44" s="420">
        <f>_xll.qlOvernightIndexedSwapFairRate(F44,Contribution!$P$25)</f>
        <v>3.6696628048350668E-3</v>
      </c>
      <c r="H44" s="400">
        <v>4.9819691462207917E-3</v>
      </c>
      <c r="I44" s="399">
        <f t="shared" si="0"/>
        <v>8.651631951055859E-3</v>
      </c>
      <c r="J44" s="424">
        <f>SynthFra!N41-FRACharts!I44</f>
        <v>0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42894</v>
      </c>
      <c r="D45" s="398">
        <f>SynthFra!I42</f>
        <v>42898</v>
      </c>
      <c r="E45" s="398">
        <f>_xll.qlCalendarAdvance(Calendar,D45,"1Y","mf")</f>
        <v>43263</v>
      </c>
      <c r="F45" s="398" t="str">
        <f>_xll.qlMakeDatedOIS(,D45,E45,OvernightIndex,0,"Act/360",0)</f>
        <v>obj_003d5#0000</v>
      </c>
      <c r="G45" s="420">
        <f>_xll.qlOvernightIndexedSwapFairRate(F45,Contribution!$P$25)</f>
        <v>3.9006627826491829E-3</v>
      </c>
      <c r="H45" s="400">
        <v>5.0215230452372644E-3</v>
      </c>
      <c r="I45" s="399">
        <f t="shared" si="0"/>
        <v>8.9221858278864478E-3</v>
      </c>
      <c r="J45" s="424">
        <f>SynthFra!N42-FRACharts!I45</f>
        <v>0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42923</v>
      </c>
      <c r="D46" s="398">
        <f>SynthFra!I43</f>
        <v>42927</v>
      </c>
      <c r="E46" s="398">
        <f>_xll.qlCalendarAdvance(Calendar,D46,"1Y","mf")</f>
        <v>43292</v>
      </c>
      <c r="F46" s="398" t="str">
        <f>_xll.qlMakeDatedOIS(,D46,E46,OvernightIndex,0,"Act/360",0)</f>
        <v>obj_003ed#0000</v>
      </c>
      <c r="G46" s="420">
        <f>_xll.qlOvernightIndexedSwapFairRate(F46,Contribution!$P$25)</f>
        <v>4.1140010858823793E-3</v>
      </c>
      <c r="H46" s="400">
        <v>5.0548565345041796E-3</v>
      </c>
      <c r="I46" s="399">
        <f t="shared" ref="I46:I59" si="1">G46+H46</f>
        <v>9.1688576203865588E-3</v>
      </c>
      <c r="J46" s="424">
        <f>SynthFra!N43-FRACharts!I46</f>
        <v>0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42956</v>
      </c>
      <c r="D47" s="411">
        <f>SynthFra!I5</f>
        <v>42958</v>
      </c>
      <c r="E47" s="411">
        <f>_xll.qlCalendarAdvance(Calendar,D47,"1Y","mf")</f>
        <v>43325</v>
      </c>
      <c r="F47" s="411" t="str">
        <f>_xll.qlMakeDatedOIS(,D47,E47,OvernightIndex,0,"Act/360",0)</f>
        <v>obj_003ff#0000</v>
      </c>
      <c r="G47" s="421">
        <f>_xll.qlOvernightIndexedSwapFairRate(F47,Contribution!$P$25)</f>
        <v>4.3535049889376898E-3</v>
      </c>
      <c r="H47" s="413">
        <v>5.0870000000000004E-3</v>
      </c>
      <c r="I47" s="412">
        <f t="shared" si="1"/>
        <v>9.440504988937691E-3</v>
      </c>
      <c r="J47" s="424">
        <f>SynthFra!N44-FRACharts!I47</f>
        <v>0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42985</v>
      </c>
      <c r="D48" s="398">
        <f>SynthFra!I45</f>
        <v>42989</v>
      </c>
      <c r="E48" s="398">
        <f>_xll.qlCalendarAdvance(Calendar,D48,"1Y","mf")</f>
        <v>43354</v>
      </c>
      <c r="F48" s="398" t="str">
        <f>_xll.qlMakeDatedOIS(,D48,E48,OvernightIndex,0,"Act/360",0)</f>
        <v>obj_003e7#0000</v>
      </c>
      <c r="G48" s="420">
        <f>_xll.qlOvernightIndexedSwapFairRate(F48,Contribution!$P$25)</f>
        <v>4.5808071220385755E-3</v>
      </c>
      <c r="H48" s="400">
        <v>5.1150186270868406E-3</v>
      </c>
      <c r="I48" s="399">
        <f t="shared" si="1"/>
        <v>9.6958257491254161E-3</v>
      </c>
      <c r="J48" s="424">
        <f>SynthFra!N45-FRACharts!I48</f>
        <v>0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43017</v>
      </c>
      <c r="D49" s="398">
        <f>SynthFra!I46</f>
        <v>43019</v>
      </c>
      <c r="E49" s="398">
        <f>_xll.qlCalendarAdvance(Calendar,D49,"1Y","mf")</f>
        <v>43384</v>
      </c>
      <c r="F49" s="398" t="str">
        <f>_xll.qlMakeDatedOIS(,D49,E49,OvernightIndex,0,"Act/360",0)</f>
        <v>obj_003d0#0000</v>
      </c>
      <c r="G49" s="420">
        <f>_xll.qlOvernightIndexedSwapFairRate(F49,Contribution!$P$25)</f>
        <v>4.8116337511566361E-3</v>
      </c>
      <c r="H49" s="400">
        <v>5.1384761072279829E-3</v>
      </c>
      <c r="I49" s="399">
        <f t="shared" si="1"/>
        <v>9.950109858384619E-3</v>
      </c>
      <c r="J49" s="424">
        <f>SynthFra!N46-FRACharts!I49</f>
        <v>0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43048</v>
      </c>
      <c r="D50" s="398">
        <f>SynthFra!I47</f>
        <v>43052</v>
      </c>
      <c r="E50" s="398">
        <f>_xll.qlCalendarAdvance(Calendar,D50,"1Y","mf")</f>
        <v>43417</v>
      </c>
      <c r="F50" s="398" t="str">
        <f>_xll.qlMakeDatedOIS(,D50,E50,OvernightIndex,0,"Act/360",0)</f>
        <v>obj_00425#0000</v>
      </c>
      <c r="G50" s="420">
        <f>_xll.qlOvernightIndexedSwapFairRate(F50,Contribution!$P$25)</f>
        <v>5.0696078222539215E-3</v>
      </c>
      <c r="H50" s="400">
        <v>5.1605114618292619E-3</v>
      </c>
      <c r="I50" s="399">
        <f t="shared" si="1"/>
        <v>1.0230119284083183E-2</v>
      </c>
      <c r="J50" s="424">
        <f>SynthFra!N47-FRACharts!I50</f>
        <v>0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43076</v>
      </c>
      <c r="D51" s="398">
        <f>SynthFra!I48</f>
        <v>43080</v>
      </c>
      <c r="E51" s="398">
        <f>_xll.qlCalendarAdvance(Calendar,D51,"1Y","mf")</f>
        <v>43445</v>
      </c>
      <c r="F51" s="398" t="str">
        <f>_xll.qlMakeDatedOIS(,D51,E51,OvernightIndex,0,"Act/360",0)</f>
        <v>obj_003e2#0000</v>
      </c>
      <c r="G51" s="420">
        <f>_xll.qlOvernightIndexedSwapFairRate(F51,Contribution!$P$25)</f>
        <v>5.2920663847706899E-3</v>
      </c>
      <c r="H51" s="400">
        <v>5.1764204919434974E-3</v>
      </c>
      <c r="I51" s="399">
        <f t="shared" si="1"/>
        <v>1.0468486876714186E-2</v>
      </c>
      <c r="J51" s="424">
        <f>SynthFra!N48-FRACharts!I51</f>
        <v>0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43109</v>
      </c>
      <c r="D52" s="398">
        <f>SynthFra!I49</f>
        <v>43111</v>
      </c>
      <c r="E52" s="398">
        <f>_xll.qlCalendarAdvance(Calendar,D52,"1Y","mf")</f>
        <v>43476</v>
      </c>
      <c r="F52" s="398" t="str">
        <f>_xll.qlMakeDatedOIS(,D52,E52,OvernightIndex,0,"Act/360",0)</f>
        <v>obj_003f1#0000</v>
      </c>
      <c r="G52" s="420">
        <f>_xll.qlOvernightIndexedSwapFairRate(F52,Contribution!$P$25)</f>
        <v>5.5424357934565176E-3</v>
      </c>
      <c r="H52" s="400">
        <v>5.1913822319537241E-3</v>
      </c>
      <c r="I52" s="399">
        <f t="shared" si="1"/>
        <v>1.0733818025410242E-2</v>
      </c>
      <c r="J52" s="424">
        <f>SynthFra!N49-FRACharts!I52</f>
        <v>0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43139</v>
      </c>
      <c r="D53" s="398">
        <f>SynthFra!I50</f>
        <v>43143</v>
      </c>
      <c r="E53" s="398">
        <f>_xll.qlCalendarAdvance(Calendar,D53,"1Y","mf")</f>
        <v>43508</v>
      </c>
      <c r="F53" s="398" t="str">
        <f>_xll.qlMakeDatedOIS(,D53,E53,OvernightIndex,0,"Act/360",0)</f>
        <v>obj_003d1#0000</v>
      </c>
      <c r="G53" s="420">
        <f>_xll.qlOvernightIndexedSwapFairRate(F53,Contribution!$P$25)</f>
        <v>5.8056489166031979E-3</v>
      </c>
      <c r="H53" s="400">
        <v>5.2042670252862742E-3</v>
      </c>
      <c r="I53" s="399">
        <f t="shared" si="1"/>
        <v>1.1009915941889471E-2</v>
      </c>
      <c r="J53" s="424">
        <f>SynthFra!N50-FRACharts!I53</f>
        <v>0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43167</v>
      </c>
      <c r="D54" s="398">
        <f>SynthFra!I51</f>
        <v>43171</v>
      </c>
      <c r="E54" s="398">
        <f>_xll.qlCalendarAdvance(Calendar,D54,"1Y","mf")</f>
        <v>43536</v>
      </c>
      <c r="F54" s="398" t="str">
        <f>_xll.qlMakeDatedOIS(,D54,E54,OvernightIndex,0,"Act/360",0)</f>
        <v>obj_003fc#0000</v>
      </c>
      <c r="G54" s="420">
        <f>_xll.qlOvernightIndexedSwapFairRate(F54,Contribution!$P$25)</f>
        <v>6.0401621938990088E-3</v>
      </c>
      <c r="H54" s="400">
        <v>5.2137110440769168E-3</v>
      </c>
      <c r="I54" s="399">
        <f t="shared" si="1"/>
        <v>1.1253873237975925E-2</v>
      </c>
      <c r="J54" s="424">
        <f>SynthFra!N51-FRACharts!I54</f>
        <v>0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43199</v>
      </c>
      <c r="D55" s="398">
        <f>SynthFra!I52</f>
        <v>43201</v>
      </c>
      <c r="E55" s="398">
        <f>_xll.qlCalendarAdvance(Calendar,D55,"1Y","mf")</f>
        <v>43566</v>
      </c>
      <c r="F55" s="398" t="str">
        <f>_xll.qlMakeDatedOIS(,D55,E55,OvernightIndex,0,"Act/360",0)</f>
        <v>obj_0040d#0000</v>
      </c>
      <c r="G55" s="420">
        <f>_xll.qlOvernightIndexedSwapFairRate(F55,Contribution!$P$25)</f>
        <v>6.2960132054482934E-3</v>
      </c>
      <c r="H55" s="400">
        <v>5.2222442759300713E-3</v>
      </c>
      <c r="I55" s="399">
        <f t="shared" si="1"/>
        <v>1.1518257481378365E-2</v>
      </c>
      <c r="J55" s="424">
        <f>SynthFra!N52-FRACharts!I55</f>
        <v>0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43229</v>
      </c>
      <c r="D56" s="398">
        <f>SynthFra!I53</f>
        <v>43231</v>
      </c>
      <c r="E56" s="398">
        <f>_xll.qlCalendarAdvance(Calendar,D56,"1Y","mf")</f>
        <v>43598</v>
      </c>
      <c r="F56" s="398" t="str">
        <f>_xll.qlMakeDatedOIS(,D56,E56,OvernightIndex,0,"Act/360",0)</f>
        <v>obj_003e9#0000</v>
      </c>
      <c r="G56" s="420">
        <f>_xll.qlOvernightIndexedSwapFairRate(F56,Contribution!$P$25)</f>
        <v>6.5661180223384446E-3</v>
      </c>
      <c r="H56" s="400">
        <v>5.2294512248488899E-3</v>
      </c>
      <c r="I56" s="399">
        <f t="shared" si="1"/>
        <v>1.1795569247187335E-2</v>
      </c>
      <c r="J56" s="424">
        <f>SynthFra!N53-FRACharts!I56</f>
        <v>0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43258</v>
      </c>
      <c r="D57" s="398">
        <f>SynthFra!I54</f>
        <v>43262</v>
      </c>
      <c r="E57" s="398">
        <f>_xll.qlCalendarAdvance(Calendar,D57,"1Y","mf")</f>
        <v>43627</v>
      </c>
      <c r="F57" s="398" t="str">
        <f>_xll.qlMakeDatedOIS(,D57,E57,OvernightIndex,0,"Act/360",0)</f>
        <v>obj_003d9#0000</v>
      </c>
      <c r="G57" s="420">
        <f>_xll.qlOvernightIndexedSwapFairRate(F57,Contribution!$P$25)</f>
        <v>6.8318690834325881E-3</v>
      </c>
      <c r="H57" s="400">
        <v>5.2358459139271573E-3</v>
      </c>
      <c r="I57" s="399">
        <f t="shared" si="1"/>
        <v>1.2067714997359745E-2</v>
      </c>
      <c r="J57" s="424">
        <f>SynthFra!N54-FRACharts!I57</f>
        <v>0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43290</v>
      </c>
      <c r="D58" s="398">
        <f>SynthFra!I55</f>
        <v>43292</v>
      </c>
      <c r="E58" s="398">
        <f>_xll.qlCalendarAdvance(Calendar,D58,"1Y","mf")</f>
        <v>43657</v>
      </c>
      <c r="F58" s="398" t="str">
        <f>_xll.qlMakeDatedOIS(,D58,E58,OvernightIndex,0,"Act/360",0)</f>
        <v>obj_0041a#0000</v>
      </c>
      <c r="G58" s="420">
        <f>_xll.qlOvernightIndexedSwapFairRate(F58,Contribution!$P$25)</f>
        <v>7.1035866240756291E-3</v>
      </c>
      <c r="H58" s="400">
        <v>5.2413456300956889E-3</v>
      </c>
      <c r="I58" s="399">
        <f t="shared" si="1"/>
        <v>1.2344932254171319E-2</v>
      </c>
      <c r="J58" s="424">
        <f>SynthFra!N55-FRACharts!I58</f>
        <v>0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43321</v>
      </c>
      <c r="D59" s="407">
        <f>SynthFra!I6</f>
        <v>43325</v>
      </c>
      <c r="E59" s="407">
        <f>_xll.qlCalendarAdvance(Calendar,D59,"1Y","mf")</f>
        <v>43690</v>
      </c>
      <c r="F59" s="407" t="str">
        <f>_xll.qlMakeDatedOIS(,D59,E59,OvernightIndex,0,"Act/360",0)</f>
        <v>obj_003dd#0000</v>
      </c>
      <c r="G59" s="422">
        <f>_xll.qlOvernightIndexedSwapFairRate(F59,Contribution!$P$25)</f>
        <v>7.4090954453094326E-3</v>
      </c>
      <c r="H59" s="409">
        <v>5.2469999999999999E-3</v>
      </c>
      <c r="I59" s="408">
        <f t="shared" si="1"/>
        <v>1.2656095445309433E-2</v>
      </c>
      <c r="J59" s="424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X130"/>
  <sheetViews>
    <sheetView tabSelected="1" workbookViewId="0"/>
  </sheetViews>
  <sheetFormatPr defaultColWidth="9.5" defaultRowHeight="11.25" x14ac:dyDescent="0.2"/>
  <cols>
    <col min="1" max="1" width="2.83203125" style="432" customWidth="1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" style="432" customWidth="1"/>
    <col min="7" max="7" width="10.83203125" style="432" customWidth="1"/>
    <col min="8" max="8" width="12.1640625" style="432" bestFit="1" customWidth="1"/>
    <col min="9" max="10" width="20.1640625" style="432" bestFit="1" customWidth="1"/>
    <col min="11" max="11" width="7.6640625" style="432" hidden="1" customWidth="1"/>
    <col min="12" max="12" width="15.33203125" style="432" hidden="1" customWidth="1"/>
    <col min="13" max="13" width="11.6640625" style="432" bestFit="1" customWidth="1"/>
    <col min="14" max="14" width="9.5" style="432"/>
    <col min="15" max="15" width="12.1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1.33203125" style="432" bestFit="1" customWidth="1"/>
    <col min="22" max="22" width="12.83203125" style="432" bestFit="1" customWidth="1"/>
    <col min="23" max="23" width="9.6640625" style="432" bestFit="1" customWidth="1"/>
    <col min="24" max="16384" width="9.5" style="432"/>
  </cols>
  <sheetData>
    <row r="1" spans="2:24" ht="12" thickBot="1" x14ac:dyDescent="0.25"/>
    <row r="2" spans="2:24" ht="22.5" x14ac:dyDescent="0.2">
      <c r="B2" s="443" t="s">
        <v>148</v>
      </c>
      <c r="C2" s="444" t="s">
        <v>127</v>
      </c>
      <c r="D2" s="444" t="s">
        <v>128</v>
      </c>
      <c r="E2" s="444" t="s">
        <v>106</v>
      </c>
      <c r="F2" s="444" t="s">
        <v>45</v>
      </c>
      <c r="G2" s="463"/>
      <c r="H2" s="463"/>
      <c r="I2" s="445"/>
      <c r="R2" s="487" t="s">
        <v>164</v>
      </c>
      <c r="T2" s="381"/>
      <c r="V2" s="519" t="s">
        <v>163</v>
      </c>
      <c r="W2" s="528"/>
      <c r="X2" s="528"/>
    </row>
    <row r="3" spans="2:24" x14ac:dyDescent="0.2">
      <c r="B3" s="433" t="str">
        <f t="array" ref="B3:B5">_xll.ohFilter(SynthDepo!D6:D14,SynthDepo!J6:J14)</f>
        <v>Euribor3MLastFixing_Quote</v>
      </c>
      <c r="C3" s="434">
        <f t="array" ref="C3:C5">_xll.ohFilter(SynthDepo!E6:E14,SynthDepo!J6:J14)</f>
        <v>41862</v>
      </c>
      <c r="D3" s="434">
        <f t="array" ref="D3:D5">_xll.ohFilter(SynthDepo!F6:F14,SynthDepo!J6:J14)</f>
        <v>41954</v>
      </c>
      <c r="E3" s="435">
        <f t="array" ref="E3:E5">_xll.ohFilter(SynthDepo!G6:G14,SynthDepo!J6:J14)</f>
        <v>2.0500000000000002E-3</v>
      </c>
      <c r="F3" s="436">
        <f t="array" ref="F3:F5">_xll.ohFilter(SynthDepo!H6:H14,SynthDepo!J6:J14)</f>
        <v>6.000000000004552E-4</v>
      </c>
      <c r="G3" s="464">
        <f>E3*_xll.qlDayCounterYearFraction(DayCounter3M,C3,D3,,,Trigger)</f>
        <v>5.2388888888888884E-4</v>
      </c>
      <c r="H3" s="464">
        <f>F3*_xll.qlDayCounterYearFraction(DayCounterOIS,C3,D3,,,Trigger)</f>
        <v>1.5333333333344965E-4</v>
      </c>
      <c r="I3" s="489">
        <f>G3-H3</f>
        <v>3.7055555555543917E-4</v>
      </c>
      <c r="M3" s="534" t="s">
        <v>156</v>
      </c>
      <c r="N3" s="455">
        <f>I9</f>
        <v>5.3378164279024665E-3</v>
      </c>
      <c r="O3" s="456">
        <f>H9</f>
        <v>3.1765809720397831E-2</v>
      </c>
      <c r="P3" s="457">
        <f>G9</f>
        <v>0.25205479452054796</v>
      </c>
      <c r="Q3" s="446"/>
      <c r="R3" s="459">
        <f t="array" ref="R3:R5">MMULT(V3:X5,T3:T5)</f>
        <v>1.6574069406557868E-2</v>
      </c>
      <c r="S3" s="460"/>
      <c r="T3" s="435">
        <f>I3</f>
        <v>3.7055555555543917E-4</v>
      </c>
      <c r="V3" s="453">
        <f t="array" ref="V3:X5">MINVERSE(N3:P5)</f>
        <v>1633.8202584553355</v>
      </c>
      <c r="W3" s="432">
        <v>-2168.5250703134443</v>
      </c>
      <c r="X3" s="432">
        <v>540.58068891149446</v>
      </c>
    </row>
    <row r="4" spans="2:24" x14ac:dyDescent="0.2">
      <c r="B4" s="433" t="str">
        <v>EURFUT3MQ4_Quote</v>
      </c>
      <c r="C4" s="434">
        <v>41871</v>
      </c>
      <c r="D4" s="434">
        <v>41963</v>
      </c>
      <c r="E4" s="435">
        <v>2.0250000000000545E-3</v>
      </c>
      <c r="F4" s="436">
        <v>6.2543824112531283E-4</v>
      </c>
      <c r="G4" s="464">
        <f>E4*_xll.qlDayCounterYearFraction(DayCounter3M,C4,D4,,,Trigger)</f>
        <v>5.1750000000001393E-4</v>
      </c>
      <c r="H4" s="464">
        <f>F4*_xll.qlDayCounterYearFraction(DayCounterOIS,C4,D4,,,Trigger)</f>
        <v>1.5983421717646881E-4</v>
      </c>
      <c r="I4" s="489">
        <f t="shared" ref="I4:I5" si="0">G4-H4</f>
        <v>3.5766578282354509E-4</v>
      </c>
      <c r="M4" s="534"/>
      <c r="N4" s="455">
        <f>I10</f>
        <v>7.0575973115142333E-3</v>
      </c>
      <c r="O4" s="456">
        <f>H10</f>
        <v>3.7980859448301735E-2</v>
      </c>
      <c r="P4" s="457">
        <f>G10</f>
        <v>0.25205479452054791</v>
      </c>
      <c r="Q4" s="447" t="str">
        <f>SynthDepo!AA10</f>
        <v>x</v>
      </c>
      <c r="R4" s="459">
        <v>-6.6602106617266177E-3</v>
      </c>
      <c r="S4" s="447" t="str">
        <f>SynthDepo!AC10</f>
        <v>=</v>
      </c>
      <c r="T4" s="435">
        <f>I4</f>
        <v>3.5766578282354509E-4</v>
      </c>
      <c r="V4" s="453">
        <v>-612.997966958186</v>
      </c>
      <c r="W4" s="432">
        <v>760.95738065042997</v>
      </c>
      <c r="X4" s="432">
        <v>-149.58534131523558</v>
      </c>
    </row>
    <row r="5" spans="2:24" ht="12" thickBot="1" x14ac:dyDescent="0.25">
      <c r="B5" s="438" t="str">
        <v>EURFUT3MU4_Quote</v>
      </c>
      <c r="C5" s="439">
        <v>41899</v>
      </c>
      <c r="D5" s="439">
        <v>41990</v>
      </c>
      <c r="E5" s="440">
        <v>1.974999999999949E-3</v>
      </c>
      <c r="F5" s="441">
        <v>6.0826376571697296E-4</v>
      </c>
      <c r="G5" s="465">
        <f>E5*_xll.qlDayCounterYearFraction(DayCounter3M,C5,D5,,,Trigger)</f>
        <v>4.992361111110982E-4</v>
      </c>
      <c r="H5" s="465">
        <f>F5*_xll.qlDayCounterYearFraction(DayCounterOIS,C5,D5,,,Trigger)</f>
        <v>1.5375556300067927E-4</v>
      </c>
      <c r="I5" s="490">
        <f t="shared" si="0"/>
        <v>3.4548054811041893E-4</v>
      </c>
      <c r="M5" s="534"/>
      <c r="N5" s="455">
        <f>I11</f>
        <v>1.4028514606473926E-2</v>
      </c>
      <c r="O5" s="456">
        <f>H11</f>
        <v>5.6352036029273786E-2</v>
      </c>
      <c r="P5" s="457">
        <f>G11</f>
        <v>0.24931506849315069</v>
      </c>
      <c r="Q5" s="449"/>
      <c r="R5" s="459">
        <v>1.9585154137500365E-3</v>
      </c>
      <c r="S5" s="447"/>
      <c r="T5" s="435">
        <f>I5</f>
        <v>3.4548054811041893E-4</v>
      </c>
      <c r="V5" s="453">
        <v>46.62218064097852</v>
      </c>
      <c r="W5" s="432">
        <v>-49.978174937709817</v>
      </c>
      <c r="X5" s="432">
        <v>7.4038623659261349</v>
      </c>
    </row>
    <row r="6" spans="2:24" x14ac:dyDescent="0.2">
      <c r="R6" s="461"/>
      <c r="S6" s="451"/>
      <c r="T6" s="462"/>
    </row>
    <row r="7" spans="2:24" ht="12" thickBot="1" x14ac:dyDescent="0.25">
      <c r="R7" s="461"/>
      <c r="S7" s="451"/>
      <c r="T7" s="462"/>
    </row>
    <row r="8" spans="2:24" ht="13.5" thickBot="1" x14ac:dyDescent="0.25">
      <c r="E8" s="443"/>
      <c r="F8" s="444"/>
      <c r="G8" s="471" t="s">
        <v>166</v>
      </c>
      <c r="H8" s="472" t="s">
        <v>167</v>
      </c>
      <c r="I8" s="473" t="s">
        <v>168</v>
      </c>
      <c r="R8" s="488" t="s">
        <v>165</v>
      </c>
      <c r="S8" s="451"/>
      <c r="T8" s="462"/>
    </row>
    <row r="9" spans="2:24" x14ac:dyDescent="0.2">
      <c r="B9" s="443" t="s">
        <v>159</v>
      </c>
      <c r="C9" s="466" t="s">
        <v>18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0.25205479452054796</v>
      </c>
      <c r="G9" s="492">
        <f>F9-E9</f>
        <v>0.25205479452054796</v>
      </c>
      <c r="H9" s="492">
        <f>(F9^2-E9^2)/2</f>
        <v>3.1765809720397831E-2</v>
      </c>
      <c r="I9" s="529">
        <f>(F9^3-E9^3)/3</f>
        <v>5.3378164279024665E-3</v>
      </c>
      <c r="M9" s="535" t="s">
        <v>157</v>
      </c>
      <c r="N9" s="450"/>
      <c r="O9" s="455">
        <f>H9</f>
        <v>3.1765809720397831E-2</v>
      </c>
      <c r="P9" s="457">
        <f>G9</f>
        <v>0.25205479452054796</v>
      </c>
      <c r="Q9" s="518" t="s">
        <v>56</v>
      </c>
      <c r="R9" s="459">
        <f t="array" ref="R9:R10">MMULT(V9:W10,T9:T10)</f>
        <v>-2.073961319090073E-3</v>
      </c>
      <c r="S9" s="519" t="s">
        <v>57</v>
      </c>
      <c r="T9" s="435">
        <f>I3</f>
        <v>3.7055555555543917E-4</v>
      </c>
      <c r="V9" s="432">
        <f t="array" ref="V9:W10">MINVERSE(O9:P10)</f>
        <v>-160.89975845410646</v>
      </c>
      <c r="W9" s="432">
        <v>160.89975845410649</v>
      </c>
    </row>
    <row r="10" spans="2:24" x14ac:dyDescent="0.2">
      <c r="B10" s="467" t="s">
        <v>160</v>
      </c>
      <c r="C10" s="468" t="s">
        <v>18</v>
      </c>
      <c r="E10" s="493">
        <f>_xll.qlDayCounterYearFraction(DayCounterON,SettlementDate,C4,,,Trigger)</f>
        <v>2.4657534246575342E-2</v>
      </c>
      <c r="F10" s="494">
        <f>_xll.qlDayCounterYearFraction(DayCounterON,SettlementDate,D4,,,Trigger)</f>
        <v>0.27671232876712326</v>
      </c>
      <c r="G10" s="494">
        <f t="shared" ref="G10:G11" si="1">F10-E10</f>
        <v>0.25205479452054791</v>
      </c>
      <c r="H10" s="494">
        <f t="shared" ref="H10:H11" si="2">(F10^2-E10^2)/2</f>
        <v>3.7980859448301735E-2</v>
      </c>
      <c r="I10" s="530">
        <f t="shared" ref="I10:I11" si="3">(F10^3-E10^3)/3</f>
        <v>7.0575973115142333E-3</v>
      </c>
      <c r="M10" s="535"/>
      <c r="N10" s="450"/>
      <c r="O10" s="455">
        <f>H10</f>
        <v>3.7980859448301735E-2</v>
      </c>
      <c r="P10" s="457">
        <f>G10</f>
        <v>0.25205479452054791</v>
      </c>
      <c r="Q10" s="518"/>
      <c r="R10" s="459">
        <v>1.7315148359518338E-3</v>
      </c>
      <c r="S10" s="519"/>
      <c r="T10" s="435">
        <f>I4</f>
        <v>3.5766578282354509E-4</v>
      </c>
      <c r="V10" s="432">
        <v>24.245169082125628</v>
      </c>
      <c r="W10" s="432">
        <v>-20.277777777777807</v>
      </c>
    </row>
    <row r="11" spans="2:24" ht="12" thickBot="1" x14ac:dyDescent="0.25">
      <c r="B11" s="469" t="s">
        <v>161</v>
      </c>
      <c r="C11" s="470" t="s">
        <v>162</v>
      </c>
      <c r="E11" s="495">
        <f>_xll.qlDayCounterYearFraction(DayCounterON,SettlementDate,C5,,,Trigger)</f>
        <v>0.10136986301369863</v>
      </c>
      <c r="F11" s="496">
        <f>_xll.qlDayCounterYearFraction(DayCounterON,SettlementDate,D5,,,Trigger)</f>
        <v>0.35068493150684932</v>
      </c>
      <c r="G11" s="496">
        <f t="shared" si="1"/>
        <v>0.24931506849315069</v>
      </c>
      <c r="H11" s="496">
        <f t="shared" si="2"/>
        <v>5.6352036029273786E-2</v>
      </c>
      <c r="I11" s="531">
        <f t="shared" si="3"/>
        <v>1.4028514606473926E-2</v>
      </c>
      <c r="R11" s="461"/>
      <c r="S11" s="451"/>
      <c r="T11" s="462"/>
    </row>
    <row r="12" spans="2:24" ht="12" x14ac:dyDescent="0.2">
      <c r="R12" s="487" t="s">
        <v>48</v>
      </c>
      <c r="S12" s="451"/>
      <c r="T12" s="462"/>
    </row>
    <row r="13" spans="2:24" x14ac:dyDescent="0.2">
      <c r="M13" s="454" t="s">
        <v>158</v>
      </c>
      <c r="O13" s="381"/>
      <c r="P13" s="458">
        <f>G9</f>
        <v>0.25205479452054796</v>
      </c>
      <c r="Q13" s="520" t="s">
        <v>56</v>
      </c>
      <c r="R13" s="459">
        <f>MMULT(V13,T13)</f>
        <v>1.470138888888427E-3</v>
      </c>
      <c r="S13" s="520" t="s">
        <v>57</v>
      </c>
      <c r="T13" s="435">
        <f>I3</f>
        <v>3.7055555555543917E-4</v>
      </c>
      <c r="V13" s="432">
        <f>MINVERSE(P13)</f>
        <v>3.9673913043478257</v>
      </c>
    </row>
    <row r="15" spans="2:24" ht="12" thickBot="1" x14ac:dyDescent="0.25"/>
    <row r="16" spans="2:24" ht="19.5" customHeight="1" x14ac:dyDescent="0.2">
      <c r="B16" s="443" t="s">
        <v>127</v>
      </c>
      <c r="C16" s="443"/>
      <c r="D16" s="444" t="s">
        <v>58</v>
      </c>
      <c r="E16" s="444" t="s">
        <v>143</v>
      </c>
      <c r="F16" s="445" t="s">
        <v>144</v>
      </c>
    </row>
    <row r="17" spans="2:9" x14ac:dyDescent="0.2">
      <c r="B17" s="480">
        <f>SettlementDate</f>
        <v>41862</v>
      </c>
      <c r="C17" s="476">
        <f>_xll.qlDayCounterYearFraction(DayCounterON,SettlementDate,B17,,,Trigger)</f>
        <v>0</v>
      </c>
      <c r="D17" s="481">
        <f t="shared" ref="D17:D48" si="4">$R$13</f>
        <v>1.470138888888427E-3</v>
      </c>
      <c r="E17" s="481">
        <f t="shared" ref="E17:E48" si="5">$R$10+$R$9*C17</f>
        <v>1.7315148359518338E-3</v>
      </c>
      <c r="F17" s="482">
        <f t="shared" ref="F17:F48" si="6">($R$5+$R$4*C17+$R$3*C17^2)</f>
        <v>1.9585154137500365E-3</v>
      </c>
      <c r="H17" s="448"/>
      <c r="I17" s="448"/>
    </row>
    <row r="18" spans="2:9" x14ac:dyDescent="0.2">
      <c r="B18" s="483">
        <f>_xll.qlCalendarAdvance(Calendar,B17,"1d","mf")</f>
        <v>41863</v>
      </c>
      <c r="C18" s="476">
        <f>_xll.qlDayCounterYearFraction(DayCounterON,SettlementDate,B18,,,Trigger)</f>
        <v>2.7397260273972603E-3</v>
      </c>
      <c r="D18" s="484">
        <f t="shared" si="4"/>
        <v>1.470138888888427E-3</v>
      </c>
      <c r="E18" s="484">
        <f t="shared" si="5"/>
        <v>1.7258327501461076E-3</v>
      </c>
      <c r="F18" s="437">
        <f t="shared" si="6"/>
        <v>1.9403926678530678E-3</v>
      </c>
      <c r="H18" s="448"/>
      <c r="I18" s="448"/>
    </row>
    <row r="19" spans="2:9" x14ac:dyDescent="0.2">
      <c r="B19" s="483">
        <f>_xll.qlCalendarAdvance(Calendar,B18,"1d","mf")</f>
        <v>41864</v>
      </c>
      <c r="C19" s="476">
        <f>_xll.qlDayCounterYearFraction(DayCounterON,SettlementDate,B19,,,Trigger)</f>
        <v>5.4794520547945206E-3</v>
      </c>
      <c r="D19" s="484">
        <f t="shared" si="4"/>
        <v>1.470138888888427E-3</v>
      </c>
      <c r="E19" s="484">
        <f t="shared" si="5"/>
        <v>1.7201506643403813E-3</v>
      </c>
      <c r="F19" s="437">
        <f t="shared" si="6"/>
        <v>1.9225187351579239E-3</v>
      </c>
      <c r="H19" s="448"/>
      <c r="I19" s="448"/>
    </row>
    <row r="20" spans="2:9" x14ac:dyDescent="0.2">
      <c r="B20" s="483">
        <f>_xll.qlCalendarAdvance(Calendar,B19,"1d","mf")</f>
        <v>41865</v>
      </c>
      <c r="C20" s="476">
        <f>_xll.qlDayCounterYearFraction(DayCounterON,SettlementDate,B20,,,Trigger)</f>
        <v>8.21917808219178E-3</v>
      </c>
      <c r="D20" s="484">
        <f t="shared" si="4"/>
        <v>1.470138888888427E-3</v>
      </c>
      <c r="E20" s="484">
        <f t="shared" si="5"/>
        <v>1.7144685785346551E-3</v>
      </c>
      <c r="F20" s="437">
        <f t="shared" si="6"/>
        <v>1.9048936156646048E-3</v>
      </c>
      <c r="H20" s="448"/>
      <c r="I20" s="448"/>
    </row>
    <row r="21" spans="2:9" x14ac:dyDescent="0.2">
      <c r="B21" s="483">
        <f>_xll.qlCalendarAdvance(Calendar,B20,"1d","mf")</f>
        <v>41866</v>
      </c>
      <c r="C21" s="476">
        <f>_xll.qlDayCounterYearFraction(DayCounterON,SettlementDate,B21,,,Trigger)</f>
        <v>1.0958904109589041E-2</v>
      </c>
      <c r="D21" s="484">
        <f t="shared" si="4"/>
        <v>1.470138888888427E-3</v>
      </c>
      <c r="E21" s="484">
        <f t="shared" si="5"/>
        <v>1.708786492728929E-3</v>
      </c>
      <c r="F21" s="437">
        <f t="shared" si="6"/>
        <v>1.8875173093731109E-3</v>
      </c>
      <c r="H21" s="448"/>
      <c r="I21" s="448"/>
    </row>
    <row r="22" spans="2:9" x14ac:dyDescent="0.2">
      <c r="B22" s="483">
        <f>_xll.qlCalendarAdvance(Calendar,B21,"1d","mf")</f>
        <v>41869</v>
      </c>
      <c r="C22" s="476">
        <f>_xll.qlDayCounterYearFraction(DayCounterON,SettlementDate,B22,,,Trigger)</f>
        <v>1.9178082191780823E-2</v>
      </c>
      <c r="D22" s="484">
        <f t="shared" si="4"/>
        <v>1.470138888888427E-3</v>
      </c>
      <c r="E22" s="484">
        <f t="shared" si="5"/>
        <v>1.6917402353117501E-3</v>
      </c>
      <c r="F22" s="437">
        <f t="shared" si="6"/>
        <v>1.8368812697095772E-3</v>
      </c>
      <c r="H22" s="448"/>
      <c r="I22" s="448"/>
    </row>
    <row r="23" spans="2:9" x14ac:dyDescent="0.2">
      <c r="B23" s="483">
        <f>_xll.qlCalendarAdvance(Calendar,B22,"1d","mf")</f>
        <v>41870</v>
      </c>
      <c r="C23" s="476">
        <f>_xll.qlDayCounterYearFraction(DayCounterON,SettlementDate,B23,,,Trigger)</f>
        <v>2.1917808219178082E-2</v>
      </c>
      <c r="D23" s="484">
        <f t="shared" si="4"/>
        <v>1.470138888888427E-3</v>
      </c>
      <c r="E23" s="484">
        <f t="shared" si="5"/>
        <v>1.6860581495060239E-3</v>
      </c>
      <c r="F23" s="437">
        <f t="shared" si="6"/>
        <v>1.8205002162253825E-3</v>
      </c>
      <c r="H23" s="448"/>
      <c r="I23" s="448"/>
    </row>
    <row r="24" spans="2:9" x14ac:dyDescent="0.2">
      <c r="B24" s="483">
        <f>_xll.qlCalendarAdvance(Calendar,B23,"1d","mf")</f>
        <v>41871</v>
      </c>
      <c r="C24" s="476">
        <f>_xll.qlDayCounterYearFraction(DayCounterON,SettlementDate,B24,,,Trigger)</f>
        <v>2.4657534246575342E-2</v>
      </c>
      <c r="D24" s="484">
        <f t="shared" si="4"/>
        <v>1.470138888888427E-3</v>
      </c>
      <c r="E24" s="484">
        <f t="shared" si="5"/>
        <v>1.6803760637002978E-3</v>
      </c>
      <c r="F24" s="437">
        <f t="shared" si="6"/>
        <v>1.8043679759430127E-3</v>
      </c>
      <c r="H24" s="448"/>
      <c r="I24" s="448"/>
    </row>
    <row r="25" spans="2:9" x14ac:dyDescent="0.2">
      <c r="B25" s="483">
        <f>_xll.qlCalendarAdvance(Calendar,B24,"1d","mf")</f>
        <v>41872</v>
      </c>
      <c r="C25" s="476">
        <f>_xll.qlDayCounterYearFraction(DayCounterON,SettlementDate,B25,,,Trigger)</f>
        <v>2.7397260273972601E-2</v>
      </c>
      <c r="D25" s="484">
        <f t="shared" si="4"/>
        <v>1.470138888888427E-3</v>
      </c>
      <c r="E25" s="484">
        <f t="shared" si="5"/>
        <v>1.6746939778945714E-3</v>
      </c>
      <c r="F25" s="437">
        <f t="shared" si="6"/>
        <v>1.7884845488624678E-3</v>
      </c>
      <c r="H25" s="448"/>
      <c r="I25" s="448"/>
    </row>
    <row r="26" spans="2:9" x14ac:dyDescent="0.2">
      <c r="B26" s="483">
        <f>_xll.qlCalendarAdvance(Calendar,B25,"1d","mf")</f>
        <v>41873</v>
      </c>
      <c r="C26" s="476">
        <f>_xll.qlDayCounterYearFraction(DayCounterON,SettlementDate,B26,,,Trigger)</f>
        <v>3.0136986301369864E-2</v>
      </c>
      <c r="D26" s="484">
        <f t="shared" si="4"/>
        <v>1.470138888888427E-3</v>
      </c>
      <c r="E26" s="484">
        <f t="shared" si="5"/>
        <v>1.6690118920888453E-3</v>
      </c>
      <c r="F26" s="437">
        <f t="shared" si="6"/>
        <v>1.7728499349837473E-3</v>
      </c>
      <c r="H26" s="448"/>
      <c r="I26" s="448"/>
    </row>
    <row r="27" spans="2:9" x14ac:dyDescent="0.2">
      <c r="B27" s="483">
        <f>_xll.qlCalendarAdvance(Calendar,B26,"1d","mf")</f>
        <v>41876</v>
      </c>
      <c r="C27" s="476">
        <f>_xll.qlDayCounterYearFraction(DayCounterON,SettlementDate,B27,,,Trigger)</f>
        <v>3.8356164383561646E-2</v>
      </c>
      <c r="D27" s="484">
        <f t="shared" si="4"/>
        <v>1.470138888888427E-3</v>
      </c>
      <c r="E27" s="484">
        <f t="shared" si="5"/>
        <v>1.6519656346716666E-3</v>
      </c>
      <c r="F27" s="437">
        <f t="shared" si="6"/>
        <v>1.7274389725585359E-3</v>
      </c>
      <c r="H27" s="448"/>
      <c r="I27" s="448"/>
    </row>
    <row r="28" spans="2:9" x14ac:dyDescent="0.2">
      <c r="B28" s="483">
        <f>_xll.qlCalendarAdvance(Calendar,B27,"1d","mf")</f>
        <v>41877</v>
      </c>
      <c r="C28" s="476">
        <f>_xll.qlDayCounterYearFraction(DayCounterON,SettlementDate,B28,,,Trigger)</f>
        <v>4.1095890410958902E-2</v>
      </c>
      <c r="D28" s="484">
        <f t="shared" si="4"/>
        <v>1.470138888888427E-3</v>
      </c>
      <c r="E28" s="484">
        <f t="shared" si="5"/>
        <v>1.6462835488659404E-3</v>
      </c>
      <c r="F28" s="437">
        <f t="shared" si="6"/>
        <v>1.7127996114871149E-3</v>
      </c>
      <c r="H28" s="448"/>
      <c r="I28" s="448"/>
    </row>
    <row r="29" spans="2:9" x14ac:dyDescent="0.2">
      <c r="B29" s="483">
        <f>_xll.qlCalendarAdvance(Calendar,B28,"1d","mf")</f>
        <v>41878</v>
      </c>
      <c r="C29" s="476">
        <f>_xll.qlDayCounterYearFraction(DayCounterON,SettlementDate,B29,,,Trigger)</f>
        <v>4.3835616438356165E-2</v>
      </c>
      <c r="D29" s="484">
        <f t="shared" si="4"/>
        <v>1.470138888888427E-3</v>
      </c>
      <c r="E29" s="484">
        <f t="shared" si="5"/>
        <v>1.6406014630602141E-3</v>
      </c>
      <c r="F29" s="437">
        <f t="shared" si="6"/>
        <v>1.6984090636175189E-3</v>
      </c>
      <c r="H29" s="448"/>
      <c r="I29" s="448"/>
    </row>
    <row r="30" spans="2:9" x14ac:dyDescent="0.2">
      <c r="B30" s="483">
        <f>_xll.qlCalendarAdvance(Calendar,B29,"1d","mf")</f>
        <v>41879</v>
      </c>
      <c r="C30" s="476">
        <f>_xll.qlDayCounterYearFraction(DayCounterON,SettlementDate,B30,,,Trigger)</f>
        <v>4.6575342465753428E-2</v>
      </c>
      <c r="D30" s="484">
        <f t="shared" si="4"/>
        <v>1.470138888888427E-3</v>
      </c>
      <c r="E30" s="484">
        <f t="shared" si="5"/>
        <v>1.6349193772544879E-3</v>
      </c>
      <c r="F30" s="437">
        <f t="shared" si="6"/>
        <v>1.6842673289497478E-3</v>
      </c>
      <c r="H30" s="448"/>
      <c r="I30" s="448"/>
    </row>
    <row r="31" spans="2:9" x14ac:dyDescent="0.2">
      <c r="B31" s="483">
        <f>_xll.qlCalendarAdvance(Calendar,B30,"1d","mf")</f>
        <v>41880</v>
      </c>
      <c r="C31" s="476">
        <f>_xll.qlDayCounterYearFraction(DayCounterON,SettlementDate,B31,,,Trigger)</f>
        <v>4.9315068493150684E-2</v>
      </c>
      <c r="D31" s="484">
        <f t="shared" si="4"/>
        <v>1.470138888888427E-3</v>
      </c>
      <c r="E31" s="484">
        <f t="shared" si="5"/>
        <v>1.6292372914487618E-3</v>
      </c>
      <c r="F31" s="437">
        <f t="shared" si="6"/>
        <v>1.6703744074838016E-3</v>
      </c>
      <c r="H31" s="448"/>
      <c r="I31" s="448"/>
    </row>
    <row r="32" spans="2:9" x14ac:dyDescent="0.2">
      <c r="B32" s="483">
        <f>_xll.qlCalendarAdvance(Calendar,B31,"1d","mf")</f>
        <v>41883</v>
      </c>
      <c r="C32" s="476">
        <f>_xll.qlDayCounterYearFraction(DayCounterON,SettlementDate,B32,,,Trigger)</f>
        <v>5.7534246575342465E-2</v>
      </c>
      <c r="D32" s="484">
        <f t="shared" si="4"/>
        <v>1.470138888888427E-3</v>
      </c>
      <c r="E32" s="484">
        <f t="shared" si="5"/>
        <v>1.6121910340315829E-3</v>
      </c>
      <c r="F32" s="437">
        <f t="shared" si="6"/>
        <v>1.630188522296912E-3</v>
      </c>
      <c r="H32" s="448"/>
      <c r="I32" s="448"/>
    </row>
    <row r="33" spans="2:19" x14ac:dyDescent="0.2">
      <c r="B33" s="483">
        <f>_xll.qlCalendarAdvance(Calendar,B32,"1d","mf")</f>
        <v>41884</v>
      </c>
      <c r="C33" s="476">
        <f>_xll.qlDayCounterYearFraction(DayCounterON,SettlementDate,B33,,,Trigger)</f>
        <v>6.0273972602739728E-2</v>
      </c>
      <c r="D33" s="484">
        <f t="shared" si="4"/>
        <v>1.470138888888427E-3</v>
      </c>
      <c r="E33" s="484">
        <f t="shared" si="5"/>
        <v>1.6065089482258568E-3</v>
      </c>
      <c r="F33" s="437">
        <f t="shared" si="6"/>
        <v>1.6172908536382651E-3</v>
      </c>
      <c r="H33" s="448"/>
      <c r="I33" s="448"/>
    </row>
    <row r="34" spans="2:19" x14ac:dyDescent="0.2">
      <c r="B34" s="483">
        <f>_xll.qlCalendarAdvance(Calendar,B33,"1d","mf")</f>
        <v>41885</v>
      </c>
      <c r="C34" s="476">
        <f>_xll.qlDayCounterYearFraction(DayCounterON,SettlementDate,B34,,,Trigger)</f>
        <v>6.3013698630136991E-2</v>
      </c>
      <c r="D34" s="484">
        <f t="shared" si="4"/>
        <v>1.470138888888427E-3</v>
      </c>
      <c r="E34" s="484">
        <f t="shared" si="5"/>
        <v>1.6008268624201306E-3</v>
      </c>
      <c r="F34" s="437">
        <f t="shared" si="6"/>
        <v>1.6046419981814431E-3</v>
      </c>
      <c r="H34" s="448"/>
      <c r="I34" s="448"/>
    </row>
    <row r="35" spans="2:19" x14ac:dyDescent="0.2">
      <c r="B35" s="483">
        <f>_xll.qlCalendarAdvance(Calendar,B34,"1d","mf")</f>
        <v>41886</v>
      </c>
      <c r="C35" s="476">
        <f>_xll.qlDayCounterYearFraction(DayCounterON,SettlementDate,B35,,,Trigger)</f>
        <v>6.575342465753424E-2</v>
      </c>
      <c r="D35" s="484">
        <f t="shared" si="4"/>
        <v>1.470138888888427E-3</v>
      </c>
      <c r="E35" s="484">
        <f t="shared" si="5"/>
        <v>1.5951447766144042E-3</v>
      </c>
      <c r="F35" s="437">
        <f t="shared" si="6"/>
        <v>1.5922419559264462E-3</v>
      </c>
      <c r="H35" s="448"/>
      <c r="I35" s="448"/>
    </row>
    <row r="36" spans="2:19" x14ac:dyDescent="0.2">
      <c r="B36" s="483">
        <f>_xll.qlCalendarAdvance(Calendar,B35,"1d","mf")</f>
        <v>41887</v>
      </c>
      <c r="C36" s="476">
        <f>_xll.qlDayCounterYearFraction(DayCounterON,SettlementDate,B36,,,Trigger)</f>
        <v>6.8493150684931503E-2</v>
      </c>
      <c r="D36" s="484">
        <f t="shared" si="4"/>
        <v>1.470138888888427E-3</v>
      </c>
      <c r="E36" s="484">
        <f t="shared" si="5"/>
        <v>1.5894626908086781E-3</v>
      </c>
      <c r="F36" s="437">
        <f t="shared" si="6"/>
        <v>1.5800907268732735E-3</v>
      </c>
      <c r="H36" s="448"/>
      <c r="I36" s="448"/>
    </row>
    <row r="37" spans="2:19" x14ac:dyDescent="0.2">
      <c r="B37" s="483">
        <f>_xll.qlCalendarAdvance(Calendar,B36,"1d","mf")</f>
        <v>41890</v>
      </c>
      <c r="C37" s="476">
        <f>_xll.qlDayCounterYearFraction(DayCounterON,SettlementDate,B37,,,Trigger)</f>
        <v>7.6712328767123292E-2</v>
      </c>
      <c r="D37" s="484">
        <f t="shared" si="4"/>
        <v>1.470138888888427E-3</v>
      </c>
      <c r="E37" s="484">
        <f t="shared" si="5"/>
        <v>1.5724164333914994E-3</v>
      </c>
      <c r="F37" s="437">
        <f t="shared" si="6"/>
        <v>1.545129918924706E-3</v>
      </c>
      <c r="H37" s="448"/>
      <c r="I37" s="448"/>
    </row>
    <row r="38" spans="2:19" x14ac:dyDescent="0.2">
      <c r="B38" s="483">
        <f>_xll.qlCalendarAdvance(Calendar,B37,"1d","mf")</f>
        <v>41891</v>
      </c>
      <c r="C38" s="476">
        <f>_xll.qlDayCounterYearFraction(DayCounterON,SettlementDate,B38,,,Trigger)</f>
        <v>7.9452054794520555E-2</v>
      </c>
      <c r="D38" s="484">
        <f t="shared" si="4"/>
        <v>1.470138888888427E-3</v>
      </c>
      <c r="E38" s="484">
        <f t="shared" si="5"/>
        <v>1.5667343475857733E-3</v>
      </c>
      <c r="F38" s="437">
        <f t="shared" si="6"/>
        <v>1.5339739426788331E-3</v>
      </c>
      <c r="H38" s="448"/>
      <c r="I38" s="448"/>
    </row>
    <row r="39" spans="2:19" x14ac:dyDescent="0.2">
      <c r="B39" s="483">
        <f>_xll.qlCalendarAdvance(Calendar,B38,"1d","mf")</f>
        <v>41892</v>
      </c>
      <c r="C39" s="476">
        <f>_xll.qlDayCounterYearFraction(DayCounterON,SettlementDate,B39,,,Trigger)</f>
        <v>8.2191780821917804E-2</v>
      </c>
      <c r="D39" s="484">
        <f t="shared" si="4"/>
        <v>1.470138888888427E-3</v>
      </c>
      <c r="E39" s="484">
        <f t="shared" si="5"/>
        <v>1.5610522617800469E-3</v>
      </c>
      <c r="F39" s="437">
        <f t="shared" si="6"/>
        <v>1.5230667796347849E-3</v>
      </c>
      <c r="H39" s="448"/>
      <c r="I39" s="448"/>
    </row>
    <row r="40" spans="2:19" x14ac:dyDescent="0.2">
      <c r="B40" s="483">
        <f>_xll.qlCalendarAdvance(Calendar,B39,"1d","mf")</f>
        <v>41893</v>
      </c>
      <c r="C40" s="476">
        <f>_xll.qlDayCounterYearFraction(DayCounterON,SettlementDate,B40,,,Trigger)</f>
        <v>8.4931506849315067E-2</v>
      </c>
      <c r="D40" s="484">
        <f t="shared" si="4"/>
        <v>1.470138888888427E-3</v>
      </c>
      <c r="E40" s="484">
        <f t="shared" si="5"/>
        <v>1.5553701759743208E-3</v>
      </c>
      <c r="F40" s="437">
        <f t="shared" si="6"/>
        <v>1.5124084297925618E-3</v>
      </c>
      <c r="H40" s="448"/>
      <c r="I40" s="448"/>
    </row>
    <row r="41" spans="2:19" x14ac:dyDescent="0.2">
      <c r="B41" s="483">
        <f>_xll.qlCalendarAdvance(Calendar,B40,"1d","mf")</f>
        <v>41894</v>
      </c>
      <c r="C41" s="476">
        <f>_xll.qlDayCounterYearFraction(DayCounterON,SettlementDate,B41,,,Trigger)</f>
        <v>8.7671232876712329E-2</v>
      </c>
      <c r="D41" s="484">
        <f t="shared" si="4"/>
        <v>1.470138888888427E-3</v>
      </c>
      <c r="E41" s="484">
        <f t="shared" si="5"/>
        <v>1.5496880901685944E-3</v>
      </c>
      <c r="F41" s="437">
        <f t="shared" si="6"/>
        <v>1.5019988931521634E-3</v>
      </c>
      <c r="H41" s="448"/>
      <c r="I41" s="448"/>
    </row>
    <row r="42" spans="2:19" ht="12" thickBot="1" x14ac:dyDescent="0.25">
      <c r="B42" s="483">
        <f>_xll.qlCalendarAdvance(Calendar,B41,"1d","mf")</f>
        <v>41897</v>
      </c>
      <c r="C42" s="476">
        <f>_xll.qlDayCounterYearFraction(DayCounterON,SettlementDate,B42,,,Trigger)</f>
        <v>9.5890410958904104E-2</v>
      </c>
      <c r="D42" s="484">
        <f t="shared" si="4"/>
        <v>1.470138888888427E-3</v>
      </c>
      <c r="E42" s="484">
        <f t="shared" si="5"/>
        <v>1.5326418327514157E-3</v>
      </c>
      <c r="F42" s="437">
        <f t="shared" si="6"/>
        <v>1.4722631624419175E-3</v>
      </c>
      <c r="H42" s="448"/>
      <c r="I42" s="448"/>
    </row>
    <row r="43" spans="2:19" x14ac:dyDescent="0.2">
      <c r="B43" s="483">
        <f>_xll.qlCalendarAdvance(Calendar,B42,"1d","mf")</f>
        <v>41898</v>
      </c>
      <c r="C43" s="476">
        <f>_xll.qlDayCounterYearFraction(DayCounterON,SettlementDate,B43,,,Trigger)</f>
        <v>9.8630136986301367E-2</v>
      </c>
      <c r="D43" s="484">
        <f t="shared" si="4"/>
        <v>1.470138888888427E-3</v>
      </c>
      <c r="E43" s="484">
        <f t="shared" si="5"/>
        <v>1.5269597469456896E-3</v>
      </c>
      <c r="F43" s="437">
        <f t="shared" si="6"/>
        <v>1.4628488786088186E-3</v>
      </c>
      <c r="H43" s="443" t="s">
        <v>169</v>
      </c>
      <c r="I43" s="444" t="s">
        <v>127</v>
      </c>
      <c r="J43" s="471" t="s">
        <v>128</v>
      </c>
      <c r="K43" s="472"/>
      <c r="L43" s="473"/>
      <c r="M43" s="443" t="s">
        <v>45</v>
      </c>
      <c r="N43" s="473"/>
      <c r="O43" s="473"/>
      <c r="P43" s="473"/>
      <c r="Q43" s="473" t="s">
        <v>158</v>
      </c>
      <c r="R43" s="473" t="s">
        <v>157</v>
      </c>
      <c r="S43" s="473" t="s">
        <v>156</v>
      </c>
    </row>
    <row r="44" spans="2:19" x14ac:dyDescent="0.2">
      <c r="B44" s="483">
        <f>_xll.qlCalendarAdvance(Calendar,B43,"1d","mf")</f>
        <v>41899</v>
      </c>
      <c r="C44" s="476">
        <f>_xll.qlDayCounterYearFraction(DayCounterON,SettlementDate,B44,,,Trigger)</f>
        <v>0.10136986301369863</v>
      </c>
      <c r="D44" s="484">
        <f t="shared" si="4"/>
        <v>1.470138888888427E-3</v>
      </c>
      <c r="E44" s="484">
        <f t="shared" si="5"/>
        <v>1.5212776611399634E-3</v>
      </c>
      <c r="F44" s="437">
        <f t="shared" si="6"/>
        <v>1.4536834079775444E-3</v>
      </c>
      <c r="H44" s="527" t="s">
        <v>66</v>
      </c>
      <c r="I44" s="498">
        <f t="shared" ref="I44:I50" si="7">SettlementDate</f>
        <v>41862</v>
      </c>
      <c r="J44" s="499">
        <f>_xll.qlCalendarAdvance(Calendar,SettlementDate,H44,"Following")</f>
        <v>41863</v>
      </c>
      <c r="K44" s="500" t="str">
        <f>_xll.qlMakeDatedOIS(,I44,J44,OvernightIndex,0,,,,EvaluationDate)</f>
        <v>obj_003af#0000</v>
      </c>
      <c r="L44" s="500" t="b">
        <f>_xll.qlInstrumentSetPricingEngine(K44,OisEngine)</f>
        <v>1</v>
      </c>
      <c r="M44" s="497">
        <f>_xll.qlOvernightIndexedSwapFairRate(K44,_xll.ohTrigger(InterestRatesTrigger))</f>
        <v>3.9999995963491136E-4</v>
      </c>
      <c r="N44" s="474">
        <f>_xll.qlDayCounterYearFraction(DayCounterOIS,I44,J44,,,Trigger)</f>
        <v>2.7777777777777779E-3</v>
      </c>
      <c r="O44" s="474">
        <f>_xll.qlDayCounterYearFraction(DayCounter3M,I44,J44,,,Trigger)</f>
        <v>2.7777777777777779E-3</v>
      </c>
      <c r="P44" s="474">
        <f>_xll.qlDayCounterYearFraction(DayCounterON,I44,J44,,,Trigger)</f>
        <v>2.7397260273972603E-3</v>
      </c>
      <c r="Q44" s="474">
        <f t="shared" ref="Q44:Q50" si="8">$R$13*P44</f>
        <v>4.0277777777765123E-6</v>
      </c>
      <c r="R44" s="474">
        <f t="shared" ref="R44:R50" si="9">$R$10*P44+$R$9*P44^2/2</f>
        <v>4.7360925836958098E-6</v>
      </c>
      <c r="S44" s="475">
        <f t="shared" ref="S44:S50" si="10">$R$5*P44+$R$4*P44^2/2+$R$3*P44^3/3</f>
        <v>5.3409131681316902E-6</v>
      </c>
    </row>
    <row r="45" spans="2:19" x14ac:dyDescent="0.2">
      <c r="B45" s="483">
        <f>_xll.qlCalendarAdvance(Calendar,B44,"1d","mf")</f>
        <v>41900</v>
      </c>
      <c r="C45" s="476">
        <f>_xll.qlDayCounterYearFraction(DayCounterON,SettlementDate,B45,,,Trigger)</f>
        <v>0.10410958904109589</v>
      </c>
      <c r="D45" s="484">
        <f t="shared" si="4"/>
        <v>1.470138888888427E-3</v>
      </c>
      <c r="E45" s="484">
        <f t="shared" si="5"/>
        <v>1.5155955753342371E-3</v>
      </c>
      <c r="F45" s="437">
        <f t="shared" si="6"/>
        <v>1.4447667505480951E-3</v>
      </c>
      <c r="H45" s="525" t="s">
        <v>67</v>
      </c>
      <c r="I45" s="434">
        <f t="shared" si="7"/>
        <v>41862</v>
      </c>
      <c r="J45" s="501">
        <f>_xll.qlCalendarAdvance(Calendar,SettlementDate,H45,"Following")</f>
        <v>41869</v>
      </c>
      <c r="K45" s="502" t="str">
        <f>_xll.qlMakeDatedOIS(,I45,J45,OvernightIndex,0,,,,EvaluationDate)</f>
        <v>obj_003ad#0000</v>
      </c>
      <c r="L45" s="502" t="b">
        <f>_xll.qlInstrumentSetPricingEngine(K45,OisEngine)</f>
        <v>1</v>
      </c>
      <c r="M45" s="436">
        <f>_xll.qlOvernightIndexedSwapFairRate(K45,_xll.ohTrigger(InterestRatesTrigger))</f>
        <v>3.6999996610553865E-4</v>
      </c>
      <c r="N45" s="476">
        <f>_xll.qlDayCounterYearFraction(DayCounterOIS,I45,J45,,,Trigger)</f>
        <v>1.9444444444444445E-2</v>
      </c>
      <c r="O45" s="476">
        <f>_xll.qlDayCounterYearFraction(DayCounter3M,I45,J45,,,Trigger)</f>
        <v>1.9444444444444445E-2</v>
      </c>
      <c r="P45" s="476">
        <f>_xll.qlDayCounterYearFraction(DayCounterON,I45,J45,,,Trigger)</f>
        <v>1.9178082191780823E-2</v>
      </c>
      <c r="Q45" s="476">
        <f t="shared" si="8"/>
        <v>2.8194444444435588E-5</v>
      </c>
      <c r="R45" s="476">
        <f t="shared" si="9"/>
        <v>3.2825733560061766E-5</v>
      </c>
      <c r="S45" s="477">
        <f t="shared" si="10"/>
        <v>3.6374730086090834E-5</v>
      </c>
    </row>
    <row r="46" spans="2:19" x14ac:dyDescent="0.2">
      <c r="B46" s="483">
        <f>_xll.qlCalendarAdvance(Calendar,B45,"1d","mf")</f>
        <v>41901</v>
      </c>
      <c r="C46" s="476">
        <f>_xll.qlDayCounterYearFraction(DayCounterON,SettlementDate,B46,,,Trigger)</f>
        <v>0.10684931506849316</v>
      </c>
      <c r="D46" s="484">
        <f t="shared" si="4"/>
        <v>1.470138888888427E-3</v>
      </c>
      <c r="E46" s="484">
        <f t="shared" si="5"/>
        <v>1.5099134895285109E-3</v>
      </c>
      <c r="F46" s="437">
        <f t="shared" si="6"/>
        <v>1.4360989063204707E-3</v>
      </c>
      <c r="H46" s="525" t="s">
        <v>68</v>
      </c>
      <c r="I46" s="434">
        <f t="shared" si="7"/>
        <v>41862</v>
      </c>
      <c r="J46" s="501">
        <f>_xll.qlCalendarAdvance(Calendar,SettlementDate,H46,"Following")</f>
        <v>41876</v>
      </c>
      <c r="K46" s="502" t="str">
        <f>_xll.qlMakeDatedOIS(,I46,J46,OvernightIndex,0,,,,EvaluationDate)</f>
        <v>obj_003ba#0000</v>
      </c>
      <c r="L46" s="502" t="b">
        <f>_xll.qlInstrumentSetPricingEngine(K46,OisEngine)</f>
        <v>1</v>
      </c>
      <c r="M46" s="436">
        <f>_xll.qlOvernightIndexedSwapFairRate(K46,_xll.ohTrigger(InterestRatesTrigger))</f>
        <v>4.3000000000110409E-4</v>
      </c>
      <c r="N46" s="476">
        <f>_xll.qlDayCounterYearFraction(DayCounterOIS,I46,J46,,,Trigger)</f>
        <v>3.888888888888889E-2</v>
      </c>
      <c r="O46" s="476">
        <f>_xll.qlDayCounterYearFraction(DayCounter3M,I46,J46,,,Trigger)</f>
        <v>3.888888888888889E-2</v>
      </c>
      <c r="P46" s="476">
        <f>_xll.qlDayCounterYearFraction(DayCounterON,I46,J46,,,Trigger)</f>
        <v>3.8356164383561646E-2</v>
      </c>
      <c r="Q46" s="476">
        <f t="shared" si="8"/>
        <v>5.6388888888871176E-5</v>
      </c>
      <c r="R46" s="476">
        <f t="shared" si="9"/>
        <v>6.4888666559902752E-5</v>
      </c>
      <c r="S46" s="477">
        <f t="shared" si="10"/>
        <v>7.0533658681304267E-5</v>
      </c>
    </row>
    <row r="47" spans="2:19" x14ac:dyDescent="0.2">
      <c r="B47" s="483">
        <f>_xll.qlCalendarAdvance(Calendar,B46,"1d","mf")</f>
        <v>41904</v>
      </c>
      <c r="C47" s="476">
        <f>_xll.qlDayCounterYearFraction(DayCounterON,SettlementDate,B47,,,Trigger)</f>
        <v>0.11506849315068493</v>
      </c>
      <c r="D47" s="484">
        <f t="shared" si="4"/>
        <v>1.470138888888427E-3</v>
      </c>
      <c r="E47" s="484">
        <f t="shared" si="5"/>
        <v>1.4928672321113323E-3</v>
      </c>
      <c r="F47" s="437">
        <f t="shared" si="6"/>
        <v>1.4115882528485469E-3</v>
      </c>
      <c r="H47" s="525" t="s">
        <v>69</v>
      </c>
      <c r="I47" s="434">
        <f t="shared" si="7"/>
        <v>41862</v>
      </c>
      <c r="J47" s="501">
        <f>_xll.qlCalendarAdvance(Calendar,SettlementDate,H47,"Following")</f>
        <v>41883</v>
      </c>
      <c r="K47" s="502" t="str">
        <f>_xll.qlMakeDatedOIS(,I47,J47,OvernightIndex,0,,,,EvaluationDate)</f>
        <v>obj_003b6#0000</v>
      </c>
      <c r="L47" s="502" t="b">
        <f>_xll.qlInstrumentSetPricingEngine(K47,OisEngine)</f>
        <v>1</v>
      </c>
      <c r="M47" s="436">
        <f>_xll.qlOvernightIndexedSwapFairRate(K47,_xll.ohTrigger(InterestRatesTrigger))</f>
        <v>6.6999999518709984E-4</v>
      </c>
      <c r="N47" s="476">
        <f>_xll.qlDayCounterYearFraction(DayCounterOIS,I47,J47,,,Trigger)</f>
        <v>5.8333333333333334E-2</v>
      </c>
      <c r="O47" s="476">
        <f>_xll.qlDayCounterYearFraction(DayCounter3M,I47,J47,,,Trigger)</f>
        <v>5.8333333333333334E-2</v>
      </c>
      <c r="P47" s="476">
        <f>_xll.qlDayCounterYearFraction(DayCounterON,I47,J47,,,Trigger)</f>
        <v>5.7534246575342465E-2</v>
      </c>
      <c r="Q47" s="476">
        <f t="shared" si="8"/>
        <v>8.4583333333306757E-5</v>
      </c>
      <c r="R47" s="476">
        <f t="shared" si="9"/>
        <v>9.6188798999522951E-5</v>
      </c>
      <c r="S47" s="477">
        <f t="shared" si="10"/>
        <v>1.0271060202735514E-4</v>
      </c>
    </row>
    <row r="48" spans="2:19" x14ac:dyDescent="0.2">
      <c r="B48" s="483">
        <f>_xll.qlCalendarAdvance(Calendar,B47,"1d","mf")</f>
        <v>41905</v>
      </c>
      <c r="C48" s="476">
        <f>_xll.qlDayCounterYearFraction(DayCounterON,SettlementDate,B48,,,Trigger)</f>
        <v>0.11780821917808219</v>
      </c>
      <c r="D48" s="484">
        <f t="shared" si="4"/>
        <v>1.470138888888427E-3</v>
      </c>
      <c r="E48" s="484">
        <f t="shared" si="5"/>
        <v>1.4871851463056059E-3</v>
      </c>
      <c r="F48" s="437">
        <f t="shared" si="6"/>
        <v>1.4039156614282218E-3</v>
      </c>
      <c r="H48" s="525" t="s">
        <v>62</v>
      </c>
      <c r="I48" s="434">
        <f t="shared" si="7"/>
        <v>41862</v>
      </c>
      <c r="J48" s="501">
        <f>_xll.qlCalendarAdvance(Calendar,SettlementDate,H48,"mf",TRUE)</f>
        <v>41893</v>
      </c>
      <c r="K48" s="502" t="str">
        <f>_xll.qlMakeDatedOIS(,I48,J48,OvernightIndex,0,,,,EvaluationDate)</f>
        <v>obj_003a6#0000</v>
      </c>
      <c r="L48" s="502" t="b">
        <f>_xll.qlInstrumentSetPricingEngine(K48,OisEngine)</f>
        <v>1</v>
      </c>
      <c r="M48" s="436">
        <f>_xll.qlOvernightIndexedSwapFairRate(K48,_xll.ohTrigger(InterestRatesTrigger))</f>
        <v>6.4000000000006706E-4</v>
      </c>
      <c r="N48" s="476">
        <f>_xll.qlDayCounterYearFraction(DayCounterOIS,I48,J48,,,Trigger)</f>
        <v>8.611111111111111E-2</v>
      </c>
      <c r="O48" s="476">
        <f>_xll.qlDayCounterYearFraction(DayCounter3M,I48,J48,,,Trigger)</f>
        <v>8.611111111111111E-2</v>
      </c>
      <c r="P48" s="476">
        <f>_xll.qlDayCounterYearFraction(DayCounterON,I48,J48,,,Trigger)</f>
        <v>8.4931506849315067E-2</v>
      </c>
      <c r="Q48" s="476">
        <f t="shared" si="8"/>
        <v>1.2486111111107188E-4</v>
      </c>
      <c r="R48" s="476">
        <f t="shared" si="9"/>
        <v>1.3958004845165861E-4</v>
      </c>
      <c r="S48" s="477">
        <f t="shared" si="10"/>
        <v>1.4570306867656602E-4</v>
      </c>
    </row>
    <row r="49" spans="2:19" x14ac:dyDescent="0.2">
      <c r="B49" s="483">
        <f>_xll.qlCalendarAdvance(Calendar,B48,"1d","mf")</f>
        <v>41906</v>
      </c>
      <c r="C49" s="476">
        <f>_xll.qlDayCounterYearFraction(DayCounterON,SettlementDate,B49,,,Trigger)</f>
        <v>0.12054794520547946</v>
      </c>
      <c r="D49" s="484">
        <f t="shared" ref="D49:D83" si="11">$R$13</f>
        <v>1.470138888888427E-3</v>
      </c>
      <c r="E49" s="484">
        <f t="shared" ref="E49:E83" si="12">$R$10+$R$9*C49</f>
        <v>1.4815030604998797E-3</v>
      </c>
      <c r="F49" s="437">
        <f t="shared" ref="F49:F83" si="13">($R$5+$R$4*C49+$R$3*C49^2)</f>
        <v>1.3964918832097216E-3</v>
      </c>
      <c r="H49" s="525" t="s">
        <v>70</v>
      </c>
      <c r="I49" s="434">
        <f t="shared" si="7"/>
        <v>41862</v>
      </c>
      <c r="J49" s="501">
        <f>_xll.qlCalendarAdvance(Calendar,SettlementDate,H49,"mf",TRUE)</f>
        <v>41925</v>
      </c>
      <c r="K49" s="502" t="str">
        <f>_xll.qlMakeDatedOIS(,I49,J49,OvernightIndex,0,,,,EvaluationDate)</f>
        <v>obj_003b0#0000</v>
      </c>
      <c r="L49" s="502" t="b">
        <f>_xll.qlInstrumentSetPricingEngine(K49,OisEngine)</f>
        <v>1</v>
      </c>
      <c r="M49" s="436">
        <f>_xll.qlOvernightIndexedSwapFairRate(K49,_xll.ohTrigger(InterestRatesTrigger))</f>
        <v>6.2000000000165102E-4</v>
      </c>
      <c r="N49" s="476">
        <f>_xll.qlDayCounterYearFraction(DayCounterOIS,I49,J49,,,Trigger)</f>
        <v>0.17499999999999999</v>
      </c>
      <c r="O49" s="476">
        <f>_xll.qlDayCounterYearFraction(DayCounter3M,I49,J49,,,Trigger)</f>
        <v>0.17499999999999999</v>
      </c>
      <c r="P49" s="476">
        <f>_xll.qlDayCounterYearFraction(DayCounterON,I49,J49,,,Trigger)</f>
        <v>0.17260273972602741</v>
      </c>
      <c r="Q49" s="476">
        <f t="shared" si="8"/>
        <v>2.5374999999992027E-4</v>
      </c>
      <c r="R49" s="476">
        <f t="shared" si="9"/>
        <v>2.6797078187260775E-4</v>
      </c>
      <c r="S49" s="477">
        <f t="shared" si="10"/>
        <v>2.6724428140727924E-4</v>
      </c>
    </row>
    <row r="50" spans="2:19" ht="12" thickBot="1" x14ac:dyDescent="0.25">
      <c r="B50" s="483">
        <f>_xll.qlCalendarAdvance(Calendar,B49,"1d","mf")</f>
        <v>41907</v>
      </c>
      <c r="C50" s="476">
        <f>_xll.qlDayCounterYearFraction(DayCounterON,SettlementDate,B50,,,Trigger)</f>
        <v>0.12328767123287671</v>
      </c>
      <c r="D50" s="484">
        <f t="shared" si="11"/>
        <v>1.470138888888427E-3</v>
      </c>
      <c r="E50" s="484">
        <f t="shared" si="12"/>
        <v>1.4758209746941536E-3</v>
      </c>
      <c r="F50" s="437">
        <f t="shared" si="13"/>
        <v>1.3893169181930466E-3</v>
      </c>
      <c r="H50" s="526" t="s">
        <v>63</v>
      </c>
      <c r="I50" s="439">
        <f t="shared" si="7"/>
        <v>41862</v>
      </c>
      <c r="J50" s="503">
        <f>_xll.qlCalendarAdvance(Calendar,SettlementDate,H50,"mf",TRUE)</f>
        <v>41954</v>
      </c>
      <c r="K50" s="504" t="str">
        <f>_xll.qlMakeDatedOIS(,I50,J50,OvernightIndex,0,,,,EvaluationDate)</f>
        <v>obj_003bb#0000</v>
      </c>
      <c r="L50" s="504" t="b">
        <f>_xll.qlInstrumentSetPricingEngine(K50,OisEngine)</f>
        <v>1</v>
      </c>
      <c r="M50" s="441">
        <f>_xll.qlOvernightIndexedSwapFairRate(K50,_xll.ohTrigger(InterestRatesTrigger))</f>
        <v>6.000000000004552E-4</v>
      </c>
      <c r="N50" s="478">
        <f>_xll.qlDayCounterYearFraction(DayCounterOIS,I50,J50,,,Trigger)</f>
        <v>0.25555555555555554</v>
      </c>
      <c r="O50" s="478">
        <f>_xll.qlDayCounterYearFraction(DayCounter3M,I50,J50,,,Trigger)</f>
        <v>0.25555555555555554</v>
      </c>
      <c r="P50" s="478">
        <f>_xll.qlDayCounterYearFraction(DayCounterON,I50,J50,,,Trigger)</f>
        <v>0.25205479452054796</v>
      </c>
      <c r="Q50" s="478">
        <f t="shared" si="8"/>
        <v>3.7055555555543917E-4</v>
      </c>
      <c r="R50" s="478">
        <f t="shared" si="9"/>
        <v>3.7055555555543922E-4</v>
      </c>
      <c r="S50" s="479">
        <f t="shared" si="10"/>
        <v>3.7055555555543901E-4</v>
      </c>
    </row>
    <row r="51" spans="2:19" x14ac:dyDescent="0.2">
      <c r="B51" s="483">
        <f>_xll.qlCalendarAdvance(Calendar,B50,"1d","mf")</f>
        <v>41908</v>
      </c>
      <c r="C51" s="476">
        <f>_xll.qlDayCounterYearFraction(DayCounterON,SettlementDate,B51,,,Trigger)</f>
        <v>0.12602739726027398</v>
      </c>
      <c r="D51" s="484">
        <f t="shared" si="11"/>
        <v>1.470138888888427E-3</v>
      </c>
      <c r="E51" s="484">
        <f t="shared" si="12"/>
        <v>1.4701388888884272E-3</v>
      </c>
      <c r="F51" s="437">
        <f t="shared" si="13"/>
        <v>1.382390766378196E-3</v>
      </c>
    </row>
    <row r="52" spans="2:19" ht="12" thickBot="1" x14ac:dyDescent="0.25">
      <c r="B52" s="483">
        <f>_xll.qlCalendarAdvance(Calendar,B51,"1d","mf")</f>
        <v>41911</v>
      </c>
      <c r="C52" s="476">
        <f>_xll.qlDayCounterYearFraction(DayCounterON,SettlementDate,B52,,,Trigger)</f>
        <v>0.13424657534246576</v>
      </c>
      <c r="D52" s="484">
        <f t="shared" si="11"/>
        <v>1.470138888888427E-3</v>
      </c>
      <c r="E52" s="484">
        <f t="shared" si="12"/>
        <v>1.4530926314712486E-3</v>
      </c>
      <c r="F52" s="437">
        <f t="shared" si="13"/>
        <v>1.3631051901445937E-3</v>
      </c>
    </row>
    <row r="53" spans="2:19" ht="12" thickBot="1" x14ac:dyDescent="0.25">
      <c r="B53" s="483">
        <f>_xll.qlCalendarAdvance(Calendar,B52,"1d","mf")</f>
        <v>41912</v>
      </c>
      <c r="C53" s="476">
        <f>_xll.qlDayCounterYearFraction(DayCounterON,SettlementDate,B53,,,Trigger)</f>
        <v>0.13698630136986301</v>
      </c>
      <c r="D53" s="484">
        <f t="shared" si="11"/>
        <v>1.470138888888427E-3</v>
      </c>
      <c r="E53" s="484">
        <f t="shared" si="12"/>
        <v>1.4474105456655224E-3</v>
      </c>
      <c r="F53" s="437">
        <f t="shared" si="13"/>
        <v>1.3571742911370425E-3</v>
      </c>
      <c r="M53" s="521" t="s">
        <v>170</v>
      </c>
      <c r="N53" s="522"/>
      <c r="O53" s="523"/>
    </row>
    <row r="54" spans="2:19" ht="12" thickBot="1" x14ac:dyDescent="0.25">
      <c r="B54" s="483">
        <f>_xll.qlCalendarAdvance(Calendar,B53,"1d","mf")</f>
        <v>41913</v>
      </c>
      <c r="C54" s="476">
        <f>_xll.qlDayCounterYearFraction(DayCounterON,SettlementDate,B54,,,Trigger)</f>
        <v>0.13972602739726028</v>
      </c>
      <c r="D54" s="484">
        <f t="shared" si="11"/>
        <v>1.470138888888427E-3</v>
      </c>
      <c r="E54" s="484">
        <f t="shared" si="12"/>
        <v>1.4417284598597963E-3</v>
      </c>
      <c r="F54" s="437">
        <f t="shared" si="13"/>
        <v>1.3514922053313163E-3</v>
      </c>
      <c r="H54" s="505" t="s">
        <v>169</v>
      </c>
      <c r="I54" s="506" t="s">
        <v>127</v>
      </c>
      <c r="J54" s="507" t="s">
        <v>128</v>
      </c>
      <c r="M54" s="508" t="s">
        <v>158</v>
      </c>
      <c r="N54" s="508" t="s">
        <v>157</v>
      </c>
      <c r="O54" s="508" t="s">
        <v>156</v>
      </c>
    </row>
    <row r="55" spans="2:19" x14ac:dyDescent="0.2">
      <c r="B55" s="483">
        <f>_xll.qlCalendarAdvance(Calendar,B54,"1d","mf")</f>
        <v>41914</v>
      </c>
      <c r="C55" s="476">
        <f>_xll.qlDayCounterYearFraction(DayCounterON,SettlementDate,B55,,,Trigger)</f>
        <v>0.14246575342465753</v>
      </c>
      <c r="D55" s="484">
        <f t="shared" si="11"/>
        <v>1.470138888888427E-3</v>
      </c>
      <c r="E55" s="484">
        <f t="shared" si="12"/>
        <v>1.4360463740540699E-3</v>
      </c>
      <c r="F55" s="437">
        <f t="shared" si="13"/>
        <v>1.3460589327274153E-3</v>
      </c>
      <c r="H55" s="524" t="s">
        <v>66</v>
      </c>
      <c r="I55" s="516">
        <f t="shared" ref="I55:I61" si="14">SettlementDate</f>
        <v>41862</v>
      </c>
      <c r="J55" s="517">
        <f>_xll.qlCalendarAdvance(Calendar,SettlementDate,H55,"Following")</f>
        <v>41863</v>
      </c>
      <c r="K55" s="509"/>
      <c r="M55" s="510">
        <f t="shared" ref="M55:O61" si="15">($M44*$N44+Q44)/$O44</f>
        <v>1.8499999596344556E-3</v>
      </c>
      <c r="N55" s="510">
        <f t="shared" si="15"/>
        <v>2.104993289765403E-3</v>
      </c>
      <c r="O55" s="511">
        <f t="shared" si="15"/>
        <v>2.3227287001623196E-3</v>
      </c>
      <c r="P55" s="453"/>
    </row>
    <row r="56" spans="2:19" x14ac:dyDescent="0.2">
      <c r="B56" s="483">
        <f>_xll.qlCalendarAdvance(Calendar,B55,"1d","mf")</f>
        <v>41915</v>
      </c>
      <c r="C56" s="476">
        <f>_xll.qlDayCounterYearFraction(DayCounterON,SettlementDate,B56,,,Trigger)</f>
        <v>0.14520547945205478</v>
      </c>
      <c r="D56" s="484">
        <f t="shared" si="11"/>
        <v>1.470138888888427E-3</v>
      </c>
      <c r="E56" s="484">
        <f t="shared" si="12"/>
        <v>1.4303642882483438E-3</v>
      </c>
      <c r="F56" s="437">
        <f t="shared" si="13"/>
        <v>1.3408744733253387E-3</v>
      </c>
      <c r="H56" s="525" t="s">
        <v>67</v>
      </c>
      <c r="I56" s="434">
        <f t="shared" si="14"/>
        <v>41862</v>
      </c>
      <c r="J56" s="501">
        <f>_xll.qlCalendarAdvance(Calendar,SettlementDate,H56,"Following")</f>
        <v>41869</v>
      </c>
      <c r="K56" s="476"/>
      <c r="M56" s="512">
        <f t="shared" si="15"/>
        <v>1.8199999661050832E-3</v>
      </c>
      <c r="N56" s="512">
        <f t="shared" si="15"/>
        <v>2.0581805491944292E-3</v>
      </c>
      <c r="O56" s="513">
        <f t="shared" si="15"/>
        <v>2.2407003705330673E-3</v>
      </c>
      <c r="P56" s="453"/>
    </row>
    <row r="57" spans="2:19" x14ac:dyDescent="0.2">
      <c r="B57" s="483">
        <f>_xll.qlCalendarAdvance(Calendar,B56,"1d","mf")</f>
        <v>41918</v>
      </c>
      <c r="C57" s="476">
        <f>_xll.qlDayCounterYearFraction(DayCounterON,SettlementDate,B57,,,Trigger)</f>
        <v>0.15342465753424658</v>
      </c>
      <c r="D57" s="484">
        <f t="shared" si="11"/>
        <v>1.470138888888427E-3</v>
      </c>
      <c r="E57" s="484">
        <f t="shared" si="12"/>
        <v>1.4133180308311651E-3</v>
      </c>
      <c r="F57" s="437">
        <f t="shared" si="13"/>
        <v>1.3268139743300585E-3</v>
      </c>
      <c r="H57" s="525" t="s">
        <v>68</v>
      </c>
      <c r="I57" s="434">
        <f t="shared" si="14"/>
        <v>41862</v>
      </c>
      <c r="J57" s="501">
        <f>_xll.qlCalendarAdvance(Calendar,SettlementDate,H57,"Following")</f>
        <v>41876</v>
      </c>
      <c r="K57" s="476"/>
      <c r="M57" s="512">
        <f t="shared" si="15"/>
        <v>1.8800000000006485E-3</v>
      </c>
      <c r="N57" s="512">
        <f t="shared" si="15"/>
        <v>2.0985657115414605E-3</v>
      </c>
      <c r="O57" s="513">
        <f t="shared" si="15"/>
        <v>2.243722651806071E-3</v>
      </c>
      <c r="P57" s="453"/>
    </row>
    <row r="58" spans="2:19" x14ac:dyDescent="0.2">
      <c r="B58" s="483">
        <f>_xll.qlCalendarAdvance(Calendar,B57,"1d","mf")</f>
        <v>41919</v>
      </c>
      <c r="C58" s="476">
        <f>_xll.qlDayCounterYearFraction(DayCounterON,SettlementDate,B58,,,Trigger)</f>
        <v>0.15616438356164383</v>
      </c>
      <c r="D58" s="484">
        <f t="shared" si="11"/>
        <v>1.470138888888427E-3</v>
      </c>
      <c r="E58" s="484">
        <f t="shared" si="12"/>
        <v>1.4076359450254389E-3</v>
      </c>
      <c r="F58" s="437">
        <f t="shared" si="13"/>
        <v>1.3226247677352813E-3</v>
      </c>
      <c r="H58" s="525" t="s">
        <v>69</v>
      </c>
      <c r="I58" s="434">
        <f t="shared" si="14"/>
        <v>41862</v>
      </c>
      <c r="J58" s="501">
        <f>_xll.qlCalendarAdvance(Calendar,SettlementDate,H58,"Following")</f>
        <v>41883</v>
      </c>
      <c r="K58" s="476"/>
      <c r="M58" s="512">
        <f t="shared" si="15"/>
        <v>2.119999995186644E-3</v>
      </c>
      <c r="N58" s="512">
        <f t="shared" si="15"/>
        <v>2.3189508351789214E-3</v>
      </c>
      <c r="O58" s="513">
        <f t="shared" si="15"/>
        <v>2.4307531727989027E-3</v>
      </c>
      <c r="P58" s="453"/>
    </row>
    <row r="59" spans="2:19" x14ac:dyDescent="0.2">
      <c r="B59" s="483">
        <f>_xll.qlCalendarAdvance(Calendar,B58,"1d","mf")</f>
        <v>41920</v>
      </c>
      <c r="C59" s="476">
        <f>_xll.qlDayCounterYearFraction(DayCounterON,SettlementDate,B59,,,Trigger)</f>
        <v>0.15890410958904111</v>
      </c>
      <c r="D59" s="484">
        <f t="shared" si="11"/>
        <v>1.470138888888427E-3</v>
      </c>
      <c r="E59" s="484">
        <f t="shared" si="12"/>
        <v>1.4019538592197126E-3</v>
      </c>
      <c r="F59" s="437">
        <f t="shared" si="13"/>
        <v>1.3186843743423289E-3</v>
      </c>
      <c r="H59" s="525" t="s">
        <v>62</v>
      </c>
      <c r="I59" s="434">
        <f t="shared" si="14"/>
        <v>41862</v>
      </c>
      <c r="J59" s="501">
        <f>_xll.qlCalendarAdvance(Calendar,SettlementDate,H59,"mf",TRUE)</f>
        <v>41893</v>
      </c>
      <c r="K59" s="476"/>
      <c r="M59" s="512">
        <f t="shared" si="15"/>
        <v>2.0899999999996113E-3</v>
      </c>
      <c r="N59" s="512">
        <f t="shared" si="15"/>
        <v>2.260929594922554E-3</v>
      </c>
      <c r="O59" s="513">
        <f t="shared" si="15"/>
        <v>2.3320356362440597E-3</v>
      </c>
      <c r="P59" s="453"/>
    </row>
    <row r="60" spans="2:19" x14ac:dyDescent="0.2">
      <c r="B60" s="483">
        <f>_xll.qlCalendarAdvance(Calendar,B59,"1d","mf")</f>
        <v>41921</v>
      </c>
      <c r="C60" s="476">
        <f>_xll.qlDayCounterYearFraction(DayCounterON,SettlementDate,B60,,,Trigger)</f>
        <v>0.16164383561643836</v>
      </c>
      <c r="D60" s="484">
        <f t="shared" si="11"/>
        <v>1.470138888888427E-3</v>
      </c>
      <c r="E60" s="484">
        <f t="shared" si="12"/>
        <v>1.3962717734139864E-3</v>
      </c>
      <c r="F60" s="437">
        <f t="shared" si="13"/>
        <v>1.3149927941512015E-3</v>
      </c>
      <c r="H60" s="525" t="s">
        <v>70</v>
      </c>
      <c r="I60" s="434">
        <f t="shared" si="14"/>
        <v>41862</v>
      </c>
      <c r="J60" s="501">
        <f>_xll.qlCalendarAdvance(Calendar,SettlementDate,H60,"mf",TRUE)</f>
        <v>41925</v>
      </c>
      <c r="K60" s="476"/>
      <c r="M60" s="512">
        <f t="shared" si="15"/>
        <v>2.0700000000011954E-3</v>
      </c>
      <c r="N60" s="512">
        <f t="shared" si="15"/>
        <v>2.1512616107022668E-3</v>
      </c>
      <c r="O60" s="513">
        <f t="shared" si="15"/>
        <v>2.1471101794718183E-3</v>
      </c>
      <c r="P60" s="453"/>
    </row>
    <row r="61" spans="2:19" ht="12" thickBot="1" x14ac:dyDescent="0.25">
      <c r="B61" s="483">
        <f>_xll.qlCalendarAdvance(Calendar,B60,"1d","mf")</f>
        <v>41922</v>
      </c>
      <c r="C61" s="476">
        <f>_xll.qlDayCounterYearFraction(DayCounterON,SettlementDate,B61,,,Trigger)</f>
        <v>0.16438356164383561</v>
      </c>
      <c r="D61" s="484">
        <f t="shared" si="11"/>
        <v>1.470138888888427E-3</v>
      </c>
      <c r="E61" s="484">
        <f t="shared" si="12"/>
        <v>1.3905896876082601E-3</v>
      </c>
      <c r="F61" s="437">
        <f t="shared" si="13"/>
        <v>1.3115500271618991E-3</v>
      </c>
      <c r="H61" s="526" t="s">
        <v>63</v>
      </c>
      <c r="I61" s="439">
        <f t="shared" si="14"/>
        <v>41862</v>
      </c>
      <c r="J61" s="503">
        <f>_xll.qlCalendarAdvance(Calendar,SettlementDate,H61,"mf",TRUE)</f>
        <v>41954</v>
      </c>
      <c r="K61" s="478"/>
      <c r="M61" s="514">
        <f t="shared" si="15"/>
        <v>2.0500000000000002E-3</v>
      </c>
      <c r="N61" s="514">
        <f t="shared" si="15"/>
        <v>2.0500000000000002E-3</v>
      </c>
      <c r="O61" s="515">
        <f t="shared" si="15"/>
        <v>2.0499999999999993E-3</v>
      </c>
      <c r="P61" s="453"/>
    </row>
    <row r="62" spans="2:19" x14ac:dyDescent="0.2">
      <c r="B62" s="483">
        <f>_xll.qlCalendarAdvance(Calendar,B61,"1d","mf")</f>
        <v>41925</v>
      </c>
      <c r="C62" s="476">
        <f>_xll.qlDayCounterYearFraction(DayCounterON,SettlementDate,B62,,,Trigger)</f>
        <v>0.17260273972602741</v>
      </c>
      <c r="D62" s="484">
        <f t="shared" si="11"/>
        <v>1.470138888888427E-3</v>
      </c>
      <c r="E62" s="484">
        <f t="shared" si="12"/>
        <v>1.3735434301910814E-3</v>
      </c>
      <c r="F62" s="437">
        <f t="shared" si="13"/>
        <v>1.3027146054049405E-3</v>
      </c>
      <c r="H62" s="448"/>
      <c r="I62" s="448"/>
    </row>
    <row r="63" spans="2:19" x14ac:dyDescent="0.2">
      <c r="B63" s="483">
        <f>_xll.qlCalendarAdvance(Calendar,B62,"1d","mf")</f>
        <v>41926</v>
      </c>
      <c r="C63" s="476">
        <f>_xll.qlDayCounterYearFraction(DayCounterON,SettlementDate,B63,,,Trigger)</f>
        <v>0.17534246575342466</v>
      </c>
      <c r="D63" s="484">
        <f t="shared" si="11"/>
        <v>1.470138888888427E-3</v>
      </c>
      <c r="E63" s="484">
        <f t="shared" si="12"/>
        <v>1.3678613443853552E-3</v>
      </c>
      <c r="F63" s="437">
        <f t="shared" si="13"/>
        <v>1.3002670912229375E-3</v>
      </c>
      <c r="H63" s="448"/>
      <c r="I63" s="448"/>
    </row>
    <row r="64" spans="2:19" x14ac:dyDescent="0.2">
      <c r="B64" s="483">
        <f>_xll.qlCalendarAdvance(Calendar,B63,"1d","mf")</f>
        <v>41927</v>
      </c>
      <c r="C64" s="476">
        <f>_xll.qlDayCounterYearFraction(DayCounterON,SettlementDate,B64,,,Trigger)</f>
        <v>0.17808219178082191</v>
      </c>
      <c r="D64" s="484">
        <f t="shared" si="11"/>
        <v>1.470138888888427E-3</v>
      </c>
      <c r="E64" s="484">
        <f t="shared" si="12"/>
        <v>1.3621792585796289E-3</v>
      </c>
      <c r="F64" s="437">
        <f t="shared" si="13"/>
        <v>1.2980683902427592E-3</v>
      </c>
      <c r="H64" s="448"/>
      <c r="I64" s="448"/>
    </row>
    <row r="65" spans="2:9" x14ac:dyDescent="0.2">
      <c r="B65" s="483">
        <f>_xll.qlCalendarAdvance(Calendar,B64,"1d","mf")</f>
        <v>41928</v>
      </c>
      <c r="C65" s="476">
        <f>_xll.qlDayCounterYearFraction(DayCounterON,SettlementDate,B65,,,Trigger)</f>
        <v>0.18082191780821918</v>
      </c>
      <c r="D65" s="484">
        <f t="shared" si="11"/>
        <v>1.470138888888427E-3</v>
      </c>
      <c r="E65" s="484">
        <f t="shared" si="12"/>
        <v>1.3564971727739027E-3</v>
      </c>
      <c r="F65" s="437">
        <f t="shared" si="13"/>
        <v>1.2961185024644058E-3</v>
      </c>
      <c r="H65" s="448"/>
      <c r="I65" s="448"/>
    </row>
    <row r="66" spans="2:9" x14ac:dyDescent="0.2">
      <c r="B66" s="483">
        <f>_xll.qlCalendarAdvance(Calendar,B65,"1d","mf")</f>
        <v>41929</v>
      </c>
      <c r="C66" s="476">
        <f>_xll.qlDayCounterYearFraction(DayCounterON,SettlementDate,B66,,,Trigger)</f>
        <v>0.18356164383561643</v>
      </c>
      <c r="D66" s="484">
        <f t="shared" si="11"/>
        <v>1.470138888888427E-3</v>
      </c>
      <c r="E66" s="484">
        <f t="shared" si="12"/>
        <v>1.3508150869681766E-3</v>
      </c>
      <c r="F66" s="437">
        <f t="shared" si="13"/>
        <v>1.2944174278878774E-3</v>
      </c>
      <c r="H66" s="448"/>
      <c r="I66" s="448"/>
    </row>
    <row r="67" spans="2:9" x14ac:dyDescent="0.2">
      <c r="B67" s="483">
        <f>_xll.qlCalendarAdvance(Calendar,B66,"1d","mf")</f>
        <v>41932</v>
      </c>
      <c r="C67" s="476">
        <f>_xll.qlDayCounterYearFraction(DayCounterON,SettlementDate,B67,,,Trigger)</f>
        <v>0.19178082191780821</v>
      </c>
      <c r="D67" s="484">
        <f t="shared" si="11"/>
        <v>1.470138888888427E-3</v>
      </c>
      <c r="E67" s="484">
        <f t="shared" si="12"/>
        <v>1.3337688295509979E-3</v>
      </c>
      <c r="F67" s="437">
        <f t="shared" si="13"/>
        <v>1.2908070833692405E-3</v>
      </c>
      <c r="H67" s="448"/>
      <c r="I67" s="448"/>
    </row>
    <row r="68" spans="2:9" x14ac:dyDescent="0.2">
      <c r="B68" s="483">
        <f>_xll.qlCalendarAdvance(Calendar,B67,"1d","mf")</f>
        <v>41933</v>
      </c>
      <c r="C68" s="476">
        <f>_xll.qlDayCounterYearFraction(DayCounterON,SettlementDate,B68,,,Trigger)</f>
        <v>0.19452054794520549</v>
      </c>
      <c r="D68" s="484">
        <f t="shared" si="11"/>
        <v>1.470138888888427E-3</v>
      </c>
      <c r="E68" s="484">
        <f t="shared" si="12"/>
        <v>1.3280867437452716E-3</v>
      </c>
      <c r="F68" s="437">
        <f t="shared" si="13"/>
        <v>1.2901012616000113E-3</v>
      </c>
      <c r="H68" s="448"/>
      <c r="I68" s="448"/>
    </row>
    <row r="69" spans="2:9" x14ac:dyDescent="0.2">
      <c r="B69" s="483">
        <f>_xll.qlCalendarAdvance(Calendar,B68,"1d","mf")</f>
        <v>41934</v>
      </c>
      <c r="C69" s="476">
        <f>_xll.qlDayCounterYearFraction(DayCounterON,SettlementDate,B69,,,Trigger)</f>
        <v>0.19726027397260273</v>
      </c>
      <c r="D69" s="484">
        <f t="shared" si="11"/>
        <v>1.470138888888427E-3</v>
      </c>
      <c r="E69" s="484">
        <f t="shared" si="12"/>
        <v>1.3224046579395454E-3</v>
      </c>
      <c r="F69" s="437">
        <f t="shared" si="13"/>
        <v>1.289644253032607E-3</v>
      </c>
      <c r="H69" s="448"/>
      <c r="I69" s="448"/>
    </row>
    <row r="70" spans="2:9" x14ac:dyDescent="0.2">
      <c r="B70" s="483">
        <f>_xll.qlCalendarAdvance(Calendar,B69,"1d","mf")</f>
        <v>41935</v>
      </c>
      <c r="C70" s="476">
        <f>_xll.qlDayCounterYearFraction(DayCounterON,SettlementDate,B70,,,Trigger)</f>
        <v>0.2</v>
      </c>
      <c r="D70" s="484">
        <f t="shared" si="11"/>
        <v>1.470138888888427E-3</v>
      </c>
      <c r="E70" s="484">
        <f t="shared" si="12"/>
        <v>1.3167225721338193E-3</v>
      </c>
      <c r="F70" s="437">
        <f t="shared" si="13"/>
        <v>1.2894360576670278E-3</v>
      </c>
      <c r="H70" s="448"/>
      <c r="I70" s="448"/>
    </row>
    <row r="71" spans="2:9" x14ac:dyDescent="0.2">
      <c r="B71" s="483">
        <f>_xll.qlCalendarAdvance(Calendar,B70,"1d","mf")</f>
        <v>41936</v>
      </c>
      <c r="C71" s="476">
        <f>_xll.qlDayCounterYearFraction(DayCounterON,SettlementDate,B71,,,Trigger)</f>
        <v>0.20273972602739726</v>
      </c>
      <c r="D71" s="484">
        <f t="shared" si="11"/>
        <v>1.470138888888427E-3</v>
      </c>
      <c r="E71" s="484">
        <f t="shared" si="12"/>
        <v>1.3110404863280929E-3</v>
      </c>
      <c r="F71" s="437">
        <f t="shared" si="13"/>
        <v>1.289476675503273E-3</v>
      </c>
      <c r="H71" s="448"/>
      <c r="I71" s="448"/>
    </row>
    <row r="72" spans="2:9" x14ac:dyDescent="0.2">
      <c r="B72" s="483">
        <f>_xll.qlCalendarAdvance(Calendar,B71,"1d","mf")</f>
        <v>41939</v>
      </c>
      <c r="C72" s="476">
        <f>_xll.qlDayCounterYearFraction(DayCounterON,SettlementDate,B72,,,Trigger)</f>
        <v>0.21095890410958903</v>
      </c>
      <c r="D72" s="484">
        <f t="shared" si="11"/>
        <v>1.470138888888427E-3</v>
      </c>
      <c r="E72" s="484">
        <f t="shared" si="12"/>
        <v>1.2939942289109142E-3</v>
      </c>
      <c r="F72" s="437">
        <f t="shared" si="13"/>
        <v>1.2910914082229583E-3</v>
      </c>
      <c r="H72" s="448"/>
      <c r="I72" s="448"/>
    </row>
    <row r="73" spans="2:9" x14ac:dyDescent="0.2">
      <c r="B73" s="483">
        <f>_xll.qlCalendarAdvance(Calendar,B72,"1d","mf")</f>
        <v>41940</v>
      </c>
      <c r="C73" s="476">
        <f>_xll.qlDayCounterYearFraction(DayCounterON,SettlementDate,B73,,,Trigger)</f>
        <v>0.21369863013698631</v>
      </c>
      <c r="D73" s="484">
        <f t="shared" si="11"/>
        <v>1.470138888888427E-3</v>
      </c>
      <c r="E73" s="484">
        <f t="shared" si="12"/>
        <v>1.2883121431051881E-3</v>
      </c>
      <c r="F73" s="437">
        <f t="shared" si="13"/>
        <v>1.2921272788665031E-3</v>
      </c>
      <c r="H73" s="448"/>
      <c r="I73" s="448"/>
    </row>
    <row r="74" spans="2:9" x14ac:dyDescent="0.2">
      <c r="B74" s="483">
        <f>_xll.qlCalendarAdvance(Calendar,B73,"1d","mf")</f>
        <v>41941</v>
      </c>
      <c r="C74" s="476">
        <f>_xll.qlDayCounterYearFraction(DayCounterON,SettlementDate,B74,,,Trigger)</f>
        <v>0.21643835616438356</v>
      </c>
      <c r="D74" s="484">
        <f t="shared" si="11"/>
        <v>1.470138888888427E-3</v>
      </c>
      <c r="E74" s="484">
        <f t="shared" si="12"/>
        <v>1.2826300572994619E-3</v>
      </c>
      <c r="F74" s="437">
        <f t="shared" si="13"/>
        <v>1.2934119627118726E-3</v>
      </c>
      <c r="H74" s="448"/>
      <c r="I74" s="448"/>
    </row>
    <row r="75" spans="2:9" x14ac:dyDescent="0.2">
      <c r="B75" s="483">
        <f>_xll.qlCalendarAdvance(Calendar,B74,"1d","mf")</f>
        <v>41942</v>
      </c>
      <c r="C75" s="476">
        <f>_xll.qlDayCounterYearFraction(DayCounterON,SettlementDate,B75,,,Trigger)</f>
        <v>0.21917808219178081</v>
      </c>
      <c r="D75" s="484">
        <f t="shared" si="11"/>
        <v>1.470138888888427E-3</v>
      </c>
      <c r="E75" s="484">
        <f t="shared" si="12"/>
        <v>1.2769479714937356E-3</v>
      </c>
      <c r="F75" s="437">
        <f t="shared" si="13"/>
        <v>1.2949454597590672E-3</v>
      </c>
      <c r="H75" s="448"/>
      <c r="I75" s="448"/>
    </row>
    <row r="76" spans="2:9" x14ac:dyDescent="0.2">
      <c r="B76" s="483">
        <f>_xll.qlCalendarAdvance(Calendar,B75,"1d","mf")</f>
        <v>41943</v>
      </c>
      <c r="C76" s="476">
        <f>_xll.qlDayCounterYearFraction(DayCounterON,SettlementDate,B76,,,Trigger)</f>
        <v>0.22191780821917809</v>
      </c>
      <c r="D76" s="484">
        <f t="shared" si="11"/>
        <v>1.470138888888427E-3</v>
      </c>
      <c r="E76" s="484">
        <f t="shared" si="12"/>
        <v>1.2712658856880094E-3</v>
      </c>
      <c r="F76" s="437">
        <f t="shared" si="13"/>
        <v>1.2967277700080865E-3</v>
      </c>
      <c r="H76" s="448"/>
      <c r="I76" s="448"/>
    </row>
    <row r="77" spans="2:9" x14ac:dyDescent="0.2">
      <c r="B77" s="483">
        <f>_xll.qlCalendarAdvance(Calendar,B76,"1d","mf")</f>
        <v>41946</v>
      </c>
      <c r="C77" s="476">
        <f>_xll.qlDayCounterYearFraction(DayCounterON,SettlementDate,B77,,,Trigger)</f>
        <v>0.23013698630136986</v>
      </c>
      <c r="D77" s="484">
        <f t="shared" si="11"/>
        <v>1.470138888888427E-3</v>
      </c>
      <c r="E77" s="484">
        <f t="shared" si="12"/>
        <v>1.2542196282708308E-3</v>
      </c>
      <c r="F77" s="437">
        <f t="shared" si="13"/>
        <v>1.3035675799660936E-3</v>
      </c>
      <c r="H77" s="448"/>
      <c r="I77" s="448"/>
    </row>
    <row r="78" spans="2:9" x14ac:dyDescent="0.2">
      <c r="B78" s="483">
        <f>_xll.qlCalendarAdvance(Calendar,B77,"1d","mf")</f>
        <v>41947</v>
      </c>
      <c r="C78" s="476">
        <f>_xll.qlDayCounterYearFraction(DayCounterON,SettlementDate,B78,,,Trigger)</f>
        <v>0.23287671232876711</v>
      </c>
      <c r="D78" s="484">
        <f t="shared" si="11"/>
        <v>1.470138888888427E-3</v>
      </c>
      <c r="E78" s="484">
        <f t="shared" si="12"/>
        <v>1.2485375424651046E-3</v>
      </c>
      <c r="F78" s="437">
        <f t="shared" si="13"/>
        <v>1.3063451430224125E-3</v>
      </c>
      <c r="H78" s="448"/>
      <c r="I78" s="448"/>
    </row>
    <row r="79" spans="2:9" x14ac:dyDescent="0.2">
      <c r="B79" s="483">
        <f>_xll.qlCalendarAdvance(Calendar,B78,"1d","mf")</f>
        <v>41948</v>
      </c>
      <c r="C79" s="476">
        <f>_xll.qlDayCounterYearFraction(DayCounterON,SettlementDate,B79,,,Trigger)</f>
        <v>0.23561643835616439</v>
      </c>
      <c r="D79" s="484">
        <f t="shared" si="11"/>
        <v>1.470138888888427E-3</v>
      </c>
      <c r="E79" s="484">
        <f t="shared" si="12"/>
        <v>1.2428554566593782E-3</v>
      </c>
      <c r="F79" s="437">
        <f t="shared" si="13"/>
        <v>1.309371519280556E-3</v>
      </c>
      <c r="H79" s="448"/>
      <c r="I79" s="448"/>
    </row>
    <row r="80" spans="2:9" x14ac:dyDescent="0.2">
      <c r="B80" s="483">
        <f>_xll.qlCalendarAdvance(Calendar,B79,"1d","mf")</f>
        <v>41949</v>
      </c>
      <c r="C80" s="476">
        <f>_xll.qlDayCounterYearFraction(DayCounterON,SettlementDate,B80,,,Trigger)</f>
        <v>0.23835616438356164</v>
      </c>
      <c r="D80" s="484">
        <f t="shared" si="11"/>
        <v>1.470138888888427E-3</v>
      </c>
      <c r="E80" s="484">
        <f t="shared" si="12"/>
        <v>1.2371733708536519E-3</v>
      </c>
      <c r="F80" s="437">
        <f t="shared" si="13"/>
        <v>1.3126467087405244E-3</v>
      </c>
      <c r="H80" s="448"/>
      <c r="I80" s="448"/>
    </row>
    <row r="81" spans="2:9" x14ac:dyDescent="0.2">
      <c r="B81" s="483">
        <f>_xll.qlCalendarAdvance(Calendar,B80,"1d","mf")</f>
        <v>41950</v>
      </c>
      <c r="C81" s="476">
        <f>_xll.qlDayCounterYearFraction(DayCounterON,SettlementDate,B81,,,Trigger)</f>
        <v>0.24109589041095891</v>
      </c>
      <c r="D81" s="484">
        <f t="shared" si="11"/>
        <v>1.470138888888427E-3</v>
      </c>
      <c r="E81" s="484">
        <f t="shared" si="12"/>
        <v>1.2314912850479257E-3</v>
      </c>
      <c r="F81" s="437">
        <f t="shared" si="13"/>
        <v>1.3161707114023179E-3</v>
      </c>
      <c r="H81" s="448"/>
      <c r="I81" s="448"/>
    </row>
    <row r="82" spans="2:9" x14ac:dyDescent="0.2">
      <c r="B82" s="483">
        <f>_xll.qlCalendarAdvance(Calendar,B81,"1d","mf")</f>
        <v>41953</v>
      </c>
      <c r="C82" s="476">
        <f>_xll.qlDayCounterYearFraction(DayCounterON,SettlementDate,B82,,,Trigger)</f>
        <v>0.24931506849315069</v>
      </c>
      <c r="D82" s="484">
        <f t="shared" si="11"/>
        <v>1.470138888888427E-3</v>
      </c>
      <c r="E82" s="484">
        <f t="shared" si="12"/>
        <v>1.2144450276307471E-3</v>
      </c>
      <c r="F82" s="437">
        <f t="shared" si="13"/>
        <v>1.3282355985986467E-3</v>
      </c>
      <c r="H82" s="448"/>
      <c r="I82" s="448"/>
    </row>
    <row r="83" spans="2:9" x14ac:dyDescent="0.2">
      <c r="B83" s="483">
        <f>_xll.qlCalendarAdvance(Calendar,B82,"1d","mf")</f>
        <v>41954</v>
      </c>
      <c r="C83" s="476">
        <f>_xll.qlDayCounterYearFraction(DayCounterON,SettlementDate,B83,,,Trigger)</f>
        <v>0.25205479452054796</v>
      </c>
      <c r="D83" s="484">
        <f t="shared" si="11"/>
        <v>1.470138888888427E-3</v>
      </c>
      <c r="E83" s="484">
        <f t="shared" si="12"/>
        <v>1.2087629418250207E-3</v>
      </c>
      <c r="F83" s="437">
        <f t="shared" si="13"/>
        <v>1.3327548540677395E-3</v>
      </c>
      <c r="H83" s="448"/>
      <c r="I83" s="448"/>
    </row>
    <row r="84" spans="2:9" x14ac:dyDescent="0.2">
      <c r="B84" s="483"/>
      <c r="C84" s="476"/>
      <c r="D84" s="484"/>
      <c r="E84" s="484"/>
      <c r="F84" s="437"/>
      <c r="H84" s="448"/>
      <c r="I84" s="448"/>
    </row>
    <row r="85" spans="2:9" x14ac:dyDescent="0.2">
      <c r="B85" s="483"/>
      <c r="C85" s="476"/>
      <c r="D85" s="484"/>
      <c r="E85" s="484"/>
      <c r="F85" s="437"/>
      <c r="H85" s="448"/>
      <c r="I85" s="448"/>
    </row>
    <row r="86" spans="2:9" x14ac:dyDescent="0.2">
      <c r="B86" s="483"/>
      <c r="C86" s="476"/>
      <c r="D86" s="484"/>
      <c r="E86" s="484"/>
      <c r="F86" s="437"/>
      <c r="H86" s="448"/>
      <c r="I86" s="448"/>
    </row>
    <row r="87" spans="2:9" x14ac:dyDescent="0.2">
      <c r="B87" s="483"/>
      <c r="C87" s="476"/>
      <c r="D87" s="484"/>
      <c r="E87" s="484"/>
      <c r="F87" s="437"/>
      <c r="H87" s="448"/>
      <c r="I87" s="448"/>
    </row>
    <row r="88" spans="2:9" x14ac:dyDescent="0.2">
      <c r="B88" s="483"/>
      <c r="C88" s="476"/>
      <c r="D88" s="484"/>
      <c r="E88" s="484"/>
      <c r="F88" s="437"/>
      <c r="H88" s="448"/>
      <c r="I88" s="448"/>
    </row>
    <row r="89" spans="2:9" x14ac:dyDescent="0.2">
      <c r="B89" s="483"/>
      <c r="C89" s="476"/>
      <c r="D89" s="484"/>
      <c r="E89" s="484"/>
      <c r="F89" s="437"/>
      <c r="H89" s="448"/>
      <c r="I89" s="448"/>
    </row>
    <row r="90" spans="2:9" x14ac:dyDescent="0.2">
      <c r="B90" s="483"/>
      <c r="C90" s="476"/>
      <c r="D90" s="484"/>
      <c r="E90" s="484"/>
      <c r="F90" s="437"/>
      <c r="H90" s="448"/>
      <c r="I90" s="448"/>
    </row>
    <row r="91" spans="2:9" x14ac:dyDescent="0.2">
      <c r="B91" s="483"/>
      <c r="C91" s="476"/>
      <c r="D91" s="484"/>
      <c r="E91" s="484"/>
      <c r="F91" s="437"/>
      <c r="H91" s="448"/>
      <c r="I91" s="448"/>
    </row>
    <row r="92" spans="2:9" x14ac:dyDescent="0.2">
      <c r="B92" s="483"/>
      <c r="C92" s="476"/>
      <c r="D92" s="484"/>
      <c r="E92" s="484"/>
      <c r="F92" s="437"/>
      <c r="H92" s="448"/>
      <c r="I92" s="448"/>
    </row>
    <row r="93" spans="2:9" x14ac:dyDescent="0.2">
      <c r="B93" s="483"/>
      <c r="C93" s="476"/>
      <c r="D93" s="484"/>
      <c r="E93" s="484"/>
      <c r="F93" s="437"/>
      <c r="H93" s="448"/>
      <c r="I93" s="448"/>
    </row>
    <row r="94" spans="2:9" x14ac:dyDescent="0.2">
      <c r="B94" s="483"/>
      <c r="C94" s="476"/>
      <c r="D94" s="484"/>
      <c r="E94" s="484"/>
      <c r="F94" s="437"/>
      <c r="H94" s="448"/>
      <c r="I94" s="448"/>
    </row>
    <row r="95" spans="2:9" x14ac:dyDescent="0.2">
      <c r="B95" s="483"/>
      <c r="C95" s="476"/>
      <c r="D95" s="484"/>
      <c r="E95" s="484"/>
      <c r="F95" s="437"/>
      <c r="H95" s="448"/>
      <c r="I95" s="448"/>
    </row>
    <row r="96" spans="2:9" x14ac:dyDescent="0.2">
      <c r="B96" s="483"/>
      <c r="C96" s="476"/>
      <c r="D96" s="484"/>
      <c r="E96" s="484"/>
      <c r="F96" s="437"/>
      <c r="H96" s="448"/>
      <c r="I96" s="448"/>
    </row>
    <row r="97" spans="2:9" x14ac:dyDescent="0.2">
      <c r="B97" s="483"/>
      <c r="C97" s="476"/>
      <c r="D97" s="484"/>
      <c r="E97" s="484"/>
      <c r="F97" s="437"/>
      <c r="H97" s="448"/>
      <c r="I97" s="448"/>
    </row>
    <row r="98" spans="2:9" x14ac:dyDescent="0.2">
      <c r="B98" s="483"/>
      <c r="C98" s="476"/>
      <c r="D98" s="484"/>
      <c r="E98" s="484"/>
      <c r="F98" s="437"/>
      <c r="H98" s="448"/>
      <c r="I98" s="448"/>
    </row>
    <row r="99" spans="2:9" x14ac:dyDescent="0.2">
      <c r="B99" s="483"/>
      <c r="C99" s="476"/>
      <c r="D99" s="484"/>
      <c r="E99" s="484"/>
      <c r="F99" s="437"/>
      <c r="H99" s="448"/>
      <c r="I99" s="448"/>
    </row>
    <row r="100" spans="2:9" x14ac:dyDescent="0.2">
      <c r="B100" s="483"/>
      <c r="C100" s="476"/>
      <c r="D100" s="484"/>
      <c r="E100" s="484"/>
      <c r="F100" s="437"/>
      <c r="H100" s="448"/>
      <c r="I100" s="448"/>
    </row>
    <row r="101" spans="2:9" x14ac:dyDescent="0.2">
      <c r="B101" s="483"/>
      <c r="C101" s="476"/>
      <c r="D101" s="484"/>
      <c r="E101" s="484"/>
      <c r="F101" s="437"/>
      <c r="H101" s="448"/>
      <c r="I101" s="448"/>
    </row>
    <row r="102" spans="2:9" x14ac:dyDescent="0.2">
      <c r="B102" s="483"/>
      <c r="C102" s="476"/>
      <c r="D102" s="484"/>
      <c r="E102" s="484"/>
      <c r="F102" s="437"/>
      <c r="H102" s="448"/>
      <c r="I102" s="448"/>
    </row>
    <row r="103" spans="2:9" x14ac:dyDescent="0.2">
      <c r="B103" s="483"/>
      <c r="C103" s="476"/>
      <c r="D103" s="484"/>
      <c r="E103" s="484"/>
      <c r="F103" s="437"/>
      <c r="H103" s="448"/>
      <c r="I103" s="448"/>
    </row>
    <row r="104" spans="2:9" x14ac:dyDescent="0.2">
      <c r="B104" s="483"/>
      <c r="C104" s="476"/>
      <c r="D104" s="484"/>
      <c r="E104" s="484"/>
      <c r="F104" s="437"/>
      <c r="H104" s="448"/>
      <c r="I104" s="448"/>
    </row>
    <row r="105" spans="2:9" x14ac:dyDescent="0.2">
      <c r="B105" s="483"/>
      <c r="C105" s="476"/>
      <c r="D105" s="484"/>
      <c r="E105" s="484"/>
      <c r="F105" s="437"/>
      <c r="H105" s="448"/>
      <c r="I105" s="448"/>
    </row>
    <row r="106" spans="2:9" x14ac:dyDescent="0.2">
      <c r="B106" s="483"/>
      <c r="C106" s="476"/>
      <c r="D106" s="484"/>
      <c r="E106" s="484"/>
      <c r="F106" s="437"/>
      <c r="H106" s="448"/>
      <c r="I106" s="448"/>
    </row>
    <row r="107" spans="2:9" x14ac:dyDescent="0.2">
      <c r="B107" s="483"/>
      <c r="C107" s="476"/>
      <c r="D107" s="484"/>
      <c r="E107" s="484"/>
      <c r="F107" s="437"/>
      <c r="H107" s="448"/>
      <c r="I107" s="448"/>
    </row>
    <row r="108" spans="2:9" x14ac:dyDescent="0.2">
      <c r="B108" s="483"/>
      <c r="C108" s="476"/>
      <c r="D108" s="484"/>
      <c r="E108" s="484"/>
      <c r="F108" s="437"/>
      <c r="H108" s="448"/>
      <c r="I108" s="448"/>
    </row>
    <row r="109" spans="2:9" x14ac:dyDescent="0.2">
      <c r="B109" s="483"/>
      <c r="C109" s="476"/>
      <c r="D109" s="484"/>
      <c r="E109" s="484"/>
      <c r="F109" s="437"/>
      <c r="H109" s="448"/>
      <c r="I109" s="448"/>
    </row>
    <row r="110" spans="2:9" x14ac:dyDescent="0.2">
      <c r="B110" s="483"/>
      <c r="C110" s="476"/>
      <c r="D110" s="484"/>
      <c r="E110" s="484"/>
      <c r="F110" s="437"/>
      <c r="H110" s="448"/>
      <c r="I110" s="448"/>
    </row>
    <row r="111" spans="2:9" x14ac:dyDescent="0.2">
      <c r="B111" s="483"/>
      <c r="C111" s="476"/>
      <c r="D111" s="484"/>
      <c r="E111" s="484"/>
      <c r="F111" s="437"/>
      <c r="H111" s="448"/>
      <c r="I111" s="448"/>
    </row>
    <row r="112" spans="2:9" x14ac:dyDescent="0.2">
      <c r="B112" s="483"/>
      <c r="C112" s="476"/>
      <c r="D112" s="484"/>
      <c r="E112" s="484"/>
      <c r="F112" s="437"/>
      <c r="H112" s="448"/>
      <c r="I112" s="448"/>
    </row>
    <row r="113" spans="2:9" x14ac:dyDescent="0.2">
      <c r="B113" s="483"/>
      <c r="C113" s="476"/>
      <c r="D113" s="484"/>
      <c r="E113" s="484"/>
      <c r="F113" s="437"/>
      <c r="H113" s="448"/>
      <c r="I113" s="448"/>
    </row>
    <row r="114" spans="2:9" ht="12" thickBot="1" x14ac:dyDescent="0.25">
      <c r="B114" s="485"/>
      <c r="C114" s="478"/>
      <c r="D114" s="486"/>
      <c r="E114" s="486"/>
      <c r="F114" s="442"/>
      <c r="H114" s="448"/>
      <c r="I114" s="448"/>
    </row>
    <row r="115" spans="2:9" x14ac:dyDescent="0.2">
      <c r="C115" s="452"/>
      <c r="D115" s="425"/>
      <c r="E115" s="425"/>
      <c r="F115" s="425"/>
      <c r="G115" s="425"/>
      <c r="H115" s="425"/>
      <c r="I115" s="425"/>
    </row>
    <row r="116" spans="2:9" x14ac:dyDescent="0.2">
      <c r="C116" s="452"/>
      <c r="D116" s="425"/>
      <c r="E116" s="425"/>
      <c r="F116" s="425"/>
      <c r="G116" s="425"/>
      <c r="H116" s="425"/>
      <c r="I116" s="425"/>
    </row>
    <row r="117" spans="2:9" x14ac:dyDescent="0.2">
      <c r="C117" s="452"/>
      <c r="D117" s="425"/>
      <c r="E117" s="425"/>
      <c r="F117" s="425"/>
      <c r="G117" s="425"/>
      <c r="H117" s="425"/>
      <c r="I117" s="425"/>
    </row>
    <row r="118" spans="2:9" x14ac:dyDescent="0.2">
      <c r="C118" s="452"/>
      <c r="D118" s="425"/>
      <c r="E118" s="425"/>
      <c r="F118" s="425"/>
      <c r="G118" s="425"/>
      <c r="H118" s="425"/>
      <c r="I118" s="425"/>
    </row>
    <row r="119" spans="2:9" x14ac:dyDescent="0.2">
      <c r="C119" s="452"/>
      <c r="D119" s="425"/>
      <c r="E119" s="425"/>
      <c r="F119" s="425"/>
      <c r="G119" s="425"/>
      <c r="H119" s="425"/>
      <c r="I119" s="425"/>
    </row>
    <row r="120" spans="2:9" x14ac:dyDescent="0.2">
      <c r="C120" s="452"/>
      <c r="D120" s="425"/>
      <c r="E120" s="425"/>
      <c r="F120" s="425"/>
      <c r="G120" s="425"/>
      <c r="H120" s="425"/>
      <c r="I120" s="425"/>
    </row>
    <row r="121" spans="2:9" x14ac:dyDescent="0.2">
      <c r="C121" s="452"/>
      <c r="D121" s="425"/>
      <c r="E121" s="425"/>
      <c r="F121" s="425"/>
      <c r="G121" s="425"/>
      <c r="H121" s="425"/>
      <c r="I121" s="425"/>
    </row>
    <row r="122" spans="2:9" x14ac:dyDescent="0.2">
      <c r="C122" s="452"/>
      <c r="D122" s="425"/>
      <c r="E122" s="425"/>
      <c r="F122" s="425"/>
      <c r="G122" s="425"/>
      <c r="H122" s="425"/>
      <c r="I122" s="425"/>
    </row>
    <row r="123" spans="2:9" x14ac:dyDescent="0.2">
      <c r="C123" s="452"/>
      <c r="D123" s="425"/>
      <c r="E123" s="425"/>
      <c r="F123" s="425"/>
      <c r="G123" s="425"/>
      <c r="H123" s="425"/>
      <c r="I123" s="425"/>
    </row>
    <row r="124" spans="2:9" x14ac:dyDescent="0.2">
      <c r="C124" s="452"/>
      <c r="D124" s="425"/>
      <c r="E124" s="425"/>
      <c r="F124" s="425"/>
      <c r="G124" s="425"/>
      <c r="H124" s="425"/>
      <c r="I124" s="425"/>
    </row>
    <row r="125" spans="2:9" x14ac:dyDescent="0.2">
      <c r="C125" s="452"/>
      <c r="D125" s="425"/>
      <c r="E125" s="425"/>
      <c r="F125" s="425"/>
      <c r="G125" s="425"/>
      <c r="H125" s="425"/>
      <c r="I125" s="425"/>
    </row>
    <row r="126" spans="2:9" x14ac:dyDescent="0.2">
      <c r="C126" s="452"/>
      <c r="D126" s="425"/>
      <c r="E126" s="425"/>
      <c r="F126" s="425"/>
      <c r="G126" s="425"/>
      <c r="H126" s="425"/>
      <c r="I126" s="425"/>
    </row>
    <row r="127" spans="2:9" x14ac:dyDescent="0.2">
      <c r="C127" s="452"/>
      <c r="D127" s="425"/>
      <c r="E127" s="425"/>
      <c r="F127" s="425"/>
      <c r="G127" s="425"/>
      <c r="H127" s="425"/>
      <c r="I127" s="425"/>
    </row>
    <row r="128" spans="2:9" x14ac:dyDescent="0.2">
      <c r="C128" s="452"/>
      <c r="D128" s="425"/>
      <c r="E128" s="425"/>
      <c r="F128" s="425"/>
      <c r="G128" s="425"/>
      <c r="H128" s="425"/>
      <c r="I128" s="425"/>
    </row>
    <row r="129" spans="3:9" x14ac:dyDescent="0.2">
      <c r="C129" s="452"/>
      <c r="D129" s="425"/>
      <c r="E129" s="425"/>
      <c r="F129" s="425"/>
      <c r="G129" s="425"/>
      <c r="H129" s="425"/>
      <c r="I129" s="425"/>
    </row>
    <row r="130" spans="3:9" x14ac:dyDescent="0.2">
      <c r="C130" s="452"/>
      <c r="D130" s="425"/>
      <c r="E130" s="425"/>
      <c r="F130" s="425"/>
      <c r="G130" s="425"/>
      <c r="H130" s="425"/>
      <c r="I130" s="425"/>
    </row>
  </sheetData>
  <mergeCells count="2">
    <mergeCell ref="M3:M5"/>
    <mergeCell ref="M9:M10"/>
  </mergeCells>
  <dataValidations disablePrompts="1"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54</vt:i4>
      </vt:variant>
    </vt:vector>
  </HeadingPairs>
  <TitlesOfParts>
    <vt:vector size="61" baseType="lpstr">
      <vt:lpstr>General Settings</vt:lpstr>
      <vt:lpstr>SynthDepo</vt:lpstr>
      <vt:lpstr>RateHelpersFra</vt:lpstr>
      <vt:lpstr>SynthFra</vt:lpstr>
      <vt:lpstr>Contribution</vt:lpstr>
      <vt:lpstr>FRACharts</vt:lpstr>
      <vt:lpstr>3M Depo Charts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DayCounter3M</vt:lpstr>
      <vt:lpstr>DayCounterOIS</vt:lpstr>
      <vt:lpstr>DayCounterON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2014-08-07T15:47:12Z</dcterms:modified>
</cp:coreProperties>
</file>