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45" windowWidth="15270" windowHeight="7890" tabRatio="642"/>
  </bookViews>
  <sheets>
    <sheet name="General Settings" sheetId="4" r:id="rId1"/>
    <sheet name="SynthDepo" sheetId="12" r:id="rId2"/>
    <sheet name="RateHelpersFRA" sheetId="27" r:id="rId3"/>
    <sheet name="SynthFRA" sheetId="28" r:id="rId4"/>
    <sheet name="Contribution" sheetId="25" r:id="rId5"/>
    <sheet name="Swaps1Y" sheetId="29" r:id="rId6"/>
  </sheets>
  <externalReferences>
    <externalReference r:id="rId7"/>
  </externalReferences>
  <definedNames>
    <definedName name="Accuracy">'General Settings'!$D$28</definedName>
    <definedName name="AllTriggers">'General Settings'!$I$18:$I$21</definedName>
    <definedName name="BasisInterpolation">'General Settings'!$D$35</definedName>
    <definedName name="BasisInterpolator">'General Settings'!$D$36</definedName>
    <definedName name="Calendar">'General Settings'!$D$5</definedName>
    <definedName name="Currency">'General Settings'!$D$4</definedName>
    <definedName name="DayCounter">'General Settings'!$D$37</definedName>
    <definedName name="EvaluationDate">'General Settings'!$I$19</definedName>
    <definedName name="FamilyName">'General Settings'!$D$6</definedName>
    <definedName name="FileOverwrite">'General Settings'!$I$8</definedName>
    <definedName name="FixingType">'General Settings'!$I$13</definedName>
    <definedName name="IborIndex">'General Settings'!$D$34</definedName>
    <definedName name="IborTenor">'General Settings'!$D$26</definedName>
    <definedName name="InterestRatesTrigger">'General Settings'!$I$20</definedName>
    <definedName name="InterpolatorID">'General Settings'!$D$30</definedName>
    <definedName name="LastDayInNextYear">'General Settings'!$D$21</definedName>
    <definedName name="LastDayInYear">'General Settings'!$D$20</definedName>
    <definedName name="LastFixingsTrigger">'General Settings'!$I$21</definedName>
    <definedName name="LastUpdate">'General Settings'!$D$11</definedName>
    <definedName name="LiveDataFeed">'General Settings'!$D$12</definedName>
    <definedName name="Months12M">Contribution!$A$25</definedName>
    <definedName name="Months1M" localSheetId="4">Contribution!$A$3</definedName>
    <definedName name="Months3M">Contribution!$A$8</definedName>
    <definedName name="Months6M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Settings'!$I$4</definedName>
    <definedName name="_xlnm.Print_Area" localSheetId="3">SynthFRA!$A$2:$E$51</definedName>
    <definedName name="Quote">Contribution!$N$3:$N$84</definedName>
    <definedName name="QuoteLive">Contribution!$J$3:$J$84</definedName>
    <definedName name="QuoteStatic">Contribution!$L$3:$L$84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Settings'!$D$18</definedName>
    <definedName name="Tenor1M" localSheetId="4">Contribution!$A$4</definedName>
    <definedName name="Tenor1Y">Contribution!$A$26</definedName>
    <definedName name="Tenor3M">Contribution!$A$9</definedName>
    <definedName name="Tenor6M">Contribution!$A$16</definedName>
    <definedName name="TraitsID">'General Settings'!$D$29</definedName>
    <definedName name="Trigger">'General Settings'!$I$18</definedName>
    <definedName name="TriggerCounter">'General Settings'!$D$9</definedName>
    <definedName name="YieldCurve">'General Settings'!$D$38</definedName>
  </definedNames>
  <calcPr calcId="145621"/>
</workbook>
</file>

<file path=xl/calcChain.xml><?xml version="1.0" encoding="utf-8"?>
<calcChain xmlns="http://schemas.openxmlformats.org/spreadsheetml/2006/main">
  <c r="D2" i="12" l="1"/>
  <c r="E3" i="12"/>
  <c r="G36" i="29" l="1"/>
  <c r="F36" i="29"/>
  <c r="E36" i="29"/>
  <c r="D36" i="29"/>
  <c r="C36" i="29"/>
  <c r="G35" i="29"/>
  <c r="F35" i="29"/>
  <c r="E35" i="29"/>
  <c r="D35" i="29"/>
  <c r="C35" i="29"/>
  <c r="G34" i="29"/>
  <c r="F34" i="29"/>
  <c r="E34" i="29"/>
  <c r="D34" i="29"/>
  <c r="C34" i="29"/>
  <c r="G33" i="29"/>
  <c r="F33" i="29"/>
  <c r="E33" i="29"/>
  <c r="D33" i="29"/>
  <c r="C33" i="29"/>
  <c r="G32" i="29"/>
  <c r="F32" i="29"/>
  <c r="H32" i="29" s="1"/>
  <c r="E32" i="29"/>
  <c r="D32" i="29"/>
  <c r="C32" i="29"/>
  <c r="G31" i="29"/>
  <c r="F31" i="29"/>
  <c r="E31" i="29"/>
  <c r="D31" i="29"/>
  <c r="C31" i="29"/>
  <c r="G30" i="29"/>
  <c r="F30" i="29"/>
  <c r="E30" i="29"/>
  <c r="D30" i="29"/>
  <c r="C30" i="29"/>
  <c r="G29" i="29"/>
  <c r="F29" i="29"/>
  <c r="E29" i="29"/>
  <c r="D29" i="29"/>
  <c r="C29" i="29"/>
  <c r="G28" i="29"/>
  <c r="F28" i="29"/>
  <c r="H28" i="29" s="1"/>
  <c r="E28" i="29"/>
  <c r="D28" i="29"/>
  <c r="C28" i="29"/>
  <c r="G27" i="29"/>
  <c r="F27" i="29"/>
  <c r="E27" i="29"/>
  <c r="D27" i="29"/>
  <c r="C27" i="29"/>
  <c r="G26" i="29"/>
  <c r="F26" i="29"/>
  <c r="E26" i="29"/>
  <c r="D26" i="29"/>
  <c r="C26" i="29"/>
  <c r="G25" i="29"/>
  <c r="F25" i="29"/>
  <c r="H25" i="29" s="1"/>
  <c r="E25" i="29"/>
  <c r="D25" i="29"/>
  <c r="C25" i="29"/>
  <c r="G24" i="29"/>
  <c r="F24" i="29"/>
  <c r="H24" i="29" s="1"/>
  <c r="E24" i="29"/>
  <c r="D24" i="29"/>
  <c r="C24" i="29"/>
  <c r="G23" i="29"/>
  <c r="F23" i="29"/>
  <c r="E23" i="29"/>
  <c r="D23" i="29"/>
  <c r="C23" i="29"/>
  <c r="G22" i="29"/>
  <c r="F22" i="29"/>
  <c r="E22" i="29"/>
  <c r="D22" i="29"/>
  <c r="C22" i="29"/>
  <c r="G21" i="29"/>
  <c r="F21" i="29"/>
  <c r="H21" i="29" s="1"/>
  <c r="E21" i="29"/>
  <c r="D21" i="29"/>
  <c r="C21" i="29"/>
  <c r="G20" i="29"/>
  <c r="F20" i="29"/>
  <c r="E20" i="29"/>
  <c r="D20" i="29"/>
  <c r="C20" i="29"/>
  <c r="G19" i="29"/>
  <c r="F19" i="29"/>
  <c r="E19" i="29"/>
  <c r="D19" i="29"/>
  <c r="C19" i="29"/>
  <c r="G18" i="29"/>
  <c r="F18" i="29"/>
  <c r="E18" i="29"/>
  <c r="D18" i="29"/>
  <c r="C18" i="29"/>
  <c r="G17" i="29"/>
  <c r="F17" i="29"/>
  <c r="E17" i="29"/>
  <c r="D17" i="29"/>
  <c r="C17" i="29"/>
  <c r="G16" i="29"/>
  <c r="F16" i="29"/>
  <c r="E16" i="29"/>
  <c r="D16" i="29"/>
  <c r="C16" i="29"/>
  <c r="G15" i="29"/>
  <c r="F15" i="29"/>
  <c r="E15" i="29"/>
  <c r="D15" i="29"/>
  <c r="C15" i="29"/>
  <c r="G14" i="29"/>
  <c r="F14" i="29"/>
  <c r="E14" i="29"/>
  <c r="D14" i="29"/>
  <c r="C14" i="29"/>
  <c r="G13" i="29"/>
  <c r="F13" i="29"/>
  <c r="E13" i="29"/>
  <c r="D13" i="29"/>
  <c r="C13" i="29"/>
  <c r="G12" i="29"/>
  <c r="F12" i="29"/>
  <c r="H12" i="29" s="1"/>
  <c r="E12" i="29"/>
  <c r="D12" i="29"/>
  <c r="C12" i="29"/>
  <c r="G11" i="29"/>
  <c r="F11" i="29"/>
  <c r="E11" i="29"/>
  <c r="D11" i="29"/>
  <c r="C11" i="29"/>
  <c r="G10" i="29"/>
  <c r="F10" i="29"/>
  <c r="E10" i="29"/>
  <c r="D10" i="29"/>
  <c r="C10" i="29"/>
  <c r="G9" i="29"/>
  <c r="F9" i="29"/>
  <c r="E9" i="29"/>
  <c r="D9" i="29"/>
  <c r="C9" i="29"/>
  <c r="G8" i="29"/>
  <c r="F8" i="29"/>
  <c r="H8" i="29" s="1"/>
  <c r="E8" i="29"/>
  <c r="D8" i="29"/>
  <c r="C8" i="29"/>
  <c r="G7" i="29"/>
  <c r="F7" i="29"/>
  <c r="E7" i="29"/>
  <c r="D7" i="29"/>
  <c r="C7" i="29"/>
  <c r="G6" i="29"/>
  <c r="F6" i="29"/>
  <c r="E6" i="29"/>
  <c r="D6" i="29"/>
  <c r="C6" i="29"/>
  <c r="G5" i="29"/>
  <c r="F5" i="29"/>
  <c r="E5" i="29"/>
  <c r="D5" i="29"/>
  <c r="C5" i="29"/>
  <c r="G4" i="29"/>
  <c r="F4" i="29"/>
  <c r="E4" i="29"/>
  <c r="D4" i="29"/>
  <c r="C4" i="29"/>
  <c r="G3" i="29"/>
  <c r="F3" i="29"/>
  <c r="E3" i="29"/>
  <c r="D3" i="29"/>
  <c r="C3" i="29"/>
  <c r="K2" i="29"/>
  <c r="L3" i="29"/>
  <c r="L2" i="29"/>
  <c r="H4" i="29" l="1"/>
  <c r="H20" i="29"/>
  <c r="J20" i="29" s="1"/>
  <c r="H17" i="29"/>
  <c r="J17" i="29" s="1"/>
  <c r="H33" i="29"/>
  <c r="H34" i="29"/>
  <c r="J34" i="29" s="1"/>
  <c r="H3" i="29"/>
  <c r="J2" i="29" s="1"/>
  <c r="H13" i="29"/>
  <c r="J13" i="29" s="1"/>
  <c r="H29" i="29"/>
  <c r="J29" i="29" s="1"/>
  <c r="H7" i="29"/>
  <c r="J7" i="29" s="1"/>
  <c r="H15" i="29"/>
  <c r="H31" i="29"/>
  <c r="J28" i="29"/>
  <c r="H30" i="29"/>
  <c r="J30" i="29" s="1"/>
  <c r="J33" i="29"/>
  <c r="H16" i="29"/>
  <c r="J16" i="29" s="1"/>
  <c r="H23" i="29"/>
  <c r="J23" i="29" s="1"/>
  <c r="H10" i="29"/>
  <c r="J10" i="29" s="1"/>
  <c r="H26" i="29"/>
  <c r="J26" i="29" s="1"/>
  <c r="J24" i="29"/>
  <c r="H19" i="29"/>
  <c r="J19" i="29" s="1"/>
  <c r="H14" i="29"/>
  <c r="J14" i="29" s="1"/>
  <c r="H27" i="29"/>
  <c r="J27" i="29" s="1"/>
  <c r="H9" i="29"/>
  <c r="J9" i="29" s="1"/>
  <c r="H22" i="29"/>
  <c r="J22" i="29" s="1"/>
  <c r="H35" i="29"/>
  <c r="J35" i="29" s="1"/>
  <c r="J32" i="29"/>
  <c r="J8" i="29"/>
  <c r="J31" i="29"/>
  <c r="H11" i="29"/>
  <c r="J11" i="29" s="1"/>
  <c r="H6" i="29"/>
  <c r="J6" i="29" s="1"/>
  <c r="H36" i="29"/>
  <c r="J36" i="29" s="1"/>
  <c r="J15" i="29"/>
  <c r="H5" i="29"/>
  <c r="J5" i="29" s="1"/>
  <c r="H18" i="29"/>
  <c r="J18" i="29" s="1"/>
  <c r="J4" i="29"/>
  <c r="J12" i="29"/>
  <c r="J25" i="29"/>
  <c r="J21" i="29"/>
  <c r="J3" i="29" l="1"/>
  <c r="E3" i="27" l="1"/>
  <c r="I19" i="4"/>
  <c r="D28" i="4" l="1"/>
  <c r="F10" i="27"/>
  <c r="C70" i="25" l="1"/>
  <c r="C71" i="25"/>
  <c r="B42" i="25"/>
  <c r="C42" i="25" s="1"/>
  <c r="B43" i="25"/>
  <c r="C43" i="25" s="1"/>
  <c r="B44" i="25"/>
  <c r="C44" i="25" s="1"/>
  <c r="B45" i="25"/>
  <c r="C45" i="25" s="1"/>
  <c r="B46" i="25"/>
  <c r="C46" i="25" s="1"/>
  <c r="B47" i="25"/>
  <c r="C47" i="25" s="1"/>
  <c r="B48" i="25"/>
  <c r="C48" i="25" s="1"/>
  <c r="B49" i="25"/>
  <c r="C49" i="25" s="1"/>
  <c r="B50" i="25"/>
  <c r="C50" i="25" s="1"/>
  <c r="B51" i="25"/>
  <c r="C51" i="25" s="1"/>
  <c r="B52" i="25"/>
  <c r="C52" i="25" s="1"/>
  <c r="B53" i="25"/>
  <c r="C53" i="25" s="1"/>
  <c r="B54" i="25"/>
  <c r="C54" i="25" s="1"/>
  <c r="B55" i="25"/>
  <c r="C55" i="25" s="1"/>
  <c r="B56" i="25"/>
  <c r="C56" i="25" s="1"/>
  <c r="B57" i="25"/>
  <c r="C57" i="25" s="1"/>
  <c r="B58" i="25"/>
  <c r="C58" i="25" s="1"/>
  <c r="B59" i="25"/>
  <c r="C59" i="25" s="1"/>
  <c r="B60" i="25"/>
  <c r="C60" i="25" s="1"/>
  <c r="B61" i="25"/>
  <c r="C61" i="25" s="1"/>
  <c r="B62" i="25"/>
  <c r="C62" i="25" s="1"/>
  <c r="B63" i="25"/>
  <c r="C63" i="25" s="1"/>
  <c r="B64" i="25"/>
  <c r="C64" i="25" s="1"/>
  <c r="B65" i="25"/>
  <c r="C65" i="25" s="1"/>
  <c r="B66" i="25"/>
  <c r="C66" i="25" s="1"/>
  <c r="B67" i="25"/>
  <c r="C67" i="25" s="1"/>
  <c r="B68" i="25"/>
  <c r="C68" i="25" s="1"/>
  <c r="B69" i="25"/>
  <c r="C69" i="25" s="1"/>
  <c r="B70" i="25"/>
  <c r="B71" i="25"/>
  <c r="B72" i="25"/>
  <c r="C72" i="25" s="1"/>
  <c r="B73" i="25"/>
  <c r="C73" i="25" s="1"/>
  <c r="B74" i="25"/>
  <c r="C74" i="25" s="1"/>
  <c r="B75" i="25"/>
  <c r="C75" i="25" s="1"/>
  <c r="B76" i="25"/>
  <c r="C76" i="25" s="1"/>
  <c r="B77" i="25"/>
  <c r="C77" i="25" s="1"/>
  <c r="B78" i="25"/>
  <c r="C78" i="25" s="1"/>
  <c r="B79" i="25"/>
  <c r="C79" i="25" s="1"/>
  <c r="B80" i="25"/>
  <c r="C80" i="25" s="1"/>
  <c r="B81" i="25"/>
  <c r="C81" i="25" s="1"/>
  <c r="B82" i="25"/>
  <c r="C82" i="25" s="1"/>
  <c r="B83" i="25"/>
  <c r="C83" i="25" s="1"/>
  <c r="B84" i="25"/>
  <c r="C84" i="25" s="1"/>
  <c r="B41" i="25"/>
  <c r="C41" i="25" s="1"/>
  <c r="D78" i="25"/>
  <c r="D74" i="25"/>
  <c r="D50" i="25"/>
  <c r="D63" i="25"/>
  <c r="D66" i="25"/>
  <c r="D73" i="25"/>
  <c r="D62" i="25"/>
  <c r="D71" i="25"/>
  <c r="D42" i="25"/>
  <c r="D84" i="25"/>
  <c r="D52" i="25"/>
  <c r="D57" i="25"/>
  <c r="D68" i="25"/>
  <c r="D76" i="25"/>
  <c r="D45" i="25"/>
  <c r="D56" i="25"/>
  <c r="D80" i="25"/>
  <c r="D41" i="25"/>
  <c r="D72" i="25"/>
  <c r="D67" i="25"/>
  <c r="D47" i="25"/>
  <c r="D81" i="25"/>
  <c r="D60" i="25"/>
  <c r="D65" i="25"/>
  <c r="D49" i="25"/>
  <c r="D43" i="25"/>
  <c r="D82" i="25"/>
  <c r="D83" i="25"/>
  <c r="D75" i="25"/>
  <c r="D51" i="25"/>
  <c r="D44" i="25"/>
  <c r="D69" i="25"/>
  <c r="D59" i="25"/>
  <c r="F3" i="27"/>
  <c r="D64" i="25"/>
  <c r="D48" i="25"/>
  <c r="D46" i="25"/>
  <c r="D53" i="25"/>
  <c r="D55" i="25"/>
  <c r="D77" i="25"/>
  <c r="D54" i="25"/>
  <c r="D70" i="25"/>
  <c r="D79" i="25"/>
  <c r="D61" i="25"/>
  <c r="D58" i="25"/>
  <c r="A4" i="28" l="1"/>
  <c r="D27" i="12"/>
  <c r="D20" i="12"/>
  <c r="D21" i="12"/>
  <c r="D22" i="12"/>
  <c r="D23" i="12"/>
  <c r="D24" i="12"/>
  <c r="D19" i="12"/>
  <c r="I18" i="12"/>
  <c r="I17" i="12"/>
  <c r="D13" i="12"/>
  <c r="D14" i="12"/>
  <c r="D12" i="12"/>
  <c r="I8" i="12"/>
  <c r="I9" i="12"/>
  <c r="C4" i="28"/>
  <c r="E50" i="25"/>
  <c r="E66" i="25"/>
  <c r="E58" i="25"/>
  <c r="E72" i="25"/>
  <c r="E63" i="25"/>
  <c r="E55" i="25"/>
  <c r="E56" i="25"/>
  <c r="E52" i="25"/>
  <c r="E70" i="25"/>
  <c r="E44" i="25"/>
  <c r="E74" i="25"/>
  <c r="E48" i="25"/>
  <c r="E84" i="25"/>
  <c r="E69" i="25"/>
  <c r="E79" i="25"/>
  <c r="E62" i="25"/>
  <c r="E45" i="25"/>
  <c r="E75" i="25"/>
  <c r="E64" i="25"/>
  <c r="E53" i="25"/>
  <c r="E60" i="25"/>
  <c r="E73" i="25"/>
  <c r="E49" i="25"/>
  <c r="E83" i="25"/>
  <c r="E43" i="25"/>
  <c r="E57" i="25"/>
  <c r="E61" i="25"/>
  <c r="E71" i="25"/>
  <c r="E76" i="25"/>
  <c r="E42" i="25"/>
  <c r="E51" i="25"/>
  <c r="E68" i="25"/>
  <c r="E67" i="25"/>
  <c r="E41" i="25"/>
  <c r="E77" i="25"/>
  <c r="E47" i="25"/>
  <c r="E81" i="25"/>
  <c r="E46" i="25"/>
  <c r="E59" i="25"/>
  <c r="D4" i="28"/>
  <c r="E82" i="25"/>
  <c r="E54" i="25"/>
  <c r="E65" i="25"/>
  <c r="E80" i="25"/>
  <c r="E78" i="25"/>
  <c r="D5" i="12" l="1"/>
  <c r="C26" i="25" l="1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25" i="25"/>
  <c r="C16" i="25"/>
  <c r="C17" i="25"/>
  <c r="C18" i="25"/>
  <c r="C19" i="25"/>
  <c r="C20" i="25"/>
  <c r="C21" i="25"/>
  <c r="C22" i="25"/>
  <c r="C23" i="25"/>
  <c r="C24" i="25"/>
  <c r="C15" i="25"/>
  <c r="C9" i="25"/>
  <c r="C10" i="25"/>
  <c r="C11" i="25"/>
  <c r="C12" i="25"/>
  <c r="C13" i="25"/>
  <c r="C14" i="25"/>
  <c r="C8" i="25"/>
  <c r="D8" i="4"/>
  <c r="D9" i="25"/>
  <c r="D12" i="25"/>
  <c r="D39" i="25"/>
  <c r="D14" i="25"/>
  <c r="D23" i="25"/>
  <c r="D32" i="25"/>
  <c r="D37" i="25"/>
  <c r="D26" i="25"/>
  <c r="D19" i="25"/>
  <c r="D31" i="25"/>
  <c r="D35" i="25"/>
  <c r="D20" i="25"/>
  <c r="D18" i="4"/>
  <c r="E12" i="12"/>
  <c r="D28" i="25"/>
  <c r="D21" i="25"/>
  <c r="D38" i="25"/>
  <c r="D8" i="25"/>
  <c r="D10" i="25"/>
  <c r="E20" i="12"/>
  <c r="D34" i="25"/>
  <c r="D29" i="25"/>
  <c r="D22" i="25"/>
  <c r="D27" i="25"/>
  <c r="E24" i="12"/>
  <c r="E13" i="12"/>
  <c r="D13" i="25"/>
  <c r="D17" i="25"/>
  <c r="D40" i="25"/>
  <c r="D36" i="25"/>
  <c r="E14" i="12"/>
  <c r="D33" i="25"/>
  <c r="D16" i="25"/>
  <c r="D25" i="25"/>
  <c r="E27" i="12"/>
  <c r="D30" i="25"/>
  <c r="D18" i="25"/>
  <c r="D24" i="25"/>
  <c r="D15" i="25"/>
  <c r="D11" i="25"/>
  <c r="E23" i="12"/>
  <c r="E19" i="12"/>
  <c r="E22" i="12"/>
  <c r="E2" i="12" l="1"/>
  <c r="E2" i="27"/>
  <c r="D2" i="28"/>
  <c r="E15" i="12"/>
  <c r="E6" i="12"/>
  <c r="E5" i="12"/>
  <c r="E25" i="12"/>
  <c r="D2" i="25"/>
  <c r="C2" i="25"/>
  <c r="I16" i="28"/>
  <c r="I30" i="28"/>
  <c r="I21" i="28"/>
  <c r="I46" i="28"/>
  <c r="E17" i="25"/>
  <c r="E29" i="25"/>
  <c r="E33" i="25"/>
  <c r="I14" i="28"/>
  <c r="E21" i="12"/>
  <c r="I24" i="28"/>
  <c r="A10" i="12"/>
  <c r="I42" i="28"/>
  <c r="E30" i="25"/>
  <c r="I45" i="28"/>
  <c r="E25" i="25"/>
  <c r="I28" i="28"/>
  <c r="E11" i="25"/>
  <c r="I9" i="28"/>
  <c r="E40" i="25"/>
  <c r="E37" i="25"/>
  <c r="E19" i="25"/>
  <c r="I3" i="28"/>
  <c r="I26" i="28"/>
  <c r="I48" i="28"/>
  <c r="E13" i="25"/>
  <c r="E31" i="25"/>
  <c r="I29" i="28"/>
  <c r="E34" i="25"/>
  <c r="E21" i="25"/>
  <c r="E32" i="25"/>
  <c r="E8" i="25"/>
  <c r="E38" i="25"/>
  <c r="E22" i="25"/>
  <c r="I37" i="28"/>
  <c r="I13" i="28"/>
  <c r="I40" i="28"/>
  <c r="I15" i="28"/>
  <c r="E12" i="25"/>
  <c r="I47" i="28"/>
  <c r="E24" i="25"/>
  <c r="E39" i="25"/>
  <c r="E27" i="25"/>
  <c r="I44" i="28"/>
  <c r="E14" i="25"/>
  <c r="I32" i="28"/>
  <c r="I5" i="28"/>
  <c r="I34" i="28"/>
  <c r="E9" i="25"/>
  <c r="E28" i="25"/>
  <c r="I20" i="28"/>
  <c r="E18" i="25"/>
  <c r="I43" i="28"/>
  <c r="E10" i="12"/>
  <c r="I27" i="28"/>
  <c r="I2" i="28"/>
  <c r="E36" i="25"/>
  <c r="I31" i="28"/>
  <c r="E20" i="25"/>
  <c r="F2" i="27"/>
  <c r="I10" i="28"/>
  <c r="E10" i="25"/>
  <c r="E35" i="25"/>
  <c r="I12" i="28"/>
  <c r="E23" i="25"/>
  <c r="I17" i="28"/>
  <c r="I4" i="28"/>
  <c r="I41" i="28"/>
  <c r="I23" i="28"/>
  <c r="E15" i="25"/>
  <c r="I18" i="28"/>
  <c r="I51" i="28"/>
  <c r="I50" i="28"/>
  <c r="I39" i="28"/>
  <c r="E26" i="25"/>
  <c r="I36" i="28"/>
  <c r="I8" i="28"/>
  <c r="I6" i="28"/>
  <c r="I22" i="28"/>
  <c r="I49" i="28"/>
  <c r="I38" i="28"/>
  <c r="I11" i="28"/>
  <c r="E16" i="25"/>
  <c r="I33" i="28"/>
  <c r="I35" i="28"/>
  <c r="I25" i="28"/>
  <c r="I19" i="28"/>
  <c r="F5" i="12"/>
  <c r="D10" i="12" l="1"/>
  <c r="A3" i="28"/>
  <c r="A4" i="25"/>
  <c r="A11" i="12"/>
  <c r="F10" i="12"/>
  <c r="C3" i="28"/>
  <c r="E11" i="12"/>
  <c r="D3" i="28"/>
  <c r="D11" i="12" l="1"/>
  <c r="C3" i="25"/>
  <c r="C4" i="25"/>
  <c r="C7" i="25"/>
  <c r="C5" i="25"/>
  <c r="C6" i="25"/>
  <c r="D6" i="4"/>
  <c r="A3" i="12"/>
  <c r="A7" i="12"/>
  <c r="A16" i="12"/>
  <c r="A26" i="12"/>
  <c r="F40" i="12"/>
  <c r="D6" i="25"/>
  <c r="F38" i="12"/>
  <c r="F11" i="12"/>
  <c r="F35" i="12"/>
  <c r="D7" i="25"/>
  <c r="F34" i="12"/>
  <c r="F45" i="12"/>
  <c r="F25" i="12"/>
  <c r="F36" i="12"/>
  <c r="F47" i="12"/>
  <c r="F43" i="12"/>
  <c r="F46" i="12"/>
  <c r="D3" i="25"/>
  <c r="F15" i="12"/>
  <c r="F41" i="12"/>
  <c r="D4" i="25"/>
  <c r="D5" i="25"/>
  <c r="F39" i="12"/>
  <c r="F42" i="12"/>
  <c r="B1" i="4"/>
  <c r="F6" i="12"/>
  <c r="D19" i="4"/>
  <c r="F49" i="12"/>
  <c r="F2" i="12"/>
  <c r="F44" i="12"/>
  <c r="F48" i="12"/>
  <c r="F37" i="12"/>
  <c r="D6" i="12" l="1"/>
  <c r="A27" i="12"/>
  <c r="A17" i="12"/>
  <c r="A8" i="12"/>
  <c r="D7" i="12"/>
  <c r="A4" i="12"/>
  <c r="D3" i="12"/>
  <c r="I3" i="29"/>
  <c r="I6" i="29"/>
  <c r="I5" i="29"/>
  <c r="I4" i="29"/>
  <c r="D26" i="12"/>
  <c r="D16" i="12"/>
  <c r="I30" i="29"/>
  <c r="I13" i="29"/>
  <c r="I10" i="29"/>
  <c r="I36" i="29"/>
  <c r="I28" i="29"/>
  <c r="I20" i="29"/>
  <c r="I12" i="29"/>
  <c r="I25" i="29"/>
  <c r="I17" i="29"/>
  <c r="I9" i="29"/>
  <c r="I21" i="29"/>
  <c r="I31" i="29"/>
  <c r="I33" i="29"/>
  <c r="I22" i="29"/>
  <c r="I14" i="29"/>
  <c r="I29" i="29"/>
  <c r="I34" i="29"/>
  <c r="I26" i="29"/>
  <c r="I18" i="29"/>
  <c r="I23" i="29"/>
  <c r="I15" i="29"/>
  <c r="I35" i="29"/>
  <c r="I27" i="29"/>
  <c r="I19" i="29"/>
  <c r="I11" i="29"/>
  <c r="I32" i="29"/>
  <c r="I24" i="29"/>
  <c r="I16" i="29"/>
  <c r="I8" i="29"/>
  <c r="I7" i="29"/>
  <c r="D25" i="12"/>
  <c r="D15" i="12"/>
  <c r="N13" i="12"/>
  <c r="F7" i="12"/>
  <c r="O7" i="12" s="1"/>
  <c r="O6" i="12"/>
  <c r="N6" i="12"/>
  <c r="N12" i="12"/>
  <c r="N21" i="12"/>
  <c r="N19" i="12"/>
  <c r="N15" i="12"/>
  <c r="N24" i="12"/>
  <c r="O2" i="12"/>
  <c r="F3" i="12"/>
  <c r="O9" i="12"/>
  <c r="N8" i="12"/>
  <c r="O17" i="12"/>
  <c r="N25" i="12"/>
  <c r="F4" i="12"/>
  <c r="O4" i="12" s="1"/>
  <c r="N27" i="12"/>
  <c r="N18" i="12"/>
  <c r="E36" i="12"/>
  <c r="E35" i="12"/>
  <c r="E46" i="12"/>
  <c r="E41" i="12"/>
  <c r="E45" i="12"/>
  <c r="E48" i="12"/>
  <c r="E47" i="12"/>
  <c r="E34" i="12"/>
  <c r="E39" i="12"/>
  <c r="E43" i="12"/>
  <c r="E49" i="12"/>
  <c r="E44" i="12"/>
  <c r="E42" i="12"/>
  <c r="E38" i="12"/>
  <c r="E37" i="12"/>
  <c r="E40" i="12"/>
  <c r="N17" i="12"/>
  <c r="O18" i="12"/>
  <c r="N23" i="12"/>
  <c r="N20" i="12"/>
  <c r="O15" i="12"/>
  <c r="F16" i="12"/>
  <c r="O16" i="12" s="1"/>
  <c r="N22" i="12"/>
  <c r="N2" i="12"/>
  <c r="N14" i="12"/>
  <c r="O8" i="12"/>
  <c r="N9" i="12"/>
  <c r="F26" i="12"/>
  <c r="O26" i="12" s="1"/>
  <c r="O25" i="12"/>
  <c r="F12" i="12"/>
  <c r="K34" i="29"/>
  <c r="E4" i="25"/>
  <c r="E7" i="25"/>
  <c r="K6" i="29"/>
  <c r="K14" i="29"/>
  <c r="K31" i="29"/>
  <c r="E5" i="25"/>
  <c r="K9" i="29"/>
  <c r="K4" i="29"/>
  <c r="K20" i="29"/>
  <c r="B38" i="12"/>
  <c r="K24" i="29"/>
  <c r="F23" i="12"/>
  <c r="B6" i="12"/>
  <c r="B49" i="12"/>
  <c r="F19" i="12"/>
  <c r="K22" i="29"/>
  <c r="B45" i="12"/>
  <c r="K23" i="29"/>
  <c r="K15" i="29"/>
  <c r="F14" i="12"/>
  <c r="F21" i="12"/>
  <c r="B43" i="12"/>
  <c r="K32" i="29"/>
  <c r="K7" i="29"/>
  <c r="B35" i="12"/>
  <c r="K17" i="29"/>
  <c r="B44" i="12"/>
  <c r="E3" i="25"/>
  <c r="K19" i="29"/>
  <c r="B39" i="12"/>
  <c r="B41" i="12"/>
  <c r="K10" i="29"/>
  <c r="K29" i="29"/>
  <c r="K35" i="29"/>
  <c r="B42" i="12"/>
  <c r="E6" i="25"/>
  <c r="B10" i="12"/>
  <c r="K21" i="29"/>
  <c r="D21" i="4"/>
  <c r="B37" i="12"/>
  <c r="F13" i="12"/>
  <c r="K16" i="29"/>
  <c r="K28" i="29"/>
  <c r="B48" i="12"/>
  <c r="K13" i="29"/>
  <c r="B34" i="12"/>
  <c r="D20" i="4"/>
  <c r="K36" i="29"/>
  <c r="K26" i="29"/>
  <c r="K12" i="29"/>
  <c r="K5" i="29"/>
  <c r="K8" i="29"/>
  <c r="K18" i="29"/>
  <c r="K25" i="29"/>
  <c r="K27" i="29"/>
  <c r="F27" i="12"/>
  <c r="K33" i="29"/>
  <c r="K11" i="29"/>
  <c r="B2" i="12"/>
  <c r="B46" i="12"/>
  <c r="F20" i="12"/>
  <c r="B5" i="12"/>
  <c r="K30" i="29"/>
  <c r="B47" i="12"/>
  <c r="B15" i="12"/>
  <c r="F24" i="12"/>
  <c r="B40" i="12"/>
  <c r="F22" i="12"/>
  <c r="B25" i="12"/>
  <c r="B36" i="12"/>
  <c r="E4" i="12" l="1"/>
  <c r="E6" i="27"/>
  <c r="A1" i="29"/>
  <c r="E4" i="27"/>
  <c r="E5" i="27"/>
  <c r="O14" i="12"/>
  <c r="P14" i="12" s="1"/>
  <c r="O13" i="12"/>
  <c r="S13" i="12" s="1"/>
  <c r="O12" i="12"/>
  <c r="P12" i="12" s="1"/>
  <c r="O20" i="12"/>
  <c r="R20" i="12" s="1"/>
  <c r="O23" i="12"/>
  <c r="P23" i="12" s="1"/>
  <c r="O21" i="12"/>
  <c r="P21" i="12" s="1"/>
  <c r="O24" i="12"/>
  <c r="R24" i="12" s="1"/>
  <c r="O22" i="12"/>
  <c r="S22" i="12" s="1"/>
  <c r="O19" i="12"/>
  <c r="S19" i="12" s="1"/>
  <c r="O27" i="12"/>
  <c r="R27" i="12" s="1"/>
  <c r="N11" i="12"/>
  <c r="O11" i="12"/>
  <c r="O10" i="12"/>
  <c r="N10" i="12"/>
  <c r="R25" i="12"/>
  <c r="P25" i="12"/>
  <c r="S25" i="12"/>
  <c r="S18" i="12"/>
  <c r="P18" i="12"/>
  <c r="R18" i="12"/>
  <c r="R2" i="12"/>
  <c r="S2" i="12"/>
  <c r="P2" i="12"/>
  <c r="S15" i="12"/>
  <c r="R15" i="12"/>
  <c r="P15" i="12"/>
  <c r="R9" i="12"/>
  <c r="P9" i="12"/>
  <c r="S9" i="12"/>
  <c r="O3" i="12"/>
  <c r="P6" i="12"/>
  <c r="R6" i="12"/>
  <c r="S6" i="12"/>
  <c r="S17" i="12"/>
  <c r="R17" i="12"/>
  <c r="P17" i="12"/>
  <c r="R8" i="12"/>
  <c r="P8" i="12"/>
  <c r="S8" i="12"/>
  <c r="B11" i="12"/>
  <c r="L19" i="29"/>
  <c r="C38" i="12"/>
  <c r="C25" i="12"/>
  <c r="F4" i="27"/>
  <c r="B22" i="12"/>
  <c r="L29" i="29"/>
  <c r="C48" i="12"/>
  <c r="L27" i="29"/>
  <c r="C44" i="12"/>
  <c r="L28" i="29"/>
  <c r="C5" i="12"/>
  <c r="L25" i="29"/>
  <c r="C45" i="12"/>
  <c r="F5" i="27"/>
  <c r="L26" i="29"/>
  <c r="C2" i="12"/>
  <c r="B4" i="12"/>
  <c r="L6" i="29"/>
  <c r="L35" i="29"/>
  <c r="C10" i="12"/>
  <c r="L21" i="29"/>
  <c r="L4" i="29"/>
  <c r="C34" i="12"/>
  <c r="L12" i="29"/>
  <c r="L33" i="29"/>
  <c r="L20" i="29"/>
  <c r="L8" i="29"/>
  <c r="C39" i="12"/>
  <c r="C40" i="12"/>
  <c r="L18" i="29"/>
  <c r="L36" i="29"/>
  <c r="F6" i="27"/>
  <c r="L9" i="29"/>
  <c r="L7" i="29"/>
  <c r="L22" i="29"/>
  <c r="B13" i="12"/>
  <c r="C42" i="12"/>
  <c r="C46" i="12"/>
  <c r="L16" i="29"/>
  <c r="B14" i="12"/>
  <c r="L31" i="29"/>
  <c r="L5" i="29"/>
  <c r="L23" i="29"/>
  <c r="B19" i="12"/>
  <c r="C15" i="12"/>
  <c r="B23" i="12"/>
  <c r="L17" i="29"/>
  <c r="L34" i="29"/>
  <c r="C41" i="12"/>
  <c r="C35" i="12"/>
  <c r="C49" i="12"/>
  <c r="L30" i="29"/>
  <c r="L32" i="29"/>
  <c r="B24" i="12"/>
  <c r="C37" i="12"/>
  <c r="L13" i="29"/>
  <c r="L15" i="29"/>
  <c r="L14" i="29"/>
  <c r="C36" i="12"/>
  <c r="B20" i="12"/>
  <c r="C47" i="12"/>
  <c r="L24" i="29"/>
  <c r="L11" i="29"/>
  <c r="B12" i="12"/>
  <c r="B27" i="12"/>
  <c r="C6" i="12"/>
  <c r="C43" i="12"/>
  <c r="B21" i="12"/>
  <c r="L10" i="29"/>
  <c r="A6" i="28" l="1"/>
  <c r="A5" i="28"/>
  <c r="A7" i="28"/>
  <c r="S14" i="12"/>
  <c r="P13" i="12"/>
  <c r="P22" i="12"/>
  <c r="R13" i="12"/>
  <c r="S21" i="12"/>
  <c r="R21" i="12"/>
  <c r="S12" i="12"/>
  <c r="S27" i="12"/>
  <c r="P20" i="12"/>
  <c r="R12" i="12"/>
  <c r="P27" i="12"/>
  <c r="S20" i="12"/>
  <c r="S24" i="12"/>
  <c r="R22" i="12"/>
  <c r="R19" i="12"/>
  <c r="P24" i="12"/>
  <c r="P19" i="12"/>
  <c r="S23" i="12"/>
  <c r="R14" i="12"/>
  <c r="R23" i="12"/>
  <c r="P10" i="12"/>
  <c r="P11" i="12"/>
  <c r="R11" i="12"/>
  <c r="R10" i="12"/>
  <c r="S11" i="12"/>
  <c r="S10" i="12"/>
  <c r="N4" i="12"/>
  <c r="C20" i="12"/>
  <c r="C27" i="12"/>
  <c r="C4" i="12"/>
  <c r="D6" i="28"/>
  <c r="D5" i="28"/>
  <c r="C7" i="28"/>
  <c r="D38" i="4"/>
  <c r="C11" i="12"/>
  <c r="C5" i="28"/>
  <c r="C19" i="12"/>
  <c r="C24" i="12"/>
  <c r="C21" i="12"/>
  <c r="D7" i="28"/>
  <c r="C41" i="4"/>
  <c r="D32" i="4"/>
  <c r="C13" i="12"/>
  <c r="C23" i="12"/>
  <c r="C14" i="12"/>
  <c r="C12" i="12"/>
  <c r="C6" i="28"/>
  <c r="C22" i="12"/>
  <c r="S4" i="12" l="1"/>
  <c r="R4" i="12"/>
  <c r="P4" i="12"/>
  <c r="D39" i="4"/>
  <c r="D34" i="4"/>
  <c r="G21" i="28"/>
  <c r="J37" i="28"/>
  <c r="J39" i="28"/>
  <c r="J27" i="28"/>
  <c r="G15" i="28"/>
  <c r="G25" i="28"/>
  <c r="G36" i="28"/>
  <c r="J15" i="28"/>
  <c r="J48" i="28"/>
  <c r="G11" i="28"/>
  <c r="G27" i="28"/>
  <c r="G24" i="28"/>
  <c r="G31" i="28"/>
  <c r="J30" i="28"/>
  <c r="J2" i="28"/>
  <c r="J4" i="28"/>
  <c r="J3" i="28"/>
  <c r="G38" i="28"/>
  <c r="J11" i="28"/>
  <c r="J21" i="28"/>
  <c r="J12" i="28"/>
  <c r="G18" i="28"/>
  <c r="G35" i="28"/>
  <c r="J44" i="28"/>
  <c r="J43" i="28"/>
  <c r="C42" i="4"/>
  <c r="G41" i="28"/>
  <c r="G17" i="28"/>
  <c r="G29" i="28"/>
  <c r="G5" i="28"/>
  <c r="G51" i="28"/>
  <c r="J16" i="28"/>
  <c r="J35" i="28"/>
  <c r="J17" i="28"/>
  <c r="J49" i="28"/>
  <c r="J34" i="28"/>
  <c r="J24" i="28"/>
  <c r="G46" i="28"/>
  <c r="G30" i="28"/>
  <c r="G43" i="28"/>
  <c r="J41" i="28"/>
  <c r="G34" i="28"/>
  <c r="G26" i="28"/>
  <c r="J36" i="28"/>
  <c r="G28" i="28"/>
  <c r="J9" i="28"/>
  <c r="J26" i="28"/>
  <c r="J45" i="28"/>
  <c r="G19" i="28"/>
  <c r="J10" i="28"/>
  <c r="J40" i="28"/>
  <c r="G45" i="28"/>
  <c r="G20" i="28"/>
  <c r="J31" i="28"/>
  <c r="J42" i="28"/>
  <c r="J29" i="28"/>
  <c r="J23" i="28"/>
  <c r="J22" i="28"/>
  <c r="G50" i="28"/>
  <c r="J5" i="28"/>
  <c r="G8" i="28"/>
  <c r="G48" i="28"/>
  <c r="G23" i="28"/>
  <c r="G2" i="28"/>
  <c r="G42" i="28"/>
  <c r="G32" i="28"/>
  <c r="G47" i="28"/>
  <c r="G4" i="28"/>
  <c r="G12" i="28"/>
  <c r="J20" i="28"/>
  <c r="J32" i="28"/>
  <c r="G14" i="28"/>
  <c r="J38" i="28"/>
  <c r="J8" i="28"/>
  <c r="G39" i="28"/>
  <c r="G13" i="28"/>
  <c r="G40" i="28"/>
  <c r="J33" i="28"/>
  <c r="G22" i="28"/>
  <c r="J6" i="28"/>
  <c r="G44" i="28"/>
  <c r="G33" i="28"/>
  <c r="J47" i="28"/>
  <c r="H47" i="28" s="1"/>
  <c r="G6" i="28"/>
  <c r="J13" i="28"/>
  <c r="J18" i="28"/>
  <c r="G37" i="28"/>
  <c r="J25" i="28"/>
  <c r="J19" i="28"/>
  <c r="J28" i="28"/>
  <c r="G49" i="28"/>
  <c r="G3" i="28"/>
  <c r="J51" i="28"/>
  <c r="J14" i="28"/>
  <c r="G10" i="28"/>
  <c r="G16" i="28"/>
  <c r="G9" i="28"/>
  <c r="J50" i="28"/>
  <c r="J46" i="28"/>
  <c r="N3" i="25" l="1" a="1"/>
  <c r="H51" i="28"/>
  <c r="H8" i="28"/>
  <c r="H31" i="28"/>
  <c r="H29" i="28"/>
  <c r="H32" i="28"/>
  <c r="H2" i="28"/>
  <c r="H16" i="28"/>
  <c r="H6" i="28"/>
  <c r="H42" i="28"/>
  <c r="H36" i="28"/>
  <c r="H40" i="28"/>
  <c r="H22" i="28"/>
  <c r="H49" i="28"/>
  <c r="H3" i="28"/>
  <c r="H9" i="28"/>
  <c r="H48" i="28"/>
  <c r="H28" i="28"/>
  <c r="H5" i="28"/>
  <c r="H10" i="28"/>
  <c r="H20" i="28"/>
  <c r="H23" i="28"/>
  <c r="H46" i="28"/>
  <c r="H38" i="28"/>
  <c r="H35" i="28"/>
  <c r="H25" i="28"/>
  <c r="H39" i="28"/>
  <c r="H45" i="28"/>
  <c r="H19" i="28"/>
  <c r="H13" i="28"/>
  <c r="H43" i="28"/>
  <c r="H11" i="28"/>
  <c r="H37" i="28"/>
  <c r="H18" i="28"/>
  <c r="H34" i="28"/>
  <c r="H26" i="28"/>
  <c r="H15" i="28"/>
  <c r="H24" i="28"/>
  <c r="H41" i="28"/>
  <c r="H30" i="28"/>
  <c r="H44" i="28"/>
  <c r="H14" i="28"/>
  <c r="H27" i="28"/>
  <c r="H12" i="28"/>
  <c r="H50" i="28"/>
  <c r="H17" i="28"/>
  <c r="H21" i="28"/>
  <c r="H4" i="28"/>
  <c r="H33" i="28"/>
  <c r="I21" i="4" l="1"/>
  <c r="E26" i="12"/>
  <c r="E7" i="12"/>
  <c r="E16" i="12"/>
  <c r="B26" i="12"/>
  <c r="C26" i="12" s="1"/>
  <c r="B7" i="12"/>
  <c r="C7" i="12" s="1"/>
  <c r="B16" i="12"/>
  <c r="C16" i="12" s="1"/>
  <c r="B3" i="12"/>
  <c r="C3" i="12" s="1"/>
  <c r="N3" i="12" l="1"/>
  <c r="N16" i="12"/>
  <c r="J17" i="12"/>
  <c r="K49" i="12"/>
  <c r="K39" i="12"/>
  <c r="K48" i="12"/>
  <c r="K34" i="12"/>
  <c r="K36" i="12"/>
  <c r="K40" i="12"/>
  <c r="N7" i="12"/>
  <c r="K37" i="12"/>
  <c r="K41" i="12"/>
  <c r="J8" i="12"/>
  <c r="K46" i="12"/>
  <c r="K43" i="12"/>
  <c r="K47" i="12"/>
  <c r="K38" i="12"/>
  <c r="K35" i="12"/>
  <c r="K44" i="12"/>
  <c r="K42" i="12"/>
  <c r="K45" i="12"/>
  <c r="N26" i="12"/>
  <c r="S26" i="12" l="1"/>
  <c r="P26" i="12"/>
  <c r="R26" i="12"/>
  <c r="P7" i="12"/>
  <c r="S7" i="12"/>
  <c r="R7" i="12"/>
  <c r="P16" i="12"/>
  <c r="R16" i="12"/>
  <c r="S16" i="12"/>
  <c r="P3" i="12"/>
  <c r="R3" i="12"/>
  <c r="S3" i="12"/>
  <c r="I20" i="4" l="1"/>
  <c r="B3" i="28"/>
  <c r="E2" i="28" a="1"/>
  <c r="K2" i="28"/>
  <c r="K3" i="28"/>
  <c r="K4" i="28"/>
  <c r="K5" i="28"/>
  <c r="K6" i="28"/>
  <c r="H3" i="12"/>
  <c r="H16" i="12"/>
  <c r="H7" i="12"/>
  <c r="H12" i="12"/>
  <c r="H14" i="12"/>
  <c r="H13" i="12"/>
  <c r="H11" i="12"/>
  <c r="H4" i="12"/>
  <c r="H6" i="12"/>
  <c r="H15" i="12"/>
  <c r="H10" i="12"/>
  <c r="H2" i="12"/>
  <c r="H5" i="12"/>
  <c r="G2" i="12"/>
  <c r="G6" i="12"/>
  <c r="G5" i="12"/>
  <c r="G3" i="12"/>
  <c r="G22" i="12"/>
  <c r="L33" i="28"/>
  <c r="B6" i="28"/>
  <c r="L22" i="28"/>
  <c r="K5" i="27"/>
  <c r="L28" i="28"/>
  <c r="L39" i="12"/>
  <c r="L40" i="12"/>
  <c r="H27" i="12"/>
  <c r="L2" i="27"/>
  <c r="G10" i="12"/>
  <c r="L34" i="28"/>
  <c r="G25" i="12"/>
  <c r="G23" i="12"/>
  <c r="G6" i="27"/>
  <c r="L19" i="28"/>
  <c r="L49" i="12"/>
  <c r="L46" i="12"/>
  <c r="L3" i="28"/>
  <c r="L14" i="28"/>
  <c r="L5" i="28"/>
  <c r="L6" i="27"/>
  <c r="L32" i="28"/>
  <c r="G15" i="12"/>
  <c r="H21" i="12"/>
  <c r="L24" i="28"/>
  <c r="L41" i="28"/>
  <c r="L38" i="12"/>
  <c r="L35" i="28"/>
  <c r="H25" i="12"/>
  <c r="L5" i="27"/>
  <c r="H22" i="12"/>
  <c r="G19" i="12"/>
  <c r="L37" i="28"/>
  <c r="G13" i="12"/>
  <c r="L31" i="28"/>
  <c r="G16" i="12"/>
  <c r="L2" i="28"/>
  <c r="L9" i="28"/>
  <c r="L44" i="12"/>
  <c r="L38" i="28"/>
  <c r="L50" i="28"/>
  <c r="L30" i="28"/>
  <c r="L16" i="28"/>
  <c r="L23" i="28"/>
  <c r="H23" i="12"/>
  <c r="L47" i="12"/>
  <c r="L18" i="28"/>
  <c r="L40" i="28"/>
  <c r="L4" i="28"/>
  <c r="B5" i="28"/>
  <c r="G11" i="12"/>
  <c r="L45" i="12"/>
  <c r="L26" i="28"/>
  <c r="G12" i="12"/>
  <c r="L47" i="28"/>
  <c r="G3" i="27"/>
  <c r="L51" i="28"/>
  <c r="L25" i="28"/>
  <c r="L34" i="12"/>
  <c r="G24" i="12"/>
  <c r="G4" i="27"/>
  <c r="L42" i="12"/>
  <c r="L42" i="28"/>
  <c r="L49" i="28"/>
  <c r="L46" i="28"/>
  <c r="L45" i="28"/>
  <c r="L35" i="12"/>
  <c r="G27" i="12"/>
  <c r="L37" i="12"/>
  <c r="K6" i="27"/>
  <c r="B7" i="28"/>
  <c r="L10" i="28"/>
  <c r="L12" i="28"/>
  <c r="L27" i="28"/>
  <c r="L21" i="28"/>
  <c r="L6" i="28"/>
  <c r="G7" i="12"/>
  <c r="K4" i="27"/>
  <c r="L41" i="12"/>
  <c r="L13" i="28"/>
  <c r="G2" i="27"/>
  <c r="H20" i="12"/>
  <c r="L48" i="28"/>
  <c r="G14" i="12"/>
  <c r="K2" i="27"/>
  <c r="L43" i="28"/>
  <c r="G26" i="12"/>
  <c r="L3" i="27"/>
  <c r="L15" i="28"/>
  <c r="K3" i="27"/>
  <c r="L36" i="28"/>
  <c r="G20" i="12"/>
  <c r="B4" i="28"/>
  <c r="L20" i="28"/>
  <c r="H19" i="12"/>
  <c r="G21" i="12"/>
  <c r="L48" i="12"/>
  <c r="L43" i="12"/>
  <c r="G5" i="27"/>
  <c r="L11" i="28"/>
  <c r="L29" i="28"/>
  <c r="H24" i="12"/>
  <c r="L36" i="12"/>
  <c r="L44" i="28"/>
  <c r="L4" i="27"/>
  <c r="L17" i="28"/>
  <c r="L8" i="28"/>
  <c r="L39" i="28"/>
  <c r="H26" i="12"/>
  <c r="E9" i="28" l="1"/>
  <c r="E73" i="28"/>
  <c r="E10" i="28"/>
  <c r="E74" i="28"/>
  <c r="E11" i="28"/>
  <c r="E75" i="28"/>
  <c r="E12" i="28"/>
  <c r="E76" i="28"/>
  <c r="E13" i="28"/>
  <c r="E77" i="28"/>
  <c r="E14" i="28"/>
  <c r="E103" i="28"/>
  <c r="E15" i="28"/>
  <c r="E88" i="28"/>
  <c r="E54" i="28"/>
  <c r="E119" i="28"/>
  <c r="E17" i="28"/>
  <c r="E81" i="28"/>
  <c r="E18" i="28"/>
  <c r="E82" i="28"/>
  <c r="E19" i="28"/>
  <c r="E83" i="28"/>
  <c r="E20" i="28"/>
  <c r="E84" i="28"/>
  <c r="E21" i="28"/>
  <c r="E85" i="28"/>
  <c r="E22" i="28"/>
  <c r="E126" i="28"/>
  <c r="E46" i="28"/>
  <c r="E111" i="28"/>
  <c r="E72" i="28"/>
  <c r="E32" i="28"/>
  <c r="E25" i="28"/>
  <c r="E89" i="28"/>
  <c r="E26" i="28"/>
  <c r="E90" i="28"/>
  <c r="E27" i="28"/>
  <c r="E91" i="28"/>
  <c r="E28" i="28"/>
  <c r="E92" i="28"/>
  <c r="E29" i="28"/>
  <c r="E93" i="28"/>
  <c r="E30" i="28"/>
  <c r="E8" i="28"/>
  <c r="E64" i="28"/>
  <c r="E23" i="28"/>
  <c r="E95" i="28"/>
  <c r="E56" i="28"/>
  <c r="E33" i="28"/>
  <c r="E97" i="28"/>
  <c r="E34" i="28"/>
  <c r="E98" i="28"/>
  <c r="E35" i="28"/>
  <c r="E99" i="28"/>
  <c r="E36" i="28"/>
  <c r="E100" i="28"/>
  <c r="E37" i="28"/>
  <c r="E101" i="28"/>
  <c r="E38" i="28"/>
  <c r="E40" i="28"/>
  <c r="E87" i="28"/>
  <c r="E48" i="28"/>
  <c r="E118" i="28"/>
  <c r="E79" i="28"/>
  <c r="E41" i="28"/>
  <c r="E105" i="28"/>
  <c r="E42" i="28"/>
  <c r="E106" i="28"/>
  <c r="E43" i="28"/>
  <c r="E107" i="28"/>
  <c r="E44" i="28"/>
  <c r="E108" i="28"/>
  <c r="E45" i="28"/>
  <c r="E109" i="28"/>
  <c r="E7" i="28"/>
  <c r="E63" i="28"/>
  <c r="E110" i="28"/>
  <c r="E71" i="28"/>
  <c r="E31" i="28"/>
  <c r="E102" i="28"/>
  <c r="E49" i="28"/>
  <c r="E113" i="28"/>
  <c r="E50" i="28"/>
  <c r="E114" i="28"/>
  <c r="E51" i="28"/>
  <c r="E57" i="28"/>
  <c r="E59" i="28"/>
  <c r="E116" i="28"/>
  <c r="E6" i="28"/>
  <c r="E47" i="28"/>
  <c r="E120" i="28"/>
  <c r="E65" i="28"/>
  <c r="E67" i="28"/>
  <c r="E124" i="28"/>
  <c r="E39" i="28"/>
  <c r="E70" i="28"/>
  <c r="E121" i="28"/>
  <c r="E115" i="28"/>
  <c r="E5" i="28"/>
  <c r="E62" i="28"/>
  <c r="E94" i="28"/>
  <c r="E2" i="28"/>
  <c r="E123" i="28"/>
  <c r="E53" i="28"/>
  <c r="E80" i="28"/>
  <c r="E112" i="28"/>
  <c r="E58" i="28"/>
  <c r="E4" i="28"/>
  <c r="E61" i="28"/>
  <c r="E86" i="28"/>
  <c r="E24" i="28"/>
  <c r="E66" i="28"/>
  <c r="E52" i="28"/>
  <c r="E69" i="28"/>
  <c r="E104" i="28"/>
  <c r="E55" i="28"/>
  <c r="E122" i="28"/>
  <c r="E60" i="28"/>
  <c r="E117" i="28"/>
  <c r="E127" i="28"/>
  <c r="E78" i="28"/>
  <c r="E3" i="28"/>
  <c r="E68" i="28"/>
  <c r="E125" i="28"/>
  <c r="E16" i="28"/>
  <c r="E96" i="28"/>
  <c r="G4" i="12"/>
  <c r="I4" i="12" s="1"/>
  <c r="I6" i="12"/>
  <c r="I21" i="12"/>
  <c r="I20" i="12"/>
  <c r="I26" i="12"/>
  <c r="J26" i="12" s="1"/>
  <c r="I14" i="12"/>
  <c r="M2" i="28"/>
  <c r="I7" i="12"/>
  <c r="J7" i="12" s="1"/>
  <c r="I27" i="12"/>
  <c r="I2" i="12"/>
  <c r="I24" i="12"/>
  <c r="I12" i="12"/>
  <c r="I11" i="12"/>
  <c r="M3" i="28"/>
  <c r="I3" i="12"/>
  <c r="J3" i="12" s="1"/>
  <c r="I16" i="12"/>
  <c r="J16" i="12" s="1"/>
  <c r="I13" i="12"/>
  <c r="I19" i="12"/>
  <c r="M4" i="28"/>
  <c r="I15" i="12"/>
  <c r="M5" i="28"/>
  <c r="I5" i="12"/>
  <c r="I23" i="12"/>
  <c r="I25" i="12"/>
  <c r="I10" i="12"/>
  <c r="M6" i="28"/>
  <c r="I22" i="12"/>
  <c r="K4" i="12"/>
  <c r="K27" i="12"/>
  <c r="K26" i="12" l="1"/>
  <c r="Q31" i="12" s="1"/>
  <c r="K3" i="12"/>
  <c r="N31" i="12"/>
  <c r="J24" i="12"/>
  <c r="J27" i="12"/>
  <c r="J10" i="12"/>
  <c r="J19" i="12"/>
  <c r="J9" i="12"/>
  <c r="J13" i="12"/>
  <c r="J23" i="12"/>
  <c r="J18" i="12"/>
  <c r="J14" i="12"/>
  <c r="J4" i="12"/>
  <c r="J20" i="12"/>
  <c r="J11" i="12"/>
  <c r="J21" i="12"/>
  <c r="J22" i="12"/>
  <c r="J12" i="12"/>
  <c r="K24" i="12"/>
  <c r="L24" i="12" s="1"/>
  <c r="K19" i="12"/>
  <c r="K23" i="12"/>
  <c r="L23" i="12" s="1"/>
  <c r="X18" i="12" a="1"/>
  <c r="W18" i="12" a="1"/>
  <c r="V18" i="12" a="1"/>
  <c r="K20" i="12"/>
  <c r="L20" i="12" s="1"/>
  <c r="K21" i="12"/>
  <c r="L21" i="12" s="1"/>
  <c r="K22" i="12"/>
  <c r="L22" i="12" s="1"/>
  <c r="AB18" i="12" a="1"/>
  <c r="I31" i="12"/>
  <c r="L19" i="12"/>
  <c r="K10" i="12"/>
  <c r="X9" i="12" a="1"/>
  <c r="V9" i="12" a="1"/>
  <c r="W9" i="12" a="1"/>
  <c r="K13" i="12"/>
  <c r="K14" i="12"/>
  <c r="K11" i="12"/>
  <c r="K12" i="12"/>
  <c r="AB9" i="12" a="1"/>
  <c r="H31" i="12"/>
  <c r="L10" i="12"/>
  <c r="L12" i="12"/>
  <c r="L11" i="12"/>
  <c r="L14" i="12"/>
  <c r="L13" i="12"/>
  <c r="H32" i="12" l="1"/>
  <c r="AB9" i="12"/>
  <c r="AB10" i="12"/>
  <c r="AB11" i="12"/>
  <c r="W11" i="12"/>
  <c r="W9" i="12"/>
  <c r="W10" i="12"/>
  <c r="V11" i="12"/>
  <c r="V10" i="12"/>
  <c r="V9" i="12"/>
  <c r="X9" i="12"/>
  <c r="X11" i="12"/>
  <c r="X10" i="12"/>
  <c r="I32" i="12"/>
  <c r="AB19" i="12"/>
  <c r="AB18" i="12"/>
  <c r="AB20" i="12"/>
  <c r="V19" i="12"/>
  <c r="V18" i="12"/>
  <c r="V20" i="12"/>
  <c r="W18" i="12"/>
  <c r="W20" i="12"/>
  <c r="W19" i="12"/>
  <c r="X20" i="12"/>
  <c r="X18" i="12"/>
  <c r="X19" i="12"/>
  <c r="P31" i="12"/>
  <c r="AD18" i="12" l="1" a="1"/>
  <c r="AD9" i="12" a="1"/>
  <c r="AD11" i="12" l="1"/>
  <c r="AF9" i="12"/>
  <c r="AE10" i="12"/>
  <c r="AE11" i="12"/>
  <c r="AD10" i="12"/>
  <c r="AF11" i="12"/>
  <c r="AE9" i="12"/>
  <c r="AF10" i="12"/>
  <c r="AD9" i="12"/>
  <c r="AE19" i="12"/>
  <c r="AD19" i="12"/>
  <c r="AF18" i="12"/>
  <c r="AE18" i="12"/>
  <c r="AE20" i="12"/>
  <c r="AD20" i="12"/>
  <c r="AF20" i="12"/>
  <c r="AF19" i="12"/>
  <c r="AD18" i="12"/>
  <c r="Z18" i="12" l="1" a="1"/>
  <c r="Z20" i="12" s="1"/>
  <c r="W32" i="12" s="1"/>
  <c r="Z9" i="12" a="1"/>
  <c r="Z10" i="12" s="1"/>
  <c r="V31" i="12" s="1"/>
  <c r="Z19" i="12" l="1"/>
  <c r="W31" i="12" s="1"/>
  <c r="Z18" i="12"/>
  <c r="W30" i="12" s="1"/>
  <c r="W34" i="12" s="1"/>
  <c r="P34" i="12" s="1"/>
  <c r="I34" i="12" s="1"/>
  <c r="J15" i="25" s="1"/>
  <c r="N15" i="25" s="1"/>
  <c r="Z9" i="12"/>
  <c r="Z11" i="12"/>
  <c r="V32" i="12" s="1"/>
  <c r="AH18" i="12" a="1"/>
  <c r="AH19" i="12" s="1"/>
  <c r="W42" i="12"/>
  <c r="P42" i="12" s="1"/>
  <c r="I42" i="12" s="1"/>
  <c r="J23" i="25" s="1"/>
  <c r="N23" i="25" s="1"/>
  <c r="W40" i="12"/>
  <c r="P40" i="12" s="1"/>
  <c r="I40" i="12" s="1"/>
  <c r="J21" i="25" s="1"/>
  <c r="N21" i="25" s="1"/>
  <c r="W43" i="12"/>
  <c r="P43" i="12" s="1"/>
  <c r="I43" i="12" s="1"/>
  <c r="J24" i="25" s="1"/>
  <c r="N24" i="25" s="1"/>
  <c r="W41" i="12"/>
  <c r="P41" i="12" s="1"/>
  <c r="I41" i="12" s="1"/>
  <c r="J22" i="25" s="1"/>
  <c r="N22" i="25" s="1"/>
  <c r="W38" i="12"/>
  <c r="P38" i="12" s="1"/>
  <c r="I38" i="12" s="1"/>
  <c r="J19" i="25" s="1"/>
  <c r="N19" i="25" s="1"/>
  <c r="W37" i="12"/>
  <c r="P37" i="12" s="1"/>
  <c r="I37" i="12" s="1"/>
  <c r="J18" i="25" s="1"/>
  <c r="N18" i="25" s="1"/>
  <c r="W35" i="12"/>
  <c r="P35" i="12" s="1"/>
  <c r="I35" i="12" s="1"/>
  <c r="J16" i="25" s="1"/>
  <c r="N16" i="25" s="1"/>
  <c r="W36" i="12"/>
  <c r="P36" i="12" s="1"/>
  <c r="I36" i="12" s="1"/>
  <c r="J17" i="25" s="1"/>
  <c r="N17" i="25" s="1"/>
  <c r="W39" i="12"/>
  <c r="P39" i="12" s="1"/>
  <c r="I39" i="12" s="1"/>
  <c r="J20" i="25" s="1"/>
  <c r="N20" i="25" s="1"/>
  <c r="O19" i="25"/>
  <c r="O16" i="25"/>
  <c r="O23" i="25"/>
  <c r="O21" i="25"/>
  <c r="O15" i="25"/>
  <c r="O22" i="25"/>
  <c r="O18" i="25"/>
  <c r="O17" i="25"/>
  <c r="O20" i="25"/>
  <c r="O24" i="25"/>
  <c r="K18" i="12"/>
  <c r="D42" i="4"/>
  <c r="G31" i="12"/>
  <c r="L3" i="12"/>
  <c r="D36" i="4"/>
  <c r="M44" i="28"/>
  <c r="M38" i="28"/>
  <c r="K9" i="12"/>
  <c r="M45" i="28"/>
  <c r="M39" i="28"/>
  <c r="D41" i="4"/>
  <c r="L27" i="12"/>
  <c r="M13" i="28"/>
  <c r="M40" i="28"/>
  <c r="M16" i="28"/>
  <c r="M20" i="28"/>
  <c r="M10" i="28"/>
  <c r="M33" i="28"/>
  <c r="M50" i="28"/>
  <c r="M37" i="28"/>
  <c r="M21" i="28"/>
  <c r="M9" i="28"/>
  <c r="M26" i="28"/>
  <c r="J31" i="12"/>
  <c r="L4" i="12"/>
  <c r="M17" i="28"/>
  <c r="M15" i="28"/>
  <c r="M49" i="28"/>
  <c r="M18" i="28"/>
  <c r="M12" i="28"/>
  <c r="M36" i="28"/>
  <c r="M19" i="28"/>
  <c r="M47" i="28"/>
  <c r="M48" i="28"/>
  <c r="M42" i="28"/>
  <c r="M28" i="28"/>
  <c r="M11" i="28"/>
  <c r="M8" i="28"/>
  <c r="M32" i="28"/>
  <c r="M31" i="28"/>
  <c r="M24" i="28"/>
  <c r="M30" i="28"/>
  <c r="M27" i="28"/>
  <c r="M46" i="28"/>
  <c r="M34" i="28"/>
  <c r="M22" i="28"/>
  <c r="M41" i="28"/>
  <c r="M51" i="28"/>
  <c r="M35" i="28"/>
  <c r="M14" i="28"/>
  <c r="M29" i="28"/>
  <c r="M43" i="28"/>
  <c r="M25" i="28"/>
  <c r="M23" i="28"/>
  <c r="AH9" i="12" l="1" a="1"/>
  <c r="V30" i="12"/>
  <c r="AH20" i="12"/>
  <c r="AH18" i="12"/>
  <c r="G32" i="12"/>
  <c r="O31" i="12"/>
  <c r="N32" i="12"/>
  <c r="L26" i="12"/>
  <c r="Q32" i="12" s="1"/>
  <c r="J32" i="12"/>
  <c r="N23" i="28"/>
  <c r="J56" i="25" s="1"/>
  <c r="N56" i="25" s="1"/>
  <c r="O56" i="25"/>
  <c r="V36" i="12" l="1"/>
  <c r="O36" i="12" s="1"/>
  <c r="H36" i="12" s="1"/>
  <c r="J10" i="25" s="1"/>
  <c r="N10" i="25" s="1"/>
  <c r="V37" i="12"/>
  <c r="O37" i="12" s="1"/>
  <c r="H37" i="12" s="1"/>
  <c r="J11" i="25" s="1"/>
  <c r="N11" i="25" s="1"/>
  <c r="V38" i="12"/>
  <c r="O38" i="12" s="1"/>
  <c r="H38" i="12" s="1"/>
  <c r="J12" i="25" s="1"/>
  <c r="N12" i="25" s="1"/>
  <c r="V39" i="12"/>
  <c r="O39" i="12" s="1"/>
  <c r="H39" i="12" s="1"/>
  <c r="J13" i="25" s="1"/>
  <c r="N13" i="25" s="1"/>
  <c r="V40" i="12"/>
  <c r="O40" i="12" s="1"/>
  <c r="H40" i="12" s="1"/>
  <c r="J14" i="25" s="1"/>
  <c r="N14" i="25" s="1"/>
  <c r="V35" i="12"/>
  <c r="O35" i="12" s="1"/>
  <c r="H35" i="12" s="1"/>
  <c r="J9" i="25" s="1"/>
  <c r="N9" i="25" s="1"/>
  <c r="V34" i="12"/>
  <c r="O34" i="12" s="1"/>
  <c r="H34" i="12" s="1"/>
  <c r="J8" i="25" s="1"/>
  <c r="N8" i="25" s="1"/>
  <c r="AH11" i="12"/>
  <c r="AH10" i="12"/>
  <c r="AH9" i="12"/>
  <c r="N25" i="28"/>
  <c r="J58" i="25" s="1"/>
  <c r="N58" i="25" s="1"/>
  <c r="O10" i="25"/>
  <c r="O9" i="25"/>
  <c r="O11" i="25"/>
  <c r="O13" i="25"/>
  <c r="O8" i="25"/>
  <c r="O12" i="25"/>
  <c r="O14" i="25"/>
  <c r="O58" i="25"/>
  <c r="N27" i="28"/>
  <c r="J60" i="25" s="1"/>
  <c r="N60" i="25" s="1"/>
  <c r="O60" i="25"/>
  <c r="N33" i="28"/>
  <c r="J66" i="25" s="1"/>
  <c r="N66" i="25" s="1"/>
  <c r="O66" i="25"/>
  <c r="N24" i="28"/>
  <c r="J57" i="25" s="1"/>
  <c r="N57" i="25" s="1"/>
  <c r="O57" i="25"/>
  <c r="N9" i="28"/>
  <c r="J42" i="25" s="1"/>
  <c r="N42" i="25" s="1"/>
  <c r="O42" i="25"/>
  <c r="N18" i="28"/>
  <c r="J51" i="25" s="1"/>
  <c r="N51" i="25" s="1"/>
  <c r="O51" i="25"/>
  <c r="N42" i="28"/>
  <c r="J75" i="25" s="1"/>
  <c r="N75" i="25" s="1"/>
  <c r="O75" i="25"/>
  <c r="N21" i="28"/>
  <c r="J54" i="25" s="1"/>
  <c r="N54" i="25" s="1"/>
  <c r="O54" i="25"/>
  <c r="N15" i="28"/>
  <c r="J48" i="25" s="1"/>
  <c r="N48" i="25" s="1"/>
  <c r="O48" i="25"/>
  <c r="N44" i="28"/>
  <c r="J77" i="25" s="1"/>
  <c r="N77" i="25" s="1"/>
  <c r="O77" i="25"/>
  <c r="N22" i="28"/>
  <c r="J55" i="25"/>
  <c r="N55" i="25" s="1"/>
  <c r="O55" i="25"/>
  <c r="N41" i="28"/>
  <c r="J74" i="25" s="1"/>
  <c r="N74" i="25" s="1"/>
  <c r="O74" i="25"/>
  <c r="N38" i="28"/>
  <c r="J71" i="25" s="1"/>
  <c r="N71" i="25" s="1"/>
  <c r="O71" i="25"/>
  <c r="N40" i="28"/>
  <c r="J73" i="25" s="1"/>
  <c r="N73" i="25" s="1"/>
  <c r="O73" i="25"/>
  <c r="N49" i="28"/>
  <c r="J82" i="25"/>
  <c r="N82" i="25" s="1"/>
  <c r="O82" i="25"/>
  <c r="N36" i="28"/>
  <c r="J69" i="25" s="1"/>
  <c r="N69" i="25" s="1"/>
  <c r="O69" i="25"/>
  <c r="N17" i="28"/>
  <c r="J50" i="25"/>
  <c r="N50" i="25" s="1"/>
  <c r="O50" i="25"/>
  <c r="N28" i="28"/>
  <c r="J61" i="25"/>
  <c r="N61" i="25" s="1"/>
  <c r="O61" i="25"/>
  <c r="N19" i="28"/>
  <c r="J52" i="25"/>
  <c r="N52" i="25"/>
  <c r="O52" i="25"/>
  <c r="N35" i="28"/>
  <c r="J68" i="25" s="1"/>
  <c r="N68" i="25" s="1"/>
  <c r="O68" i="25"/>
  <c r="N46" i="28"/>
  <c r="J79" i="25"/>
  <c r="N79" i="25" s="1"/>
  <c r="O79" i="25"/>
  <c r="N8" i="28"/>
  <c r="J41" i="25"/>
  <c r="N41" i="25" s="1"/>
  <c r="O41" i="25"/>
  <c r="N14" i="28"/>
  <c r="J47" i="25" s="1"/>
  <c r="N47" i="25" s="1"/>
  <c r="O47" i="25"/>
  <c r="N50" i="28"/>
  <c r="J83" i="25" s="1"/>
  <c r="N83" i="25" s="1"/>
  <c r="O83" i="25"/>
  <c r="N26" i="28"/>
  <c r="J59" i="25"/>
  <c r="N59" i="25"/>
  <c r="O59" i="25"/>
  <c r="N45" i="28"/>
  <c r="J78" i="25" s="1"/>
  <c r="N78" i="25" s="1"/>
  <c r="O78" i="25"/>
  <c r="N13" i="28"/>
  <c r="J46" i="25"/>
  <c r="N46" i="25" s="1"/>
  <c r="O46" i="25"/>
  <c r="N20" i="28"/>
  <c r="J53" i="25"/>
  <c r="N53" i="25" s="1"/>
  <c r="O53" i="25"/>
  <c r="N39" i="28"/>
  <c r="J72" i="25" s="1"/>
  <c r="N72" i="25" s="1"/>
  <c r="O72" i="25"/>
  <c r="N32" i="28"/>
  <c r="J65" i="25" s="1"/>
  <c r="N65" i="25" s="1"/>
  <c r="O65" i="25"/>
  <c r="N37" i="28"/>
  <c r="J70" i="25" s="1"/>
  <c r="N70" i="25" s="1"/>
  <c r="O70" i="25"/>
  <c r="N30" i="28"/>
  <c r="J63" i="25" s="1"/>
  <c r="N63" i="25" s="1"/>
  <c r="O63" i="25"/>
  <c r="N48" i="28"/>
  <c r="J81" i="25" s="1"/>
  <c r="N81" i="25" s="1"/>
  <c r="O81" i="25"/>
  <c r="N34" i="28"/>
  <c r="J67" i="25"/>
  <c r="N67" i="25"/>
  <c r="O67" i="25"/>
  <c r="N16" i="28"/>
  <c r="J49" i="25"/>
  <c r="N49" i="25" s="1"/>
  <c r="O49" i="25"/>
  <c r="N47" i="28"/>
  <c r="J80" i="25"/>
  <c r="N80" i="25" s="1"/>
  <c r="O80" i="25"/>
  <c r="N10" i="28"/>
  <c r="J43" i="25"/>
  <c r="N43" i="25"/>
  <c r="O43" i="25"/>
  <c r="N11" i="28"/>
  <c r="J44" i="25" s="1"/>
  <c r="N44" i="25" s="1"/>
  <c r="O44" i="25"/>
  <c r="N31" i="28"/>
  <c r="J64" i="25"/>
  <c r="N64" i="25" s="1"/>
  <c r="O64" i="25"/>
  <c r="N51" i="28"/>
  <c r="J84" i="25"/>
  <c r="N84" i="25" s="1"/>
  <c r="O84" i="25"/>
  <c r="N12" i="28"/>
  <c r="J45" i="25" s="1"/>
  <c r="N45" i="25" s="1"/>
  <c r="O45" i="25"/>
  <c r="N43" i="28"/>
  <c r="J76" i="25" s="1"/>
  <c r="N76" i="25" s="1"/>
  <c r="O76" i="25"/>
  <c r="N29" i="28"/>
  <c r="J62" i="25"/>
  <c r="N62" i="25" s="1"/>
  <c r="O62" i="25"/>
  <c r="L9" i="12"/>
  <c r="O32" i="12"/>
  <c r="L18" i="12"/>
  <c r="P32" i="12"/>
  <c r="Q40" i="12"/>
  <c r="J40" i="12" s="1"/>
  <c r="J31" i="25" s="1"/>
  <c r="N31" i="25" s="1"/>
  <c r="O31" i="25"/>
  <c r="Q44" i="12"/>
  <c r="J44" i="12"/>
  <c r="J35" i="25" s="1"/>
  <c r="N35" i="25" s="1"/>
  <c r="O35" i="25"/>
  <c r="Q34" i="12"/>
  <c r="J34" i="12"/>
  <c r="J25" i="25" s="1"/>
  <c r="N25" i="25" s="1"/>
  <c r="O25" i="25"/>
  <c r="Q47" i="12"/>
  <c r="J47" i="12"/>
  <c r="J38" i="25" s="1"/>
  <c r="N38" i="25" s="1"/>
  <c r="O38" i="25"/>
  <c r="N34" i="12"/>
  <c r="G34" i="12"/>
  <c r="J3" i="25" s="1"/>
  <c r="N3" i="25" s="1"/>
  <c r="O3" i="25"/>
  <c r="N35" i="12"/>
  <c r="G35" i="12"/>
  <c r="J4" i="25" s="1"/>
  <c r="N4" i="25" s="1"/>
  <c r="O4" i="25"/>
  <c r="N36" i="12"/>
  <c r="G36" i="12"/>
  <c r="J5" i="25" s="1"/>
  <c r="N5" i="25" s="1"/>
  <c r="O5" i="25"/>
  <c r="N37" i="12"/>
  <c r="G37" i="12"/>
  <c r="J6" i="25" s="1"/>
  <c r="N6" i="25" s="1"/>
  <c r="O6" i="25"/>
  <c r="N38" i="12"/>
  <c r="G38" i="12"/>
  <c r="J7" i="25" s="1"/>
  <c r="N7" i="25" s="1"/>
  <c r="O7" i="25"/>
  <c r="Q35" i="12"/>
  <c r="J35" i="12"/>
  <c r="J26" i="25" s="1"/>
  <c r="N26" i="25" s="1"/>
  <c r="O26" i="25"/>
  <c r="Q36" i="12"/>
  <c r="J36" i="12"/>
  <c r="J27" i="25" s="1"/>
  <c r="N27" i="25" s="1"/>
  <c r="O27" i="25"/>
  <c r="Q37" i="12"/>
  <c r="J37" i="12"/>
  <c r="J28" i="25" s="1"/>
  <c r="N28" i="25" s="1"/>
  <c r="O28" i="25"/>
  <c r="Q38" i="12"/>
  <c r="J38" i="12"/>
  <c r="J29" i="25" s="1"/>
  <c r="N29" i="25" s="1"/>
  <c r="O29" i="25"/>
  <c r="Q39" i="12"/>
  <c r="J39" i="12"/>
  <c r="J30" i="25" s="1"/>
  <c r="N30" i="25" s="1"/>
  <c r="O30" i="25"/>
  <c r="Q41" i="12"/>
  <c r="J41" i="12"/>
  <c r="J32" i="25" s="1"/>
  <c r="N32" i="25" s="1"/>
  <c r="O32" i="25"/>
  <c r="Q42" i="12"/>
  <c r="J42" i="12"/>
  <c r="J33" i="25" s="1"/>
  <c r="N33" i="25" s="1"/>
  <c r="O33" i="25"/>
  <c r="Q43" i="12"/>
  <c r="J43" i="12"/>
  <c r="J34" i="25" s="1"/>
  <c r="N34" i="25" s="1"/>
  <c r="O34" i="25"/>
  <c r="Q45" i="12"/>
  <c r="J45" i="12"/>
  <c r="J36" i="25" s="1"/>
  <c r="N36" i="25" s="1"/>
  <c r="O36" i="25"/>
  <c r="Q46" i="12"/>
  <c r="J46" i="12"/>
  <c r="J37" i="25" s="1"/>
  <c r="N37" i="25" s="1"/>
  <c r="O37" i="25"/>
  <c r="Q48" i="12"/>
  <c r="J48" i="12"/>
  <c r="J39" i="25" s="1"/>
  <c r="N39" i="25" s="1"/>
  <c r="O39" i="25"/>
  <c r="Q49" i="12"/>
  <c r="J49" i="12"/>
  <c r="J40" i="25" s="1"/>
  <c r="N40" i="25" s="1"/>
  <c r="O40" i="25"/>
  <c r="O1" i="25"/>
  <c r="D9" i="4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<sst xmlns="http://schemas.openxmlformats.org/spreadsheetml/2006/main" count="355" uniqueCount="225">
  <si>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</si>
  <si>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</si>
  <si>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</si>
  <si>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</si>
  <si>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</si>
  <si>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</si>
  <si>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</si>
  <si>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</si>
  <si>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</si>
  <si>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</si>
  <si>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</si>
  <si>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</si>
  <si>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</si>
  <si>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</si>
  <si>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</si>
  <si>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</si>
  <si>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</si>
  <si>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</si>
  <si>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</si>
  <si>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</si>
  <si>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</si>
  <si>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</si>
  <si>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</si>
  <si>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</si>
  <si>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</si>
  <si>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</si>
  <si>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</si>
  <si>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</si>
  <si>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</si>
  <si>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</si>
  <si>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monotonicity</t>
  </si>
  <si>
    <t>first guess</t>
  </si>
  <si>
    <t>OisCurve</t>
  </si>
  <si>
    <t>General Settings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</si>
  <si>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</si>
  <si>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</si>
  <si>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</si>
  <si>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</si>
  <si>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</si>
  <si>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</si>
  <si>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</si>
  <si>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</si>
  <si>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</si>
  <si>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</si>
  <si>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</si>
  <si>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</si>
  <si>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</si>
  <si>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</si>
  <si>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</si>
  <si>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UnitedKingdom::Exchange</t>
  </si>
  <si>
    <t>GBP</t>
  </si>
  <si>
    <t>Sonia</t>
  </si>
  <si>
    <t>DayCounter</t>
  </si>
  <si>
    <t>LastDayInNextYear</t>
  </si>
  <si>
    <t>LastDayInYear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</si>
  <si>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</si>
  <si>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</si>
  <si>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</si>
  <si>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</si>
  <si>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</si>
  <si>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</si>
  <si>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</si>
  <si>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</si>
  <si>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</si>
  <si>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</si>
  <si>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</si>
  <si>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</si>
  <si>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RateTickValue</t>
  </si>
  <si>
    <t>PriceTickValue</t>
  </si>
  <si>
    <t>_Quote</t>
  </si>
  <si>
    <t>Trigger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</si>
  <si>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</si>
  <si>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</si>
  <si>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</si>
  <si>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</si>
  <si>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</si>
  <si>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</si>
  <si>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</si>
  <si>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</si>
  <si>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</si>
  <si>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</si>
  <si>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</si>
  <si>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Live</t>
  </si>
  <si>
    <t>Static</t>
  </si>
  <si>
    <t>Effective</t>
  </si>
  <si>
    <t>Change</t>
  </si>
  <si>
    <t>Depo Settings</t>
  </si>
  <si>
    <t>FRA Settings</t>
  </si>
  <si>
    <t>Ibor Tenor</t>
  </si>
  <si>
    <t>Ndays</t>
  </si>
  <si>
    <t>Accuracy</t>
  </si>
  <si>
    <t>TraitsID</t>
  </si>
  <si>
    <t>MonotonicLogCubicNaturalSpline</t>
  </si>
  <si>
    <t>InterpolationID</t>
  </si>
  <si>
    <t>Discount</t>
  </si>
  <si>
    <t>AllowInterpolation</t>
  </si>
  <si>
    <t>IborIndex</t>
  </si>
  <si>
    <t>BasisInterpolation</t>
  </si>
  <si>
    <t>BasisInterpolator</t>
  </si>
  <si>
    <t>PiecewiseYieldCurve</t>
  </si>
  <si>
    <t>Error</t>
  </si>
  <si>
    <t>Interest Rate Trigger</t>
  </si>
  <si>
    <t>Last Fixings Trigger</t>
  </si>
  <si>
    <t>Triggers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</si>
  <si>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</si>
  <si>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</si>
  <si>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</si>
  <si>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</si>
  <si>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</si>
  <si>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</si>
  <si>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</si>
  <si>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</si>
  <si>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</si>
  <si>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x24</t>
  </si>
  <si>
    <t>D</t>
  </si>
  <si>
    <t>F</t>
  </si>
  <si>
    <t>SB6L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</si>
  <si>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</si>
  <si>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</si>
  <si>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</si>
  <si>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</si>
  <si>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</si>
  <si>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</si>
  <si>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</si>
  <si>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</si>
  <si>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</si>
  <si>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</si>
  <si>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</si>
  <si>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S6L12L</t>
  </si>
  <si>
    <t>1x13F</t>
  </si>
  <si>
    <t>2x14F</t>
  </si>
  <si>
    <t>3x15F</t>
  </si>
  <si>
    <t>4x16F</t>
  </si>
  <si>
    <t>5x17F</t>
  </si>
  <si>
    <t>6x18F</t>
  </si>
  <si>
    <t>7x19F</t>
  </si>
  <si>
    <t>8x20F</t>
  </si>
  <si>
    <t>9x21F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</si>
  <si>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</si>
  <si>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</si>
  <si>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</si>
  <si>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</si>
  <si>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</si>
  <si>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</si>
  <si>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</si>
  <si>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</si>
  <si>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</si>
  <si>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</si>
  <si>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</si>
  <si>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</si>
  <si>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</si>
  <si>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</si>
  <si>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</si>
  <si>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</si>
  <si>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</si>
  <si>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</si>
  <si>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</si>
  <si>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</si>
  <si>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</si>
  <si>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</si>
  <si>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</si>
  <si>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</si>
  <si>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</si>
  <si>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</si>
  <si>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</si>
  <si>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</si>
  <si>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</si>
  <si>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</si>
  <si>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</si>
  <si>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</si>
  <si>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</si>
  <si>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</si>
  <si>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</si>
  <si>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Fwd start</t>
  </si>
  <si>
    <t>Spread</t>
  </si>
  <si>
    <t>Swap index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</si>
  <si>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</si>
  <si>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</si>
  <si>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</si>
  <si>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</si>
  <si>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</si>
  <si>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</si>
  <si>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</si>
  <si>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</si>
  <si>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</si>
  <si>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SB</t>
  </si>
  <si>
    <t>0d</t>
  </si>
  <si>
    <t>JPY</t>
  </si>
  <si>
    <t>USD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</si>
  <si>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</si>
  <si>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</si>
  <si>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</si>
  <si>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</si>
  <si>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</si>
  <si>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</si>
  <si>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</si>
  <si>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</si>
  <si>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</si>
  <si>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</si>
  <si>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</si>
  <si>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</si>
  <si>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</si>
  <si>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</si>
  <si>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</si>
  <si>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</si>
  <si>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</si>
  <si>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</si>
  <si>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</si>
  <si>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</si>
  <si>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</si>
  <si>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</si>
  <si>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</si>
  <si>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</si>
  <si>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</si>
  <si>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</si>
  <si>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</si>
  <si>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</si>
  <si>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</si>
  <si>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</si>
  <si>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</si>
  <si>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FixingType</t>
  </si>
  <si>
    <t>Isda</t>
  </si>
  <si>
    <t>Family Name</t>
  </si>
  <si>
    <t>TriggerCounter</t>
  </si>
  <si>
    <t>Actual/365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</si>
</sst>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0.0000"/>
    <numFmt numFmtId="175" formatCode="[$-409]d\-mmm\-yy;@"/>
    <numFmt numFmtId="176" formatCode="ddd\,\ d\-mmm\-yyyy\,\ hh:mm:ss"/>
    <numFmt numFmtId="177" formatCode="0.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Microsoft Sans Serif"/>
      <family val="2"/>
    </font>
    <font>
      <sz val="8"/>
      <color indexed="10"/>
      <name val="Arial"/>
      <family val="2"/>
    </font>
    <font>
      <sz val="8"/>
      <color indexed="10"/>
      <name val="Microsoft Sans Serif"/>
      <family val="2"/>
    </font>
    <font>
      <b/>
      <sz val="12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4">
    <xf numFmtId="0" fontId="0" fillId="0" borderId="0"/>
    <xf numFmtId="170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0" fontId="3" fillId="0" borderId="0"/>
    <xf numFmtId="171" fontId="7" fillId="0" borderId="0"/>
    <xf numFmtId="9" fontId="3" fillId="0" borderId="0" applyFont="0" applyFill="0" applyBorder="0" applyAlignment="0" applyProtection="0"/>
    <xf numFmtId="169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1" fillId="0" borderId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</cellStyleXfs>
  <cellXfs count="359">
    <xf numFmtId="0" fontId="0" fillId="0" borderId="0" xfId="0"/>
    <xf numFmtId="0" fontId="8" fillId="0" borderId="0" xfId="0" applyFont="1"/>
    <xf numFmtId="165" fontId="8" fillId="0" borderId="1" xfId="7" applyNumberFormat="1" applyFont="1" applyBorder="1"/>
    <xf numFmtId="165" fontId="8" fillId="0" borderId="2" xfId="7" applyNumberFormat="1" applyFont="1" applyBorder="1"/>
    <xf numFmtId="165" fontId="8" fillId="0" borderId="3" xfId="7" applyNumberFormat="1" applyFont="1" applyBorder="1"/>
    <xf numFmtId="0" fontId="8" fillId="0" borderId="0" xfId="0" applyFont="1" applyBorder="1"/>
    <xf numFmtId="166" fontId="8" fillId="0" borderId="0" xfId="0" applyNumberFormat="1" applyFont="1" applyBorder="1" applyAlignment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 applyAlignment="1"/>
    <xf numFmtId="0" fontId="8" fillId="0" borderId="7" xfId="0" applyFont="1" applyBorder="1"/>
    <xf numFmtId="0" fontId="8" fillId="0" borderId="8" xfId="0" applyFont="1" applyBorder="1" applyAlignment="1"/>
    <xf numFmtId="0" fontId="8" fillId="0" borderId="9" xfId="0" applyFont="1" applyBorder="1"/>
    <xf numFmtId="165" fontId="8" fillId="0" borderId="5" xfId="0" applyNumberFormat="1" applyFont="1" applyBorder="1"/>
    <xf numFmtId="165" fontId="8" fillId="0" borderId="10" xfId="0" applyNumberFormat="1" applyFont="1" applyBorder="1"/>
    <xf numFmtId="165" fontId="8" fillId="0" borderId="0" xfId="7" applyNumberFormat="1" applyFont="1" applyBorder="1"/>
    <xf numFmtId="165" fontId="8" fillId="0" borderId="9" xfId="0" applyNumberFormat="1" applyFont="1" applyBorder="1"/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8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172" fontId="8" fillId="0" borderId="5" xfId="0" applyNumberFormat="1" applyFont="1" applyBorder="1"/>
    <xf numFmtId="0" fontId="8" fillId="0" borderId="8" xfId="0" applyFont="1" applyBorder="1" applyAlignment="1">
      <alignment horizontal="right"/>
    </xf>
    <xf numFmtId="172" fontId="8" fillId="0" borderId="9" xfId="0" applyNumberFormat="1" applyFont="1" applyBorder="1"/>
    <xf numFmtId="0" fontId="8" fillId="0" borderId="8" xfId="0" applyFont="1" applyFill="1" applyBorder="1" applyAlignment="1">
      <alignment horizontal="right"/>
    </xf>
    <xf numFmtId="172" fontId="8" fillId="0" borderId="10" xfId="0" applyNumberFormat="1" applyFont="1" applyBorder="1"/>
    <xf numFmtId="165" fontId="8" fillId="0" borderId="8" xfId="0" applyNumberFormat="1" applyFont="1" applyBorder="1" applyAlignment="1"/>
    <xf numFmtId="0" fontId="8" fillId="0" borderId="14" xfId="0" applyFont="1" applyBorder="1"/>
    <xf numFmtId="0" fontId="8" fillId="0" borderId="8" xfId="0" applyFont="1" applyBorder="1"/>
    <xf numFmtId="0" fontId="8" fillId="0" borderId="6" xfId="0" applyFont="1" applyBorder="1"/>
    <xf numFmtId="0" fontId="8" fillId="0" borderId="6" xfId="0" applyFont="1" applyBorder="1" applyAlignment="1">
      <alignment horizontal="right"/>
    </xf>
    <xf numFmtId="165" fontId="9" fillId="0" borderId="0" xfId="7" applyNumberFormat="1" applyFont="1" applyBorder="1"/>
    <xf numFmtId="165" fontId="9" fillId="3" borderId="0" xfId="7" applyNumberFormat="1" applyFont="1" applyFill="1" applyBorder="1"/>
    <xf numFmtId="165" fontId="9" fillId="0" borderId="4" xfId="7" applyNumberFormat="1" applyFont="1" applyBorder="1"/>
    <xf numFmtId="165" fontId="9" fillId="0" borderId="7" xfId="7" applyNumberFormat="1" applyFont="1" applyBorder="1"/>
    <xf numFmtId="165" fontId="9" fillId="3" borderId="8" xfId="7" applyNumberFormat="1" applyFont="1" applyFill="1" applyBorder="1" applyAlignment="1"/>
    <xf numFmtId="165" fontId="8" fillId="0" borderId="11" xfId="0" applyNumberFormat="1" applyFont="1" applyBorder="1"/>
    <xf numFmtId="165" fontId="8" fillId="0" borderId="12" xfId="0" applyNumberFormat="1" applyFont="1" applyBorder="1"/>
    <xf numFmtId="165" fontId="8" fillId="0" borderId="13" xfId="0" applyNumberFormat="1" applyFont="1" applyBorder="1"/>
    <xf numFmtId="0" fontId="8" fillId="4" borderId="0" xfId="4" applyFont="1" applyFill="1" applyBorder="1"/>
    <xf numFmtId="168" fontId="8" fillId="4" borderId="0" xfId="4" applyNumberFormat="1" applyFont="1" applyFill="1" applyBorder="1" applyAlignment="1">
      <alignment horizontal="center"/>
    </xf>
    <xf numFmtId="0" fontId="8" fillId="4" borderId="0" xfId="4" applyFont="1" applyFill="1" applyBorder="1" applyAlignment="1">
      <alignment horizontal="center"/>
    </xf>
    <xf numFmtId="0" fontId="11" fillId="4" borderId="0" xfId="4" applyFont="1" applyFill="1" applyBorder="1" applyAlignment="1">
      <alignment horizontal="right"/>
    </xf>
    <xf numFmtId="0" fontId="8" fillId="0" borderId="0" xfId="0" applyFont="1" applyAlignment="1">
      <alignment horizontal="right"/>
    </xf>
    <xf numFmtId="165" fontId="9" fillId="3" borderId="9" xfId="7" applyNumberFormat="1" applyFont="1" applyFill="1" applyBorder="1"/>
    <xf numFmtId="165" fontId="9" fillId="3" borderId="2" xfId="7" applyNumberFormat="1" applyFont="1" applyFill="1" applyBorder="1" applyAlignment="1"/>
    <xf numFmtId="165" fontId="9" fillId="3" borderId="5" xfId="7" applyNumberFormat="1" applyFont="1" applyFill="1" applyBorder="1"/>
    <xf numFmtId="165" fontId="9" fillId="3" borderId="1" xfId="7" applyNumberFormat="1" applyFont="1" applyFill="1" applyBorder="1" applyAlignment="1"/>
    <xf numFmtId="0" fontId="8" fillId="5" borderId="15" xfId="4" applyFont="1" applyFill="1" applyBorder="1" applyAlignment="1">
      <alignment horizontal="right"/>
    </xf>
    <xf numFmtId="166" fontId="8" fillId="4" borderId="13" xfId="7" applyNumberFormat="1" applyFont="1" applyFill="1" applyBorder="1" applyAlignment="1">
      <alignment horizontal="center"/>
    </xf>
    <xf numFmtId="165" fontId="8" fillId="0" borderId="8" xfId="7" applyNumberFormat="1" applyFont="1" applyBorder="1" applyAlignment="1"/>
    <xf numFmtId="172" fontId="8" fillId="0" borderId="4" xfId="0" applyNumberFormat="1" applyFont="1" applyBorder="1" applyAlignment="1"/>
    <xf numFmtId="172" fontId="8" fillId="0" borderId="7" xfId="0" applyNumberFormat="1" applyFont="1" applyBorder="1" applyAlignment="1"/>
    <xf numFmtId="172" fontId="8" fillId="0" borderId="0" xfId="0" applyNumberFormat="1" applyFont="1" applyBorder="1" applyAlignment="1"/>
    <xf numFmtId="172" fontId="8" fillId="0" borderId="9" xfId="0" applyNumberFormat="1" applyFont="1" applyBorder="1" applyAlignment="1"/>
    <xf numFmtId="172" fontId="8" fillId="4" borderId="13" xfId="7" applyNumberFormat="1" applyFont="1" applyFill="1" applyBorder="1" applyAlignment="1">
      <alignment horizontal="center"/>
    </xf>
    <xf numFmtId="0" fontId="8" fillId="0" borderId="8" xfId="0" applyFont="1" applyFill="1" applyBorder="1"/>
    <xf numFmtId="165" fontId="8" fillId="0" borderId="0" xfId="0" applyNumberFormat="1" applyFont="1"/>
    <xf numFmtId="0" fontId="8" fillId="0" borderId="0" xfId="0" applyFont="1" applyAlignment="1">
      <alignment horizontal="center"/>
    </xf>
    <xf numFmtId="166" fontId="8" fillId="0" borderId="4" xfId="0" applyNumberFormat="1" applyFont="1" applyBorder="1" applyAlignment="1"/>
    <xf numFmtId="165" fontId="8" fillId="0" borderId="4" xfId="0" applyNumberFormat="1" applyFont="1" applyBorder="1" applyAlignment="1"/>
    <xf numFmtId="165" fontId="8" fillId="0" borderId="0" xfId="7" applyNumberFormat="1" applyFont="1"/>
    <xf numFmtId="165" fontId="8" fillId="0" borderId="8" xfId="0" applyNumberFormat="1" applyFont="1" applyBorder="1"/>
    <xf numFmtId="165" fontId="8" fillId="0" borderId="0" xfId="0" applyNumberFormat="1" applyFont="1" applyBorder="1"/>
    <xf numFmtId="165" fontId="9" fillId="3" borderId="6" xfId="7" applyNumberFormat="1" applyFont="1" applyFill="1" applyBorder="1" applyAlignment="1"/>
    <xf numFmtId="165" fontId="9" fillId="3" borderId="7" xfId="7" applyNumberFormat="1" applyFont="1" applyFill="1" applyBorder="1"/>
    <xf numFmtId="165" fontId="9" fillId="3" borderId="10" xfId="7" applyNumberFormat="1" applyFont="1" applyFill="1" applyBorder="1"/>
    <xf numFmtId="165" fontId="8" fillId="0" borderId="1" xfId="0" applyNumberFormat="1" applyFont="1" applyBorder="1"/>
    <xf numFmtId="165" fontId="8" fillId="0" borderId="2" xfId="0" applyNumberFormat="1" applyFont="1" applyBorder="1"/>
    <xf numFmtId="165" fontId="8" fillId="0" borderId="3" xfId="0" applyNumberFormat="1" applyFont="1" applyBorder="1"/>
    <xf numFmtId="173" fontId="8" fillId="0" borderId="1" xfId="0" applyNumberFormat="1" applyFont="1" applyBorder="1"/>
    <xf numFmtId="173" fontId="8" fillId="0" borderId="2" xfId="0" applyNumberFormat="1" applyFont="1" applyBorder="1"/>
    <xf numFmtId="173" fontId="8" fillId="0" borderId="3" xfId="0" applyNumberFormat="1" applyFont="1" applyBorder="1"/>
    <xf numFmtId="173" fontId="8" fillId="0" borderId="14" xfId="0" applyNumberFormat="1" applyFont="1" applyBorder="1"/>
    <xf numFmtId="173" fontId="8" fillId="0" borderId="4" xfId="0" applyNumberFormat="1" applyFont="1" applyBorder="1"/>
    <xf numFmtId="173" fontId="8" fillId="0" borderId="5" xfId="0" applyNumberFormat="1" applyFont="1" applyBorder="1"/>
    <xf numFmtId="173" fontId="8" fillId="0" borderId="8" xfId="0" applyNumberFormat="1" applyFont="1" applyBorder="1"/>
    <xf numFmtId="173" fontId="8" fillId="0" borderId="0" xfId="0" applyNumberFormat="1" applyFont="1" applyBorder="1"/>
    <xf numFmtId="173" fontId="8" fillId="0" borderId="9" xfId="0" applyNumberFormat="1" applyFont="1" applyBorder="1"/>
    <xf numFmtId="173" fontId="8" fillId="0" borderId="6" xfId="0" applyNumberFormat="1" applyFont="1" applyBorder="1"/>
    <xf numFmtId="173" fontId="8" fillId="0" borderId="7" xfId="0" applyNumberFormat="1" applyFont="1" applyBorder="1"/>
    <xf numFmtId="173" fontId="8" fillId="0" borderId="10" xfId="0" applyNumberFormat="1" applyFont="1" applyBorder="1"/>
    <xf numFmtId="2" fontId="8" fillId="0" borderId="14" xfId="0" applyNumberFormat="1" applyFont="1" applyBorder="1"/>
    <xf numFmtId="2" fontId="8" fillId="0" borderId="4" xfId="0" applyNumberFormat="1" applyFont="1" applyBorder="1"/>
    <xf numFmtId="2" fontId="8" fillId="0" borderId="5" xfId="0" applyNumberFormat="1" applyFont="1" applyBorder="1"/>
    <xf numFmtId="2" fontId="8" fillId="0" borderId="8" xfId="0" applyNumberFormat="1" applyFont="1" applyBorder="1"/>
    <xf numFmtId="2" fontId="8" fillId="0" borderId="0" xfId="0" applyNumberFormat="1" applyFont="1" applyBorder="1"/>
    <xf numFmtId="2" fontId="8" fillId="0" borderId="9" xfId="0" applyNumberFormat="1" applyFont="1" applyBorder="1"/>
    <xf numFmtId="2" fontId="8" fillId="0" borderId="6" xfId="0" applyNumberFormat="1" applyFont="1" applyBorder="1"/>
    <xf numFmtId="2" fontId="8" fillId="0" borderId="7" xfId="0" applyNumberFormat="1" applyFont="1" applyBorder="1"/>
    <xf numFmtId="2" fontId="8" fillId="0" borderId="10" xfId="0" applyNumberFormat="1" applyFont="1" applyBorder="1"/>
    <xf numFmtId="2" fontId="8" fillId="0" borderId="0" xfId="0" applyNumberFormat="1" applyFont="1"/>
    <xf numFmtId="165" fontId="8" fillId="0" borderId="6" xfId="0" applyNumberFormat="1" applyFont="1" applyBorder="1"/>
    <xf numFmtId="165" fontId="8" fillId="0" borderId="7" xfId="0" applyNumberFormat="1" applyFont="1" applyBorder="1"/>
    <xf numFmtId="0" fontId="13" fillId="0" borderId="0" xfId="0" applyFont="1"/>
    <xf numFmtId="0" fontId="8" fillId="6" borderId="8" xfId="0" applyFont="1" applyFill="1" applyBorder="1" applyAlignment="1"/>
    <xf numFmtId="172" fontId="8" fillId="6" borderId="0" xfId="0" applyNumberFormat="1" applyFont="1" applyFill="1" applyBorder="1" applyAlignment="1"/>
    <xf numFmtId="172" fontId="8" fillId="6" borderId="9" xfId="0" applyNumberFormat="1" applyFont="1" applyFill="1" applyBorder="1" applyAlignment="1"/>
    <xf numFmtId="165" fontId="8" fillId="6" borderId="8" xfId="0" applyNumberFormat="1" applyFont="1" applyFill="1" applyBorder="1" applyAlignment="1"/>
    <xf numFmtId="165" fontId="8" fillId="6" borderId="0" xfId="7" applyNumberFormat="1" applyFont="1" applyFill="1" applyBorder="1"/>
    <xf numFmtId="165" fontId="8" fillId="6" borderId="9" xfId="0" applyNumberFormat="1" applyFont="1" applyFill="1" applyBorder="1"/>
    <xf numFmtId="165" fontId="8" fillId="6" borderId="8" xfId="7" applyNumberFormat="1" applyFont="1" applyFill="1" applyBorder="1" applyAlignment="1"/>
    <xf numFmtId="0" fontId="8" fillId="6" borderId="14" xfId="0" applyFont="1" applyFill="1" applyBorder="1" applyAlignment="1"/>
    <xf numFmtId="172" fontId="8" fillId="6" borderId="4" xfId="0" applyNumberFormat="1" applyFont="1" applyFill="1" applyBorder="1" applyAlignment="1"/>
    <xf numFmtId="172" fontId="8" fillId="6" borderId="5" xfId="0" applyNumberFormat="1" applyFont="1" applyFill="1" applyBorder="1" applyAlignment="1"/>
    <xf numFmtId="165" fontId="8" fillId="6" borderId="14" xfId="0" applyNumberFormat="1" applyFont="1" applyFill="1" applyBorder="1" applyAlignment="1"/>
    <xf numFmtId="165" fontId="8" fillId="6" borderId="4" xfId="7" applyNumberFormat="1" applyFont="1" applyFill="1" applyBorder="1"/>
    <xf numFmtId="165" fontId="8" fillId="6" borderId="5" xfId="0" applyNumberFormat="1" applyFont="1" applyFill="1" applyBorder="1"/>
    <xf numFmtId="0" fontId="8" fillId="6" borderId="0" xfId="0" applyFont="1" applyFill="1"/>
    <xf numFmtId="0" fontId="8" fillId="6" borderId="0" xfId="0" applyFont="1" applyFill="1" applyBorder="1"/>
    <xf numFmtId="165" fontId="8" fillId="6" borderId="0" xfId="0" applyNumberFormat="1" applyFont="1" applyFill="1" applyBorder="1"/>
    <xf numFmtId="0" fontId="8" fillId="6" borderId="0" xfId="0" applyNumberFormat="1" applyFont="1" applyFill="1" applyBorder="1"/>
    <xf numFmtId="0" fontId="8" fillId="0" borderId="0" xfId="0" applyNumberFormat="1" applyFont="1" applyBorder="1"/>
    <xf numFmtId="165" fontId="8" fillId="0" borderId="0" xfId="7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6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8" fillId="0" borderId="4" xfId="0" applyNumberFormat="1" applyFont="1" applyBorder="1"/>
    <xf numFmtId="0" fontId="8" fillId="0" borderId="8" xfId="0" applyFont="1" applyBorder="1" applyAlignment="1">
      <alignment horizontal="center"/>
    </xf>
    <xf numFmtId="0" fontId="8" fillId="0" borderId="11" xfId="0" applyFont="1" applyBorder="1"/>
    <xf numFmtId="0" fontId="8" fillId="0" borderId="6" xfId="0" applyFont="1" applyFill="1" applyBorder="1" applyAlignment="1">
      <alignment horizontal="right"/>
    </xf>
    <xf numFmtId="0" fontId="9" fillId="0" borderId="0" xfId="0" applyNumberFormat="1" applyFont="1" applyBorder="1"/>
    <xf numFmtId="2" fontId="8" fillId="6" borderId="0" xfId="0" applyNumberFormat="1" applyFont="1" applyFill="1"/>
    <xf numFmtId="0" fontId="8" fillId="4" borderId="15" xfId="4" applyFont="1" applyFill="1" applyBorder="1" applyAlignment="1">
      <alignment horizontal="center"/>
    </xf>
    <xf numFmtId="168" fontId="8" fillId="4" borderId="15" xfId="4" applyNumberFormat="1" applyFont="1" applyFill="1" applyBorder="1" applyAlignment="1">
      <alignment horizontal="center"/>
    </xf>
    <xf numFmtId="166" fontId="8" fillId="4" borderId="15" xfId="7" applyNumberFormat="1" applyFont="1" applyFill="1" applyBorder="1" applyAlignment="1">
      <alignment horizontal="center"/>
    </xf>
    <xf numFmtId="172" fontId="8" fillId="4" borderId="15" xfId="7" applyNumberFormat="1" applyFont="1" applyFill="1" applyBorder="1" applyAlignment="1">
      <alignment horizontal="center"/>
    </xf>
    <xf numFmtId="0" fontId="8" fillId="8" borderId="0" xfId="4" applyFont="1" applyFill="1"/>
    <xf numFmtId="0" fontId="8" fillId="8" borderId="0" xfId="4" applyFont="1" applyFill="1" applyBorder="1"/>
    <xf numFmtId="0" fontId="8" fillId="8" borderId="0" xfId="5" applyFont="1" applyFill="1"/>
    <xf numFmtId="0" fontId="8" fillId="4" borderId="19" xfId="4" applyFont="1" applyFill="1" applyBorder="1"/>
    <xf numFmtId="0" fontId="8" fillId="4" borderId="20" xfId="4" applyFont="1" applyFill="1" applyBorder="1"/>
    <xf numFmtId="0" fontId="8" fillId="4" borderId="21" xfId="4" applyFont="1" applyFill="1" applyBorder="1"/>
    <xf numFmtId="0" fontId="8" fillId="4" borderId="22" xfId="4" applyFont="1" applyFill="1" applyBorder="1"/>
    <xf numFmtId="0" fontId="8" fillId="4" borderId="23" xfId="4" applyFont="1" applyFill="1" applyBorder="1"/>
    <xf numFmtId="0" fontId="9" fillId="4" borderId="0" xfId="4" quotePrefix="1" applyFont="1" applyFill="1" applyBorder="1" applyAlignment="1">
      <alignment horizontal="center" vertical="center"/>
    </xf>
    <xf numFmtId="167" fontId="9" fillId="4" borderId="0" xfId="4" applyNumberFormat="1" applyFont="1" applyFill="1" applyBorder="1" applyAlignment="1">
      <alignment horizontal="center" vertical="center"/>
    </xf>
    <xf numFmtId="0" fontId="8" fillId="4" borderId="24" xfId="11" applyFont="1" applyFill="1" applyBorder="1"/>
    <xf numFmtId="0" fontId="8" fillId="0" borderId="0" xfId="11" applyFont="1"/>
    <xf numFmtId="0" fontId="8" fillId="4" borderId="25" xfId="11" applyFont="1" applyFill="1" applyBorder="1"/>
    <xf numFmtId="0" fontId="8" fillId="4" borderId="26" xfId="11" applyFont="1" applyFill="1" applyBorder="1"/>
    <xf numFmtId="0" fontId="8" fillId="4" borderId="24" xfId="12" applyFont="1" applyFill="1" applyBorder="1" applyAlignment="1">
      <alignment horizontal="center"/>
    </xf>
    <xf numFmtId="0" fontId="8" fillId="4" borderId="25" xfId="12" applyFont="1" applyFill="1" applyBorder="1"/>
    <xf numFmtId="0" fontId="8" fillId="4" borderId="25" xfId="12" applyFont="1" applyFill="1" applyBorder="1" applyAlignment="1">
      <alignment horizontal="center"/>
    </xf>
    <xf numFmtId="0" fontId="8" fillId="4" borderId="26" xfId="13" applyFont="1" applyFill="1" applyBorder="1"/>
    <xf numFmtId="0" fontId="8" fillId="9" borderId="27" xfId="11" applyFont="1" applyFill="1" applyBorder="1"/>
    <xf numFmtId="0" fontId="8" fillId="9" borderId="28" xfId="11" applyFont="1" applyFill="1" applyBorder="1"/>
    <xf numFmtId="0" fontId="14" fillId="4" borderId="29" xfId="11" applyFont="1" applyFill="1" applyBorder="1" applyAlignment="1">
      <alignment horizontal="left"/>
    </xf>
    <xf numFmtId="0" fontId="8" fillId="10" borderId="29" xfId="11" applyNumberFormat="1" applyFont="1" applyFill="1" applyBorder="1" applyAlignment="1" applyProtection="1">
      <alignment horizontal="center"/>
    </xf>
    <xf numFmtId="0" fontId="8" fillId="4" borderId="20" xfId="11" applyFont="1" applyFill="1" applyBorder="1" applyAlignment="1">
      <alignment horizontal="center"/>
    </xf>
    <xf numFmtId="0" fontId="8" fillId="4" borderId="19" xfId="12" applyFont="1" applyFill="1" applyBorder="1" applyAlignment="1">
      <alignment horizontal="center"/>
    </xf>
    <xf numFmtId="165" fontId="10" fillId="0" borderId="31" xfId="14" applyNumberFormat="1" applyFont="1" applyFill="1" applyBorder="1" applyAlignment="1">
      <alignment horizontal="center" vertical="center" wrapText="1"/>
    </xf>
    <xf numFmtId="174" fontId="10" fillId="0" borderId="30" xfId="14" applyNumberFormat="1" applyFont="1" applyFill="1" applyBorder="1" applyAlignment="1">
      <alignment horizontal="center" vertical="center" wrapText="1"/>
    </xf>
    <xf numFmtId="0" fontId="8" fillId="4" borderId="0" xfId="12" applyFont="1" applyFill="1" applyBorder="1" applyAlignment="1">
      <alignment horizontal="center"/>
    </xf>
    <xf numFmtId="165" fontId="10" fillId="0" borderId="32" xfId="14" applyNumberFormat="1" applyFont="1" applyFill="1" applyBorder="1" applyAlignment="1">
      <alignment horizontal="center" vertical="center" wrapText="1"/>
    </xf>
    <xf numFmtId="165" fontId="10" fillId="0" borderId="30" xfId="14" applyNumberFormat="1" applyFont="1" applyFill="1" applyBorder="1" applyAlignment="1">
      <alignment horizontal="center" vertical="center" wrapText="1"/>
    </xf>
    <xf numFmtId="0" fontId="8" fillId="0" borderId="33" xfId="12" applyFont="1" applyFill="1" applyBorder="1" applyAlignment="1">
      <alignment horizontal="center"/>
    </xf>
    <xf numFmtId="0" fontId="8" fillId="4" borderId="32" xfId="11" applyFont="1" applyFill="1" applyBorder="1" applyAlignment="1">
      <alignment horizontal="left"/>
    </xf>
    <xf numFmtId="0" fontId="10" fillId="4" borderId="24" xfId="11" applyFont="1" applyFill="1" applyBorder="1" applyAlignment="1"/>
    <xf numFmtId="0" fontId="8" fillId="4" borderId="29" xfId="11" applyNumberFormat="1" applyFont="1" applyFill="1" applyBorder="1" applyAlignment="1"/>
    <xf numFmtId="0" fontId="8" fillId="4" borderId="26" xfId="11" applyNumberFormat="1" applyFont="1" applyFill="1" applyBorder="1" applyAlignment="1"/>
    <xf numFmtId="165" fontId="8" fillId="0" borderId="20" xfId="14" quotePrefix="1" applyNumberFormat="1" applyFont="1" applyFill="1" applyBorder="1" applyAlignment="1"/>
    <xf numFmtId="0" fontId="8" fillId="4" borderId="0" xfId="12" quotePrefix="1" applyFont="1" applyFill="1" applyBorder="1" applyAlignment="1">
      <alignment horizontal="center"/>
    </xf>
    <xf numFmtId="165" fontId="8" fillId="0" borderId="33" xfId="14" applyNumberFormat="1" applyFont="1" applyBorder="1" applyAlignment="1"/>
    <xf numFmtId="165" fontId="8" fillId="0" borderId="19" xfId="14" applyNumberFormat="1" applyFont="1" applyFill="1" applyBorder="1" applyAlignment="1"/>
    <xf numFmtId="165" fontId="8" fillId="0" borderId="20" xfId="14" applyNumberFormat="1" applyFont="1" applyFill="1" applyBorder="1" applyAlignment="1"/>
    <xf numFmtId="0" fontId="8" fillId="4" borderId="20" xfId="13" applyFont="1" applyFill="1" applyBorder="1"/>
    <xf numFmtId="0" fontId="8" fillId="4" borderId="35" xfId="11" applyFont="1" applyFill="1" applyBorder="1" applyAlignment="1">
      <alignment horizontal="left"/>
    </xf>
    <xf numFmtId="0" fontId="10" fillId="4" borderId="19" xfId="11" applyFont="1" applyFill="1" applyBorder="1" applyAlignment="1"/>
    <xf numFmtId="0" fontId="8" fillId="4" borderId="2" xfId="11" applyNumberFormat="1" applyFont="1" applyFill="1" applyBorder="1" applyAlignment="1"/>
    <xf numFmtId="0" fontId="8" fillId="4" borderId="20" xfId="11" applyNumberFormat="1" applyFont="1" applyFill="1" applyBorder="1" applyAlignment="1"/>
    <xf numFmtId="175" fontId="8" fillId="10" borderId="20" xfId="11" applyNumberFormat="1" applyFont="1" applyFill="1" applyBorder="1" applyAlignment="1" applyProtection="1">
      <alignment horizontal="left"/>
    </xf>
    <xf numFmtId="0" fontId="8" fillId="4" borderId="33" xfId="11" applyFont="1" applyFill="1" applyBorder="1" applyAlignment="1">
      <alignment horizontal="center"/>
    </xf>
    <xf numFmtId="165" fontId="8" fillId="0" borderId="37" xfId="14" applyNumberFormat="1" applyFont="1" applyBorder="1" applyAlignment="1"/>
    <xf numFmtId="165" fontId="8" fillId="0" borderId="36" xfId="14" applyNumberFormat="1" applyFont="1" applyFill="1" applyBorder="1" applyAlignment="1"/>
    <xf numFmtId="0" fontId="8" fillId="4" borderId="38" xfId="11" applyFont="1" applyFill="1" applyBorder="1" applyAlignment="1">
      <alignment horizontal="center"/>
    </xf>
    <xf numFmtId="0" fontId="10" fillId="4" borderId="39" xfId="11" applyFont="1" applyFill="1" applyBorder="1" applyAlignment="1"/>
    <xf numFmtId="0" fontId="8" fillId="4" borderId="40" xfId="11" applyNumberFormat="1" applyFont="1" applyFill="1" applyBorder="1" applyAlignment="1"/>
    <xf numFmtId="165" fontId="8" fillId="0" borderId="23" xfId="14" quotePrefix="1" applyNumberFormat="1" applyFont="1" applyFill="1" applyBorder="1" applyAlignment="1"/>
    <xf numFmtId="165" fontId="8" fillId="0" borderId="38" xfId="14" applyNumberFormat="1" applyFont="1" applyBorder="1" applyAlignment="1"/>
    <xf numFmtId="165" fontId="8" fillId="0" borderId="21" xfId="14" applyNumberFormat="1" applyFont="1" applyFill="1" applyBorder="1" applyAlignment="1"/>
    <xf numFmtId="0" fontId="8" fillId="4" borderId="41" xfId="11" applyFont="1" applyFill="1" applyBorder="1" applyAlignment="1">
      <alignment horizontal="left"/>
    </xf>
    <xf numFmtId="0" fontId="8" fillId="4" borderId="19" xfId="0" applyFont="1" applyFill="1" applyBorder="1" applyAlignment="1">
      <alignment horizontal="center"/>
    </xf>
    <xf numFmtId="0" fontId="8" fillId="0" borderId="24" xfId="14" applyNumberFormat="1" applyFont="1" applyFill="1" applyBorder="1" applyAlignment="1"/>
    <xf numFmtId="165" fontId="8" fillId="0" borderId="26" xfId="14" quotePrefix="1" applyNumberFormat="1" applyFont="1" applyFill="1" applyBorder="1" applyAlignment="1"/>
    <xf numFmtId="0" fontId="8" fillId="4" borderId="0" xfId="0" quotePrefix="1" applyFont="1" applyFill="1" applyBorder="1" applyAlignment="1">
      <alignment horizontal="center"/>
    </xf>
    <xf numFmtId="165" fontId="8" fillId="0" borderId="42" xfId="14" applyNumberFormat="1" applyFont="1" applyBorder="1" applyAlignment="1"/>
    <xf numFmtId="0" fontId="8" fillId="4" borderId="0" xfId="0" applyFont="1" applyFill="1" applyBorder="1" applyAlignment="1">
      <alignment horizontal="center"/>
    </xf>
    <xf numFmtId="165" fontId="8" fillId="0" borderId="24" xfId="14" applyNumberFormat="1" applyFont="1" applyFill="1" applyBorder="1" applyAlignment="1"/>
    <xf numFmtId="165" fontId="8" fillId="0" borderId="26" xfId="14" applyNumberFormat="1" applyFont="1" applyFill="1" applyBorder="1" applyAlignment="1"/>
    <xf numFmtId="0" fontId="8" fillId="4" borderId="20" xfId="13" applyFont="1" applyFill="1" applyBorder="1" applyAlignment="1">
      <alignment horizontal="center"/>
    </xf>
    <xf numFmtId="0" fontId="8" fillId="4" borderId="11" xfId="11" applyFont="1" applyFill="1" applyBorder="1" applyAlignment="1">
      <alignment horizontal="left"/>
    </xf>
    <xf numFmtId="0" fontId="8" fillId="0" borderId="19" xfId="14" applyNumberFormat="1" applyFont="1" applyFill="1" applyBorder="1" applyAlignment="1"/>
    <xf numFmtId="0" fontId="8" fillId="0" borderId="36" xfId="14" applyNumberFormat="1" applyFont="1" applyFill="1" applyBorder="1" applyAlignment="1"/>
    <xf numFmtId="0" fontId="8" fillId="4" borderId="43" xfId="11" applyNumberFormat="1" applyFont="1" applyFill="1" applyBorder="1" applyAlignment="1"/>
    <xf numFmtId="0" fontId="10" fillId="4" borderId="21" xfId="11" applyFont="1" applyFill="1" applyBorder="1" applyAlignment="1"/>
    <xf numFmtId="0" fontId="8" fillId="0" borderId="21" xfId="14" applyNumberFormat="1" applyFont="1" applyFill="1" applyBorder="1" applyAlignment="1"/>
    <xf numFmtId="0" fontId="10" fillId="4" borderId="44" xfId="11" applyFont="1" applyFill="1" applyBorder="1" applyAlignment="1"/>
    <xf numFmtId="0" fontId="8" fillId="4" borderId="20" xfId="0" applyFont="1" applyFill="1" applyBorder="1" applyAlignment="1">
      <alignment horizontal="center"/>
    </xf>
    <xf numFmtId="0" fontId="10" fillId="4" borderId="45" xfId="11" applyFont="1" applyFill="1" applyBorder="1" applyAlignment="1"/>
    <xf numFmtId="0" fontId="8" fillId="4" borderId="20" xfId="0" applyFont="1" applyFill="1" applyBorder="1"/>
    <xf numFmtId="0" fontId="8" fillId="4" borderId="19" xfId="0" applyFont="1" applyFill="1" applyBorder="1"/>
    <xf numFmtId="0" fontId="8" fillId="0" borderId="24" xfId="14" applyNumberFormat="1" applyFont="1" applyFill="1" applyBorder="1" applyAlignment="1">
      <alignment horizontal="left"/>
    </xf>
    <xf numFmtId="0" fontId="8" fillId="0" borderId="19" xfId="14" applyNumberFormat="1" applyFont="1" applyFill="1" applyBorder="1" applyAlignment="1">
      <alignment horizontal="left"/>
    </xf>
    <xf numFmtId="0" fontId="8" fillId="0" borderId="36" xfId="14" applyNumberFormat="1" applyFont="1" applyFill="1" applyBorder="1" applyAlignment="1">
      <alignment horizontal="left"/>
    </xf>
    <xf numFmtId="0" fontId="8" fillId="10" borderId="46" xfId="11" applyNumberFormat="1" applyFont="1" applyFill="1" applyBorder="1" applyAlignment="1" applyProtection="1"/>
    <xf numFmtId="0" fontId="8" fillId="9" borderId="7" xfId="0" applyFont="1" applyFill="1" applyBorder="1"/>
    <xf numFmtId="0" fontId="8" fillId="0" borderId="47" xfId="14" applyNumberFormat="1" applyFont="1" applyFill="1" applyBorder="1" applyAlignment="1"/>
    <xf numFmtId="165" fontId="8" fillId="0" borderId="48" xfId="14" quotePrefix="1" applyNumberFormat="1" applyFont="1" applyFill="1" applyBorder="1" applyAlignment="1"/>
    <xf numFmtId="0" fontId="8" fillId="4" borderId="49" xfId="11" applyNumberFormat="1" applyFont="1" applyFill="1" applyBorder="1" applyAlignment="1"/>
    <xf numFmtId="175" fontId="8" fillId="10" borderId="33" xfId="11" applyNumberFormat="1" applyFont="1" applyFill="1" applyBorder="1" applyAlignment="1" applyProtection="1">
      <alignment horizontal="left"/>
    </xf>
    <xf numFmtId="175" fontId="8" fillId="10" borderId="38" xfId="11" applyNumberFormat="1" applyFont="1" applyFill="1" applyBorder="1" applyAlignment="1" applyProtection="1">
      <alignment horizontal="left"/>
    </xf>
    <xf numFmtId="175" fontId="8" fillId="10" borderId="42" xfId="11" applyNumberFormat="1" applyFont="1" applyFill="1" applyBorder="1" applyAlignment="1" applyProtection="1">
      <alignment horizontal="left"/>
    </xf>
    <xf numFmtId="165" fontId="8" fillId="0" borderId="34" xfId="14" quotePrefix="1" applyNumberFormat="1" applyFont="1" applyFill="1" applyBorder="1" applyAlignment="1"/>
    <xf numFmtId="165" fontId="8" fillId="0" borderId="48" xfId="14" applyNumberFormat="1" applyFont="1" applyFill="1" applyBorder="1" applyAlignment="1"/>
    <xf numFmtId="165" fontId="8" fillId="0" borderId="34" xfId="14" applyNumberFormat="1" applyFont="1" applyFill="1" applyBorder="1" applyAlignment="1"/>
    <xf numFmtId="0" fontId="8" fillId="4" borderId="19" xfId="11" applyFont="1" applyFill="1" applyBorder="1" applyAlignment="1">
      <alignment horizontal="center"/>
    </xf>
    <xf numFmtId="0" fontId="8" fillId="0" borderId="33" xfId="11" applyFont="1" applyBorder="1"/>
    <xf numFmtId="0" fontId="8" fillId="4" borderId="33" xfId="11" applyFont="1" applyFill="1" applyBorder="1"/>
    <xf numFmtId="0" fontId="8" fillId="0" borderId="25" xfId="0" applyFont="1" applyBorder="1"/>
    <xf numFmtId="165" fontId="8" fillId="0" borderId="47" xfId="0" applyNumberFormat="1" applyFont="1" applyBorder="1"/>
    <xf numFmtId="0" fontId="8" fillId="4" borderId="42" xfId="11" applyFont="1" applyFill="1" applyBorder="1" applyAlignment="1">
      <alignment horizontal="center"/>
    </xf>
    <xf numFmtId="0" fontId="10" fillId="4" borderId="2" xfId="11" applyFont="1" applyFill="1" applyBorder="1" applyAlignment="1"/>
    <xf numFmtId="0" fontId="8" fillId="4" borderId="26" xfId="11" applyFont="1" applyFill="1" applyBorder="1" applyAlignment="1">
      <alignment horizontal="center"/>
    </xf>
    <xf numFmtId="0" fontId="10" fillId="4" borderId="50" xfId="11" applyFont="1" applyFill="1" applyBorder="1" applyAlignment="1"/>
    <xf numFmtId="0" fontId="8" fillId="4" borderId="50" xfId="11" applyNumberFormat="1" applyFont="1" applyFill="1" applyBorder="1" applyAlignment="1"/>
    <xf numFmtId="0" fontId="8" fillId="4" borderId="23" xfId="11" applyFont="1" applyFill="1" applyBorder="1" applyAlignment="1">
      <alignment horizontal="center"/>
    </xf>
    <xf numFmtId="2" fontId="8" fillId="0" borderId="1" xfId="0" applyNumberFormat="1" applyFont="1" applyBorder="1"/>
    <xf numFmtId="2" fontId="8" fillId="0" borderId="2" xfId="0" applyNumberFormat="1" applyFont="1" applyBorder="1"/>
    <xf numFmtId="2" fontId="8" fillId="0" borderId="3" xfId="0" applyNumberFormat="1" applyFont="1" applyBorder="1"/>
    <xf numFmtId="172" fontId="8" fillId="4" borderId="0" xfId="7" applyNumberFormat="1" applyFont="1" applyFill="1" applyBorder="1" applyAlignment="1">
      <alignment horizontal="center"/>
    </xf>
    <xf numFmtId="0" fontId="12" fillId="7" borderId="16" xfId="5" applyFont="1" applyFill="1" applyBorder="1" applyAlignment="1">
      <alignment horizontal="centerContinuous" vertical="center"/>
    </xf>
    <xf numFmtId="0" fontId="12" fillId="7" borderId="51" xfId="5" applyFont="1" applyFill="1" applyBorder="1" applyAlignment="1">
      <alignment horizontal="centerContinuous" vertical="center"/>
    </xf>
    <xf numFmtId="0" fontId="8" fillId="9" borderId="0" xfId="4" applyFont="1" applyFill="1" applyBorder="1" applyAlignment="1">
      <alignment horizontal="right"/>
    </xf>
    <xf numFmtId="0" fontId="8" fillId="8" borderId="25" xfId="4" applyFont="1" applyFill="1" applyBorder="1"/>
    <xf numFmtId="0" fontId="8" fillId="4" borderId="13" xfId="7" applyNumberFormat="1" applyFont="1" applyFill="1" applyBorder="1" applyAlignment="1">
      <alignment horizontal="center"/>
    </xf>
    <xf numFmtId="1" fontId="8" fillId="4" borderId="15" xfId="7" applyNumberFormat="1" applyFont="1" applyFill="1" applyBorder="1" applyAlignment="1">
      <alignment horizontal="center"/>
    </xf>
    <xf numFmtId="0" fontId="12" fillId="9" borderId="19" xfId="5" applyFont="1" applyFill="1" applyBorder="1" applyAlignment="1">
      <alignment horizontal="centerContinuous" vertical="center"/>
    </xf>
    <xf numFmtId="0" fontId="12" fillId="9" borderId="0" xfId="5" applyFont="1" applyFill="1" applyBorder="1" applyAlignment="1">
      <alignment horizontal="centerContinuous" vertical="center"/>
    </xf>
    <xf numFmtId="0" fontId="12" fillId="9" borderId="20" xfId="5" applyFont="1" applyFill="1" applyBorder="1" applyAlignment="1">
      <alignment horizontal="centerContinuous" vertical="center"/>
    </xf>
    <xf numFmtId="0" fontId="8" fillId="9" borderId="0" xfId="4" applyFont="1" applyFill="1" applyBorder="1"/>
    <xf numFmtId="0" fontId="8" fillId="9" borderId="19" xfId="4" applyFont="1" applyFill="1" applyBorder="1"/>
    <xf numFmtId="0" fontId="8" fillId="9" borderId="20" xfId="4" applyFont="1" applyFill="1" applyBorder="1"/>
    <xf numFmtId="0" fontId="10" fillId="11" borderId="12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8" fillId="9" borderId="8" xfId="0" applyFont="1" applyFill="1" applyBorder="1"/>
    <xf numFmtId="0" fontId="8" fillId="9" borderId="0" xfId="0" applyFont="1" applyFill="1" applyBorder="1"/>
    <xf numFmtId="165" fontId="8" fillId="9" borderId="0" xfId="0" applyNumberFormat="1" applyFont="1" applyFill="1" applyBorder="1"/>
    <xf numFmtId="0" fontId="8" fillId="9" borderId="0" xfId="0" applyFont="1" applyFill="1" applyBorder="1" applyAlignment="1">
      <alignment horizontal="center"/>
    </xf>
    <xf numFmtId="172" fontId="8" fillId="9" borderId="0" xfId="0" applyNumberFormat="1" applyFont="1" applyFill="1" applyBorder="1"/>
    <xf numFmtId="172" fontId="8" fillId="9" borderId="9" xfId="0" applyNumberFormat="1" applyFont="1" applyFill="1" applyBorder="1"/>
    <xf numFmtId="0" fontId="8" fillId="9" borderId="6" xfId="0" applyFont="1" applyFill="1" applyBorder="1"/>
    <xf numFmtId="165" fontId="8" fillId="9" borderId="7" xfId="0" applyNumberFormat="1" applyFont="1" applyFill="1" applyBorder="1"/>
    <xf numFmtId="0" fontId="8" fillId="9" borderId="7" xfId="0" applyFont="1" applyFill="1" applyBorder="1" applyAlignment="1">
      <alignment horizontal="center"/>
    </xf>
    <xf numFmtId="172" fontId="8" fillId="9" borderId="7" xfId="0" applyNumberFormat="1" applyFont="1" applyFill="1" applyBorder="1"/>
    <xf numFmtId="172" fontId="8" fillId="9" borderId="10" xfId="0" applyNumberFormat="1" applyFont="1" applyFill="1" applyBorder="1"/>
    <xf numFmtId="0" fontId="8" fillId="9" borderId="11" xfId="0" applyFont="1" applyFill="1" applyBorder="1"/>
    <xf numFmtId="0" fontId="8" fillId="9" borderId="12" xfId="0" applyFont="1" applyFill="1" applyBorder="1"/>
    <xf numFmtId="165" fontId="8" fillId="9" borderId="12" xfId="0" applyNumberFormat="1" applyFont="1" applyFill="1" applyBorder="1"/>
    <xf numFmtId="0" fontId="8" fillId="9" borderId="12" xfId="0" applyFont="1" applyFill="1" applyBorder="1" applyAlignment="1">
      <alignment horizontal="center"/>
    </xf>
    <xf numFmtId="172" fontId="8" fillId="9" borderId="12" xfId="0" applyNumberFormat="1" applyFont="1" applyFill="1" applyBorder="1"/>
    <xf numFmtId="172" fontId="8" fillId="9" borderId="13" xfId="0" applyNumberFormat="1" applyFont="1" applyFill="1" applyBorder="1"/>
    <xf numFmtId="0" fontId="8" fillId="0" borderId="15" xfId="0" applyFont="1" applyBorder="1" applyAlignment="1">
      <alignment horizontal="center" vertical="center"/>
    </xf>
    <xf numFmtId="0" fontId="10" fillId="11" borderId="11" xfId="11" applyFont="1" applyFill="1" applyBorder="1" applyAlignment="1">
      <alignment horizontal="center" vertical="center" wrapText="1"/>
    </xf>
    <xf numFmtId="0" fontId="10" fillId="11" borderId="12" xfId="11" applyFont="1" applyFill="1" applyBorder="1" applyAlignment="1">
      <alignment horizontal="center" vertical="center" wrapText="1"/>
    </xf>
    <xf numFmtId="0" fontId="10" fillId="11" borderId="13" xfId="11" applyFont="1" applyFill="1" applyBorder="1" applyAlignment="1">
      <alignment horizontal="center" vertical="center" wrapText="1"/>
    </xf>
    <xf numFmtId="0" fontId="8" fillId="0" borderId="0" xfId="11" applyFont="1" applyAlignment="1">
      <alignment horizontal="center" vertical="center" wrapText="1"/>
    </xf>
    <xf numFmtId="0" fontId="8" fillId="3" borderId="11" xfId="11" applyFont="1" applyFill="1" applyBorder="1"/>
    <xf numFmtId="0" fontId="8" fillId="3" borderId="12" xfId="11" applyFont="1" applyFill="1" applyBorder="1"/>
    <xf numFmtId="172" fontId="8" fillId="3" borderId="13" xfId="11" applyNumberFormat="1" applyFont="1" applyFill="1" applyBorder="1"/>
    <xf numFmtId="172" fontId="8" fillId="4" borderId="9" xfId="11" applyNumberFormat="1" applyFont="1" applyFill="1" applyBorder="1" applyAlignment="1"/>
    <xf numFmtId="165" fontId="8" fillId="0" borderId="0" xfId="15" applyNumberFormat="1" applyFont="1"/>
    <xf numFmtId="165" fontId="8" fillId="0" borderId="0" xfId="11" applyNumberFormat="1" applyFont="1"/>
    <xf numFmtId="172" fontId="8" fillId="0" borderId="0" xfId="11" applyNumberFormat="1" applyFont="1"/>
    <xf numFmtId="0" fontId="8" fillId="4" borderId="8" xfId="11" applyFont="1" applyFill="1" applyBorder="1" applyAlignment="1"/>
    <xf numFmtId="165" fontId="8" fillId="4" borderId="0" xfId="11" applyNumberFormat="1" applyFont="1" applyFill="1" applyBorder="1" applyAlignment="1"/>
    <xf numFmtId="172" fontId="8" fillId="4" borderId="0" xfId="11" applyNumberFormat="1" applyFont="1" applyFill="1" applyBorder="1" applyAlignment="1"/>
    <xf numFmtId="0" fontId="8" fillId="4" borderId="6" xfId="11" applyFont="1" applyFill="1" applyBorder="1" applyAlignment="1"/>
    <xf numFmtId="165" fontId="8" fillId="4" borderId="7" xfId="11" applyNumberFormat="1" applyFont="1" applyFill="1" applyBorder="1" applyAlignment="1"/>
    <xf numFmtId="172" fontId="8" fillId="4" borderId="7" xfId="11" applyNumberFormat="1" applyFont="1" applyFill="1" applyBorder="1" applyAlignment="1"/>
    <xf numFmtId="172" fontId="8" fillId="4" borderId="10" xfId="11" applyNumberFormat="1" applyFont="1" applyFill="1" applyBorder="1" applyAlignment="1"/>
    <xf numFmtId="0" fontId="8" fillId="0" borderId="0" xfId="11" applyFont="1" applyAlignment="1">
      <alignment horizontal="left"/>
    </xf>
    <xf numFmtId="0" fontId="8" fillId="9" borderId="13" xfId="0" applyFont="1" applyFill="1" applyBorder="1"/>
    <xf numFmtId="0" fontId="8" fillId="9" borderId="9" xfId="0" applyFont="1" applyFill="1" applyBorder="1"/>
    <xf numFmtId="0" fontId="8" fillId="9" borderId="10" xfId="0" applyFont="1" applyFill="1" applyBorder="1"/>
    <xf numFmtId="0" fontId="8" fillId="4" borderId="25" xfId="0" quotePrefix="1" applyFont="1" applyFill="1" applyBorder="1" applyAlignment="1">
      <alignment horizontal="center"/>
    </xf>
    <xf numFmtId="0" fontId="8" fillId="4" borderId="25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0" borderId="0" xfId="0" applyFont="1"/>
    <xf numFmtId="0" fontId="8" fillId="4" borderId="0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0" xfId="0" quotePrefix="1" applyFont="1" applyFill="1" applyBorder="1" applyAlignment="1">
      <alignment horizontal="center"/>
    </xf>
    <xf numFmtId="165" fontId="8" fillId="0" borderId="20" xfId="14" quotePrefix="1" applyNumberFormat="1" applyFont="1" applyFill="1" applyBorder="1" applyAlignment="1"/>
    <xf numFmtId="165" fontId="8" fillId="0" borderId="33" xfId="14" applyNumberFormat="1" applyFont="1" applyBorder="1" applyAlignment="1"/>
    <xf numFmtId="165" fontId="8" fillId="0" borderId="19" xfId="14" applyNumberFormat="1" applyFont="1" applyFill="1" applyBorder="1" applyAlignment="1"/>
    <xf numFmtId="165" fontId="8" fillId="0" borderId="20" xfId="14" applyNumberFormat="1" applyFont="1" applyFill="1" applyBorder="1" applyAlignment="1"/>
    <xf numFmtId="165" fontId="8" fillId="0" borderId="26" xfId="14" quotePrefix="1" applyNumberFormat="1" applyFont="1" applyFill="1" applyBorder="1" applyAlignment="1"/>
    <xf numFmtId="165" fontId="8" fillId="0" borderId="42" xfId="14" applyNumberFormat="1" applyFont="1" applyBorder="1" applyAlignment="1"/>
    <xf numFmtId="165" fontId="8" fillId="0" borderId="24" xfId="14" applyNumberFormat="1" applyFont="1" applyFill="1" applyBorder="1" applyAlignment="1"/>
    <xf numFmtId="0" fontId="8" fillId="0" borderId="24" xfId="14" applyNumberFormat="1" applyFont="1" applyFill="1" applyBorder="1" applyAlignment="1">
      <alignment horizontal="left"/>
    </xf>
    <xf numFmtId="0" fontId="8" fillId="0" borderId="19" xfId="14" applyNumberFormat="1" applyFont="1" applyFill="1" applyBorder="1" applyAlignment="1">
      <alignment horizontal="left"/>
    </xf>
    <xf numFmtId="0" fontId="8" fillId="4" borderId="20" xfId="0" applyFont="1" applyFill="1" applyBorder="1" applyAlignment="1">
      <alignment horizontal="center"/>
    </xf>
    <xf numFmtId="0" fontId="15" fillId="4" borderId="24" xfId="16" applyFont="1" applyFill="1" applyBorder="1" applyAlignment="1">
      <alignment horizontal="left"/>
    </xf>
    <xf numFmtId="0" fontId="15" fillId="4" borderId="25" xfId="16" applyFont="1" applyFill="1" applyBorder="1"/>
    <xf numFmtId="0" fontId="3" fillId="0" borderId="25" xfId="16" applyFont="1" applyBorder="1"/>
    <xf numFmtId="0" fontId="15" fillId="4" borderId="26" xfId="16" applyFont="1" applyFill="1" applyBorder="1"/>
    <xf numFmtId="0" fontId="3" fillId="0" borderId="0" xfId="16" applyFont="1"/>
    <xf numFmtId="0" fontId="15" fillId="4" borderId="19" xfId="16" applyFont="1" applyFill="1" applyBorder="1" applyAlignment="1">
      <alignment horizontal="center"/>
    </xf>
    <xf numFmtId="0" fontId="19" fillId="4" borderId="15" xfId="16" applyFont="1" applyFill="1" applyBorder="1" applyAlignment="1">
      <alignment horizontal="center" vertical="center" wrapText="1"/>
    </xf>
    <xf numFmtId="0" fontId="20" fillId="4" borderId="1" xfId="16" applyFont="1" applyFill="1" applyBorder="1" applyAlignment="1">
      <alignment vertical="center"/>
    </xf>
    <xf numFmtId="0" fontId="16" fillId="10" borderId="15" xfId="16" applyNumberFormat="1" applyFont="1" applyFill="1" applyBorder="1" applyAlignment="1" applyProtection="1">
      <alignment horizontal="center" vertical="center"/>
    </xf>
    <xf numFmtId="0" fontId="16" fillId="10" borderId="15" xfId="16" applyNumberFormat="1" applyFont="1" applyFill="1" applyBorder="1" applyAlignment="1" applyProtection="1">
      <alignment vertical="center"/>
    </xf>
    <xf numFmtId="0" fontId="15" fillId="4" borderId="20" xfId="16" applyFont="1" applyFill="1" applyBorder="1"/>
    <xf numFmtId="0" fontId="15" fillId="0" borderId="31" xfId="16" applyFont="1" applyBorder="1" applyAlignment="1">
      <alignment horizontal="center" vertical="center"/>
    </xf>
    <xf numFmtId="0" fontId="15" fillId="0" borderId="52" xfId="16" applyFont="1" applyBorder="1" applyAlignment="1">
      <alignment horizontal="center" vertical="center"/>
    </xf>
    <xf numFmtId="0" fontId="15" fillId="0" borderId="30" xfId="16" applyFont="1" applyBorder="1" applyAlignment="1">
      <alignment horizontal="center" vertical="center"/>
    </xf>
    <xf numFmtId="49" fontId="15" fillId="0" borderId="15" xfId="19" applyNumberFormat="1" applyFont="1" applyFill="1" applyBorder="1" applyAlignment="1">
      <alignment horizontal="center"/>
    </xf>
    <xf numFmtId="0" fontId="15" fillId="4" borderId="15" xfId="16" applyNumberFormat="1" applyFont="1" applyFill="1" applyBorder="1" applyAlignment="1">
      <alignment horizontal="center"/>
    </xf>
    <xf numFmtId="165" fontId="15" fillId="4" borderId="15" xfId="19" applyNumberFormat="1" applyFont="1" applyFill="1" applyBorder="1" applyAlignment="1">
      <alignment horizontal="left"/>
    </xf>
    <xf numFmtId="0" fontId="21" fillId="4" borderId="15" xfId="16" applyNumberFormat="1" applyFont="1" applyFill="1" applyBorder="1" applyAlignment="1"/>
    <xf numFmtId="0" fontId="15" fillId="4" borderId="15" xfId="16" applyNumberFormat="1" applyFont="1" applyFill="1" applyBorder="1" applyAlignment="1">
      <alignment horizontal="left"/>
    </xf>
    <xf numFmtId="0" fontId="22" fillId="10" borderId="15" xfId="16" applyNumberFormat="1" applyFont="1" applyFill="1" applyBorder="1" applyAlignment="1" applyProtection="1"/>
    <xf numFmtId="0" fontId="15" fillId="0" borderId="19" xfId="16" applyFont="1" applyBorder="1" applyAlignment="1">
      <alignment horizontal="center"/>
    </xf>
    <xf numFmtId="0" fontId="15" fillId="0" borderId="0" xfId="16" applyFont="1" applyBorder="1" applyAlignment="1">
      <alignment horizontal="center"/>
    </xf>
    <xf numFmtId="0" fontId="15" fillId="0" borderId="20" xfId="16" applyFont="1" applyBorder="1" applyAlignment="1">
      <alignment horizontal="center"/>
    </xf>
    <xf numFmtId="0" fontId="15" fillId="4" borderId="15" xfId="16" applyNumberFormat="1" applyFont="1" applyFill="1" applyBorder="1" applyAlignment="1"/>
    <xf numFmtId="0" fontId="15" fillId="0" borderId="21" xfId="16" applyFont="1" applyBorder="1" applyAlignment="1">
      <alignment horizontal="center"/>
    </xf>
    <xf numFmtId="0" fontId="15" fillId="0" borderId="22" xfId="16" applyFont="1" applyBorder="1" applyAlignment="1">
      <alignment horizontal="center"/>
    </xf>
    <xf numFmtId="0" fontId="15" fillId="0" borderId="23" xfId="16" applyFont="1" applyBorder="1" applyAlignment="1">
      <alignment horizontal="center"/>
    </xf>
    <xf numFmtId="0" fontId="15" fillId="4" borderId="21" xfId="16" applyFont="1" applyFill="1" applyBorder="1"/>
    <xf numFmtId="0" fontId="15" fillId="4" borderId="22" xfId="16" applyFont="1" applyFill="1" applyBorder="1"/>
    <xf numFmtId="0" fontId="15" fillId="4" borderId="22" xfId="16" applyFont="1" applyFill="1" applyBorder="1" applyAlignment="1">
      <alignment horizontal="left"/>
    </xf>
    <xf numFmtId="0" fontId="15" fillId="4" borderId="23" xfId="16" applyFont="1" applyFill="1" applyBorder="1"/>
    <xf numFmtId="0" fontId="8" fillId="4" borderId="19" xfId="11" applyFont="1" applyFill="1" applyBorder="1"/>
    <xf numFmtId="0" fontId="8" fillId="5" borderId="15" xfId="11" applyNumberFormat="1" applyFont="1" applyFill="1" applyBorder="1"/>
    <xf numFmtId="165" fontId="8" fillId="10" borderId="13" xfId="11" quotePrefix="1" applyNumberFormat="1" applyFont="1" applyFill="1" applyBorder="1" applyAlignment="1" applyProtection="1">
      <alignment horizontal="center"/>
    </xf>
    <xf numFmtId="15" fontId="8" fillId="4" borderId="20" xfId="11" applyNumberFormat="1" applyFont="1" applyFill="1" applyBorder="1"/>
    <xf numFmtId="0" fontId="8" fillId="12" borderId="0" xfId="5" applyFont="1" applyFill="1"/>
    <xf numFmtId="0" fontId="8" fillId="4" borderId="0" xfId="11" applyFont="1" applyFill="1" applyBorder="1"/>
    <xf numFmtId="0" fontId="8" fillId="4" borderId="20" xfId="11" applyFont="1" applyFill="1" applyBorder="1"/>
    <xf numFmtId="0" fontId="23" fillId="7" borderId="16" xfId="11" applyFont="1" applyFill="1" applyBorder="1" applyAlignment="1">
      <alignment horizontal="centerContinuous" vertical="center"/>
    </xf>
    <xf numFmtId="0" fontId="23" fillId="7" borderId="17" xfId="11" applyFont="1" applyFill="1" applyBorder="1" applyAlignment="1">
      <alignment horizontal="centerContinuous" vertical="center"/>
    </xf>
    <xf numFmtId="0" fontId="23" fillId="7" borderId="18" xfId="11" applyFont="1" applyFill="1" applyBorder="1" applyAlignment="1">
      <alignment horizontal="centerContinuous" vertical="center"/>
    </xf>
    <xf numFmtId="176" fontId="8" fillId="10" borderId="13" xfId="11" applyNumberFormat="1" applyFont="1" applyFill="1" applyBorder="1" applyAlignment="1" applyProtection="1">
      <alignment horizontal="center"/>
    </xf>
    <xf numFmtId="176" fontId="8" fillId="10" borderId="13" xfId="11" quotePrefix="1" applyNumberFormat="1" applyFont="1" applyFill="1" applyBorder="1" applyAlignment="1" applyProtection="1">
      <alignment horizontal="left"/>
    </xf>
    <xf numFmtId="176" fontId="8" fillId="10" borderId="13" xfId="11" quotePrefix="1" applyNumberFormat="1" applyFont="1" applyFill="1" applyBorder="1" applyAlignment="1" applyProtection="1">
      <alignment horizontal="center"/>
    </xf>
    <xf numFmtId="174" fontId="8" fillId="10" borderId="13" xfId="11" quotePrefix="1" applyNumberFormat="1" applyFont="1" applyFill="1" applyBorder="1" applyAlignment="1" applyProtection="1">
      <alignment horizontal="center"/>
    </xf>
    <xf numFmtId="1" fontId="8" fillId="4" borderId="13" xfId="7" applyNumberFormat="1" applyFont="1" applyFill="1" applyBorder="1" applyAlignment="1">
      <alignment horizontal="center"/>
    </xf>
    <xf numFmtId="0" fontId="8" fillId="12" borderId="0" xfId="5" applyFont="1" applyFill="1" applyBorder="1"/>
    <xf numFmtId="0" fontId="12" fillId="7" borderId="17" xfId="5" applyFont="1" applyFill="1" applyBorder="1" applyAlignment="1">
      <alignment horizontal="centerContinuous" vertical="center"/>
    </xf>
    <xf numFmtId="0" fontId="12" fillId="7" borderId="18" xfId="5" applyFont="1" applyFill="1" applyBorder="1" applyAlignment="1">
      <alignment horizontal="centerContinuous" vertical="center"/>
    </xf>
    <xf numFmtId="0" fontId="8" fillId="12" borderId="17" xfId="5" applyFont="1" applyFill="1" applyBorder="1"/>
    <xf numFmtId="172" fontId="8" fillId="4" borderId="53" xfId="7" applyNumberFormat="1" applyFont="1" applyFill="1" applyBorder="1" applyAlignment="1">
      <alignment horizontal="center"/>
    </xf>
    <xf numFmtId="166" fontId="8" fillId="4" borderId="15" xfId="0" applyNumberFormat="1" applyFont="1" applyFill="1" applyBorder="1" applyAlignment="1">
      <alignment horizontal="right"/>
    </xf>
    <xf numFmtId="177" fontId="8" fillId="4" borderId="15" xfId="7" applyNumberFormat="1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</cellXfs>
  <cellStyles count="24">
    <cellStyle name="Euro" xfId="1"/>
    <cellStyle name="Migliaia (0)_AZIONI" xfId="2"/>
    <cellStyle name="Migliaia_AZIONI" xfId="3"/>
    <cellStyle name="Normal" xfId="0" builtinId="0"/>
    <cellStyle name="Normal 2" xfId="16"/>
    <cellStyle name="Normal 2 2" xfId="11"/>
    <cellStyle name="Normal 3" xfId="17"/>
    <cellStyle name="Normal 3 2" xfId="12"/>
    <cellStyle name="Normal 3 2 2" xfId="23"/>
    <cellStyle name="Normal 4" xfId="20"/>
    <cellStyle name="Normal_InterestRateQuotesFeed" xfId="4"/>
    <cellStyle name="Normal_SwaptionATMVols" xfId="5"/>
    <cellStyle name="Normal_TestSyntDisc" xfId="13"/>
    <cellStyle name="Normale_AZIONI" xfId="6"/>
    <cellStyle name="Percent" xfId="7" builtinId="5"/>
    <cellStyle name="Percent 2" xfId="15"/>
    <cellStyle name="Percent 2 2" xfId="19"/>
    <cellStyle name="Percent 3" xfId="18"/>
    <cellStyle name="Percent 3 2" xfId="14"/>
    <cellStyle name="Percent 4" xfId="21"/>
    <cellStyle name="Percent 5" xfId="22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10</v>
          </cell>
        </row>
        <row r="7">
          <cell r="D7">
            <v>1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V4</v>
          </cell>
        </row>
        <row r="7">
          <cell r="D7" t="str">
            <v>X4</v>
          </cell>
        </row>
      </sheetData>
      <sheetData sheetId="9">
        <row r="6">
          <cell r="D6" t="str">
            <v>Future Code</v>
          </cell>
        </row>
        <row r="7">
          <cell r="D7" t="str">
            <v>Q4</v>
          </cell>
        </row>
      </sheetData>
      <sheetData sheetId="10">
        <row r="6">
          <cell r="D6" t="str">
            <v>U4</v>
          </cell>
        </row>
        <row r="7">
          <cell r="D7" t="str">
            <v>V4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6L</v>
          </cell>
        </row>
        <row r="7">
          <cell r="D7" t="str">
            <v>6L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3L</v>
          </cell>
        </row>
        <row r="7">
          <cell r="D7" t="str">
            <v>3L</v>
          </cell>
        </row>
      </sheetData>
      <sheetData sheetId="20">
        <row r="6">
          <cell r="D6" t="str">
            <v>GBP-SND=</v>
          </cell>
        </row>
        <row r="7">
          <cell r="D7" t="str">
            <v>GBP-SWD=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GBP-3Y=</v>
          </cell>
        </row>
        <row r="7">
          <cell r="D7" t="str">
            <v>GBP-4Y=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OIS</v>
          </cell>
        </row>
        <row r="7">
          <cell r="D7" t="str">
            <v>OIS</v>
          </cell>
        </row>
      </sheetData>
      <sheetData sheetId="25">
        <row r="6">
          <cell r="D6" t="str">
            <v>1X</v>
          </cell>
        </row>
        <row r="7">
          <cell r="D7" t="str">
            <v>2X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1"/>
  <sheetViews>
    <sheetView tabSelected="1" workbookViewId="0">
      <selection activeCell="I18" sqref="I18"/>
    </sheetView>
  </sheetViews>
  <sheetFormatPr defaultColWidth="10.6640625" defaultRowHeight="11.25" x14ac:dyDescent="0.2"/>
  <cols>
    <col min="1" max="2" width="2.83203125" style="128" customWidth="1"/>
    <col min="3" max="3" width="26.33203125" style="128" bestFit="1" customWidth="1"/>
    <col min="4" max="4" width="35.83203125" style="128" customWidth="1"/>
    <col min="5" max="6" width="2.83203125" style="128" customWidth="1"/>
    <col min="7" max="7" width="4.33203125" style="128" customWidth="1"/>
    <col min="8" max="8" width="26.33203125" style="128" bestFit="1" customWidth="1"/>
    <col min="9" max="9" width="39.33203125" style="128" customWidth="1"/>
    <col min="10" max="10" width="4.33203125" style="128" customWidth="1"/>
    <col min="11" max="16384" width="10.6640625" style="128"/>
  </cols>
  <sheetData>
    <row r="1" spans="1:35" ht="12" thickBot="1" x14ac:dyDescent="0.25">
      <c r="B1" s="128" t="str">
        <f>_xll.qlxlVersion(TRUE,EvaluationDate)</f>
        <v>QuantLibXL 1.5.0 - MS VC++ 9.0 - Multithreaded Dynamic Runtime library - Release Configuration - Jun 25 2014 10:33:09</v>
      </c>
    </row>
    <row r="2" spans="1:35" ht="19.5" thickBot="1" x14ac:dyDescent="0.25">
      <c r="B2" s="232" t="s">
        <v>33</v>
      </c>
      <c r="C2" s="232"/>
      <c r="D2" s="232"/>
      <c r="E2" s="233"/>
      <c r="G2" s="341" t="s">
        <v>60</v>
      </c>
      <c r="H2" s="342"/>
      <c r="I2" s="342"/>
      <c r="J2" s="343"/>
    </row>
    <row r="3" spans="1:35" x14ac:dyDescent="0.2">
      <c r="B3" s="131"/>
      <c r="C3" s="40"/>
      <c r="D3" s="40"/>
      <c r="E3" s="132"/>
      <c r="G3" s="334"/>
      <c r="H3" s="339"/>
      <c r="I3" s="339"/>
      <c r="J3" s="340"/>
    </row>
    <row r="4" spans="1:35" x14ac:dyDescent="0.2">
      <c r="B4" s="131"/>
      <c r="C4" s="49" t="s">
        <v>0</v>
      </c>
      <c r="D4" s="124" t="s">
        <v>50</v>
      </c>
      <c r="E4" s="132"/>
      <c r="G4" s="334"/>
      <c r="H4" s="335" t="s">
        <v>61</v>
      </c>
      <c r="I4" s="344" t="b">
        <v>1</v>
      </c>
      <c r="J4" s="337"/>
    </row>
    <row r="5" spans="1:35" s="130" customFormat="1" x14ac:dyDescent="0.2">
      <c r="A5" s="128"/>
      <c r="B5" s="131"/>
      <c r="C5" s="49" t="s">
        <v>16</v>
      </c>
      <c r="D5" s="125" t="s">
        <v>49</v>
      </c>
      <c r="E5" s="132"/>
      <c r="F5" s="128"/>
      <c r="G5" s="334"/>
      <c r="H5" s="335" t="s">
        <v>62</v>
      </c>
      <c r="I5" s="344" t="b">
        <v>0</v>
      </c>
      <c r="J5" s="337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</row>
    <row r="6" spans="1:35" s="130" customFormat="1" x14ac:dyDescent="0.2">
      <c r="A6" s="128"/>
      <c r="B6" s="131"/>
      <c r="C6" s="49" t="s">
        <v>222</v>
      </c>
      <c r="D6" s="125" t="str">
        <f>IF(UPPER(Currency)&lt;&gt;"EUR","L","")&amp;"ibor"</f>
        <v>Libor</v>
      </c>
      <c r="E6" s="132"/>
      <c r="F6" s="128"/>
      <c r="G6" s="334"/>
      <c r="H6" s="335" t="s">
        <v>63</v>
      </c>
      <c r="I6" s="344" t="b">
        <v>0</v>
      </c>
      <c r="J6" s="337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</row>
    <row r="7" spans="1:35" x14ac:dyDescent="0.2">
      <c r="B7" s="131"/>
      <c r="C7" s="49" t="s">
        <v>27</v>
      </c>
      <c r="D7" s="126" t="s">
        <v>51</v>
      </c>
      <c r="E7" s="132"/>
      <c r="G7" s="334"/>
      <c r="H7" s="335" t="s">
        <v>64</v>
      </c>
      <c r="I7" s="345"/>
      <c r="J7" s="337"/>
    </row>
    <row r="8" spans="1:35" x14ac:dyDescent="0.2">
      <c r="B8" s="131"/>
      <c r="C8" s="49" t="s">
        <v>32</v>
      </c>
      <c r="D8" s="50" t="str">
        <f>Currency&amp;"ON"</f>
        <v>GBPON</v>
      </c>
      <c r="E8" s="132"/>
      <c r="G8" s="334"/>
      <c r="H8" s="335" t="s">
        <v>65</v>
      </c>
      <c r="I8" s="346" t="b">
        <v>1</v>
      </c>
      <c r="J8" s="337"/>
    </row>
    <row r="9" spans="1:35" x14ac:dyDescent="0.2">
      <c r="B9" s="131"/>
      <c r="C9" s="49" t="s">
        <v>223</v>
      </c>
      <c r="D9" s="348">
        <f>_xll.ohTrigger(Contribution!O1)</f>
        <v>31</v>
      </c>
      <c r="E9" s="132"/>
      <c r="G9" s="334"/>
      <c r="H9" s="339"/>
      <c r="I9" s="339"/>
      <c r="J9" s="340"/>
    </row>
    <row r="10" spans="1:35" x14ac:dyDescent="0.2">
      <c r="B10" s="131"/>
      <c r="C10" s="40"/>
      <c r="D10" s="40"/>
      <c r="E10" s="132"/>
      <c r="G10" s="334"/>
      <c r="H10" s="335" t="s">
        <v>66</v>
      </c>
      <c r="I10" s="346" t="s">
        <v>69</v>
      </c>
      <c r="J10" s="337"/>
    </row>
    <row r="11" spans="1:35" x14ac:dyDescent="0.2">
      <c r="B11" s="131"/>
      <c r="C11" s="43" t="s">
        <v>1</v>
      </c>
      <c r="D11" s="137">
        <v>41858.745393518519</v>
      </c>
      <c r="E11" s="132"/>
      <c r="G11" s="334"/>
      <c r="H11" s="335" t="s">
        <v>67</v>
      </c>
      <c r="I11" s="336">
        <v>1E-4</v>
      </c>
      <c r="J11" s="337"/>
    </row>
    <row r="12" spans="1:35" x14ac:dyDescent="0.2">
      <c r="B12" s="131"/>
      <c r="C12" s="43" t="s">
        <v>2</v>
      </c>
      <c r="D12" s="136" t="b">
        <v>1</v>
      </c>
      <c r="E12" s="132"/>
      <c r="G12" s="334"/>
      <c r="H12" s="335" t="s">
        <v>68</v>
      </c>
      <c r="I12" s="347">
        <v>-0.01</v>
      </c>
      <c r="J12" s="337"/>
    </row>
    <row r="13" spans="1:35" x14ac:dyDescent="0.2">
      <c r="B13" s="131"/>
      <c r="C13" s="42"/>
      <c r="D13" s="42"/>
      <c r="E13" s="132"/>
      <c r="G13" s="334"/>
      <c r="H13" s="335" t="s">
        <v>220</v>
      </c>
      <c r="I13" s="336" t="s">
        <v>221</v>
      </c>
      <c r="J13" s="337"/>
      <c r="K13" s="338"/>
    </row>
    <row r="14" spans="1:35" ht="12" thickBot="1" x14ac:dyDescent="0.25">
      <c r="B14" s="133"/>
      <c r="C14" s="134"/>
      <c r="D14" s="134"/>
      <c r="E14" s="135"/>
      <c r="G14" s="334"/>
      <c r="H14" s="339"/>
      <c r="I14" s="339"/>
      <c r="J14" s="340"/>
    </row>
    <row r="15" spans="1:35" ht="12" thickBot="1" x14ac:dyDescent="0.25">
      <c r="A15" s="338"/>
      <c r="B15" s="349"/>
      <c r="C15" s="349"/>
      <c r="D15" s="349"/>
      <c r="E15" s="349"/>
      <c r="F15" s="338"/>
      <c r="G15" s="352"/>
      <c r="H15" s="352"/>
      <c r="I15" s="352"/>
      <c r="J15" s="352"/>
    </row>
    <row r="16" spans="1:35" ht="19.5" customHeight="1" thickBot="1" x14ac:dyDescent="0.25">
      <c r="A16" s="338"/>
      <c r="B16" s="232" t="s">
        <v>86</v>
      </c>
      <c r="C16" s="232"/>
      <c r="D16" s="232"/>
      <c r="E16" s="233"/>
      <c r="F16" s="338"/>
      <c r="G16" s="232" t="s">
        <v>103</v>
      </c>
      <c r="H16" s="350"/>
      <c r="I16" s="350"/>
      <c r="J16" s="351"/>
    </row>
    <row r="17" spans="2:10" ht="11.25" customHeight="1" x14ac:dyDescent="0.2">
      <c r="B17" s="131"/>
      <c r="C17" s="40"/>
      <c r="D17" s="41"/>
      <c r="E17" s="132"/>
      <c r="G17" s="238"/>
      <c r="H17" s="239"/>
      <c r="I17" s="239"/>
      <c r="J17" s="240"/>
    </row>
    <row r="18" spans="2:10" x14ac:dyDescent="0.2">
      <c r="B18" s="131"/>
      <c r="C18" s="49" t="s">
        <v>17</v>
      </c>
      <c r="D18" s="56">
        <f>_xll.qlCalendarAdvance(Calendar,EvaluationDate,"0D","f")</f>
        <v>41858</v>
      </c>
      <c r="E18" s="132"/>
      <c r="G18" s="131"/>
      <c r="H18" s="49" t="s">
        <v>70</v>
      </c>
      <c r="I18" s="126"/>
      <c r="J18" s="132"/>
    </row>
    <row r="19" spans="2:10" x14ac:dyDescent="0.2">
      <c r="B19" s="131"/>
      <c r="C19" s="49" t="s">
        <v>28</v>
      </c>
      <c r="D19" s="50" t="str">
        <f>_xll.qlDiscountingSwapEngine(,OisCurve,,,,,EvaluationDate)</f>
        <v>obj_003bd#0003</v>
      </c>
      <c r="E19" s="132"/>
      <c r="G19" s="131"/>
      <c r="H19" s="49" t="s">
        <v>29</v>
      </c>
      <c r="I19" s="126">
        <f>_xll.qlSettingsEvaluationDate(Trigger)</f>
        <v>41858</v>
      </c>
      <c r="J19" s="132"/>
    </row>
    <row r="20" spans="2:10" x14ac:dyDescent="0.2">
      <c r="B20" s="131"/>
      <c r="C20" s="49" t="s">
        <v>54</v>
      </c>
      <c r="D20" s="127">
        <f>_xll.qlCalendarAdjust(Calendar,DATE(YEAR(SettlementDate),12,31),"Preceding")</f>
        <v>42004</v>
      </c>
      <c r="E20" s="132"/>
      <c r="G20" s="131"/>
      <c r="H20" s="49" t="s">
        <v>101</v>
      </c>
      <c r="I20" s="237">
        <f>[1]!TriggerCounter</f>
        <v>10</v>
      </c>
      <c r="J20" s="132"/>
    </row>
    <row r="21" spans="2:10" x14ac:dyDescent="0.2">
      <c r="B21" s="131"/>
      <c r="C21" s="49" t="s">
        <v>53</v>
      </c>
      <c r="D21" s="127">
        <f>_xll.qlCalendarAdjust(Calendar,DATE(YEAR(SettlementDate)+1,12,31),"Preceding")</f>
        <v>42369</v>
      </c>
      <c r="E21" s="132"/>
      <c r="G21" s="131"/>
      <c r="H21" s="49" t="s">
        <v>102</v>
      </c>
      <c r="I21" s="237">
        <f>[1]!LastFixingsTrigger</f>
        <v>1</v>
      </c>
      <c r="J21" s="132"/>
    </row>
    <row r="22" spans="2:10" ht="12" thickBot="1" x14ac:dyDescent="0.25">
      <c r="B22" s="133"/>
      <c r="C22" s="234"/>
      <c r="D22" s="231"/>
      <c r="E22" s="135"/>
      <c r="G22" s="242"/>
      <c r="H22" s="241"/>
      <c r="I22" s="241"/>
      <c r="J22" s="243"/>
    </row>
    <row r="23" spans="2:10" ht="12" thickBot="1" x14ac:dyDescent="0.25">
      <c r="B23" s="235"/>
      <c r="C23" s="235"/>
      <c r="D23" s="235"/>
      <c r="E23" s="235"/>
      <c r="G23" s="235"/>
      <c r="H23" s="235"/>
      <c r="I23" s="235"/>
      <c r="J23" s="235"/>
    </row>
    <row r="24" spans="2:10" ht="19.5" thickBot="1" x14ac:dyDescent="0.25">
      <c r="B24" s="232" t="s">
        <v>87</v>
      </c>
      <c r="C24" s="232"/>
      <c r="D24" s="232"/>
      <c r="E24" s="233"/>
    </row>
    <row r="25" spans="2:10" x14ac:dyDescent="0.2">
      <c r="B25" s="131"/>
      <c r="C25" s="40"/>
      <c r="D25" s="41"/>
      <c r="E25" s="132"/>
    </row>
    <row r="26" spans="2:10" x14ac:dyDescent="0.2">
      <c r="B26" s="131"/>
      <c r="C26" s="49" t="s">
        <v>88</v>
      </c>
      <c r="D26" s="56" t="s">
        <v>24</v>
      </c>
      <c r="E26" s="132"/>
    </row>
    <row r="27" spans="2:10" x14ac:dyDescent="0.2">
      <c r="B27" s="131"/>
      <c r="C27" s="49" t="s">
        <v>89</v>
      </c>
      <c r="D27" s="236">
        <v>0</v>
      </c>
      <c r="E27" s="132"/>
    </row>
    <row r="28" spans="2:10" x14ac:dyDescent="0.2">
      <c r="B28" s="131"/>
      <c r="C28" s="49" t="s">
        <v>90</v>
      </c>
      <c r="D28" s="127" t="e">
        <f>NA()</f>
        <v>#N/A</v>
      </c>
      <c r="E28" s="132"/>
    </row>
    <row r="29" spans="2:10" x14ac:dyDescent="0.2">
      <c r="B29" s="131"/>
      <c r="C29" s="49" t="s">
        <v>91</v>
      </c>
      <c r="D29" s="127" t="s">
        <v>94</v>
      </c>
      <c r="E29" s="132"/>
    </row>
    <row r="30" spans="2:10" x14ac:dyDescent="0.2">
      <c r="B30" s="131"/>
      <c r="C30" s="49" t="s">
        <v>93</v>
      </c>
      <c r="D30" s="127" t="s">
        <v>92</v>
      </c>
      <c r="E30" s="132"/>
    </row>
    <row r="31" spans="2:10" x14ac:dyDescent="0.2">
      <c r="B31" s="131"/>
      <c r="C31" s="289"/>
      <c r="D31" s="289"/>
      <c r="E31" s="132"/>
    </row>
    <row r="32" spans="2:10" x14ac:dyDescent="0.2">
      <c r="B32" s="131"/>
      <c r="C32" s="49" t="s">
        <v>95</v>
      </c>
      <c r="D32" s="127" t="b">
        <f>_xll.qlExtrapolatorEnableExtrapolation(YieldCurve,TRUE)</f>
        <v>1</v>
      </c>
      <c r="E32" s="132"/>
    </row>
    <row r="33" spans="2:5" x14ac:dyDescent="0.2">
      <c r="B33" s="131"/>
      <c r="C33" s="289"/>
      <c r="D33" s="289"/>
      <c r="E33" s="132"/>
    </row>
    <row r="34" spans="2:5" x14ac:dyDescent="0.2">
      <c r="B34" s="131"/>
      <c r="C34" s="49" t="s">
        <v>96</v>
      </c>
      <c r="D34" s="127" t="str">
        <f>_xll.qlLibor(,Currency,IborTenor,YieldCurve,,D32)</f>
        <v>obj_00405#0003</v>
      </c>
      <c r="E34" s="132"/>
    </row>
    <row r="35" spans="2:5" x14ac:dyDescent="0.2">
      <c r="B35" s="131"/>
      <c r="C35" s="49" t="s">
        <v>97</v>
      </c>
      <c r="D35" s="127" t="s">
        <v>92</v>
      </c>
      <c r="E35" s="132"/>
    </row>
    <row r="36" spans="2:5" x14ac:dyDescent="0.2">
      <c r="B36" s="131"/>
      <c r="C36" s="49" t="s">
        <v>98</v>
      </c>
      <c r="D36" s="127" t="str">
        <f>_xll.qlInterpolation(,BasisInterpolation,SynthFRA!I2:I6,SynthFRA!M2:M6)</f>
        <v>obj_005a9#0008</v>
      </c>
      <c r="E36" s="132"/>
    </row>
    <row r="37" spans="2:5" x14ac:dyDescent="0.2">
      <c r="B37" s="131"/>
      <c r="C37" s="49" t="s">
        <v>52</v>
      </c>
      <c r="D37" s="127" t="s">
        <v>224</v>
      </c>
      <c r="E37" s="132"/>
    </row>
    <row r="38" spans="2:5" x14ac:dyDescent="0.2">
      <c r="B38" s="131"/>
      <c r="C38" s="49" t="s">
        <v>99</v>
      </c>
      <c r="D38" s="127" t="str">
        <f>_xll.qlPiecewiseYieldCurve(,NDays,Calendar,_xll.ohPack(SynthFRA!A3:A127),DayCounter,,,Accuracy,TraitsID,InterpolatorID)</f>
        <v>obj_00404#0003</v>
      </c>
      <c r="E38" s="132"/>
    </row>
    <row r="39" spans="2:5" x14ac:dyDescent="0.2">
      <c r="B39" s="131"/>
      <c r="C39" s="49" t="s">
        <v>100</v>
      </c>
      <c r="D39" s="127" t="str">
        <f>_xll.ohRangeRetrieveError(YieldCurve)</f>
        <v/>
      </c>
      <c r="E39" s="132"/>
    </row>
    <row r="40" spans="2:5" x14ac:dyDescent="0.2">
      <c r="B40" s="131"/>
      <c r="C40" s="234"/>
      <c r="D40" s="231"/>
      <c r="E40" s="132"/>
    </row>
    <row r="41" spans="2:5" x14ac:dyDescent="0.2">
      <c r="B41" s="131"/>
      <c r="C41" s="354">
        <f>_xll.qlTermStructureReferenceDate(YieldCurve)</f>
        <v>41858</v>
      </c>
      <c r="D41" s="355">
        <f>MAX(_xll.ohPack(SynthFRA!E2:E127))</f>
        <v>1</v>
      </c>
      <c r="E41" s="132"/>
    </row>
    <row r="42" spans="2:5" x14ac:dyDescent="0.2">
      <c r="B42" s="131"/>
      <c r="C42" s="354">
        <f>MAX(_xll.ohPack(SynthFRA!D3:D127))</f>
        <v>43684</v>
      </c>
      <c r="D42" s="355">
        <f>MIN(_xll.ohPack(SynthFRA!E2:E127))</f>
        <v>0.89300047459656173</v>
      </c>
      <c r="E42" s="132"/>
    </row>
    <row r="43" spans="2:5" ht="12" thickBot="1" x14ac:dyDescent="0.25">
      <c r="B43" s="131"/>
      <c r="C43" s="234"/>
      <c r="D43" s="353"/>
      <c r="E43" s="132"/>
    </row>
    <row r="44" spans="2:5" x14ac:dyDescent="0.2">
      <c r="B44" s="235"/>
      <c r="C44" s="235"/>
      <c r="D44" s="235"/>
      <c r="E44" s="235"/>
    </row>
    <row r="45" spans="2:5" x14ac:dyDescent="0.2">
      <c r="C45" s="129"/>
      <c r="D45" s="129"/>
      <c r="E45" s="129"/>
    </row>
    <row r="46" spans="2:5" x14ac:dyDescent="0.2">
      <c r="C46" s="129"/>
      <c r="D46" s="129"/>
      <c r="E46" s="129"/>
    </row>
    <row r="47" spans="2:5" x14ac:dyDescent="0.2">
      <c r="C47" s="129"/>
      <c r="D47" s="129"/>
      <c r="E47" s="129"/>
    </row>
    <row r="48" spans="2:5" x14ac:dyDescent="0.2">
      <c r="C48" s="129"/>
      <c r="D48" s="129"/>
      <c r="E48" s="129"/>
    </row>
    <row r="49" spans="5:5" x14ac:dyDescent="0.2">
      <c r="E49" s="129"/>
    </row>
    <row r="50" spans="5:5" x14ac:dyDescent="0.2">
      <c r="E50" s="129"/>
    </row>
    <row r="51" spans="5:5" x14ac:dyDescent="0.2">
      <c r="E51" s="129"/>
    </row>
  </sheetData>
  <phoneticPr fontId="3" type="noConversion"/>
  <conditionalFormatting sqref="D12">
    <cfRule type="cellIs" dxfId="0" priority="1" stopIfTrue="1" operator="equal">
      <formula>TRUE</formula>
    </cfRule>
  </conditionalFormatting>
  <dataValidations count="1">
    <dataValidation type="list" allowBlank="1" showInputMessage="1" showErrorMessage="1" sqref="D3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G2" sqref="G2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9.33203125" style="1" hidden="1" customWidth="1" outlineLevel="1"/>
    <col min="4" max="4" width="31.1640625" style="1" bestFit="1" customWidth="1" collapsed="1"/>
    <col min="5" max="6" width="20.1640625" style="1" bestFit="1" customWidth="1"/>
    <col min="7" max="7" width="9.33203125" style="1" bestFit="1"/>
    <col min="8" max="9" width="12.83203125" style="1" bestFit="1" customWidth="1"/>
    <col min="10" max="10" width="9.33203125" style="1" bestFit="1"/>
    <col min="11" max="11" width="10.5" style="1" bestFit="1" customWidth="1"/>
    <col min="12" max="12" width="9.33203125" style="1" bestFit="1"/>
    <col min="13" max="13" width="2.33203125" style="1" bestFit="1" customWidth="1"/>
    <col min="14" max="14" width="9.33203125" style="1" bestFit="1"/>
    <col min="15" max="17" width="10.5" style="1" bestFit="1" customWidth="1"/>
    <col min="18" max="19" width="11.6640625" style="1" bestFit="1" customWidth="1"/>
    <col min="20" max="20" width="5.83203125" style="1" bestFit="1" customWidth="1"/>
    <col min="21" max="21" width="3.5" style="1" bestFit="1" customWidth="1"/>
    <col min="22" max="23" width="12.8320312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34</v>
      </c>
      <c r="I1" s="20" t="s">
        <v>39</v>
      </c>
      <c r="K1" s="59" t="s">
        <v>43</v>
      </c>
      <c r="L1" s="59" t="s">
        <v>42</v>
      </c>
      <c r="M1" s="59"/>
      <c r="N1" s="44" t="s">
        <v>35</v>
      </c>
      <c r="O1" s="44" t="s">
        <v>36</v>
      </c>
      <c r="P1" s="44" t="s">
        <v>37</v>
      </c>
    </row>
    <row r="2" spans="1:34" x14ac:dyDescent="0.2">
      <c r="A2" s="1">
        <v>1</v>
      </c>
      <c r="B2" s="28" t="str">
        <f>_xll.qlMakeDatedOIS(,E2,F2,OvernightIndex,0,,,,EvaluationDate)</f>
        <v>obj_003ec#0004</v>
      </c>
      <c r="C2" s="8" t="b">
        <f>_xll.qlInstrumentSetPricingEngine(B2,OisEngine)</f>
        <v>1</v>
      </c>
      <c r="D2" s="103" t="str">
        <f>Currency&amp;A3&amp;"D_Quote"</f>
        <v>GBP1MD_Quote</v>
      </c>
      <c r="E2" s="104">
        <f>SettlementDate</f>
        <v>41858</v>
      </c>
      <c r="F2" s="105">
        <f>_xll.qlCalendarAdvance(Calendar,E2,A3,"mf")</f>
        <v>41890</v>
      </c>
      <c r="G2" s="106">
        <f>_xll.qlQuoteValue($D2,AllTriggers)</f>
        <v>5.0125000000000005E-3</v>
      </c>
      <c r="H2" s="107">
        <f>_xll.qlOvernightIndexedSwapFairRate(B2,_xll.ohTrigger(C2,InterestRatesTrigger))</f>
        <v>4.241095889498947E-3</v>
      </c>
      <c r="I2" s="108">
        <f>G2-H2</f>
        <v>7.7140411050105346E-4</v>
      </c>
      <c r="J2" s="109" t="b">
        <v>0</v>
      </c>
      <c r="K2" s="109"/>
      <c r="L2" s="109"/>
      <c r="M2" s="110"/>
      <c r="N2" s="112">
        <f t="shared" ref="N2:O4" si="0">E2-SettlementDate</f>
        <v>0</v>
      </c>
      <c r="O2" s="112">
        <f t="shared" si="0"/>
        <v>32</v>
      </c>
      <c r="P2" s="110">
        <f>(O2^2-N2^2)/(O2-N2)</f>
        <v>32</v>
      </c>
      <c r="Q2" s="109"/>
      <c r="R2" s="123">
        <f>(O2^3-N2^3)/3/(O2-N2)</f>
        <v>341.33333333333331</v>
      </c>
      <c r="S2" s="123">
        <f>(O2+N2)/2</f>
        <v>16</v>
      </c>
      <c r="T2" s="123">
        <v>1</v>
      </c>
    </row>
    <row r="3" spans="1:34" x14ac:dyDescent="0.2">
      <c r="A3" s="1" t="str">
        <f>_xll.qlPeriodEquivalent(A2&amp;"M")</f>
        <v>1M</v>
      </c>
      <c r="B3" s="57" t="str">
        <f>_xll.qlMakeDatedOIS(,E3,F3,OvernightIndex,0,,,,EvaluationDate)</f>
        <v>obj_00365#0008</v>
      </c>
      <c r="C3" s="12" t="b">
        <f>_xll.qlInstrumentSetPricingEngine(B3,OisEngine)</f>
        <v>1</v>
      </c>
      <c r="D3" s="96" t="str">
        <f>PROPER(Currency&amp;FamilyName)&amp;A3&amp;"LastFixing_Quote"</f>
        <v>Gbplibor1MLastFixing_Quote</v>
      </c>
      <c r="E3" s="97">
        <f>_xll.qlCalendarAdvance(Calendar,_xll.qlLastFixingQuoteReferenceDate(D3),_xll.qlInterestRateIndexFixingDays(A4)&amp;"D","f",,LastFixingsTrigger)</f>
        <v>41858</v>
      </c>
      <c r="F3" s="98">
        <f>F2</f>
        <v>41890</v>
      </c>
      <c r="G3" s="99">
        <f>_xll.qlQuoteValue(D3,AllTriggers)</f>
        <v>5.0125000000000005E-3</v>
      </c>
      <c r="H3" s="100">
        <f>_xll.qlOvernightIndexedSwapFairRate(B3,_xll.ohTrigger(C3,InterestRatesTrigger))</f>
        <v>4.241095889498947E-3</v>
      </c>
      <c r="I3" s="101">
        <f t="shared" ref="I3:I27" si="1">G3-H3</f>
        <v>7.7140411050105346E-4</v>
      </c>
      <c r="J3" s="109" t="b">
        <f>NOT(ISERROR(I3))</f>
        <v>1</v>
      </c>
      <c r="K3" s="111">
        <f>K4</f>
        <v>1.3095918283131879E-8</v>
      </c>
      <c r="L3" s="100">
        <f>_xll.ohFilter($I$2:$I$3,$J$2:$J$3)-K3*_xll.ohFilter($P$2:$P$3,$J$2:$J$3)</f>
        <v>7.7098504111599328E-4</v>
      </c>
      <c r="M3" s="110"/>
      <c r="N3" s="112">
        <f t="shared" si="0"/>
        <v>0</v>
      </c>
      <c r="O3" s="112">
        <f t="shared" si="0"/>
        <v>32</v>
      </c>
      <c r="P3" s="110">
        <f>(O3^2-N3^2)/(O3-N3)</f>
        <v>32</v>
      </c>
      <c r="Q3" s="109"/>
      <c r="R3" s="123">
        <f>(O3^3-N3^3)/3/(O3-N3)</f>
        <v>341.33333333333331</v>
      </c>
      <c r="S3" s="123">
        <f>(O3+N3)/2</f>
        <v>16</v>
      </c>
      <c r="T3" s="123">
        <v>1</v>
      </c>
    </row>
    <row r="4" spans="1:34" x14ac:dyDescent="0.2">
      <c r="A4" s="1" t="str">
        <f>PROPER(Currency)&amp;FamilyName&amp;A3</f>
        <v>GbpLibor1M</v>
      </c>
      <c r="B4" s="57" t="str">
        <f>_xll.qlMakeDatedOIS(,E4,F4,OvernightIndex,0,,,,EvaluationDate)</f>
        <v>obj_003f9#0004</v>
      </c>
      <c r="C4" s="12" t="b">
        <f>_xll.qlInstrumentSetPricingEngine(B4,OisEngine)</f>
        <v>1</v>
      </c>
      <c r="D4" s="11" t="s">
        <v>40</v>
      </c>
      <c r="E4" s="54">
        <f>F3</f>
        <v>41890</v>
      </c>
      <c r="F4" s="55">
        <f>F5</f>
        <v>41919</v>
      </c>
      <c r="G4" s="27">
        <f>((1+G5*(F5-E5)/360)/(1+G3*(F3-E3)/360)-1)/(F4-E4)*360</f>
        <v>5.1153932219236619E-3</v>
      </c>
      <c r="H4" s="15">
        <f>_xll.qlOvernightIndexedSwapFairRate(B4,_xll.ohTrigger(C4,InterestRatesTrigger))</f>
        <v>4.3431902604073374E-3</v>
      </c>
      <c r="I4" s="16">
        <f>G4-H4</f>
        <v>7.722029615163245E-4</v>
      </c>
      <c r="J4" s="1" t="b">
        <f>NOT(ISERROR(I4))</f>
        <v>1</v>
      </c>
      <c r="K4" s="15">
        <f>(I4-_xll.ohFilter($I$2:$I$3,$J$2:$J$3))/(P4-_xll.ohFilter($P$2:$P$3,$J$2:$J$3))</f>
        <v>1.3095918283131879E-8</v>
      </c>
      <c r="L4" s="15">
        <f>_xll.ohFilter($I$2:$I$3,$J$2:$J$3)-K4*_xll.ohFilter($P$2:$P$3,$J$2:$J$3)</f>
        <v>7.7098504111599328E-4</v>
      </c>
      <c r="M4" s="5"/>
      <c r="N4" s="113">
        <f t="shared" si="0"/>
        <v>32</v>
      </c>
      <c r="O4" s="113">
        <f t="shared" si="0"/>
        <v>61</v>
      </c>
      <c r="P4" s="5">
        <f>(O4^2-N4^2)/(O4-N4)</f>
        <v>93</v>
      </c>
      <c r="R4" s="92">
        <f>(O4^3-N4^3)/3/(O4-N4)</f>
        <v>2232.333333333333</v>
      </c>
      <c r="S4" s="92">
        <f>(O4+N4)/2</f>
        <v>46.5</v>
      </c>
      <c r="T4" s="92">
        <v>1</v>
      </c>
    </row>
    <row r="5" spans="1:34" x14ac:dyDescent="0.2">
      <c r="B5" s="57" t="str">
        <f>_xll.qlMakeDatedOIS(,E5,F5,OvernightIndex,0,,,,EvaluationDate)</f>
        <v>obj_003ee#0003</v>
      </c>
      <c r="C5" s="12" t="b">
        <f>_xll.qlInstrumentSetPricingEngine(B5,OisEngine)</f>
        <v>1</v>
      </c>
      <c r="D5" s="9" t="str">
        <f>Currency&amp;"2X1S_Quote"</f>
        <v>GBP2X1S_Quote</v>
      </c>
      <c r="E5" s="54">
        <f>SettlementDate</f>
        <v>41858</v>
      </c>
      <c r="F5" s="55">
        <f>_xll.qlCalendarAdvance(Calendar,E5,"2M","mf")</f>
        <v>41919</v>
      </c>
      <c r="G5" s="51">
        <f>_xll.qlQuoteValue($D5,AllTriggers)</f>
        <v>5.062500000000001E-3</v>
      </c>
      <c r="H5" s="15">
        <f>_xll.qlOvernightIndexedSwapFairRate(B5,_xll.ohTrigger(C5,InterestRatesTrigger))</f>
        <v>4.2904109572034768E-3</v>
      </c>
      <c r="I5" s="16">
        <f>G5-H5</f>
        <v>7.7208904279652425E-4</v>
      </c>
      <c r="J5" s="1" t="b">
        <v>0</v>
      </c>
      <c r="K5" s="114"/>
      <c r="L5" s="114"/>
      <c r="M5" s="115"/>
      <c r="N5" s="122"/>
      <c r="O5" s="113"/>
      <c r="P5" s="5"/>
      <c r="R5" s="92"/>
      <c r="S5" s="92"/>
      <c r="T5" s="92"/>
    </row>
    <row r="6" spans="1:34" x14ac:dyDescent="0.2">
      <c r="A6" s="1">
        <v>3</v>
      </c>
      <c r="B6" s="28" t="str">
        <f>_xll.qlMakeDatedOIS(,E6,F6,OvernightIndex,0,,,,EvaluationDate)</f>
        <v>obj_003c7#0003</v>
      </c>
      <c r="C6" s="8" t="b">
        <f>_xll.qlInstrumentSetPricingEngine(B6,OisEngine)</f>
        <v>1</v>
      </c>
      <c r="D6" s="103" t="str">
        <f>Currency&amp;A7&amp;"D_Quote"</f>
        <v>GBP3MD_Quote</v>
      </c>
      <c r="E6" s="104">
        <f>SettlementDate</f>
        <v>41858</v>
      </c>
      <c r="F6" s="105">
        <f>_xll.qlCalendarAdvance(Calendar,E6,A7,"mf")</f>
        <v>41950</v>
      </c>
      <c r="G6" s="106">
        <f>_xll.qlQuoteValue(D6,AllTriggers)</f>
        <v>5.6150000000000002E-3</v>
      </c>
      <c r="H6" s="107">
        <f>_xll.qlOvernightIndexedSwapFairRate(B6,_xll.ohTrigger(C6,InterestRatesTrigger))</f>
        <v>4.3890410947273369E-3</v>
      </c>
      <c r="I6" s="108">
        <f t="shared" si="1"/>
        <v>1.2259589052726633E-3</v>
      </c>
      <c r="J6" s="109" t="b">
        <v>0</v>
      </c>
      <c r="K6" s="110"/>
      <c r="L6" s="110"/>
      <c r="M6" s="110"/>
      <c r="N6" s="112">
        <f t="shared" ref="N6:N27" si="2">E6-SettlementDate</f>
        <v>0</v>
      </c>
      <c r="O6" s="112">
        <f t="shared" ref="O6:O27" si="3">F6-SettlementDate</f>
        <v>92</v>
      </c>
      <c r="P6" s="110">
        <f>(O6^2-N6^2)/(O6-N6)</f>
        <v>92</v>
      </c>
      <c r="Q6" s="109"/>
      <c r="R6" s="123">
        <f t="shared" ref="R6:R14" si="4">(O6^3-N6^3)/3/(O6-N6)</f>
        <v>2821.333333333333</v>
      </c>
      <c r="S6" s="123">
        <f t="shared" ref="S6:S14" si="5">(O6+N6)/2</f>
        <v>46</v>
      </c>
      <c r="T6" s="123">
        <v>1</v>
      </c>
    </row>
    <row r="7" spans="1:34" x14ac:dyDescent="0.2">
      <c r="A7" s="1" t="str">
        <f>_xll.qlPeriodEquivalent(A6&amp;"M")</f>
        <v>3M</v>
      </c>
      <c r="B7" s="57" t="str">
        <f>_xll.qlMakeDatedOIS(,E7,F7,OvernightIndex,0,,,,EvaluationDate)</f>
        <v>obj_00367#0007</v>
      </c>
      <c r="C7" s="12" t="b">
        <f>_xll.qlInstrumentSetPricingEngine(B7,OisEngine)</f>
        <v>1</v>
      </c>
      <c r="D7" s="96" t="str">
        <f>PROPER(Currency&amp;FamilyName)&amp;A7&amp;"LastFixing_Quote"</f>
        <v>Gbplibor3MLastFixing_Quote</v>
      </c>
      <c r="E7" s="97">
        <f>_xll.qlCalendarAdvance(Calendar,_xll.qlLastFixingQuoteReferenceDate(D7),_xll.qlInterestRateIndexFixingDays(A8)&amp;"D","f",,LastFixingsTrigger)</f>
        <v>41858</v>
      </c>
      <c r="F7" s="98">
        <f>F6</f>
        <v>41950</v>
      </c>
      <c r="G7" s="99">
        <f>_xll.qlQuoteValue(D7,AllTriggers)</f>
        <v>5.6150000000000002E-3</v>
      </c>
      <c r="H7" s="100">
        <f>_xll.qlOvernightIndexedSwapFairRate(B7,_xll.ohTrigger(C7,InterestRatesTrigger))</f>
        <v>4.3890410947273369E-3</v>
      </c>
      <c r="I7" s="101">
        <f t="shared" si="1"/>
        <v>1.2259589052726633E-3</v>
      </c>
      <c r="J7" s="109" t="b">
        <f>AND(NOT(ISERROR(I7)),E10&lt;&gt;SettlementDate)</f>
        <v>1</v>
      </c>
      <c r="K7" s="116"/>
      <c r="L7" s="110"/>
      <c r="M7" s="110"/>
      <c r="N7" s="112">
        <f t="shared" si="2"/>
        <v>0</v>
      </c>
      <c r="O7" s="112">
        <f t="shared" si="3"/>
        <v>92</v>
      </c>
      <c r="P7" s="110">
        <f t="shared" ref="P7:P14" si="6">(O7^2-N7^2)/(O7-N7)</f>
        <v>92</v>
      </c>
      <c r="Q7" s="109"/>
      <c r="R7" s="123">
        <f t="shared" si="4"/>
        <v>2821.333333333333</v>
      </c>
      <c r="S7" s="123">
        <f t="shared" si="5"/>
        <v>46</v>
      </c>
      <c r="T7" s="123">
        <v>1</v>
      </c>
    </row>
    <row r="8" spans="1:34" x14ac:dyDescent="0.2">
      <c r="A8" s="1" t="str">
        <f>PROPER(Currency)&amp;FamilyName&amp;A7</f>
        <v>GbpLibor3M</v>
      </c>
      <c r="B8" s="29"/>
      <c r="C8" s="12"/>
      <c r="D8" s="96"/>
      <c r="E8" s="97"/>
      <c r="F8" s="98"/>
      <c r="G8" s="102"/>
      <c r="H8" s="100"/>
      <c r="I8" s="101" t="e">
        <f>NA()</f>
        <v>#N/A</v>
      </c>
      <c r="J8" s="109" t="b">
        <f>AND(E8&gt;E7,NOT(ISERROR(I8)))</f>
        <v>0</v>
      </c>
      <c r="K8" s="109"/>
      <c r="L8" s="109"/>
      <c r="M8" s="110"/>
      <c r="N8" s="112">
        <f t="shared" si="2"/>
        <v>-41858</v>
      </c>
      <c r="O8" s="112">
        <f t="shared" si="3"/>
        <v>-41858</v>
      </c>
      <c r="P8" s="110" t="e">
        <f t="shared" si="6"/>
        <v>#DIV/0!</v>
      </c>
      <c r="Q8" s="109"/>
      <c r="R8" s="123" t="e">
        <f t="shared" si="4"/>
        <v>#DIV/0!</v>
      </c>
      <c r="S8" s="123">
        <f t="shared" si="5"/>
        <v>-41858</v>
      </c>
      <c r="T8" s="123">
        <v>1</v>
      </c>
      <c r="AD8" s="1" t="s">
        <v>48</v>
      </c>
      <c r="AH8" s="1" t="s">
        <v>47</v>
      </c>
    </row>
    <row r="9" spans="1:34" x14ac:dyDescent="0.2">
      <c r="B9" s="29"/>
      <c r="C9" s="12"/>
      <c r="D9" s="96"/>
      <c r="E9" s="97"/>
      <c r="F9" s="98"/>
      <c r="G9" s="102"/>
      <c r="H9" s="100"/>
      <c r="I9" s="101" t="e">
        <f>NA()</f>
        <v>#N/A</v>
      </c>
      <c r="J9" s="109" t="b">
        <f>AND(NOT(J7),NOT(ISERROR(I9)))</f>
        <v>0</v>
      </c>
      <c r="K9" s="100">
        <f>AVERAGE(_xll.ohFilter(K10:K12,J10:J12))</f>
        <v>-1.8757137103453473E-6</v>
      </c>
      <c r="L9" s="100">
        <f>_xll.ohFilter($I$6:$I$9,$J$6:$J$9)-K9*_xll.ohFilter($P$6:$P$9,$J$6:$J$9)</f>
        <v>1.3985245666244353E-3</v>
      </c>
      <c r="M9" s="110"/>
      <c r="N9" s="112">
        <f t="shared" si="2"/>
        <v>-41858</v>
      </c>
      <c r="O9" s="112">
        <f t="shared" si="3"/>
        <v>-41858</v>
      </c>
      <c r="P9" s="110" t="e">
        <f t="shared" si="6"/>
        <v>#DIV/0!</v>
      </c>
      <c r="Q9" s="109"/>
      <c r="R9" s="123" t="e">
        <f t="shared" si="4"/>
        <v>#DIV/0!</v>
      </c>
      <c r="S9" s="123">
        <f t="shared" si="5"/>
        <v>-41858</v>
      </c>
      <c r="T9" s="123">
        <v>1</v>
      </c>
      <c r="V9" s="83">
        <f t="array" ref="V9:V11">_xll.ohFilter(R6:R14,$J6:$J14)</f>
        <v>2821.333333333333</v>
      </c>
      <c r="W9" s="84">
        <f t="array" ref="W9:W11">_xll.ohFilter(S6:S14,$J6:$J14)</f>
        <v>46</v>
      </c>
      <c r="X9" s="85">
        <f t="array" ref="X9:X11">_xll.ohFilter(T6:T14,$J6:$J14)</f>
        <v>1</v>
      </c>
      <c r="Z9" s="68">
        <f t="array" ref="Z9:Z11">MMULT(AD9:AF11,AB9:AB11)</f>
        <v>-2.1121728508537129E-8</v>
      </c>
      <c r="AB9" s="68">
        <f t="array" ref="AB9:AB11">_xll.ohFilter(I6:I14,$J6:$J14)</f>
        <v>1.2259589052726633E-3</v>
      </c>
      <c r="AD9" s="74">
        <f t="array" ref="AD9:AF11">MINVERSE(V9:X11)</f>
        <v>7.7459333849729168E-4</v>
      </c>
      <c r="AE9" s="75">
        <v>2.7110766847405184E-3</v>
      </c>
      <c r="AF9" s="76">
        <v>-3.4856700232378103E-3</v>
      </c>
      <c r="AH9" s="71">
        <f t="array" ref="AH9:AH11">MMULT(V9:X11,Z9:Z11)-AB9:AB11</f>
        <v>8.6736173798840355E-19</v>
      </c>
    </row>
    <row r="10" spans="1:34" x14ac:dyDescent="0.2">
      <c r="A10" s="1" t="str">
        <f>_xll.qlIMMNextCode(SettlementDate-1,FALSE)</f>
        <v>Q4</v>
      </c>
      <c r="B10" s="29" t="str">
        <f>_xll.qlMakeDatedOIS(,E10,F10,OvernightIndex,0,,,,EvaluationDate)</f>
        <v>obj_003da#0003</v>
      </c>
      <c r="C10" s="12" t="b">
        <f>_xll.qlInstrumentSetPricingEngine(B10,OisEngine)</f>
        <v>1</v>
      </c>
      <c r="D10" s="11" t="str">
        <f>Currency&amp;"FUT3M"&amp;A10&amp;QuoteSuffix</f>
        <v>GBPFUT3MQ4_Quote</v>
      </c>
      <c r="E10" s="54">
        <f>_xll.qlIMMdate(A10)</f>
        <v>41871</v>
      </c>
      <c r="F10" s="55">
        <f>_xll.qlCalendarAdvance(Calendar,E10,"3M","mf")</f>
        <v>41963</v>
      </c>
      <c r="G10" s="51" t="e">
        <f>1-_xll.qlQuoteValue($D10,AllTriggers)/100</f>
        <v>#NUM!</v>
      </c>
      <c r="H10" s="15">
        <f>_xll.qlOvernightIndexedSwapFairRate(B10,_xll.ohTrigger(C10,InterestRatesTrigger))</f>
        <v>4.5488206193532105E-3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13">
        <f t="shared" si="2"/>
        <v>13</v>
      </c>
      <c r="O10" s="113">
        <f t="shared" si="3"/>
        <v>105</v>
      </c>
      <c r="P10" s="5">
        <f t="shared" si="6"/>
        <v>118</v>
      </c>
      <c r="R10" s="92">
        <f t="shared" si="4"/>
        <v>4186.3333333333339</v>
      </c>
      <c r="S10" s="92">
        <f t="shared" si="5"/>
        <v>59</v>
      </c>
      <c r="T10" s="92">
        <v>1</v>
      </c>
      <c r="V10" s="86">
        <v>8172.3333333333339</v>
      </c>
      <c r="W10" s="87">
        <v>86.5</v>
      </c>
      <c r="X10" s="88">
        <v>1</v>
      </c>
      <c r="Y10" s="59" t="s">
        <v>44</v>
      </c>
      <c r="Z10" s="69">
        <v>-1.0569355926845275E-6</v>
      </c>
      <c r="AA10" s="59" t="s">
        <v>45</v>
      </c>
      <c r="AB10" s="69">
        <v>1.0701306445197586E-3</v>
      </c>
      <c r="AD10" s="77">
        <v>-0.12703330751355577</v>
      </c>
      <c r="AE10" s="78">
        <v>-0.33350546518633373</v>
      </c>
      <c r="AF10" s="79">
        <v>0.46053877269988952</v>
      </c>
      <c r="AH10" s="72">
        <v>0</v>
      </c>
    </row>
    <row r="11" spans="1:34" x14ac:dyDescent="0.2">
      <c r="A11" s="1" t="str">
        <f>_xll.qlIMMNextCode(E10,IF(_xll.qlIMMIsIMMdate(E10,TRUE),FALSE,TRUE))</f>
        <v>U4</v>
      </c>
      <c r="B11" s="29" t="str">
        <f>_xll.qlMakeDatedOIS(,E11,F11,OvernightIndex,0,,,,EvaluationDate)</f>
        <v>obj_003f5#0003</v>
      </c>
      <c r="C11" s="12" t="b">
        <f>_xll.qlInstrumentSetPricingEngine(B11,OisEngine)</f>
        <v>1</v>
      </c>
      <c r="D11" s="11" t="str">
        <f>Currency&amp;"FUT3M"&amp;A11&amp;QuoteSuffix</f>
        <v>GBPFUT3MU4_Quote</v>
      </c>
      <c r="E11" s="54">
        <f>_xll.qlIMMdate(A11)</f>
        <v>41899</v>
      </c>
      <c r="F11" s="55">
        <f>_xll.qlCalendarAdvance(Calendar,E11,"3M","mf")</f>
        <v>41990</v>
      </c>
      <c r="G11" s="51">
        <f>1-_xll.qlQuoteValue($D11,AllTriggers)/100</f>
        <v>6.0499999999998888E-3</v>
      </c>
      <c r="H11" s="15">
        <f>_xll.qlOvernightIndexedSwapFairRate(B11,_xll.ohTrigger(C11,InterestRatesTrigger))</f>
        <v>4.9798693554801302E-3</v>
      </c>
      <c r="I11" s="16">
        <f t="shared" si="1"/>
        <v>1.0701306445197586E-3</v>
      </c>
      <c r="J11" s="1" t="b">
        <f>NOT(ISERROR(I11))</f>
        <v>1</v>
      </c>
      <c r="K11" s="15">
        <f>(I11-_xll.ohFilter($I$6:$I$9,$J$6:$J$9))/(P11-_xll.ohFilter($P$6:$P$9,$J$6:$J$9))</f>
        <v>-1.9238056883074658E-6</v>
      </c>
      <c r="L11" s="15">
        <f>_xll.ohFilter($I$6:$I$9,$J$6:$J$9)-K11*_xll.ohFilter($P$6:$P$9,$J$6:$J$9)</f>
        <v>1.4029490285969502E-3</v>
      </c>
      <c r="M11" s="5"/>
      <c r="N11" s="113">
        <f t="shared" si="2"/>
        <v>41</v>
      </c>
      <c r="O11" s="113">
        <f t="shared" si="3"/>
        <v>132</v>
      </c>
      <c r="P11" s="5">
        <f t="shared" si="6"/>
        <v>173</v>
      </c>
      <c r="R11" s="92">
        <f t="shared" si="4"/>
        <v>8172.3333333333339</v>
      </c>
      <c r="S11" s="92">
        <f t="shared" si="5"/>
        <v>86.5</v>
      </c>
      <c r="T11" s="92">
        <v>1</v>
      </c>
      <c r="V11" s="89">
        <v>6696.3333333333339</v>
      </c>
      <c r="W11" s="90">
        <v>77.5</v>
      </c>
      <c r="X11" s="91">
        <v>1</v>
      </c>
      <c r="Z11" s="70">
        <v>1.3341693792349053E-3</v>
      </c>
      <c r="AB11" s="70">
        <v>1.1108187361325199E-3</v>
      </c>
      <c r="AD11" s="80">
        <v>4.6581461399432067</v>
      </c>
      <c r="AE11" s="81">
        <v>7.6924003786901034</v>
      </c>
      <c r="AF11" s="82">
        <v>-11.35054651863331</v>
      </c>
      <c r="AH11" s="73">
        <v>4.3368086899420177E-19</v>
      </c>
    </row>
    <row r="12" spans="1:34" x14ac:dyDescent="0.2">
      <c r="A12" s="1">
        <v>1</v>
      </c>
      <c r="B12" s="29" t="str">
        <f>_xll.qlMakeDatedOIS(,E12,F12,OvernightIndex,0,,,,EvaluationDate)</f>
        <v>obj_00401#0003</v>
      </c>
      <c r="C12" s="12" t="b">
        <f>_xll.qlInstrumentSetPricingEngine(B12,OisEngine)</f>
        <v>1</v>
      </c>
      <c r="D12" s="11" t="str">
        <f>Currency&amp;A12&amp;"x"&amp;A12+3&amp;"F"&amp;QuoteSuffix</f>
        <v>GBP1x4F_Quote</v>
      </c>
      <c r="E12" s="54">
        <f>_xll.qlCalendarAdvance(Calendar,SettlementDate,A12&amp;"M","mf")</f>
        <v>41890</v>
      </c>
      <c r="F12" s="55">
        <f>_xll.qlInterestRateIndexMaturity($A$8,E12)</f>
        <v>41981</v>
      </c>
      <c r="G12" s="51">
        <f>_xll.qlQuoteValue($D12,AllTriggers)</f>
        <v>5.9499999999999996E-3</v>
      </c>
      <c r="H12" s="15">
        <f>_xll.qlOvernightIndexedSwapFairRate(B12,_xll.ohTrigger(C12,InterestRatesTrigger))</f>
        <v>4.8391812638674796E-3</v>
      </c>
      <c r="I12" s="16">
        <f>G12-H12</f>
        <v>1.1108187361325199E-3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-1.8276217323832288E-6</v>
      </c>
      <c r="L12" s="15">
        <f>_xll.ohFilter($I$6:$I$9,$J$6:$J$9)-K12*_xll.ohFilter($P$6:$P$9,$J$6:$J$9)</f>
        <v>1.3941001046519205E-3</v>
      </c>
      <c r="M12" s="5"/>
      <c r="N12" s="113">
        <f t="shared" si="2"/>
        <v>32</v>
      </c>
      <c r="O12" s="113">
        <f t="shared" si="3"/>
        <v>123</v>
      </c>
      <c r="P12" s="5">
        <f t="shared" si="6"/>
        <v>155</v>
      </c>
      <c r="R12" s="92">
        <f t="shared" si="4"/>
        <v>6696.3333333333339</v>
      </c>
      <c r="S12" s="92">
        <f t="shared" si="5"/>
        <v>77.5</v>
      </c>
      <c r="T12" s="92">
        <v>1</v>
      </c>
      <c r="V12" s="92"/>
      <c r="W12" s="92"/>
      <c r="X12" s="92"/>
    </row>
    <row r="13" spans="1:34" x14ac:dyDescent="0.2">
      <c r="A13" s="1">
        <v>2</v>
      </c>
      <c r="B13" s="29" t="str">
        <f>_xll.qlMakeDatedOIS(,E13,F13,OvernightIndex,0,,,,EvaluationDate)</f>
        <v>obj_003fb#0003</v>
      </c>
      <c r="C13" s="12" t="b">
        <f>_xll.qlInstrumentSetPricingEngine(B13,OisEngine)</f>
        <v>1</v>
      </c>
      <c r="D13" s="11" t="str">
        <f>Currency&amp;A13&amp;"x"&amp;A13+3&amp;"F"&amp;QuoteSuffix</f>
        <v>GBP2x5F_Quote</v>
      </c>
      <c r="E13" s="54">
        <f>_xll.qlCalendarAdvance(Calendar,SettlementDate,A13&amp;"M","mf")</f>
        <v>41919</v>
      </c>
      <c r="F13" s="55">
        <f>_xll.qlInterestRateIndexMaturity($A$8,E13)</f>
        <v>42011</v>
      </c>
      <c r="G13" s="51">
        <f>_xll.qlQuoteValue($D13,AllTriggers)</f>
        <v>6.4000000000000003E-3</v>
      </c>
      <c r="H13" s="15">
        <f>_xll.qlOvernightIndexedSwapFairRate(B13,_xll.ohTrigger(C13,InterestRatesTrigger))</f>
        <v>5.2912248231556701E-3</v>
      </c>
      <c r="I13" s="16">
        <f>G13-H13</f>
        <v>1.1087751768443302E-3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-9.6052236416666514E-7</v>
      </c>
      <c r="L13" s="15">
        <f>_xll.ohFilter($I$6:$I$9,$J$6:$J$9)-K13*_xll.ohFilter($P$6:$P$9,$J$6:$J$9)</f>
        <v>1.3143269627759965E-3</v>
      </c>
      <c r="M13" s="5"/>
      <c r="N13" s="113">
        <f t="shared" si="2"/>
        <v>61</v>
      </c>
      <c r="O13" s="113">
        <f t="shared" si="3"/>
        <v>153</v>
      </c>
      <c r="P13" s="5">
        <f t="shared" si="6"/>
        <v>214</v>
      </c>
      <c r="R13" s="92">
        <f t="shared" si="4"/>
        <v>12154.333333333334</v>
      </c>
      <c r="S13" s="92">
        <f t="shared" si="5"/>
        <v>107</v>
      </c>
      <c r="T13" s="92">
        <v>1</v>
      </c>
      <c r="V13" s="92"/>
      <c r="W13" s="92"/>
      <c r="X13" s="92"/>
    </row>
    <row r="14" spans="1:34" x14ac:dyDescent="0.2">
      <c r="A14" s="1">
        <v>3</v>
      </c>
      <c r="B14" s="29" t="str">
        <f>_xll.qlMakeDatedOIS(,E14,F14,OvernightIndex,0,,,,EvaluationDate)</f>
        <v>obj_003fc#0003</v>
      </c>
      <c r="C14" s="12" t="b">
        <f>_xll.qlInstrumentSetPricingEngine(B14,OisEngine)</f>
        <v>1</v>
      </c>
      <c r="D14" s="11" t="str">
        <f>Currency&amp;A14&amp;"x"&amp;A14+3&amp;"F"&amp;QuoteSuffix</f>
        <v>GBP3x6F_Quote</v>
      </c>
      <c r="E14" s="54">
        <f>_xll.qlCalendarAdvance(Calendar,SettlementDate,A14&amp;"M","mf")</f>
        <v>41950</v>
      </c>
      <c r="F14" s="55">
        <f>_xll.qlInterestRateIndexMaturity($A$8,E14)</f>
        <v>42044</v>
      </c>
      <c r="G14" s="51">
        <f>_xll.qlQuoteValue($D14,AllTriggers)</f>
        <v>6.9999999999999993E-3</v>
      </c>
      <c r="H14" s="15">
        <f>_xll.qlOvernightIndexedSwapFairRate(B14,_xll.ohTrigger(C14,InterestRatesTrigger))</f>
        <v>5.8218290602187178E-3</v>
      </c>
      <c r="I14" s="16">
        <f>G14-H14</f>
        <v>1.1781709397812815E-3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-2.5692454565259036E-7</v>
      </c>
      <c r="L14" s="15">
        <f>_xll.ohFilter($I$6:$I$9,$J$6:$J$9)-K14*_xll.ohFilter($P$6:$P$9,$J$6:$J$9)</f>
        <v>1.2495959634727016E-3</v>
      </c>
      <c r="M14" s="5"/>
      <c r="N14" s="113">
        <f t="shared" si="2"/>
        <v>92</v>
      </c>
      <c r="O14" s="113">
        <f t="shared" si="3"/>
        <v>186</v>
      </c>
      <c r="P14" s="5">
        <f t="shared" si="6"/>
        <v>278</v>
      </c>
      <c r="R14" s="92">
        <f t="shared" si="4"/>
        <v>20057.333333333332</v>
      </c>
      <c r="S14" s="92">
        <f t="shared" si="5"/>
        <v>139</v>
      </c>
      <c r="T14" s="92">
        <v>1</v>
      </c>
      <c r="V14" s="92"/>
      <c r="W14" s="92"/>
      <c r="X14" s="92"/>
    </row>
    <row r="15" spans="1:34" x14ac:dyDescent="0.2">
      <c r="A15" s="1">
        <v>6</v>
      </c>
      <c r="B15" s="28" t="str">
        <f>_xll.qlMakeDatedOIS(,E15,F15,OvernightIndex,0,,,,EvaluationDate)</f>
        <v>obj_003f1#0003</v>
      </c>
      <c r="C15" s="8" t="b">
        <f>_xll.qlInstrumentSetPricingEngine(B15,OisEngine)</f>
        <v>1</v>
      </c>
      <c r="D15" s="103" t="str">
        <f>Currency&amp;A16&amp;"D_Quote"</f>
        <v>GBP6MD_Quote</v>
      </c>
      <c r="E15" s="104">
        <f>SettlementDate</f>
        <v>41858</v>
      </c>
      <c r="F15" s="105">
        <f>_xll.qlCalendarAdvance(Calendar,E15,A16,"mf")</f>
        <v>42044</v>
      </c>
      <c r="G15" s="106">
        <f>_xll.qlQuoteValue($D15,AllTriggers)</f>
        <v>7.1406000000000004E-3</v>
      </c>
      <c r="H15" s="107">
        <f>_xll.qlOvernightIndexedSwapFairRate(B15,_xll.ohTrigger(C15,InterestRatesTrigger))</f>
        <v>5.1164383555433249E-3</v>
      </c>
      <c r="I15" s="108">
        <f t="shared" si="1"/>
        <v>2.0241616444566755E-3</v>
      </c>
      <c r="J15" s="109" t="b">
        <v>0</v>
      </c>
      <c r="K15" s="110"/>
      <c r="L15" s="110"/>
      <c r="M15" s="110"/>
      <c r="N15" s="112">
        <f t="shared" si="2"/>
        <v>0</v>
      </c>
      <c r="O15" s="112">
        <f t="shared" si="3"/>
        <v>186</v>
      </c>
      <c r="P15" s="110">
        <f t="shared" ref="P15:P27" si="7">(O15^2-N15^2)/(O15-N15)</f>
        <v>186</v>
      </c>
      <c r="Q15" s="109"/>
      <c r="R15" s="123">
        <f t="shared" ref="R15:R27" si="8">(O15^3-N15^3)/3/(O15-N15)</f>
        <v>11532</v>
      </c>
      <c r="S15" s="123">
        <f t="shared" ref="S15:S27" si="9">(O15+N15)/2</f>
        <v>93</v>
      </c>
      <c r="T15" s="123">
        <v>1</v>
      </c>
    </row>
    <row r="16" spans="1:34" x14ac:dyDescent="0.2">
      <c r="A16" s="1" t="str">
        <f>_xll.qlPeriodEquivalent(A15&amp;"M")</f>
        <v>6M</v>
      </c>
      <c r="B16" s="57" t="str">
        <f>_xll.qlMakeDatedOIS(,E16,F16,OvernightIndex,0,,,,EvaluationDate)</f>
        <v>obj_00366#0007</v>
      </c>
      <c r="C16" s="12" t="b">
        <f>_xll.qlInstrumentSetPricingEngine(B16,OisEngine)</f>
        <v>1</v>
      </c>
      <c r="D16" s="96" t="str">
        <f>PROPER(Currency&amp;FamilyName)&amp;A16&amp;"LastFixing_Quote"</f>
        <v>Gbplibor6MLastFixing_Quote</v>
      </c>
      <c r="E16" s="97">
        <f>_xll.qlCalendarAdvance(Calendar,_xll.qlLastFixingQuoteReferenceDate(D16),_xll.qlInterestRateIndexFixingDays(A17)&amp;"D","f",,LastFixingsTrigger)</f>
        <v>41858</v>
      </c>
      <c r="F16" s="98">
        <f>F15</f>
        <v>42044</v>
      </c>
      <c r="G16" s="99">
        <f>_xll.qlQuoteValue(D16,AllTriggers)</f>
        <v>7.1406000000000004E-3</v>
      </c>
      <c r="H16" s="100">
        <f>_xll.qlOvernightIndexedSwapFairRate(B16,_xll.ohTrigger(C16,InterestRatesTrigger))</f>
        <v>5.1164383555433249E-3</v>
      </c>
      <c r="I16" s="101">
        <f t="shared" si="1"/>
        <v>2.0241616444566755E-3</v>
      </c>
      <c r="J16" s="109" t="b">
        <f>AND(ISERROR(I17),ISERROR(I18),NOT(ISERROR(I16)))</f>
        <v>1</v>
      </c>
      <c r="K16" s="110"/>
      <c r="L16" s="110"/>
      <c r="M16" s="110"/>
      <c r="N16" s="112">
        <f t="shared" si="2"/>
        <v>0</v>
      </c>
      <c r="O16" s="112">
        <f t="shared" si="3"/>
        <v>186</v>
      </c>
      <c r="P16" s="110">
        <f t="shared" si="7"/>
        <v>186</v>
      </c>
      <c r="Q16" s="109"/>
      <c r="R16" s="123">
        <f t="shared" si="8"/>
        <v>11532</v>
      </c>
      <c r="S16" s="123">
        <f t="shared" si="9"/>
        <v>93</v>
      </c>
      <c r="T16" s="123">
        <v>1</v>
      </c>
    </row>
    <row r="17" spans="1:34" x14ac:dyDescent="0.2">
      <c r="A17" s="1" t="str">
        <f>PROPER(Currency)&amp;FamilyName&amp;A16</f>
        <v>GbpLibor6M</v>
      </c>
      <c r="B17" s="29"/>
      <c r="C17" s="12"/>
      <c r="D17" s="96"/>
      <c r="E17" s="97"/>
      <c r="F17" s="98"/>
      <c r="G17" s="99"/>
      <c r="H17" s="100"/>
      <c r="I17" s="101" t="e">
        <f>NA()</f>
        <v>#N/A</v>
      </c>
      <c r="J17" s="109" t="b">
        <f>AND(E17&gt;E16,NOT(ISERROR(I17)))</f>
        <v>0</v>
      </c>
      <c r="K17" s="109"/>
      <c r="L17" s="109"/>
      <c r="M17" s="110"/>
      <c r="N17" s="112">
        <f t="shared" si="2"/>
        <v>-41858</v>
      </c>
      <c r="O17" s="112">
        <f t="shared" si="3"/>
        <v>-41858</v>
      </c>
      <c r="P17" s="110" t="e">
        <f t="shared" si="7"/>
        <v>#DIV/0!</v>
      </c>
      <c r="Q17" s="109"/>
      <c r="R17" s="123" t="e">
        <f t="shared" si="8"/>
        <v>#DIV/0!</v>
      </c>
      <c r="S17" s="123">
        <f t="shared" si="9"/>
        <v>-41858</v>
      </c>
      <c r="T17" s="123">
        <v>1</v>
      </c>
      <c r="AD17" s="1" t="s">
        <v>48</v>
      </c>
      <c r="AH17" s="1" t="s">
        <v>47</v>
      </c>
    </row>
    <row r="18" spans="1:34" x14ac:dyDescent="0.2">
      <c r="B18" s="29"/>
      <c r="C18" s="12"/>
      <c r="D18" s="96"/>
      <c r="E18" s="97"/>
      <c r="F18" s="98"/>
      <c r="G18" s="99"/>
      <c r="H18" s="100"/>
      <c r="I18" s="101" t="e">
        <f>NA()</f>
        <v>#N/A</v>
      </c>
      <c r="J18" s="109" t="b">
        <f>AND(NOT(J16),NOT(ISERROR(I18)))</f>
        <v>0</v>
      </c>
      <c r="K18" s="100">
        <f>AVERAGE(_xll.ohFilter(K19:K21,J19:J21))</f>
        <v>6.2899996138899024E-7</v>
      </c>
      <c r="L18" s="100">
        <f>_xll.ohFilter($I$15:$I$18,$J$15:$J$18)-K18*_xll.ohFilter($P$15:$P$18,$J$15:$J$18)</f>
        <v>1.9071676516383234E-3</v>
      </c>
      <c r="M18" s="110"/>
      <c r="N18" s="112">
        <f t="shared" si="2"/>
        <v>-41858</v>
      </c>
      <c r="O18" s="112">
        <f t="shared" si="3"/>
        <v>-41858</v>
      </c>
      <c r="P18" s="110" t="e">
        <f t="shared" si="7"/>
        <v>#DIV/0!</v>
      </c>
      <c r="Q18" s="109"/>
      <c r="R18" s="123" t="e">
        <f t="shared" si="8"/>
        <v>#DIV/0!</v>
      </c>
      <c r="S18" s="123">
        <f t="shared" si="9"/>
        <v>-41858</v>
      </c>
      <c r="T18" s="123">
        <v>1</v>
      </c>
      <c r="V18" s="83">
        <f t="array" ref="V18:V20">_xll.ohFilter(R15:R24,$J15:$J24)</f>
        <v>11532</v>
      </c>
      <c r="W18" s="84">
        <f t="array" ref="W18:W20">_xll.ohFilter(S15:S24,$J15:$J24)</f>
        <v>93</v>
      </c>
      <c r="X18" s="85">
        <f t="array" ref="X18:X20">_xll.ohFilter(T15:T24,$J15:$J24)</f>
        <v>1</v>
      </c>
      <c r="Z18" s="68">
        <f t="array" ref="Z18:Z20">MMULT(AD18:AF20,AB18:AB20)</f>
        <v>8.276429427852195E-8</v>
      </c>
      <c r="AB18" s="68">
        <f t="array" ref="AB18:AB20">_xll.ohFilter(I15:I24,$J15:$J24)</f>
        <v>2.0241616444566755E-3</v>
      </c>
      <c r="AD18" s="74">
        <f t="array" ref="AD18:AF20">MINVERSE(V18:X20)</f>
        <v>5.283550545966873E-4</v>
      </c>
      <c r="AE18" s="75">
        <v>-1.0749292490070536E-3</v>
      </c>
      <c r="AF18" s="76">
        <v>5.4657419441036614E-4</v>
      </c>
      <c r="AH18" s="71">
        <f t="array" ref="AH18:AH20">MMULT(V18:X20,Z18:Z20)-AB18:AB20</f>
        <v>-1.214306433183765E-17</v>
      </c>
    </row>
    <row r="19" spans="1:34" x14ac:dyDescent="0.2">
      <c r="A19" s="1">
        <v>1</v>
      </c>
      <c r="B19" s="29" t="str">
        <f>_xll.qlMakeDatedOIS(,E19,F19,OvernightIndex,0,,,,EvaluationDate)</f>
        <v>obj_003fd#0003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GBP1x7F_Quote</v>
      </c>
      <c r="E19" s="54">
        <f>_xll.qlCalendarAdvance(Calendar,SettlementDate,A19&amp;"M","mf")</f>
        <v>41890</v>
      </c>
      <c r="F19" s="55">
        <f>_xll.qlInterestRateIndexMaturity($A$17,E19)</f>
        <v>42072</v>
      </c>
      <c r="G19" s="27">
        <f>_xll.qlQuoteValue($D19,AllTriggers)</f>
        <v>7.6E-3</v>
      </c>
      <c r="H19" s="15">
        <f>_xll.qlOvernightIndexedSwapFairRate(B19,_xll.ohTrigger(C19,InterestRatesTrigger))</f>
        <v>5.5871606141064218E-3</v>
      </c>
      <c r="I19" s="16">
        <f t="shared" ref="I19:I24" si="11">G19-H19</f>
        <v>2.0128393858935782E-3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-1.8870430938495649E-7</v>
      </c>
      <c r="L19" s="15">
        <f>_xll.ohFilter($I$15:$I$18,$J$15:$J$18)-K19*_xll.ohFilter($P$15:$P$18,$J$15:$J$18)</f>
        <v>2.0592606460022775E-3</v>
      </c>
      <c r="M19" s="5"/>
      <c r="N19" s="113">
        <f t="shared" si="2"/>
        <v>32</v>
      </c>
      <c r="O19" s="113">
        <f t="shared" si="3"/>
        <v>214</v>
      </c>
      <c r="P19" s="5">
        <f t="shared" si="7"/>
        <v>246</v>
      </c>
      <c r="R19" s="92">
        <f t="shared" si="8"/>
        <v>17889.333333333332</v>
      </c>
      <c r="S19" s="92">
        <f t="shared" si="9"/>
        <v>123</v>
      </c>
      <c r="T19" s="92">
        <v>1</v>
      </c>
      <c r="V19" s="86">
        <v>17889.333333333332</v>
      </c>
      <c r="W19" s="87">
        <v>123</v>
      </c>
      <c r="X19" s="88">
        <v>1</v>
      </c>
      <c r="Y19" s="59" t="s">
        <v>44</v>
      </c>
      <c r="Z19" s="69">
        <v>-1.7916082179658622E-5</v>
      </c>
      <c r="AA19" s="59" t="s">
        <v>45</v>
      </c>
      <c r="AB19" s="69">
        <v>2.0128393858935782E-3</v>
      </c>
      <c r="AD19" s="77">
        <v>-0.14529764001408907</v>
      </c>
      <c r="AE19" s="78">
        <v>0.26112278485625018</v>
      </c>
      <c r="AF19" s="79">
        <v>-0.11582514484216112</v>
      </c>
      <c r="AH19" s="72">
        <v>-1.6913553890773869E-17</v>
      </c>
    </row>
    <row r="20" spans="1:34" x14ac:dyDescent="0.2">
      <c r="A20" s="1">
        <v>2</v>
      </c>
      <c r="B20" s="29" t="str">
        <f>_xll.qlMakeDatedOIS(,E20,F20,OvernightIndex,0,,,,EvaluationDate)</f>
        <v>obj_00400#0003</v>
      </c>
      <c r="C20" s="12" t="b">
        <f>_xll.qlInstrumentSetPricingEngine(B20,OisEngine)</f>
        <v>1</v>
      </c>
      <c r="D20" s="11" t="str">
        <f t="shared" si="10"/>
        <v>GBP2x8F_Quote</v>
      </c>
      <c r="E20" s="54">
        <f>_xll.qlCalendarAdvance(Calendar,SettlementDate,A20&amp;"M","mf")</f>
        <v>41919</v>
      </c>
      <c r="F20" s="55">
        <f>_xll.qlInterestRateIndexMaturity($A$17,E20)</f>
        <v>42101</v>
      </c>
      <c r="G20" s="27">
        <f>_xll.qlQuoteValue($D20,AllTriggers)</f>
        <v>8.2500000000000004E-3</v>
      </c>
      <c r="H20" s="15">
        <f>_xll.qlOvernightIndexedSwapFairRate(B20,_xll.ohTrigger(C20,InterestRatesTrigger))</f>
        <v>6.0966817504453045E-3</v>
      </c>
      <c r="I20" s="16">
        <f t="shared" si="11"/>
        <v>2.1533182495546959E-3</v>
      </c>
      <c r="J20" s="1" t="b">
        <f t="shared" si="12"/>
        <v>1</v>
      </c>
      <c r="K20" s="15">
        <f>(I20-_xll.ohFilter($I$15:$I$18,$J$15:$J$18))/(P20-_xll.ohFilter($P$15:$P$18,$J$15:$J$18))</f>
        <v>1.094547500830681E-6</v>
      </c>
      <c r="L20" s="15">
        <f>_xll.ohFilter($I$15:$I$18,$J$15:$J$18)-K20*_xll.ohFilter($P$15:$P$18,$J$15:$J$18)</f>
        <v>1.820575809302169E-3</v>
      </c>
      <c r="M20" s="5"/>
      <c r="N20" s="113">
        <f t="shared" si="2"/>
        <v>61</v>
      </c>
      <c r="O20" s="113">
        <f t="shared" si="3"/>
        <v>243</v>
      </c>
      <c r="P20" s="5">
        <f t="shared" si="7"/>
        <v>304</v>
      </c>
      <c r="R20" s="92">
        <f t="shared" si="8"/>
        <v>25864.333333333336</v>
      </c>
      <c r="S20" s="92">
        <f t="shared" si="9"/>
        <v>152</v>
      </c>
      <c r="T20" s="92">
        <v>1</v>
      </c>
      <c r="V20" s="89">
        <v>25864.333333333336</v>
      </c>
      <c r="W20" s="90">
        <v>152</v>
      </c>
      <c r="X20" s="91">
        <v>1</v>
      </c>
      <c r="Z20" s="70">
        <v>2.7359194455450001E-3</v>
      </c>
      <c r="AB20" s="70">
        <v>2.1533182495546959E-3</v>
      </c>
      <c r="AD20" s="80">
        <v>8.4196900317012844</v>
      </c>
      <c r="AE20" s="81">
        <v>-11.888334892081925</v>
      </c>
      <c r="AF20" s="82">
        <v>4.4686448603806408</v>
      </c>
      <c r="AH20" s="73">
        <v>-2.1684043449710089E-17</v>
      </c>
    </row>
    <row r="21" spans="1:34" x14ac:dyDescent="0.2">
      <c r="A21" s="1">
        <v>3</v>
      </c>
      <c r="B21" s="29" t="str">
        <f>_xll.qlMakeDatedOIS(,E21,F21,OvernightIndex,0,,,,EvaluationDate)</f>
        <v>obj_00403#0003</v>
      </c>
      <c r="C21" s="12" t="b">
        <f>_xll.qlInstrumentSetPricingEngine(B21,OisEngine)</f>
        <v>1</v>
      </c>
      <c r="D21" s="11" t="str">
        <f t="shared" si="10"/>
        <v>GBP3x9F_Quote</v>
      </c>
      <c r="E21" s="54">
        <f>_xll.qlCalendarAdvance(Calendar,SettlementDate,A21&amp;"M","mf")</f>
        <v>41950</v>
      </c>
      <c r="F21" s="55">
        <f>_xll.qlInterestRateIndexMaturity($A$17,E21)</f>
        <v>42131</v>
      </c>
      <c r="G21" s="27">
        <f>_xll.qlQuoteValue($D21,AllTriggers)</f>
        <v>8.8500000000000002E-3</v>
      </c>
      <c r="H21" s="15">
        <f>_xll.qlOvernightIndexedSwapFairRate(B21,_xll.ohTrigger(C21,InterestRatesTrigger))</f>
        <v>6.6502113075462216E-3</v>
      </c>
      <c r="I21" s="16">
        <f t="shared" si="11"/>
        <v>2.1997886924537786E-3</v>
      </c>
      <c r="J21" s="1" t="b">
        <f t="shared" si="12"/>
        <v>1</v>
      </c>
      <c r="K21" s="15">
        <f>(I21-_xll.ohFilter($I$15:$I$18,$J$15:$J$18))/(P21-_xll.ohFilter($P$15:$P$18,$J$15:$J$18))</f>
        <v>9.8115669272124627E-7</v>
      </c>
      <c r="L21" s="15">
        <f>_xll.ohFilter($I$15:$I$18,$J$15:$J$18)-K21*_xll.ohFilter($P$15:$P$18,$J$15:$J$18)</f>
        <v>1.8416664996105238E-3</v>
      </c>
      <c r="M21" s="5"/>
      <c r="N21" s="113">
        <f t="shared" si="2"/>
        <v>92</v>
      </c>
      <c r="O21" s="113">
        <f t="shared" si="3"/>
        <v>273</v>
      </c>
      <c r="P21" s="5">
        <f t="shared" si="7"/>
        <v>365</v>
      </c>
      <c r="R21" s="92">
        <f t="shared" si="8"/>
        <v>36036.333333333328</v>
      </c>
      <c r="S21" s="92">
        <f t="shared" si="9"/>
        <v>182.5</v>
      </c>
      <c r="T21" s="92">
        <v>1</v>
      </c>
      <c r="V21" s="92"/>
      <c r="W21" s="92"/>
      <c r="X21" s="92"/>
      <c r="AB21" s="58"/>
    </row>
    <row r="22" spans="1:34" x14ac:dyDescent="0.2">
      <c r="A22" s="1">
        <v>4</v>
      </c>
      <c r="B22" s="29" t="str">
        <f>_xll.qlMakeDatedOIS(,E22,F22,OvernightIndex,0,,,,EvaluationDate)</f>
        <v>obj_003f7#0003</v>
      </c>
      <c r="C22" s="12" t="b">
        <f>_xll.qlInstrumentSetPricingEngine(B22,OisEngine)</f>
        <v>1</v>
      </c>
      <c r="D22" s="11" t="str">
        <f t="shared" si="10"/>
        <v>GBP4x10F_Quote</v>
      </c>
      <c r="E22" s="54">
        <f>_xll.qlCalendarAdvance(Calendar,SettlementDate,A22&amp;"M","mf")</f>
        <v>41981</v>
      </c>
      <c r="F22" s="55">
        <f>_xll.qlInterestRateIndexMaturity($A$17,E22)</f>
        <v>42163</v>
      </c>
      <c r="G22" s="27">
        <f>_xll.qlQuoteValue($D22,AllTriggers)</f>
        <v>9.3500000000000007E-3</v>
      </c>
      <c r="H22" s="15">
        <f>_xll.qlOvernightIndexedSwapFairRate(B22,_xll.ohTrigger(C22,InterestRatesTrigger))</f>
        <v>7.2352949835807999E-3</v>
      </c>
      <c r="I22" s="16">
        <f t="shared" si="11"/>
        <v>2.1147050164192008E-3</v>
      </c>
      <c r="J22" s="1" t="b">
        <f t="shared" si="12"/>
        <v>1</v>
      </c>
      <c r="K22" s="15">
        <f>(I22-_xll.ohFilter($I$15:$I$18,$J$15:$J$18))/(P22-_xll.ohFilter($P$15:$P$18,$J$15:$J$18))</f>
        <v>3.741461651344018E-7</v>
      </c>
      <c r="L22" s="15">
        <f>_xll.ohFilter($I$15:$I$18,$J$15:$J$18)-K22*_xll.ohFilter($P$15:$P$18,$J$15:$J$18)</f>
        <v>1.9545704577416767E-3</v>
      </c>
      <c r="M22" s="5"/>
      <c r="N22" s="113">
        <f t="shared" si="2"/>
        <v>123</v>
      </c>
      <c r="O22" s="113">
        <f t="shared" si="3"/>
        <v>305</v>
      </c>
      <c r="P22" s="5">
        <f t="shared" si="7"/>
        <v>428</v>
      </c>
      <c r="R22" s="92">
        <f t="shared" si="8"/>
        <v>48556.333333333328</v>
      </c>
      <c r="S22" s="92">
        <f t="shared" si="9"/>
        <v>214</v>
      </c>
      <c r="T22" s="92">
        <v>1</v>
      </c>
      <c r="V22" s="92"/>
      <c r="W22" s="92"/>
      <c r="X22" s="92"/>
      <c r="AB22" s="58"/>
    </row>
    <row r="23" spans="1:34" x14ac:dyDescent="0.2">
      <c r="A23" s="1">
        <v>5</v>
      </c>
      <c r="B23" s="29" t="str">
        <f>_xll.qlMakeDatedOIS(,E23,F23,OvernightIndex,0,,,,EvaluationDate)</f>
        <v>obj_003fe#0003</v>
      </c>
      <c r="C23" s="12" t="b">
        <f>_xll.qlInstrumentSetPricingEngine(B23,OisEngine)</f>
        <v>1</v>
      </c>
      <c r="D23" s="11" t="str">
        <f t="shared" si="10"/>
        <v>GBP5x11F_Quote</v>
      </c>
      <c r="E23" s="54">
        <f>_xll.qlCalendarAdvance(Calendar,SettlementDate,A23&amp;"M","mf")</f>
        <v>42011</v>
      </c>
      <c r="F23" s="55">
        <f>_xll.qlInterestRateIndexMaturity($A$17,E23)</f>
        <v>42192</v>
      </c>
      <c r="G23" s="27">
        <f>_xll.qlQuoteValue($D23,AllTriggers)</f>
        <v>1.01E-2</v>
      </c>
      <c r="H23" s="15">
        <f>_xll.qlOvernightIndexedSwapFairRate(B23,_xll.ohTrigger(C23,InterestRatesTrigger))</f>
        <v>7.8130595400485829E-3</v>
      </c>
      <c r="I23" s="16">
        <f t="shared" si="11"/>
        <v>2.2869404599514167E-3</v>
      </c>
      <c r="J23" s="1" t="b">
        <f t="shared" si="12"/>
        <v>1</v>
      </c>
      <c r="K23" s="15">
        <f>(I23-_xll.ohFilter($I$15:$I$18,$J$15:$J$18))/(P23-_xll.ohFilter($P$15:$P$18,$J$15:$J$18))</f>
        <v>8.7301932058053535E-7</v>
      </c>
      <c r="L23" s="15">
        <f>_xll.ohFilter($I$15:$I$18,$J$15:$J$18)-K23*_xll.ohFilter($P$15:$P$18,$J$15:$J$18)</f>
        <v>1.861780050828696E-3</v>
      </c>
      <c r="M23" s="5"/>
      <c r="N23" s="113">
        <f t="shared" si="2"/>
        <v>153</v>
      </c>
      <c r="O23" s="113">
        <f t="shared" si="3"/>
        <v>334</v>
      </c>
      <c r="P23" s="5">
        <f t="shared" si="7"/>
        <v>487</v>
      </c>
      <c r="R23" s="92">
        <f t="shared" si="8"/>
        <v>62022.333333333336</v>
      </c>
      <c r="S23" s="92">
        <f t="shared" si="9"/>
        <v>243.5</v>
      </c>
      <c r="T23" s="92">
        <v>1</v>
      </c>
      <c r="V23" s="92"/>
      <c r="W23" s="92"/>
      <c r="X23" s="92"/>
      <c r="AB23" s="58"/>
    </row>
    <row r="24" spans="1:34" x14ac:dyDescent="0.2">
      <c r="A24" s="1">
        <v>6</v>
      </c>
      <c r="B24" s="29" t="str">
        <f>_xll.qlMakeDatedOIS(,E24,F24,OvernightIndex,0,,,,EvaluationDate)</f>
        <v>obj_003ff#0003</v>
      </c>
      <c r="C24" s="12" t="b">
        <f>_xll.qlInstrumentSetPricingEngine(B24,OisEngine)</f>
        <v>1</v>
      </c>
      <c r="D24" s="11" t="str">
        <f t="shared" si="10"/>
        <v>GBP6x12F_Quote</v>
      </c>
      <c r="E24" s="54">
        <f>_xll.qlCalendarAdvance(Calendar,SettlementDate,A24&amp;"M","mf")</f>
        <v>42044</v>
      </c>
      <c r="F24" s="55">
        <f>_xll.qlInterestRateIndexMaturity($A$17,E24)</f>
        <v>42226</v>
      </c>
      <c r="G24" s="27">
        <f>_xll.qlQuoteValue($D24,AllTriggers)</f>
        <v>1.0899999999999998E-2</v>
      </c>
      <c r="H24" s="15">
        <f>_xll.qlOvernightIndexedSwapFairRate(B24,_xll.ohTrigger(C24,InterestRatesTrigger))</f>
        <v>8.5190993078986515E-3</v>
      </c>
      <c r="I24" s="16">
        <f t="shared" si="11"/>
        <v>2.3809006921013467E-3</v>
      </c>
      <c r="J24" s="1" t="b">
        <f t="shared" si="12"/>
        <v>1</v>
      </c>
      <c r="K24" s="15">
        <f>(I24-_xll.ohFilter($I$15:$I$18,$J$15:$J$18))/(P24-_xll.ohFilter($P$15:$P$18,$J$15:$J$18))</f>
        <v>9.6939958599095429E-7</v>
      </c>
      <c r="L24" s="15">
        <f>_xll.ohFilter($I$15:$I$18,$J$15:$J$18)-K24*_xll.ohFilter($P$15:$P$18,$J$15:$J$18)</f>
        <v>1.8438533214623579E-3</v>
      </c>
      <c r="M24" s="5"/>
      <c r="N24" s="113">
        <f t="shared" si="2"/>
        <v>186</v>
      </c>
      <c r="O24" s="113">
        <f t="shared" si="3"/>
        <v>368</v>
      </c>
      <c r="P24" s="5">
        <f t="shared" si="7"/>
        <v>554</v>
      </c>
      <c r="R24" s="92">
        <f t="shared" si="8"/>
        <v>79489.333333333328</v>
      </c>
      <c r="S24" s="92">
        <f t="shared" si="9"/>
        <v>277</v>
      </c>
      <c r="T24" s="92">
        <v>1</v>
      </c>
    </row>
    <row r="25" spans="1:34" x14ac:dyDescent="0.2">
      <c r="A25" s="1">
        <v>12</v>
      </c>
      <c r="B25" s="28" t="str">
        <f>_xll.qlMakeDatedOIS(,E25,F25,OvernightIndex,0,,,,EvaluationDate)</f>
        <v>obj_003f3#0003</v>
      </c>
      <c r="C25" s="8" t="b">
        <f>_xll.qlInstrumentSetPricingEngine(B25,OisEngine)</f>
        <v>1</v>
      </c>
      <c r="D25" s="103" t="str">
        <f>Currency&amp;A26&amp;"D_Quote"</f>
        <v>GBP1YD_Quote</v>
      </c>
      <c r="E25" s="104">
        <f>SettlementDate</f>
        <v>41858</v>
      </c>
      <c r="F25" s="105">
        <f>_xll.qlCalendarAdvance(Calendar,E25,A26,"mf")</f>
        <v>42223</v>
      </c>
      <c r="G25" s="106">
        <f>_xll.qlQuoteValue($D25,AllTriggers)</f>
        <v>1.0678800000000002E-2</v>
      </c>
      <c r="H25" s="107">
        <f>_xll.qlOvernightIndexedSwapFairRate(B25,_xll.ohTrigger(C25,InterestRatesTrigger))</f>
        <v>6.7808219175112166E-3</v>
      </c>
      <c r="I25" s="108">
        <f t="shared" si="1"/>
        <v>3.8979780824887856E-3</v>
      </c>
      <c r="J25" s="109" t="b">
        <v>0</v>
      </c>
      <c r="K25" s="109"/>
      <c r="L25" s="109"/>
      <c r="M25" s="110"/>
      <c r="N25" s="112">
        <f t="shared" si="2"/>
        <v>0</v>
      </c>
      <c r="O25" s="112">
        <f t="shared" si="3"/>
        <v>365</v>
      </c>
      <c r="P25" s="110">
        <f t="shared" si="7"/>
        <v>365</v>
      </c>
      <c r="Q25" s="109"/>
      <c r="R25" s="123">
        <f t="shared" si="8"/>
        <v>44408.333333333328</v>
      </c>
      <c r="S25" s="123">
        <f t="shared" si="9"/>
        <v>182.5</v>
      </c>
      <c r="T25" s="123">
        <v>1</v>
      </c>
    </row>
    <row r="26" spans="1:34" x14ac:dyDescent="0.2">
      <c r="A26" s="1" t="str">
        <f>_xll.qlPeriodEquivalent(A25&amp;"M")</f>
        <v>1Y</v>
      </c>
      <c r="B26" s="29" t="str">
        <f>_xll.qlMakeDatedOIS(,E26,F26,OvernightIndex,0,,,,EvaluationDate)</f>
        <v>obj_00364#0007</v>
      </c>
      <c r="C26" s="12" t="b">
        <f>_xll.qlInstrumentSetPricingEngine(B26,OisEngine)</f>
        <v>1</v>
      </c>
      <c r="D26" s="96" t="str">
        <f>PROPER(Currency&amp;FamilyName)&amp;A26&amp;"LastFixing_Quote"</f>
        <v>Gbplibor1YLastFixing_Quote</v>
      </c>
      <c r="E26" s="97">
        <f>_xll.qlCalendarAdvance(Calendar,_xll.qlLastFixingQuoteReferenceDate(D26),_xll.qlInterestRateIndexFixingDays(A27)&amp;"D","f",,LastFixingsTrigger)</f>
        <v>41858</v>
      </c>
      <c r="F26" s="98">
        <f>F25</f>
        <v>42223</v>
      </c>
      <c r="G26" s="99">
        <f>_xll.qlQuoteValue(D26,AllTriggers)</f>
        <v>1.0678800000000002E-2</v>
      </c>
      <c r="H26" s="100">
        <f>_xll.qlOvernightIndexedSwapFairRate(B26,_xll.ohTrigger(C26,InterestRatesTrigger))</f>
        <v>6.7808219175112166E-3</v>
      </c>
      <c r="I26" s="101">
        <f t="shared" si="1"/>
        <v>3.8979780824887856E-3</v>
      </c>
      <c r="J26" s="109" t="b">
        <f>NOT(ISERROR(I26))</f>
        <v>1</v>
      </c>
      <c r="K26" s="111">
        <f>K27</f>
        <v>1.7641445616794093E-6</v>
      </c>
      <c r="L26" s="100">
        <f>L27</f>
        <v>3.2540653174758013E-3</v>
      </c>
      <c r="M26" s="110"/>
      <c r="N26" s="112">
        <f t="shared" si="2"/>
        <v>0</v>
      </c>
      <c r="O26" s="112">
        <f t="shared" si="3"/>
        <v>365</v>
      </c>
      <c r="P26" s="110">
        <f t="shared" si="7"/>
        <v>365</v>
      </c>
      <c r="Q26" s="109"/>
      <c r="R26" s="123">
        <f t="shared" si="8"/>
        <v>44408.333333333328</v>
      </c>
      <c r="S26" s="123">
        <f t="shared" si="9"/>
        <v>182.5</v>
      </c>
      <c r="T26" s="123">
        <v>1</v>
      </c>
    </row>
    <row r="27" spans="1:34" x14ac:dyDescent="0.2">
      <c r="A27" s="1" t="str">
        <f>PROPER(Currency)&amp;FamilyName&amp;A26</f>
        <v>GbpLibor1Y</v>
      </c>
      <c r="B27" s="29" t="str">
        <f>_xll.qlMakeDatedOIS(,E27,F27,OvernightIndex,0,,,,EvaluationDate)</f>
        <v>obj_00402#0003</v>
      </c>
      <c r="C27" s="12" t="b">
        <f>_xll.qlInstrumentSetPricingEngine(B27,OisEngine)</f>
        <v>1</v>
      </c>
      <c r="D27" s="11" t="str">
        <f>Currency&amp;"12x24F"&amp;QuoteSuffix</f>
        <v>GBP12x24F_Quote</v>
      </c>
      <c r="E27" s="54">
        <f>_xll.qlCalendarAdvance(Calendar,SettlementDate,"12M","mf")</f>
        <v>42223</v>
      </c>
      <c r="F27" s="55">
        <f>_xll.qlInterestRateIndexMaturity(A27,E27)</f>
        <v>42590</v>
      </c>
      <c r="G27" s="27">
        <f>_xll.qlQuoteValue($D27,AllTriggers)</f>
        <v>1.9500000000000003E-2</v>
      </c>
      <c r="H27" s="15">
        <f>_xll.qlOvernightIndexedSwapFairRate(B27,_xll.ohTrigger(C27,InterestRatesTrigger))</f>
        <v>1.431066809836189E-2</v>
      </c>
      <c r="I27" s="16">
        <f t="shared" si="1"/>
        <v>5.1893319016381133E-3</v>
      </c>
      <c r="J27" s="1" t="b">
        <f>NOT(ISERROR(I27))</f>
        <v>1</v>
      </c>
      <c r="K27" s="15">
        <f>(I27-_xll.ohFilter($I$25:$I$26,$J$25:$J$26))/(P27-_xll.ohFilter($P$25:$P$26,$J$25:$J$26))</f>
        <v>1.7641445616794093E-6</v>
      </c>
      <c r="L27" s="15">
        <f>_xll.ohFilter($I$25:$I$26,$J$25:$J$26)-K27*_xll.ohFilter($P$25:$P$26,$J$25:$J$26)</f>
        <v>3.2540653174758013E-3</v>
      </c>
      <c r="M27" s="5"/>
      <c r="N27" s="113">
        <f t="shared" si="2"/>
        <v>365</v>
      </c>
      <c r="O27" s="113">
        <f t="shared" si="3"/>
        <v>732</v>
      </c>
      <c r="P27" s="5">
        <f t="shared" si="7"/>
        <v>1097</v>
      </c>
      <c r="R27" s="92">
        <f t="shared" si="8"/>
        <v>312076.33333333331</v>
      </c>
      <c r="S27" s="92">
        <f t="shared" si="9"/>
        <v>548.5</v>
      </c>
      <c r="T27" s="92">
        <v>1</v>
      </c>
    </row>
    <row r="28" spans="1:34" x14ac:dyDescent="0.2">
      <c r="B28" s="7"/>
      <c r="C28" s="7"/>
      <c r="D28" s="60"/>
      <c r="E28" s="60"/>
      <c r="F28" s="60"/>
      <c r="G28" s="60"/>
      <c r="H28" s="60"/>
      <c r="I28" s="61"/>
      <c r="O28" s="62"/>
      <c r="S28" s="62"/>
      <c r="T28" s="62"/>
      <c r="U28" s="62"/>
      <c r="V28" s="62"/>
      <c r="W28" s="62"/>
      <c r="X28" s="62"/>
      <c r="AA28" s="62"/>
    </row>
    <row r="29" spans="1:34" x14ac:dyDescent="0.2">
      <c r="G29" s="59" t="s">
        <v>38</v>
      </c>
      <c r="H29" s="59" t="s">
        <v>38</v>
      </c>
      <c r="I29" s="59" t="s">
        <v>38</v>
      </c>
      <c r="J29" s="59" t="s">
        <v>38</v>
      </c>
    </row>
    <row r="30" spans="1:34" x14ac:dyDescent="0.2">
      <c r="A30" s="6"/>
      <c r="B30" s="6"/>
      <c r="C30" s="6"/>
      <c r="D30" s="6"/>
      <c r="E30" s="6"/>
      <c r="F30" s="6"/>
      <c r="G30" s="59" t="b">
        <v>0</v>
      </c>
      <c r="H30" s="59" t="b">
        <v>0</v>
      </c>
      <c r="I30" s="59" t="b">
        <v>0</v>
      </c>
      <c r="J30" s="59" t="b">
        <v>0</v>
      </c>
      <c r="M30" s="95" t="s">
        <v>46</v>
      </c>
      <c r="O30" s="59" t="b">
        <v>1</v>
      </c>
      <c r="P30" s="59" t="b">
        <v>1</v>
      </c>
      <c r="U30" s="117" t="s">
        <v>46</v>
      </c>
      <c r="V30" s="118">
        <f>Z9</f>
        <v>-2.1121728508537129E-8</v>
      </c>
      <c r="W30" s="13">
        <f>Z18</f>
        <v>8.276429427852195E-8</v>
      </c>
    </row>
    <row r="31" spans="1:34" x14ac:dyDescent="0.2">
      <c r="F31" s="44" t="s">
        <v>31</v>
      </c>
      <c r="G31" s="37">
        <f>_xll.ohFilter(I2:I3,J2:J3)</f>
        <v>7.7140411050105346E-4</v>
      </c>
      <c r="H31" s="38">
        <f>_xll.ohFilter(I6:I9,J6:J9)</f>
        <v>1.2259589052726633E-3</v>
      </c>
      <c r="I31" s="38">
        <f>_xll.ohFilter(I15:I18,J15:J18)</f>
        <v>2.0241616444566755E-3</v>
      </c>
      <c r="J31" s="39">
        <f>_xll.ohFilter(I25:I26,J25:J26)</f>
        <v>3.8979780824887856E-3</v>
      </c>
      <c r="M31" s="59" t="s">
        <v>43</v>
      </c>
      <c r="N31" s="58">
        <f>K4</f>
        <v>1.3095918283131879E-8</v>
      </c>
      <c r="O31" s="58">
        <f>K9</f>
        <v>-1.8757137103453473E-6</v>
      </c>
      <c r="P31" s="58">
        <f>AVERAGE(K19:K21)</f>
        <v>6.2899996138899024E-7</v>
      </c>
      <c r="Q31" s="58">
        <f>K26</f>
        <v>1.7641445616794093E-6</v>
      </c>
      <c r="U31" s="119" t="s">
        <v>43</v>
      </c>
      <c r="V31" s="64">
        <f>Z10</f>
        <v>-1.0569355926845275E-6</v>
      </c>
      <c r="W31" s="16">
        <f>Z19</f>
        <v>-1.7916082179658622E-5</v>
      </c>
    </row>
    <row r="32" spans="1:34" x14ac:dyDescent="0.2">
      <c r="F32" s="44" t="s">
        <v>30</v>
      </c>
      <c r="G32" s="37">
        <f>IF(G31&lt;H31,G31,H31)</f>
        <v>7.7140411050105346E-4</v>
      </c>
      <c r="H32" s="38">
        <f>H31</f>
        <v>1.2259589052726633E-3</v>
      </c>
      <c r="I32" s="38">
        <f>IF(I31&lt;H31,H31,I31)</f>
        <v>2.0241616444566755E-3</v>
      </c>
      <c r="J32" s="39">
        <f>IF(J31&lt;I31,I31,J31)</f>
        <v>3.8979780824887856E-3</v>
      </c>
      <c r="M32" s="59" t="s">
        <v>42</v>
      </c>
      <c r="N32" s="58">
        <f>L4</f>
        <v>7.7098504111599328E-4</v>
      </c>
      <c r="O32" s="58">
        <f>L9</f>
        <v>1.3985245666244353E-3</v>
      </c>
      <c r="P32" s="58">
        <f>L18</f>
        <v>1.9071676516383234E-3</v>
      </c>
      <c r="Q32" s="58">
        <f>L26</f>
        <v>3.2540653174758013E-3</v>
      </c>
      <c r="U32" s="119" t="s">
        <v>42</v>
      </c>
      <c r="V32" s="64">
        <f>Z11</f>
        <v>1.3341693792349053E-3</v>
      </c>
      <c r="W32" s="16">
        <f>Z20</f>
        <v>2.7359194455450001E-3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41</v>
      </c>
      <c r="L33" s="20" t="s">
        <v>34</v>
      </c>
      <c r="N33" s="17" t="s">
        <v>9</v>
      </c>
      <c r="O33" s="18" t="s">
        <v>3</v>
      </c>
      <c r="P33" s="18" t="s">
        <v>15</v>
      </c>
      <c r="Q33" s="20" t="s">
        <v>24</v>
      </c>
      <c r="U33" s="120"/>
      <c r="V33" s="18" t="s">
        <v>3</v>
      </c>
      <c r="W33" s="20" t="s">
        <v>15</v>
      </c>
    </row>
    <row r="34" spans="2:23" x14ac:dyDescent="0.2">
      <c r="B34" s="28" t="str">
        <f>_xll.qlMakeDatedOIS(,E34,F34,OvernightIndex,0,,,,EvaluationDate)</f>
        <v>obj_003e1#0003</v>
      </c>
      <c r="C34" s="7" t="b">
        <f>_xll.qlInstrumentSetPricingEngine(B34,OisEngine)</f>
        <v>1</v>
      </c>
      <c r="D34" s="21" t="s">
        <v>14</v>
      </c>
      <c r="E34" s="52">
        <f t="shared" ref="E34:E49" si="13">SettlementDate</f>
        <v>41858</v>
      </c>
      <c r="F34" s="22">
        <f>_xll.qlCalendarAdvance(Calendar,SettlementDate,D34,"Following")</f>
        <v>41859</v>
      </c>
      <c r="G34" s="32">
        <f t="shared" ref="G34:J38" si="14">$L34+IF(G$30,G$32,N34)</f>
        <v>5.3942858082957979E-3</v>
      </c>
      <c r="H34" s="32">
        <f t="shared" si="14"/>
        <v>5.9569215421239148E-3</v>
      </c>
      <c r="I34" s="32">
        <f t="shared" si="14"/>
        <v>7.3502766638147855E-3</v>
      </c>
      <c r="J34" s="32">
        <f t="shared" si="14"/>
        <v>7.8791171332990018E-3</v>
      </c>
      <c r="K34" s="228">
        <f>F34-$E$7</f>
        <v>1</v>
      </c>
      <c r="L34" s="2">
        <f>_xll.qlOvernightIndexedSwapFairRate(B34,_xll.ohTrigger(C34,InterestRatesTrigger))</f>
        <v>4.6232876712615214E-3</v>
      </c>
      <c r="N34" s="63">
        <f>N$31*$K34+N$32</f>
        <v>7.7099813703427646E-4</v>
      </c>
      <c r="O34" s="64">
        <f t="shared" ref="O34:P40" si="15">IF(O$30,V34,O$31*$K34+O$32)</f>
        <v>1.3336338708623936E-3</v>
      </c>
      <c r="P34" s="64">
        <f t="shared" si="15"/>
        <v>2.7269889925532636E-3</v>
      </c>
      <c r="Q34" s="16">
        <f t="shared" ref="Q34:Q49" si="16">Q$31*$K34+Q$32</f>
        <v>3.2558294620374808E-3</v>
      </c>
      <c r="U34" s="21" t="s">
        <v>14</v>
      </c>
      <c r="V34" s="64">
        <f t="shared" ref="V34:W40" si="17">$K34*$K34/3*V$30+$K34/2*V$31+V$32</f>
        <v>1.3336338708623936E-3</v>
      </c>
      <c r="W34" s="16">
        <f t="shared" si="17"/>
        <v>2.7269889925532636E-3</v>
      </c>
    </row>
    <row r="35" spans="2:23" x14ac:dyDescent="0.2">
      <c r="B35" s="29" t="str">
        <f>_xll.qlMakeDatedOIS(,E35,F35,OvernightIndex,0,,,,EvaluationDate)</f>
        <v>obj_003d0#0003</v>
      </c>
      <c r="C35" s="5" t="b">
        <f>_xll.qlInstrumentSetPricingEngine(B35,OisEngine)</f>
        <v>1</v>
      </c>
      <c r="D35" s="23" t="s">
        <v>4</v>
      </c>
      <c r="E35" s="54">
        <f t="shared" si="13"/>
        <v>41858</v>
      </c>
      <c r="F35" s="24">
        <f>_xll.qlCalendarAdvance(Calendar,SettlementDate,D35,"Following")</f>
        <v>41865</v>
      </c>
      <c r="G35" s="32">
        <f t="shared" si="14"/>
        <v>4.9875150559665479E-3</v>
      </c>
      <c r="H35" s="32">
        <f t="shared" si="14"/>
        <v>5.5465634598507764E-3</v>
      </c>
      <c r="I35" s="32">
        <f t="shared" si="14"/>
        <v>6.8910033181453171E-3</v>
      </c>
      <c r="J35" s="32">
        <f t="shared" si="14"/>
        <v>7.4828526728301301E-3</v>
      </c>
      <c r="K35" s="229">
        <f t="shared" ref="K35:K49" si="18">F35-$E$7</f>
        <v>7</v>
      </c>
      <c r="L35" s="3">
        <f>_xll.qlOvernightIndexedSwapFairRate(B35,_xll.ohTrigger(C35,InterestRatesTrigger))</f>
        <v>4.2164383434225728E-3</v>
      </c>
      <c r="N35" s="63">
        <f>N$31*$K35+N$32</f>
        <v>7.710767125439752E-4</v>
      </c>
      <c r="O35" s="64">
        <f t="shared" si="15"/>
        <v>1.3301251164282034E-3</v>
      </c>
      <c r="P35" s="64">
        <f t="shared" si="15"/>
        <v>2.6745649747227439E-3</v>
      </c>
      <c r="Q35" s="16">
        <f t="shared" si="16"/>
        <v>3.2664143294075573E-3</v>
      </c>
      <c r="U35" s="23" t="s">
        <v>4</v>
      </c>
      <c r="V35" s="64">
        <f t="shared" si="17"/>
        <v>1.3301251164282034E-3</v>
      </c>
      <c r="W35" s="16">
        <f t="shared" si="17"/>
        <v>2.6745649747227439E-3</v>
      </c>
    </row>
    <row r="36" spans="2:23" x14ac:dyDescent="0.2">
      <c r="B36" s="29" t="str">
        <f>_xll.qlMakeDatedOIS(,E36,F36,OvernightIndex,0,,,,EvaluationDate)</f>
        <v>obj_003f4#0003</v>
      </c>
      <c r="C36" s="5" t="b">
        <f>_xll.qlInstrumentSetPricingEngine(B36,OisEngine)</f>
        <v>1</v>
      </c>
      <c r="D36" s="23" t="s">
        <v>5</v>
      </c>
      <c r="E36" s="54">
        <f t="shared" si="13"/>
        <v>41858</v>
      </c>
      <c r="F36" s="24">
        <f>_xll.qlCalendarAdvance(Calendar,SettlementDate,D36,"Following")</f>
        <v>41872</v>
      </c>
      <c r="G36" s="32">
        <f t="shared" si="14"/>
        <v>4.9876067378318949E-3</v>
      </c>
      <c r="H36" s="32">
        <f t="shared" si="14"/>
        <v>5.5418292310168262E-3</v>
      </c>
      <c r="I36" s="32">
        <f t="shared" si="14"/>
        <v>6.8323524913735233E-3</v>
      </c>
      <c r="J36" s="32">
        <f t="shared" si="14"/>
        <v>7.4952016951992505E-3</v>
      </c>
      <c r="K36" s="229">
        <f t="shared" si="18"/>
        <v>14</v>
      </c>
      <c r="L36" s="3">
        <f>_xll.qlOvernightIndexedSwapFairRate(B36,_xll.ohTrigger(C36,InterestRatesTrigger))</f>
        <v>4.2164383538599373E-3</v>
      </c>
      <c r="N36" s="63">
        <f>N$31*$K36+N$32</f>
        <v>7.7116838397195712E-4</v>
      </c>
      <c r="O36" s="64">
        <f t="shared" si="15"/>
        <v>1.3253908771568891E-3</v>
      </c>
      <c r="P36" s="64">
        <f t="shared" si="15"/>
        <v>2.6159141375135865E-3</v>
      </c>
      <c r="Q36" s="16">
        <f t="shared" si="16"/>
        <v>3.2787633413393132E-3</v>
      </c>
      <c r="U36" s="23" t="s">
        <v>5</v>
      </c>
      <c r="V36" s="64">
        <f t="shared" si="17"/>
        <v>1.3253908771568891E-3</v>
      </c>
      <c r="W36" s="16">
        <f t="shared" si="17"/>
        <v>2.6159141375135865E-3</v>
      </c>
    </row>
    <row r="37" spans="2:23" x14ac:dyDescent="0.2">
      <c r="B37" s="30" t="str">
        <f>_xll.qlMakeDatedOIS(,E37,F37,OvernightIndex,0,,,,EvaluationDate)</f>
        <v>obj_003dc#0003</v>
      </c>
      <c r="C37" s="10" t="b">
        <f>_xll.qlInstrumentSetPricingEngine(B37,OisEngine)</f>
        <v>1</v>
      </c>
      <c r="D37" s="31" t="s">
        <v>8</v>
      </c>
      <c r="E37" s="53">
        <f t="shared" si="13"/>
        <v>41858</v>
      </c>
      <c r="F37" s="26">
        <f>_xll.qlCalendarAdvance(Calendar,SettlementDate,D37,"Following")</f>
        <v>41879</v>
      </c>
      <c r="G37" s="35">
        <f t="shared" si="14"/>
        <v>4.9962765980591682E-3</v>
      </c>
      <c r="H37" s="35">
        <f t="shared" si="14"/>
        <v>5.5449832040801918E-3</v>
      </c>
      <c r="I37" s="35">
        <f t="shared" si="14"/>
        <v>6.7849834765767569E-3</v>
      </c>
      <c r="J37" s="35">
        <f t="shared" si="14"/>
        <v>7.5161288959302974E-3</v>
      </c>
      <c r="K37" s="230">
        <f t="shared" si="18"/>
        <v>21</v>
      </c>
      <c r="L37" s="4">
        <f>_xll.qlOvernightIndexedSwapFairRate(B37,_xll.ohTrigger(C37,InterestRatesTrigger))</f>
        <v>4.225016542659229E-3</v>
      </c>
      <c r="N37" s="93">
        <f>N$31*$K37+N$32</f>
        <v>7.7126005539993904E-4</v>
      </c>
      <c r="O37" s="94">
        <f t="shared" si="15"/>
        <v>1.3199666614209628E-3</v>
      </c>
      <c r="P37" s="94">
        <f t="shared" si="15"/>
        <v>2.5599669339175274E-3</v>
      </c>
      <c r="Q37" s="14">
        <f t="shared" si="16"/>
        <v>3.2911123532710688E-3</v>
      </c>
      <c r="U37" s="31" t="s">
        <v>8</v>
      </c>
      <c r="V37" s="94">
        <f t="shared" si="17"/>
        <v>1.3199666614209628E-3</v>
      </c>
      <c r="W37" s="14">
        <f t="shared" si="17"/>
        <v>2.5599669339175274E-3</v>
      </c>
    </row>
    <row r="38" spans="2:23" x14ac:dyDescent="0.2">
      <c r="B38" s="29" t="str">
        <f>_xll.qlMakeDatedOIS(,E38,F38,OvernightIndex,0,,,,EvaluationDate)</f>
        <v>obj_003c5#0003</v>
      </c>
      <c r="C38" s="5" t="b">
        <f>_xll.qlInstrumentSetPricingEngine(B38,OisEngine)</f>
        <v>1</v>
      </c>
      <c r="D38" s="23" t="s">
        <v>9</v>
      </c>
      <c r="E38" s="54">
        <f t="shared" si="13"/>
        <v>41858</v>
      </c>
      <c r="F38" s="24">
        <f>_xll.qlCalendarAdvance(Calendar,SettlementDate,D38,"mf",TRUE)</f>
        <v>41890</v>
      </c>
      <c r="G38" s="34">
        <f t="shared" si="14"/>
        <v>5.0125000000000005E-3</v>
      </c>
      <c r="H38" s="34">
        <f t="shared" si="14"/>
        <v>5.5511447492533192E-3</v>
      </c>
      <c r="I38" s="34">
        <f t="shared" si="14"/>
        <v>6.7186082326164773E-3</v>
      </c>
      <c r="J38" s="34">
        <f t="shared" si="14"/>
        <v>7.5516138329484893E-3</v>
      </c>
      <c r="K38" s="228">
        <f t="shared" si="18"/>
        <v>32</v>
      </c>
      <c r="L38" s="3">
        <f>_xll.qlOvernightIndexedSwapFairRate(B38,_xll.ohTrigger(C38,InterestRatesTrigger))</f>
        <v>4.241095889498947E-3</v>
      </c>
      <c r="N38" s="63">
        <f>N$31*$K38+N$32</f>
        <v>7.7140411050105346E-4</v>
      </c>
      <c r="O38" s="64">
        <f t="shared" si="15"/>
        <v>1.3100488597543722E-3</v>
      </c>
      <c r="P38" s="64">
        <f t="shared" si="15"/>
        <v>2.4775123431175308E-3</v>
      </c>
      <c r="Q38" s="16">
        <f t="shared" si="16"/>
        <v>3.3105179434495422E-3</v>
      </c>
      <c r="U38" s="23" t="s">
        <v>9</v>
      </c>
      <c r="V38" s="64">
        <f t="shared" si="17"/>
        <v>1.3100488597543722E-3</v>
      </c>
      <c r="W38" s="16">
        <f t="shared" si="17"/>
        <v>2.4775123431175308E-3</v>
      </c>
    </row>
    <row r="39" spans="2:23" x14ac:dyDescent="0.2">
      <c r="B39" s="29" t="str">
        <f>_xll.qlMakeDatedOIS(,E39,F39,OvernightIndex,0,,,,EvaluationDate)</f>
        <v>obj_003d4#0003</v>
      </c>
      <c r="C39" s="5" t="b">
        <f>_xll.qlInstrumentSetPricingEngine(B39,OisEngine)</f>
        <v>1</v>
      </c>
      <c r="D39" s="23" t="s">
        <v>10</v>
      </c>
      <c r="E39" s="54">
        <f t="shared" si="13"/>
        <v>41858</v>
      </c>
      <c r="F39" s="24">
        <f>_xll.qlCalendarAdvance(Calendar,SettlementDate,D39,"mf",TRUE)</f>
        <v>41919</v>
      </c>
      <c r="G39" s="48"/>
      <c r="H39" s="32">
        <f t="shared" ref="H39:J40" si="19">$L39+IF(H$30,H$32,O39)</f>
        <v>5.5661458169347488E-3</v>
      </c>
      <c r="I39" s="32">
        <f t="shared" si="19"/>
        <v>6.582545209272349E-3</v>
      </c>
      <c r="J39" s="32">
        <f t="shared" si="19"/>
        <v>7.652089092941722E-3</v>
      </c>
      <c r="K39" s="229">
        <f t="shared" si="18"/>
        <v>61</v>
      </c>
      <c r="L39" s="3">
        <f>_xll.qlOvernightIndexedSwapFairRate(B39,_xll.ohTrigger(C39,InterestRatesTrigger))</f>
        <v>4.2904109572034768E-3</v>
      </c>
      <c r="N39" s="48"/>
      <c r="O39" s="64">
        <f t="shared" si="15"/>
        <v>1.2757348597312716E-3</v>
      </c>
      <c r="P39" s="64">
        <f t="shared" si="15"/>
        <v>2.2921342520688722E-3</v>
      </c>
      <c r="Q39" s="16">
        <f t="shared" si="16"/>
        <v>3.3616781357382452E-3</v>
      </c>
      <c r="U39" s="23" t="s">
        <v>10</v>
      </c>
      <c r="V39" s="64">
        <f t="shared" si="17"/>
        <v>1.2757348597312716E-3</v>
      </c>
      <c r="W39" s="16">
        <f t="shared" si="17"/>
        <v>2.2921342520688722E-3</v>
      </c>
    </row>
    <row r="40" spans="2:23" x14ac:dyDescent="0.2">
      <c r="B40" s="29" t="str">
        <f>_xll.qlMakeDatedOIS(,E40,F40,OvernightIndex,0,,,,EvaluationDate)</f>
        <v>obj_003f2#0003</v>
      </c>
      <c r="C40" s="5" t="b">
        <f>_xll.qlInstrumentSetPricingEngine(B40,OisEngine)</f>
        <v>1</v>
      </c>
      <c r="D40" s="23" t="s">
        <v>3</v>
      </c>
      <c r="E40" s="54">
        <f t="shared" si="13"/>
        <v>41858</v>
      </c>
      <c r="F40" s="24">
        <f>_xll.qlCalendarAdvance(Calendar,SettlementDate,D40,"mf",TRUE)</f>
        <v>41950</v>
      </c>
      <c r="G40" s="46"/>
      <c r="H40" s="32">
        <f t="shared" si="19"/>
        <v>5.6150000000000011E-3</v>
      </c>
      <c r="I40" s="32">
        <f t="shared" si="19"/>
        <v>6.5343264222658438E-3</v>
      </c>
      <c r="J40" s="32">
        <f t="shared" si="19"/>
        <v>7.805407711877644E-3</v>
      </c>
      <c r="K40" s="229">
        <f t="shared" si="18"/>
        <v>92</v>
      </c>
      <c r="L40" s="3">
        <f>_xll.qlOvernightIndexedSwapFairRate(B40,_xll.ohTrigger(C40,InterestRatesTrigger))</f>
        <v>4.3890410947273369E-3</v>
      </c>
      <c r="N40" s="46"/>
      <c r="O40" s="64">
        <f t="shared" si="15"/>
        <v>1.2259589052726642E-3</v>
      </c>
      <c r="P40" s="64">
        <f t="shared" si="15"/>
        <v>2.1452853275385065E-3</v>
      </c>
      <c r="Q40" s="16">
        <f t="shared" si="16"/>
        <v>3.4163666171503071E-3</v>
      </c>
      <c r="U40" s="23" t="s">
        <v>3</v>
      </c>
      <c r="V40" s="64">
        <f t="shared" si="17"/>
        <v>1.2259589052726642E-3</v>
      </c>
      <c r="W40" s="16">
        <f t="shared" si="17"/>
        <v>2.1452853275385065E-3</v>
      </c>
    </row>
    <row r="41" spans="2:23" x14ac:dyDescent="0.2">
      <c r="B41" s="29" t="str">
        <f>_xll.qlMakeDatedOIS(,E41,F41,OvernightIndex,0,,,,EvaluationDate)</f>
        <v>obj_003d5#0003</v>
      </c>
      <c r="C41" s="5" t="b">
        <f>_xll.qlInstrumentSetPricingEngine(B41,OisEngine)</f>
        <v>1</v>
      </c>
      <c r="D41" s="23" t="s">
        <v>12</v>
      </c>
      <c r="E41" s="54">
        <f t="shared" si="13"/>
        <v>41858</v>
      </c>
      <c r="F41" s="24">
        <f>_xll.qlCalendarAdvance(Calendar,SettlementDate,D41,"mf",TRUE)</f>
        <v>41981</v>
      </c>
      <c r="G41" s="36"/>
      <c r="H41" s="47"/>
      <c r="I41" s="32">
        <f t="shared" ref="I41:J43" si="20">$L41+IF(I$30,I$32,P41)</f>
        <v>6.7363922335185681E-3</v>
      </c>
      <c r="J41" s="32">
        <f t="shared" si="20"/>
        <v>8.1559866045383556E-3</v>
      </c>
      <c r="K41" s="229">
        <f t="shared" si="18"/>
        <v>123</v>
      </c>
      <c r="L41" s="3">
        <f>_xll.qlOvernightIndexedSwapFairRate(B41,_xll.ohTrigger(C41,InterestRatesTrigger))</f>
        <v>4.6849315059759875E-3</v>
      </c>
      <c r="N41" s="36"/>
      <c r="O41" s="47"/>
      <c r="P41" s="64">
        <f>IF(P$30,W41,P$31*$K41+P$32)</f>
        <v>2.0514607275425806E-3</v>
      </c>
      <c r="Q41" s="16">
        <f t="shared" si="16"/>
        <v>3.4710550985623686E-3</v>
      </c>
      <c r="U41" s="23" t="s">
        <v>12</v>
      </c>
      <c r="V41" s="64"/>
      <c r="W41" s="16">
        <f>$K41*$K41/3*W$30+$K41/2*W$31+W$32</f>
        <v>2.0514607275425806E-3</v>
      </c>
    </row>
    <row r="42" spans="2:23" x14ac:dyDescent="0.2">
      <c r="B42" s="29" t="str">
        <f>_xll.qlMakeDatedOIS(,E42,F42,OvernightIndex,0,,,,EvaluationDate)</f>
        <v>obj_003d9#0003</v>
      </c>
      <c r="C42" s="5" t="b">
        <f>_xll.qlInstrumentSetPricingEngine(B42,OisEngine)</f>
        <v>1</v>
      </c>
      <c r="D42" s="23" t="s">
        <v>13</v>
      </c>
      <c r="E42" s="54">
        <f t="shared" si="13"/>
        <v>41858</v>
      </c>
      <c r="F42" s="24">
        <f>_xll.qlCalendarAdvance(Calendar,SettlementDate,D42,"mf",TRUE)</f>
        <v>42011</v>
      </c>
      <c r="G42" s="36"/>
      <c r="H42" s="45"/>
      <c r="I42" s="32">
        <f t="shared" si="20"/>
        <v>6.9056694943264102E-3</v>
      </c>
      <c r="J42" s="32">
        <f t="shared" si="20"/>
        <v>8.4184999826827402E-3</v>
      </c>
      <c r="K42" s="229">
        <f t="shared" si="18"/>
        <v>153</v>
      </c>
      <c r="L42" s="3">
        <f>_xll.qlOvernightIndexedSwapFairRate(B42,_xll.ohTrigger(C42,InterestRatesTrigger))</f>
        <v>4.8945205472699883E-3</v>
      </c>
      <c r="N42" s="36"/>
      <c r="O42" s="45"/>
      <c r="P42" s="64">
        <f>IF(P$30,W42,P$31*$K42+P$32)</f>
        <v>2.0111489470564219E-3</v>
      </c>
      <c r="Q42" s="16">
        <f t="shared" si="16"/>
        <v>3.523979435412751E-3</v>
      </c>
      <c r="U42" s="23" t="s">
        <v>13</v>
      </c>
      <c r="V42" s="64"/>
      <c r="W42" s="16">
        <f>$K42*$K42/3*W$30+$K42/2*W$31+W$32</f>
        <v>2.0111489470564219E-3</v>
      </c>
    </row>
    <row r="43" spans="2:23" x14ac:dyDescent="0.2">
      <c r="B43" s="29" t="str">
        <f>_xll.qlMakeDatedOIS(,E43,F43,OvernightIndex,0,,,,EvaluationDate)</f>
        <v>obj_003cd#0003</v>
      </c>
      <c r="C43" s="5" t="b">
        <f>_xll.qlInstrumentSetPricingEngine(B43,OisEngine)</f>
        <v>1</v>
      </c>
      <c r="D43" s="25" t="s">
        <v>15</v>
      </c>
      <c r="E43" s="54">
        <f t="shared" si="13"/>
        <v>41858</v>
      </c>
      <c r="F43" s="24">
        <f>_xll.qlCalendarAdvance(Calendar,SettlementDate,D43,"mf",TRUE)</f>
        <v>42044</v>
      </c>
      <c r="G43" s="36"/>
      <c r="H43" s="45"/>
      <c r="I43" s="32">
        <f t="shared" si="20"/>
        <v>7.1405999999999883E-3</v>
      </c>
      <c r="J43" s="32">
        <f t="shared" si="20"/>
        <v>8.6986345614914959E-3</v>
      </c>
      <c r="K43" s="229">
        <f t="shared" si="18"/>
        <v>186</v>
      </c>
      <c r="L43" s="3">
        <f>_xll.qlOvernightIndexedSwapFairRate(B43,_xll.ohTrigger(C43,InterestRatesTrigger))</f>
        <v>5.1164383555433249E-3</v>
      </c>
      <c r="N43" s="36"/>
      <c r="O43" s="45"/>
      <c r="P43" s="64">
        <f>IF(P$30,W43,P$31*$K43+P$32)</f>
        <v>2.0241616444566634E-3</v>
      </c>
      <c r="Q43" s="16">
        <f t="shared" si="16"/>
        <v>3.5821962059481714E-3</v>
      </c>
      <c r="U43" s="121" t="s">
        <v>15</v>
      </c>
      <c r="V43" s="94"/>
      <c r="W43" s="14">
        <f>$K43*$K43/3*W$30+$K43/2*W$31+W$32</f>
        <v>2.0241616444566634E-3</v>
      </c>
    </row>
    <row r="44" spans="2:23" x14ac:dyDescent="0.2">
      <c r="B44" s="29" t="str">
        <f>_xll.qlMakeDatedOIS(,E44,F44,OvernightIndex,0,,,,EvaluationDate)</f>
        <v>obj_003d2#0003</v>
      </c>
      <c r="C44" s="5" t="b">
        <f>_xll.qlInstrumentSetPricingEngine(B44,OisEngine)</f>
        <v>1</v>
      </c>
      <c r="D44" s="25" t="s">
        <v>18</v>
      </c>
      <c r="E44" s="54">
        <f t="shared" si="13"/>
        <v>41858</v>
      </c>
      <c r="F44" s="24">
        <f>_xll.qlCalendarAdvance(Calendar,SettlementDate,D44,"mf",TRUE)</f>
        <v>42072</v>
      </c>
      <c r="G44" s="36"/>
      <c r="H44" s="33"/>
      <c r="I44" s="47"/>
      <c r="J44" s="32">
        <f t="shared" ref="J44:J49" si="21">$L44+IF(J$30,J$32,Q44)</f>
        <v>9.0192634861052494E-3</v>
      </c>
      <c r="K44" s="229">
        <f t="shared" si="18"/>
        <v>214</v>
      </c>
      <c r="L44" s="3">
        <f>_xll.qlOvernightIndexedSwapFairRate(B44,_xll.ohTrigger(C44,InterestRatesTrigger))</f>
        <v>5.3876712324300536E-3</v>
      </c>
      <c r="N44" s="36"/>
      <c r="O44" s="33"/>
      <c r="P44" s="47"/>
      <c r="Q44" s="16">
        <f t="shared" si="16"/>
        <v>3.6315922536751949E-3</v>
      </c>
    </row>
    <row r="45" spans="2:23" x14ac:dyDescent="0.2">
      <c r="B45" s="29" t="str">
        <f>_xll.qlMakeDatedOIS(,E45,F45,OvernightIndex,0,,,,EvaluationDate)</f>
        <v>obj_003ca#0003</v>
      </c>
      <c r="C45" s="5" t="b">
        <f>_xll.qlInstrumentSetPricingEngine(B45,OisEngine)</f>
        <v>1</v>
      </c>
      <c r="D45" s="25" t="s">
        <v>19</v>
      </c>
      <c r="E45" s="54">
        <f t="shared" si="13"/>
        <v>41858</v>
      </c>
      <c r="F45" s="24">
        <f>_xll.qlCalendarAdvance(Calendar,SettlementDate,D45,"mf",TRUE)</f>
        <v>42101</v>
      </c>
      <c r="G45" s="36"/>
      <c r="H45" s="33"/>
      <c r="I45" s="45"/>
      <c r="J45" s="32">
        <f t="shared" si="21"/>
        <v>9.3293277880189401E-3</v>
      </c>
      <c r="K45" s="229">
        <f t="shared" si="18"/>
        <v>243</v>
      </c>
      <c r="L45" s="3">
        <f>_xll.qlOvernightIndexedSwapFairRate(B45,_xll.ohTrigger(C45,InterestRatesTrigger))</f>
        <v>5.6465753420550423E-3</v>
      </c>
      <c r="N45" s="36"/>
      <c r="O45" s="33"/>
      <c r="P45" s="45"/>
      <c r="Q45" s="16">
        <f t="shared" si="16"/>
        <v>3.6827524459638978E-3</v>
      </c>
    </row>
    <row r="46" spans="2:23" x14ac:dyDescent="0.2">
      <c r="B46" s="29" t="str">
        <f>_xll.qlMakeDatedOIS(,E46,F46,OvernightIndex,0,,,,EvaluationDate)</f>
        <v>obj_003ed#0003</v>
      </c>
      <c r="C46" s="5" t="b">
        <f>_xll.qlInstrumentSetPricingEngine(B46,OisEngine)</f>
        <v>1</v>
      </c>
      <c r="D46" s="25" t="s">
        <v>20</v>
      </c>
      <c r="E46" s="54">
        <f t="shared" si="13"/>
        <v>41858</v>
      </c>
      <c r="F46" s="24">
        <f>_xll.qlCalendarAdvance(Calendar,SettlementDate,D46,"mf",TRUE)</f>
        <v>42131</v>
      </c>
      <c r="G46" s="36"/>
      <c r="H46" s="33"/>
      <c r="I46" s="45"/>
      <c r="J46" s="32">
        <f t="shared" si="21"/>
        <v>9.6288274673649674E-3</v>
      </c>
      <c r="K46" s="229">
        <f t="shared" si="18"/>
        <v>273</v>
      </c>
      <c r="L46" s="3">
        <f>_xll.qlOvernightIndexedSwapFairRate(B46,_xll.ohTrigger(C46,InterestRatesTrigger))</f>
        <v>5.8931506845506876E-3</v>
      </c>
      <c r="N46" s="36"/>
      <c r="O46" s="33"/>
      <c r="P46" s="45"/>
      <c r="Q46" s="16">
        <f t="shared" si="16"/>
        <v>3.7356767828142798E-3</v>
      </c>
    </row>
    <row r="47" spans="2:23" x14ac:dyDescent="0.2">
      <c r="B47" s="29" t="str">
        <f>_xll.qlMakeDatedOIS(,E47,F47,OvernightIndex,0,,,,EvaluationDate)</f>
        <v>obj_003f0#0003</v>
      </c>
      <c r="C47" s="5" t="b">
        <f>_xll.qlInstrumentSetPricingEngine(B47,OisEngine)</f>
        <v>1</v>
      </c>
      <c r="D47" s="25" t="s">
        <v>21</v>
      </c>
      <c r="E47" s="54">
        <f t="shared" si="13"/>
        <v>41858</v>
      </c>
      <c r="F47" s="24">
        <f>_xll.qlCalendarAdvance(Calendar,SettlementDate,D47,"mf",TRUE)</f>
        <v>42163</v>
      </c>
      <c r="G47" s="36"/>
      <c r="H47" s="33"/>
      <c r="I47" s="45"/>
      <c r="J47" s="32">
        <f t="shared" si="21"/>
        <v>1.0005828038557159E-2</v>
      </c>
      <c r="K47" s="229">
        <f t="shared" si="18"/>
        <v>305</v>
      </c>
      <c r="L47" s="3">
        <f>_xll.qlOvernightIndexedSwapFairRate(B47,_xll.ohTrigger(C47,InterestRatesTrigger))</f>
        <v>6.213698629769138E-3</v>
      </c>
      <c r="N47" s="36"/>
      <c r="O47" s="33"/>
      <c r="P47" s="45"/>
      <c r="Q47" s="16">
        <f t="shared" si="16"/>
        <v>3.7921294087880212E-3</v>
      </c>
    </row>
    <row r="48" spans="2:23" x14ac:dyDescent="0.2">
      <c r="B48" s="29" t="str">
        <f>_xll.qlMakeDatedOIS(,E48,F48,OvernightIndex,0,,,,EvaluationDate)</f>
        <v>obj_003df#0003</v>
      </c>
      <c r="C48" s="5" t="b">
        <f>_xll.qlInstrumentSetPricingEngine(B48,OisEngine)</f>
        <v>1</v>
      </c>
      <c r="D48" s="25" t="s">
        <v>22</v>
      </c>
      <c r="E48" s="54">
        <f t="shared" si="13"/>
        <v>41858</v>
      </c>
      <c r="F48" s="24">
        <f>_xll.qlCalendarAdvance(Calendar,SettlementDate,D48,"mf",TRUE)</f>
        <v>42192</v>
      </c>
      <c r="G48" s="36"/>
      <c r="H48" s="33"/>
      <c r="I48" s="45"/>
      <c r="J48" s="32">
        <f t="shared" si="21"/>
        <v>1.0328221107925971E-2</v>
      </c>
      <c r="K48" s="229">
        <f t="shared" si="18"/>
        <v>334</v>
      </c>
      <c r="L48" s="3">
        <f>_xll.qlOvernightIndexedSwapFairRate(B48,_xll.ohTrigger(C48,InterestRatesTrigger))</f>
        <v>6.4849315068492468E-3</v>
      </c>
      <c r="N48" s="36"/>
      <c r="O48" s="33"/>
      <c r="P48" s="45"/>
      <c r="Q48" s="16">
        <f t="shared" si="16"/>
        <v>3.8432896010767242E-3</v>
      </c>
    </row>
    <row r="49" spans="2:17" x14ac:dyDescent="0.2">
      <c r="B49" s="30" t="str">
        <f>_xll.qlMakeDatedOIS(,E49,F49,OvernightIndex,0,,,,EvaluationDate)</f>
        <v>obj_003c8#0003</v>
      </c>
      <c r="C49" s="10" t="b">
        <f>_xll.qlInstrumentSetPricingEngine(B49,OisEngine)</f>
        <v>1</v>
      </c>
      <c r="D49" s="25" t="s">
        <v>23</v>
      </c>
      <c r="E49" s="54">
        <f t="shared" si="13"/>
        <v>41858</v>
      </c>
      <c r="F49" s="24">
        <f>_xll.qlCalendarAdvance(Calendar,SettlementDate,D49,"mf",TRUE)</f>
        <v>42223</v>
      </c>
      <c r="G49" s="36"/>
      <c r="H49" s="33"/>
      <c r="I49" s="45"/>
      <c r="J49" s="32">
        <f t="shared" si="21"/>
        <v>1.0678800000000002E-2</v>
      </c>
      <c r="K49" s="229">
        <f t="shared" si="18"/>
        <v>365</v>
      </c>
      <c r="L49" s="3">
        <f>_xll.qlOvernightIndexedSwapFairRate(B49,_xll.ohTrigger(C49,InterestRatesTrigger))</f>
        <v>6.7808219175112166E-3</v>
      </c>
      <c r="N49" s="65"/>
      <c r="O49" s="66"/>
      <c r="P49" s="67"/>
      <c r="Q49" s="14">
        <f t="shared" si="16"/>
        <v>3.8979780824887856E-3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3" type="noConversion"/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2.83203125" style="1" hidden="1" customWidth="1" outlineLevel="1"/>
    <col min="2" max="2" width="9.5" style="1" hidden="1" customWidth="1" outlineLevel="1"/>
    <col min="3" max="3" width="9.33203125" style="1" hidden="1" customWidth="1" outlineLevel="1"/>
    <col min="4" max="4" width="9.33203125" style="1" collapsed="1"/>
    <col min="5" max="5" width="33.5" style="1" bestFit="1" customWidth="1"/>
    <col min="6" max="6" width="17.83203125" style="1" bestFit="1" customWidth="1"/>
    <col min="7" max="7" width="13.33203125" style="1" customWidth="1"/>
    <col min="8" max="8" width="13.5" style="1" customWidth="1"/>
    <col min="9" max="9" width="11" style="1" customWidth="1"/>
    <col min="10" max="10" width="12.83203125" style="1" customWidth="1"/>
    <col min="11" max="12" width="20.1640625" style="1" bestFit="1" customWidth="1"/>
    <col min="13" max="16384" width="9.33203125" style="1"/>
  </cols>
  <sheetData>
    <row r="1" spans="2:12" ht="22.5" x14ac:dyDescent="0.2">
      <c r="B1" s="357" t="s">
        <v>104</v>
      </c>
      <c r="C1" s="358"/>
      <c r="D1" s="358"/>
      <c r="E1" s="244" t="s">
        <v>105</v>
      </c>
      <c r="F1" s="244" t="s">
        <v>106</v>
      </c>
      <c r="G1" s="244" t="s">
        <v>107</v>
      </c>
      <c r="H1" s="244" t="s">
        <v>108</v>
      </c>
      <c r="I1" s="244" t="s">
        <v>109</v>
      </c>
      <c r="J1" s="244" t="s">
        <v>110</v>
      </c>
      <c r="K1" s="244" t="s">
        <v>111</v>
      </c>
      <c r="L1" s="245" t="s">
        <v>112</v>
      </c>
    </row>
    <row r="2" spans="2:12" x14ac:dyDescent="0.2">
      <c r="B2" s="257"/>
      <c r="C2" s="258" t="s">
        <v>24</v>
      </c>
      <c r="D2" s="258" t="s">
        <v>114</v>
      </c>
      <c r="E2" s="258" t="str">
        <f>Contribution!D40</f>
        <v>GBP1YD_SYNTH1Y_Quote#0003</v>
      </c>
      <c r="F2" s="258" t="str">
        <f>_xll.qlDepositRateHelper(,E2,$F$10)</f>
        <v>obj_003b7#0003</v>
      </c>
      <c r="G2" s="259">
        <f>_xll.qlRateHelperQuoteValue($F2,InterestRatesTrigger)</f>
        <v>1.0678999999999999E-2</v>
      </c>
      <c r="H2" s="258" t="b">
        <v>1</v>
      </c>
      <c r="I2" s="260">
        <v>70</v>
      </c>
      <c r="J2" s="260">
        <v>1</v>
      </c>
      <c r="K2" s="261">
        <f>_xll.qlRateHelperEarliestDate($F2,InterestRatesTrigger)</f>
        <v>41858</v>
      </c>
      <c r="L2" s="262">
        <f>_xll.qlRateHelperLatestDate($F2,InterestRatesTrigger)</f>
        <v>42223</v>
      </c>
    </row>
    <row r="3" spans="2:12" x14ac:dyDescent="0.2">
      <c r="B3" s="257">
        <v>12</v>
      </c>
      <c r="C3" s="258" t="s">
        <v>113</v>
      </c>
      <c r="D3" s="258" t="s">
        <v>115</v>
      </c>
      <c r="E3" s="258" t="str">
        <f>Currency&amp;"12x24F"&amp;QuoteSuffix</f>
        <v>GBP12x24F_Quote</v>
      </c>
      <c r="F3" s="283" t="str">
        <f>_xll.qlFraRateHelper(,E3,B3&amp;"M",$F$10)</f>
        <v>obj_0038a#0003</v>
      </c>
      <c r="G3" s="259">
        <f>_xll.qlRateHelperQuoteValue($F3,InterestRatesTrigger)</f>
        <v>1.9500000000000003E-2</v>
      </c>
      <c r="H3" s="258" t="b">
        <v>1</v>
      </c>
      <c r="I3" s="260">
        <v>70</v>
      </c>
      <c r="J3" s="260">
        <v>1</v>
      </c>
      <c r="K3" s="261">
        <f>_xll.qlRateHelperEarliestDate($F3,InterestRatesTrigger)</f>
        <v>42223</v>
      </c>
      <c r="L3" s="262">
        <f>_xll.qlRateHelperLatestDate($F3,InterestRatesTrigger)</f>
        <v>42590</v>
      </c>
    </row>
    <row r="4" spans="2:12" x14ac:dyDescent="0.2">
      <c r="B4" s="246" t="s">
        <v>116</v>
      </c>
      <c r="C4" s="247" t="s">
        <v>128</v>
      </c>
      <c r="D4" s="247" t="s">
        <v>117</v>
      </c>
      <c r="E4" s="247" t="str">
        <f>Swaps1Y!K5</f>
        <v>GBPSB6L3Y_S6L12L_Quote#0003</v>
      </c>
      <c r="F4" s="284" t="str">
        <f>_xll.qlSwapRateHelper2(,E4,D4,Calendar,"annual","mf","30/360 (Bond Basis)",$F$10,0,"0D",OisCurve)</f>
        <v>obj_003f6#0003</v>
      </c>
      <c r="G4" s="248">
        <f>_xll.qlRateHelperQuoteValue($F4,InterestRatesTrigger)</f>
        <v>1.8344999999410316E-2</v>
      </c>
      <c r="H4" s="247" t="b">
        <v>1</v>
      </c>
      <c r="I4" s="249">
        <v>50</v>
      </c>
      <c r="J4" s="249">
        <v>1</v>
      </c>
      <c r="K4" s="250">
        <f>_xll.qlRateHelperEarliestDate($F4,InterestRatesTrigger)</f>
        <v>41858</v>
      </c>
      <c r="L4" s="251">
        <f>_xll.qlRateHelperLatestDate($F4,InterestRatesTrigger)</f>
        <v>42954</v>
      </c>
    </row>
    <row r="5" spans="2:12" x14ac:dyDescent="0.2">
      <c r="B5" s="246" t="s">
        <v>116</v>
      </c>
      <c r="C5" s="247" t="s">
        <v>128</v>
      </c>
      <c r="D5" s="247" t="s">
        <v>118</v>
      </c>
      <c r="E5" s="247" t="str">
        <f>Swaps1Y!K6</f>
        <v>GBPSB6L4Y_S6L12L_Quote#0003</v>
      </c>
      <c r="F5" s="284" t="str">
        <f>_xll.qlSwapRateHelper2(,E5,D5,Calendar,"annual","mf","30/360 (Bond Basis)",$F$10,0,"0D",OisCurve)</f>
        <v>obj_003f8#0003</v>
      </c>
      <c r="G5" s="248">
        <f>_xll.qlRateHelperQuoteValue($F5,InterestRatesTrigger)</f>
        <v>2.0872499999655746E-2</v>
      </c>
      <c r="H5" s="247" t="b">
        <v>1</v>
      </c>
      <c r="I5" s="249">
        <v>50</v>
      </c>
      <c r="J5" s="249">
        <v>1</v>
      </c>
      <c r="K5" s="250">
        <f>_xll.qlRateHelperEarliestDate($F5,InterestRatesTrigger)</f>
        <v>41858</v>
      </c>
      <c r="L5" s="251">
        <f>_xll.qlRateHelperLatestDate($F5,InterestRatesTrigger)</f>
        <v>43319</v>
      </c>
    </row>
    <row r="6" spans="2:12" x14ac:dyDescent="0.2">
      <c r="B6" s="252" t="s">
        <v>116</v>
      </c>
      <c r="C6" s="207" t="s">
        <v>128</v>
      </c>
      <c r="D6" s="207" t="s">
        <v>119</v>
      </c>
      <c r="E6" s="207" t="str">
        <f>Swaps1Y!K7</f>
        <v>GBPSB6L5Y_S6L12L_Quote#0003</v>
      </c>
      <c r="F6" s="285" t="str">
        <f>_xll.qlSwapRateHelper2(,E6,D6,Calendar,"annual","mf","30/360 (Bond Basis)",$F$10,0,"0D",OisCurve)</f>
        <v>obj_003fa#0003</v>
      </c>
      <c r="G6" s="253">
        <f>_xll.qlRateHelperQuoteValue($F6,InterestRatesTrigger)</f>
        <v>2.2717499999604839E-2</v>
      </c>
      <c r="H6" s="207" t="b">
        <v>1</v>
      </c>
      <c r="I6" s="254">
        <v>50</v>
      </c>
      <c r="J6" s="254">
        <v>1</v>
      </c>
      <c r="K6" s="255">
        <f>_xll.qlRateHelperEarliestDate($F6,InterestRatesTrigger)</f>
        <v>41858</v>
      </c>
      <c r="L6" s="256">
        <f>_xll.qlRateHelperLatestDate($F6,InterestRatesTrigger)</f>
        <v>43684</v>
      </c>
    </row>
    <row r="10" spans="2:12" x14ac:dyDescent="0.2">
      <c r="F10" s="263" t="str">
        <f>_xll.qlLibor(,Currency,IborTenor,,,EvaluationDate)</f>
        <v>obj_00368#0003</v>
      </c>
    </row>
  </sheetData>
  <mergeCells count="1">
    <mergeCell ref="B1:D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27"/>
  <sheetViews>
    <sheetView workbookViewId="0"/>
  </sheetViews>
  <sheetFormatPr defaultRowHeight="11.25" outlineLevelCol="1" x14ac:dyDescent="0.2"/>
  <cols>
    <col min="1" max="1" width="17.6640625" style="282" bestFit="1" customWidth="1"/>
    <col min="2" max="2" width="9.33203125" style="282" bestFit="1" customWidth="1"/>
    <col min="3" max="4" width="20.1640625" style="282" bestFit="1" customWidth="1"/>
    <col min="5" max="5" width="11.6640625" style="139" bestFit="1" customWidth="1"/>
    <col min="6" max="6" width="3.5" style="139" bestFit="1" customWidth="1"/>
    <col min="7" max="7" width="20.1640625" style="139" customWidth="1" outlineLevel="1"/>
    <col min="8" max="8" width="17.6640625" style="139" customWidth="1" outlineLevel="1"/>
    <col min="9" max="10" width="20.1640625" style="139" customWidth="1"/>
    <col min="11" max="11" width="10.5" style="139" bestFit="1" customWidth="1"/>
    <col min="12" max="12" width="9.33203125" style="139" bestFit="1" customWidth="1"/>
    <col min="13" max="13" width="10.5" style="139" bestFit="1" customWidth="1"/>
    <col min="14" max="14" width="9.33203125" style="139" bestFit="1" customWidth="1"/>
    <col min="15" max="256" width="9.33203125" style="139"/>
    <col min="257" max="257" width="17.6640625" style="139" bestFit="1" customWidth="1"/>
    <col min="258" max="258" width="9.33203125" style="139" bestFit="1" customWidth="1"/>
    <col min="259" max="260" width="20.1640625" style="139" bestFit="1" customWidth="1"/>
    <col min="261" max="261" width="11.6640625" style="139" bestFit="1" customWidth="1"/>
    <col min="262" max="262" width="3.5" style="139" bestFit="1" customWidth="1"/>
    <col min="263" max="263" width="20.1640625" style="139" customWidth="1"/>
    <col min="264" max="264" width="17.6640625" style="139" customWidth="1"/>
    <col min="265" max="266" width="20.1640625" style="139" customWidth="1"/>
    <col min="267" max="268" width="9.33203125" style="139" bestFit="1" customWidth="1"/>
    <col min="269" max="269" width="10.5" style="139" bestFit="1" customWidth="1"/>
    <col min="270" max="270" width="9.33203125" style="139" bestFit="1" customWidth="1"/>
    <col min="271" max="512" width="9.33203125" style="139"/>
    <col min="513" max="513" width="17.6640625" style="139" bestFit="1" customWidth="1"/>
    <col min="514" max="514" width="9.33203125" style="139" bestFit="1" customWidth="1"/>
    <col min="515" max="516" width="20.1640625" style="139" bestFit="1" customWidth="1"/>
    <col min="517" max="517" width="11.6640625" style="139" bestFit="1" customWidth="1"/>
    <col min="518" max="518" width="3.5" style="139" bestFit="1" customWidth="1"/>
    <col min="519" max="519" width="20.1640625" style="139" customWidth="1"/>
    <col min="520" max="520" width="17.6640625" style="139" customWidth="1"/>
    <col min="521" max="522" width="20.1640625" style="139" customWidth="1"/>
    <col min="523" max="524" width="9.33203125" style="139" bestFit="1" customWidth="1"/>
    <col min="525" max="525" width="10.5" style="139" bestFit="1" customWidth="1"/>
    <col min="526" max="526" width="9.33203125" style="139" bestFit="1" customWidth="1"/>
    <col min="527" max="768" width="9.33203125" style="139"/>
    <col min="769" max="769" width="17.6640625" style="139" bestFit="1" customWidth="1"/>
    <col min="770" max="770" width="9.33203125" style="139" bestFit="1" customWidth="1"/>
    <col min="771" max="772" width="20.1640625" style="139" bestFit="1" customWidth="1"/>
    <col min="773" max="773" width="11.6640625" style="139" bestFit="1" customWidth="1"/>
    <col min="774" max="774" width="3.5" style="139" bestFit="1" customWidth="1"/>
    <col min="775" max="775" width="20.1640625" style="139" customWidth="1"/>
    <col min="776" max="776" width="17.6640625" style="139" customWidth="1"/>
    <col min="777" max="778" width="20.1640625" style="139" customWidth="1"/>
    <col min="779" max="780" width="9.33203125" style="139" bestFit="1" customWidth="1"/>
    <col min="781" max="781" width="10.5" style="139" bestFit="1" customWidth="1"/>
    <col min="782" max="782" width="9.33203125" style="139" bestFit="1" customWidth="1"/>
    <col min="783" max="1024" width="9.33203125" style="139"/>
    <col min="1025" max="1025" width="17.6640625" style="139" bestFit="1" customWidth="1"/>
    <col min="1026" max="1026" width="9.33203125" style="139" bestFit="1" customWidth="1"/>
    <col min="1027" max="1028" width="20.1640625" style="139" bestFit="1" customWidth="1"/>
    <col min="1029" max="1029" width="11.6640625" style="139" bestFit="1" customWidth="1"/>
    <col min="1030" max="1030" width="3.5" style="139" bestFit="1" customWidth="1"/>
    <col min="1031" max="1031" width="20.1640625" style="139" customWidth="1"/>
    <col min="1032" max="1032" width="17.6640625" style="139" customWidth="1"/>
    <col min="1033" max="1034" width="20.1640625" style="139" customWidth="1"/>
    <col min="1035" max="1036" width="9.33203125" style="139" bestFit="1" customWidth="1"/>
    <col min="1037" max="1037" width="10.5" style="139" bestFit="1" customWidth="1"/>
    <col min="1038" max="1038" width="9.33203125" style="139" bestFit="1" customWidth="1"/>
    <col min="1039" max="1280" width="9.33203125" style="139"/>
    <col min="1281" max="1281" width="17.6640625" style="139" bestFit="1" customWidth="1"/>
    <col min="1282" max="1282" width="9.33203125" style="139" bestFit="1" customWidth="1"/>
    <col min="1283" max="1284" width="20.1640625" style="139" bestFit="1" customWidth="1"/>
    <col min="1285" max="1285" width="11.6640625" style="139" bestFit="1" customWidth="1"/>
    <col min="1286" max="1286" width="3.5" style="139" bestFit="1" customWidth="1"/>
    <col min="1287" max="1287" width="20.1640625" style="139" customWidth="1"/>
    <col min="1288" max="1288" width="17.6640625" style="139" customWidth="1"/>
    <col min="1289" max="1290" width="20.1640625" style="139" customWidth="1"/>
    <col min="1291" max="1292" width="9.33203125" style="139" bestFit="1" customWidth="1"/>
    <col min="1293" max="1293" width="10.5" style="139" bestFit="1" customWidth="1"/>
    <col min="1294" max="1294" width="9.33203125" style="139" bestFit="1" customWidth="1"/>
    <col min="1295" max="1536" width="9.33203125" style="139"/>
    <col min="1537" max="1537" width="17.6640625" style="139" bestFit="1" customWidth="1"/>
    <col min="1538" max="1538" width="9.33203125" style="139" bestFit="1" customWidth="1"/>
    <col min="1539" max="1540" width="20.1640625" style="139" bestFit="1" customWidth="1"/>
    <col min="1541" max="1541" width="11.6640625" style="139" bestFit="1" customWidth="1"/>
    <col min="1542" max="1542" width="3.5" style="139" bestFit="1" customWidth="1"/>
    <col min="1543" max="1543" width="20.1640625" style="139" customWidth="1"/>
    <col min="1544" max="1544" width="17.6640625" style="139" customWidth="1"/>
    <col min="1545" max="1546" width="20.1640625" style="139" customWidth="1"/>
    <col min="1547" max="1548" width="9.33203125" style="139" bestFit="1" customWidth="1"/>
    <col min="1549" max="1549" width="10.5" style="139" bestFit="1" customWidth="1"/>
    <col min="1550" max="1550" width="9.33203125" style="139" bestFit="1" customWidth="1"/>
    <col min="1551" max="1792" width="9.33203125" style="139"/>
    <col min="1793" max="1793" width="17.6640625" style="139" bestFit="1" customWidth="1"/>
    <col min="1794" max="1794" width="9.33203125" style="139" bestFit="1" customWidth="1"/>
    <col min="1795" max="1796" width="20.1640625" style="139" bestFit="1" customWidth="1"/>
    <col min="1797" max="1797" width="11.6640625" style="139" bestFit="1" customWidth="1"/>
    <col min="1798" max="1798" width="3.5" style="139" bestFit="1" customWidth="1"/>
    <col min="1799" max="1799" width="20.1640625" style="139" customWidth="1"/>
    <col min="1800" max="1800" width="17.6640625" style="139" customWidth="1"/>
    <col min="1801" max="1802" width="20.1640625" style="139" customWidth="1"/>
    <col min="1803" max="1804" width="9.33203125" style="139" bestFit="1" customWidth="1"/>
    <col min="1805" max="1805" width="10.5" style="139" bestFit="1" customWidth="1"/>
    <col min="1806" max="1806" width="9.33203125" style="139" bestFit="1" customWidth="1"/>
    <col min="1807" max="2048" width="9.33203125" style="139"/>
    <col min="2049" max="2049" width="17.6640625" style="139" bestFit="1" customWidth="1"/>
    <col min="2050" max="2050" width="9.33203125" style="139" bestFit="1" customWidth="1"/>
    <col min="2051" max="2052" width="20.1640625" style="139" bestFit="1" customWidth="1"/>
    <col min="2053" max="2053" width="11.6640625" style="139" bestFit="1" customWidth="1"/>
    <col min="2054" max="2054" width="3.5" style="139" bestFit="1" customWidth="1"/>
    <col min="2055" max="2055" width="20.1640625" style="139" customWidth="1"/>
    <col min="2056" max="2056" width="17.6640625" style="139" customWidth="1"/>
    <col min="2057" max="2058" width="20.1640625" style="139" customWidth="1"/>
    <col min="2059" max="2060" width="9.33203125" style="139" bestFit="1" customWidth="1"/>
    <col min="2061" max="2061" width="10.5" style="139" bestFit="1" customWidth="1"/>
    <col min="2062" max="2062" width="9.33203125" style="139" bestFit="1" customWidth="1"/>
    <col min="2063" max="2304" width="9.33203125" style="139"/>
    <col min="2305" max="2305" width="17.6640625" style="139" bestFit="1" customWidth="1"/>
    <col min="2306" max="2306" width="9.33203125" style="139" bestFit="1" customWidth="1"/>
    <col min="2307" max="2308" width="20.1640625" style="139" bestFit="1" customWidth="1"/>
    <col min="2309" max="2309" width="11.6640625" style="139" bestFit="1" customWidth="1"/>
    <col min="2310" max="2310" width="3.5" style="139" bestFit="1" customWidth="1"/>
    <col min="2311" max="2311" width="20.1640625" style="139" customWidth="1"/>
    <col min="2312" max="2312" width="17.6640625" style="139" customWidth="1"/>
    <col min="2313" max="2314" width="20.1640625" style="139" customWidth="1"/>
    <col min="2315" max="2316" width="9.33203125" style="139" bestFit="1" customWidth="1"/>
    <col min="2317" max="2317" width="10.5" style="139" bestFit="1" customWidth="1"/>
    <col min="2318" max="2318" width="9.33203125" style="139" bestFit="1" customWidth="1"/>
    <col min="2319" max="2560" width="9.33203125" style="139"/>
    <col min="2561" max="2561" width="17.6640625" style="139" bestFit="1" customWidth="1"/>
    <col min="2562" max="2562" width="9.33203125" style="139" bestFit="1" customWidth="1"/>
    <col min="2563" max="2564" width="20.1640625" style="139" bestFit="1" customWidth="1"/>
    <col min="2565" max="2565" width="11.6640625" style="139" bestFit="1" customWidth="1"/>
    <col min="2566" max="2566" width="3.5" style="139" bestFit="1" customWidth="1"/>
    <col min="2567" max="2567" width="20.1640625" style="139" customWidth="1"/>
    <col min="2568" max="2568" width="17.6640625" style="139" customWidth="1"/>
    <col min="2569" max="2570" width="20.1640625" style="139" customWidth="1"/>
    <col min="2571" max="2572" width="9.33203125" style="139" bestFit="1" customWidth="1"/>
    <col min="2573" max="2573" width="10.5" style="139" bestFit="1" customWidth="1"/>
    <col min="2574" max="2574" width="9.33203125" style="139" bestFit="1" customWidth="1"/>
    <col min="2575" max="2816" width="9.33203125" style="139"/>
    <col min="2817" max="2817" width="17.6640625" style="139" bestFit="1" customWidth="1"/>
    <col min="2818" max="2818" width="9.33203125" style="139" bestFit="1" customWidth="1"/>
    <col min="2819" max="2820" width="20.1640625" style="139" bestFit="1" customWidth="1"/>
    <col min="2821" max="2821" width="11.6640625" style="139" bestFit="1" customWidth="1"/>
    <col min="2822" max="2822" width="3.5" style="139" bestFit="1" customWidth="1"/>
    <col min="2823" max="2823" width="20.1640625" style="139" customWidth="1"/>
    <col min="2824" max="2824" width="17.6640625" style="139" customWidth="1"/>
    <col min="2825" max="2826" width="20.1640625" style="139" customWidth="1"/>
    <col min="2827" max="2828" width="9.33203125" style="139" bestFit="1" customWidth="1"/>
    <col min="2829" max="2829" width="10.5" style="139" bestFit="1" customWidth="1"/>
    <col min="2830" max="2830" width="9.33203125" style="139" bestFit="1" customWidth="1"/>
    <col min="2831" max="3072" width="9.33203125" style="139"/>
    <col min="3073" max="3073" width="17.6640625" style="139" bestFit="1" customWidth="1"/>
    <col min="3074" max="3074" width="9.33203125" style="139" bestFit="1" customWidth="1"/>
    <col min="3075" max="3076" width="20.1640625" style="139" bestFit="1" customWidth="1"/>
    <col min="3077" max="3077" width="11.6640625" style="139" bestFit="1" customWidth="1"/>
    <col min="3078" max="3078" width="3.5" style="139" bestFit="1" customWidth="1"/>
    <col min="3079" max="3079" width="20.1640625" style="139" customWidth="1"/>
    <col min="3080" max="3080" width="17.6640625" style="139" customWidth="1"/>
    <col min="3081" max="3082" width="20.1640625" style="139" customWidth="1"/>
    <col min="3083" max="3084" width="9.33203125" style="139" bestFit="1" customWidth="1"/>
    <col min="3085" max="3085" width="10.5" style="139" bestFit="1" customWidth="1"/>
    <col min="3086" max="3086" width="9.33203125" style="139" bestFit="1" customWidth="1"/>
    <col min="3087" max="3328" width="9.33203125" style="139"/>
    <col min="3329" max="3329" width="17.6640625" style="139" bestFit="1" customWidth="1"/>
    <col min="3330" max="3330" width="9.33203125" style="139" bestFit="1" customWidth="1"/>
    <col min="3331" max="3332" width="20.1640625" style="139" bestFit="1" customWidth="1"/>
    <col min="3333" max="3333" width="11.6640625" style="139" bestFit="1" customWidth="1"/>
    <col min="3334" max="3334" width="3.5" style="139" bestFit="1" customWidth="1"/>
    <col min="3335" max="3335" width="20.1640625" style="139" customWidth="1"/>
    <col min="3336" max="3336" width="17.6640625" style="139" customWidth="1"/>
    <col min="3337" max="3338" width="20.1640625" style="139" customWidth="1"/>
    <col min="3339" max="3340" width="9.33203125" style="139" bestFit="1" customWidth="1"/>
    <col min="3341" max="3341" width="10.5" style="139" bestFit="1" customWidth="1"/>
    <col min="3342" max="3342" width="9.33203125" style="139" bestFit="1" customWidth="1"/>
    <col min="3343" max="3584" width="9.33203125" style="139"/>
    <col min="3585" max="3585" width="17.6640625" style="139" bestFit="1" customWidth="1"/>
    <col min="3586" max="3586" width="9.33203125" style="139" bestFit="1" customWidth="1"/>
    <col min="3587" max="3588" width="20.1640625" style="139" bestFit="1" customWidth="1"/>
    <col min="3589" max="3589" width="11.6640625" style="139" bestFit="1" customWidth="1"/>
    <col min="3590" max="3590" width="3.5" style="139" bestFit="1" customWidth="1"/>
    <col min="3591" max="3591" width="20.1640625" style="139" customWidth="1"/>
    <col min="3592" max="3592" width="17.6640625" style="139" customWidth="1"/>
    <col min="3593" max="3594" width="20.1640625" style="139" customWidth="1"/>
    <col min="3595" max="3596" width="9.33203125" style="139" bestFit="1" customWidth="1"/>
    <col min="3597" max="3597" width="10.5" style="139" bestFit="1" customWidth="1"/>
    <col min="3598" max="3598" width="9.33203125" style="139" bestFit="1" customWidth="1"/>
    <col min="3599" max="3840" width="9.33203125" style="139"/>
    <col min="3841" max="3841" width="17.6640625" style="139" bestFit="1" customWidth="1"/>
    <col min="3842" max="3842" width="9.33203125" style="139" bestFit="1" customWidth="1"/>
    <col min="3843" max="3844" width="20.1640625" style="139" bestFit="1" customWidth="1"/>
    <col min="3845" max="3845" width="11.6640625" style="139" bestFit="1" customWidth="1"/>
    <col min="3846" max="3846" width="3.5" style="139" bestFit="1" customWidth="1"/>
    <col min="3847" max="3847" width="20.1640625" style="139" customWidth="1"/>
    <col min="3848" max="3848" width="17.6640625" style="139" customWidth="1"/>
    <col min="3849" max="3850" width="20.1640625" style="139" customWidth="1"/>
    <col min="3851" max="3852" width="9.33203125" style="139" bestFit="1" customWidth="1"/>
    <col min="3853" max="3853" width="10.5" style="139" bestFit="1" customWidth="1"/>
    <col min="3854" max="3854" width="9.33203125" style="139" bestFit="1" customWidth="1"/>
    <col min="3855" max="4096" width="9.33203125" style="139"/>
    <col min="4097" max="4097" width="17.6640625" style="139" bestFit="1" customWidth="1"/>
    <col min="4098" max="4098" width="9.33203125" style="139" bestFit="1" customWidth="1"/>
    <col min="4099" max="4100" width="20.1640625" style="139" bestFit="1" customWidth="1"/>
    <col min="4101" max="4101" width="11.6640625" style="139" bestFit="1" customWidth="1"/>
    <col min="4102" max="4102" width="3.5" style="139" bestFit="1" customWidth="1"/>
    <col min="4103" max="4103" width="20.1640625" style="139" customWidth="1"/>
    <col min="4104" max="4104" width="17.6640625" style="139" customWidth="1"/>
    <col min="4105" max="4106" width="20.1640625" style="139" customWidth="1"/>
    <col min="4107" max="4108" width="9.33203125" style="139" bestFit="1" customWidth="1"/>
    <col min="4109" max="4109" width="10.5" style="139" bestFit="1" customWidth="1"/>
    <col min="4110" max="4110" width="9.33203125" style="139" bestFit="1" customWidth="1"/>
    <col min="4111" max="4352" width="9.33203125" style="139"/>
    <col min="4353" max="4353" width="17.6640625" style="139" bestFit="1" customWidth="1"/>
    <col min="4354" max="4354" width="9.33203125" style="139" bestFit="1" customWidth="1"/>
    <col min="4355" max="4356" width="20.1640625" style="139" bestFit="1" customWidth="1"/>
    <col min="4357" max="4357" width="11.6640625" style="139" bestFit="1" customWidth="1"/>
    <col min="4358" max="4358" width="3.5" style="139" bestFit="1" customWidth="1"/>
    <col min="4359" max="4359" width="20.1640625" style="139" customWidth="1"/>
    <col min="4360" max="4360" width="17.6640625" style="139" customWidth="1"/>
    <col min="4361" max="4362" width="20.1640625" style="139" customWidth="1"/>
    <col min="4363" max="4364" width="9.33203125" style="139" bestFit="1" customWidth="1"/>
    <col min="4365" max="4365" width="10.5" style="139" bestFit="1" customWidth="1"/>
    <col min="4366" max="4366" width="9.33203125" style="139" bestFit="1" customWidth="1"/>
    <col min="4367" max="4608" width="9.33203125" style="139"/>
    <col min="4609" max="4609" width="17.6640625" style="139" bestFit="1" customWidth="1"/>
    <col min="4610" max="4610" width="9.33203125" style="139" bestFit="1" customWidth="1"/>
    <col min="4611" max="4612" width="20.1640625" style="139" bestFit="1" customWidth="1"/>
    <col min="4613" max="4613" width="11.6640625" style="139" bestFit="1" customWidth="1"/>
    <col min="4614" max="4614" width="3.5" style="139" bestFit="1" customWidth="1"/>
    <col min="4615" max="4615" width="20.1640625" style="139" customWidth="1"/>
    <col min="4616" max="4616" width="17.6640625" style="139" customWidth="1"/>
    <col min="4617" max="4618" width="20.1640625" style="139" customWidth="1"/>
    <col min="4619" max="4620" width="9.33203125" style="139" bestFit="1" customWidth="1"/>
    <col min="4621" max="4621" width="10.5" style="139" bestFit="1" customWidth="1"/>
    <col min="4622" max="4622" width="9.33203125" style="139" bestFit="1" customWidth="1"/>
    <col min="4623" max="4864" width="9.33203125" style="139"/>
    <col min="4865" max="4865" width="17.6640625" style="139" bestFit="1" customWidth="1"/>
    <col min="4866" max="4866" width="9.33203125" style="139" bestFit="1" customWidth="1"/>
    <col min="4867" max="4868" width="20.1640625" style="139" bestFit="1" customWidth="1"/>
    <col min="4869" max="4869" width="11.6640625" style="139" bestFit="1" customWidth="1"/>
    <col min="4870" max="4870" width="3.5" style="139" bestFit="1" customWidth="1"/>
    <col min="4871" max="4871" width="20.1640625" style="139" customWidth="1"/>
    <col min="4872" max="4872" width="17.6640625" style="139" customWidth="1"/>
    <col min="4873" max="4874" width="20.1640625" style="139" customWidth="1"/>
    <col min="4875" max="4876" width="9.33203125" style="139" bestFit="1" customWidth="1"/>
    <col min="4877" max="4877" width="10.5" style="139" bestFit="1" customWidth="1"/>
    <col min="4878" max="4878" width="9.33203125" style="139" bestFit="1" customWidth="1"/>
    <col min="4879" max="5120" width="9.33203125" style="139"/>
    <col min="5121" max="5121" width="17.6640625" style="139" bestFit="1" customWidth="1"/>
    <col min="5122" max="5122" width="9.33203125" style="139" bestFit="1" customWidth="1"/>
    <col min="5123" max="5124" width="20.1640625" style="139" bestFit="1" customWidth="1"/>
    <col min="5125" max="5125" width="11.6640625" style="139" bestFit="1" customWidth="1"/>
    <col min="5126" max="5126" width="3.5" style="139" bestFit="1" customWidth="1"/>
    <col min="5127" max="5127" width="20.1640625" style="139" customWidth="1"/>
    <col min="5128" max="5128" width="17.6640625" style="139" customWidth="1"/>
    <col min="5129" max="5130" width="20.1640625" style="139" customWidth="1"/>
    <col min="5131" max="5132" width="9.33203125" style="139" bestFit="1" customWidth="1"/>
    <col min="5133" max="5133" width="10.5" style="139" bestFit="1" customWidth="1"/>
    <col min="5134" max="5134" width="9.33203125" style="139" bestFit="1" customWidth="1"/>
    <col min="5135" max="5376" width="9.33203125" style="139"/>
    <col min="5377" max="5377" width="17.6640625" style="139" bestFit="1" customWidth="1"/>
    <col min="5378" max="5378" width="9.33203125" style="139" bestFit="1" customWidth="1"/>
    <col min="5379" max="5380" width="20.1640625" style="139" bestFit="1" customWidth="1"/>
    <col min="5381" max="5381" width="11.6640625" style="139" bestFit="1" customWidth="1"/>
    <col min="5382" max="5382" width="3.5" style="139" bestFit="1" customWidth="1"/>
    <col min="5383" max="5383" width="20.1640625" style="139" customWidth="1"/>
    <col min="5384" max="5384" width="17.6640625" style="139" customWidth="1"/>
    <col min="5385" max="5386" width="20.1640625" style="139" customWidth="1"/>
    <col min="5387" max="5388" width="9.33203125" style="139" bestFit="1" customWidth="1"/>
    <col min="5389" max="5389" width="10.5" style="139" bestFit="1" customWidth="1"/>
    <col min="5390" max="5390" width="9.33203125" style="139" bestFit="1" customWidth="1"/>
    <col min="5391" max="5632" width="9.33203125" style="139"/>
    <col min="5633" max="5633" width="17.6640625" style="139" bestFit="1" customWidth="1"/>
    <col min="5634" max="5634" width="9.33203125" style="139" bestFit="1" customWidth="1"/>
    <col min="5635" max="5636" width="20.1640625" style="139" bestFit="1" customWidth="1"/>
    <col min="5637" max="5637" width="11.6640625" style="139" bestFit="1" customWidth="1"/>
    <col min="5638" max="5638" width="3.5" style="139" bestFit="1" customWidth="1"/>
    <col min="5639" max="5639" width="20.1640625" style="139" customWidth="1"/>
    <col min="5640" max="5640" width="17.6640625" style="139" customWidth="1"/>
    <col min="5641" max="5642" width="20.1640625" style="139" customWidth="1"/>
    <col min="5643" max="5644" width="9.33203125" style="139" bestFit="1" customWidth="1"/>
    <col min="5645" max="5645" width="10.5" style="139" bestFit="1" customWidth="1"/>
    <col min="5646" max="5646" width="9.33203125" style="139" bestFit="1" customWidth="1"/>
    <col min="5647" max="5888" width="9.33203125" style="139"/>
    <col min="5889" max="5889" width="17.6640625" style="139" bestFit="1" customWidth="1"/>
    <col min="5890" max="5890" width="9.33203125" style="139" bestFit="1" customWidth="1"/>
    <col min="5891" max="5892" width="20.1640625" style="139" bestFit="1" customWidth="1"/>
    <col min="5893" max="5893" width="11.6640625" style="139" bestFit="1" customWidth="1"/>
    <col min="5894" max="5894" width="3.5" style="139" bestFit="1" customWidth="1"/>
    <col min="5895" max="5895" width="20.1640625" style="139" customWidth="1"/>
    <col min="5896" max="5896" width="17.6640625" style="139" customWidth="1"/>
    <col min="5897" max="5898" width="20.1640625" style="139" customWidth="1"/>
    <col min="5899" max="5900" width="9.33203125" style="139" bestFit="1" customWidth="1"/>
    <col min="5901" max="5901" width="10.5" style="139" bestFit="1" customWidth="1"/>
    <col min="5902" max="5902" width="9.33203125" style="139" bestFit="1" customWidth="1"/>
    <col min="5903" max="6144" width="9.33203125" style="139"/>
    <col min="6145" max="6145" width="17.6640625" style="139" bestFit="1" customWidth="1"/>
    <col min="6146" max="6146" width="9.33203125" style="139" bestFit="1" customWidth="1"/>
    <col min="6147" max="6148" width="20.1640625" style="139" bestFit="1" customWidth="1"/>
    <col min="6149" max="6149" width="11.6640625" style="139" bestFit="1" customWidth="1"/>
    <col min="6150" max="6150" width="3.5" style="139" bestFit="1" customWidth="1"/>
    <col min="6151" max="6151" width="20.1640625" style="139" customWidth="1"/>
    <col min="6152" max="6152" width="17.6640625" style="139" customWidth="1"/>
    <col min="6153" max="6154" width="20.1640625" style="139" customWidth="1"/>
    <col min="6155" max="6156" width="9.33203125" style="139" bestFit="1" customWidth="1"/>
    <col min="6157" max="6157" width="10.5" style="139" bestFit="1" customWidth="1"/>
    <col min="6158" max="6158" width="9.33203125" style="139" bestFit="1" customWidth="1"/>
    <col min="6159" max="6400" width="9.33203125" style="139"/>
    <col min="6401" max="6401" width="17.6640625" style="139" bestFit="1" customWidth="1"/>
    <col min="6402" max="6402" width="9.33203125" style="139" bestFit="1" customWidth="1"/>
    <col min="6403" max="6404" width="20.1640625" style="139" bestFit="1" customWidth="1"/>
    <col min="6405" max="6405" width="11.6640625" style="139" bestFit="1" customWidth="1"/>
    <col min="6406" max="6406" width="3.5" style="139" bestFit="1" customWidth="1"/>
    <col min="6407" max="6407" width="20.1640625" style="139" customWidth="1"/>
    <col min="6408" max="6408" width="17.6640625" style="139" customWidth="1"/>
    <col min="6409" max="6410" width="20.1640625" style="139" customWidth="1"/>
    <col min="6411" max="6412" width="9.33203125" style="139" bestFit="1" customWidth="1"/>
    <col min="6413" max="6413" width="10.5" style="139" bestFit="1" customWidth="1"/>
    <col min="6414" max="6414" width="9.33203125" style="139" bestFit="1" customWidth="1"/>
    <col min="6415" max="6656" width="9.33203125" style="139"/>
    <col min="6657" max="6657" width="17.6640625" style="139" bestFit="1" customWidth="1"/>
    <col min="6658" max="6658" width="9.33203125" style="139" bestFit="1" customWidth="1"/>
    <col min="6659" max="6660" width="20.1640625" style="139" bestFit="1" customWidth="1"/>
    <col min="6661" max="6661" width="11.6640625" style="139" bestFit="1" customWidth="1"/>
    <col min="6662" max="6662" width="3.5" style="139" bestFit="1" customWidth="1"/>
    <col min="6663" max="6663" width="20.1640625" style="139" customWidth="1"/>
    <col min="6664" max="6664" width="17.6640625" style="139" customWidth="1"/>
    <col min="6665" max="6666" width="20.1640625" style="139" customWidth="1"/>
    <col min="6667" max="6668" width="9.33203125" style="139" bestFit="1" customWidth="1"/>
    <col min="6669" max="6669" width="10.5" style="139" bestFit="1" customWidth="1"/>
    <col min="6670" max="6670" width="9.33203125" style="139" bestFit="1" customWidth="1"/>
    <col min="6671" max="6912" width="9.33203125" style="139"/>
    <col min="6913" max="6913" width="17.6640625" style="139" bestFit="1" customWidth="1"/>
    <col min="6914" max="6914" width="9.33203125" style="139" bestFit="1" customWidth="1"/>
    <col min="6915" max="6916" width="20.1640625" style="139" bestFit="1" customWidth="1"/>
    <col min="6917" max="6917" width="11.6640625" style="139" bestFit="1" customWidth="1"/>
    <col min="6918" max="6918" width="3.5" style="139" bestFit="1" customWidth="1"/>
    <col min="6919" max="6919" width="20.1640625" style="139" customWidth="1"/>
    <col min="6920" max="6920" width="17.6640625" style="139" customWidth="1"/>
    <col min="6921" max="6922" width="20.1640625" style="139" customWidth="1"/>
    <col min="6923" max="6924" width="9.33203125" style="139" bestFit="1" customWidth="1"/>
    <col min="6925" max="6925" width="10.5" style="139" bestFit="1" customWidth="1"/>
    <col min="6926" max="6926" width="9.33203125" style="139" bestFit="1" customWidth="1"/>
    <col min="6927" max="7168" width="9.33203125" style="139"/>
    <col min="7169" max="7169" width="17.6640625" style="139" bestFit="1" customWidth="1"/>
    <col min="7170" max="7170" width="9.33203125" style="139" bestFit="1" customWidth="1"/>
    <col min="7171" max="7172" width="20.1640625" style="139" bestFit="1" customWidth="1"/>
    <col min="7173" max="7173" width="11.6640625" style="139" bestFit="1" customWidth="1"/>
    <col min="7174" max="7174" width="3.5" style="139" bestFit="1" customWidth="1"/>
    <col min="7175" max="7175" width="20.1640625" style="139" customWidth="1"/>
    <col min="7176" max="7176" width="17.6640625" style="139" customWidth="1"/>
    <col min="7177" max="7178" width="20.1640625" style="139" customWidth="1"/>
    <col min="7179" max="7180" width="9.33203125" style="139" bestFit="1" customWidth="1"/>
    <col min="7181" max="7181" width="10.5" style="139" bestFit="1" customWidth="1"/>
    <col min="7182" max="7182" width="9.33203125" style="139" bestFit="1" customWidth="1"/>
    <col min="7183" max="7424" width="9.33203125" style="139"/>
    <col min="7425" max="7425" width="17.6640625" style="139" bestFit="1" customWidth="1"/>
    <col min="7426" max="7426" width="9.33203125" style="139" bestFit="1" customWidth="1"/>
    <col min="7427" max="7428" width="20.1640625" style="139" bestFit="1" customWidth="1"/>
    <col min="7429" max="7429" width="11.6640625" style="139" bestFit="1" customWidth="1"/>
    <col min="7430" max="7430" width="3.5" style="139" bestFit="1" customWidth="1"/>
    <col min="7431" max="7431" width="20.1640625" style="139" customWidth="1"/>
    <col min="7432" max="7432" width="17.6640625" style="139" customWidth="1"/>
    <col min="7433" max="7434" width="20.1640625" style="139" customWidth="1"/>
    <col min="7435" max="7436" width="9.33203125" style="139" bestFit="1" customWidth="1"/>
    <col min="7437" max="7437" width="10.5" style="139" bestFit="1" customWidth="1"/>
    <col min="7438" max="7438" width="9.33203125" style="139" bestFit="1" customWidth="1"/>
    <col min="7439" max="7680" width="9.33203125" style="139"/>
    <col min="7681" max="7681" width="17.6640625" style="139" bestFit="1" customWidth="1"/>
    <col min="7682" max="7682" width="9.33203125" style="139" bestFit="1" customWidth="1"/>
    <col min="7683" max="7684" width="20.1640625" style="139" bestFit="1" customWidth="1"/>
    <col min="7685" max="7685" width="11.6640625" style="139" bestFit="1" customWidth="1"/>
    <col min="7686" max="7686" width="3.5" style="139" bestFit="1" customWidth="1"/>
    <col min="7687" max="7687" width="20.1640625" style="139" customWidth="1"/>
    <col min="7688" max="7688" width="17.6640625" style="139" customWidth="1"/>
    <col min="7689" max="7690" width="20.1640625" style="139" customWidth="1"/>
    <col min="7691" max="7692" width="9.33203125" style="139" bestFit="1" customWidth="1"/>
    <col min="7693" max="7693" width="10.5" style="139" bestFit="1" customWidth="1"/>
    <col min="7694" max="7694" width="9.33203125" style="139" bestFit="1" customWidth="1"/>
    <col min="7695" max="7936" width="9.33203125" style="139"/>
    <col min="7937" max="7937" width="17.6640625" style="139" bestFit="1" customWidth="1"/>
    <col min="7938" max="7938" width="9.33203125" style="139" bestFit="1" customWidth="1"/>
    <col min="7939" max="7940" width="20.1640625" style="139" bestFit="1" customWidth="1"/>
    <col min="7941" max="7941" width="11.6640625" style="139" bestFit="1" customWidth="1"/>
    <col min="7942" max="7942" width="3.5" style="139" bestFit="1" customWidth="1"/>
    <col min="7943" max="7943" width="20.1640625" style="139" customWidth="1"/>
    <col min="7944" max="7944" width="17.6640625" style="139" customWidth="1"/>
    <col min="7945" max="7946" width="20.1640625" style="139" customWidth="1"/>
    <col min="7947" max="7948" width="9.33203125" style="139" bestFit="1" customWidth="1"/>
    <col min="7949" max="7949" width="10.5" style="139" bestFit="1" customWidth="1"/>
    <col min="7950" max="7950" width="9.33203125" style="139" bestFit="1" customWidth="1"/>
    <col min="7951" max="8192" width="9.33203125" style="139"/>
    <col min="8193" max="8193" width="17.6640625" style="139" bestFit="1" customWidth="1"/>
    <col min="8194" max="8194" width="9.33203125" style="139" bestFit="1" customWidth="1"/>
    <col min="8195" max="8196" width="20.1640625" style="139" bestFit="1" customWidth="1"/>
    <col min="8197" max="8197" width="11.6640625" style="139" bestFit="1" customWidth="1"/>
    <col min="8198" max="8198" width="3.5" style="139" bestFit="1" customWidth="1"/>
    <col min="8199" max="8199" width="20.1640625" style="139" customWidth="1"/>
    <col min="8200" max="8200" width="17.6640625" style="139" customWidth="1"/>
    <col min="8201" max="8202" width="20.1640625" style="139" customWidth="1"/>
    <col min="8203" max="8204" width="9.33203125" style="139" bestFit="1" customWidth="1"/>
    <col min="8205" max="8205" width="10.5" style="139" bestFit="1" customWidth="1"/>
    <col min="8206" max="8206" width="9.33203125" style="139" bestFit="1" customWidth="1"/>
    <col min="8207" max="8448" width="9.33203125" style="139"/>
    <col min="8449" max="8449" width="17.6640625" style="139" bestFit="1" customWidth="1"/>
    <col min="8450" max="8450" width="9.33203125" style="139" bestFit="1" customWidth="1"/>
    <col min="8451" max="8452" width="20.1640625" style="139" bestFit="1" customWidth="1"/>
    <col min="8453" max="8453" width="11.6640625" style="139" bestFit="1" customWidth="1"/>
    <col min="8454" max="8454" width="3.5" style="139" bestFit="1" customWidth="1"/>
    <col min="8455" max="8455" width="20.1640625" style="139" customWidth="1"/>
    <col min="8456" max="8456" width="17.6640625" style="139" customWidth="1"/>
    <col min="8457" max="8458" width="20.1640625" style="139" customWidth="1"/>
    <col min="8459" max="8460" width="9.33203125" style="139" bestFit="1" customWidth="1"/>
    <col min="8461" max="8461" width="10.5" style="139" bestFit="1" customWidth="1"/>
    <col min="8462" max="8462" width="9.33203125" style="139" bestFit="1" customWidth="1"/>
    <col min="8463" max="8704" width="9.33203125" style="139"/>
    <col min="8705" max="8705" width="17.6640625" style="139" bestFit="1" customWidth="1"/>
    <col min="8706" max="8706" width="9.33203125" style="139" bestFit="1" customWidth="1"/>
    <col min="8707" max="8708" width="20.1640625" style="139" bestFit="1" customWidth="1"/>
    <col min="8709" max="8709" width="11.6640625" style="139" bestFit="1" customWidth="1"/>
    <col min="8710" max="8710" width="3.5" style="139" bestFit="1" customWidth="1"/>
    <col min="8711" max="8711" width="20.1640625" style="139" customWidth="1"/>
    <col min="8712" max="8712" width="17.6640625" style="139" customWidth="1"/>
    <col min="8713" max="8714" width="20.1640625" style="139" customWidth="1"/>
    <col min="8715" max="8716" width="9.33203125" style="139" bestFit="1" customWidth="1"/>
    <col min="8717" max="8717" width="10.5" style="139" bestFit="1" customWidth="1"/>
    <col min="8718" max="8718" width="9.33203125" style="139" bestFit="1" customWidth="1"/>
    <col min="8719" max="8960" width="9.33203125" style="139"/>
    <col min="8961" max="8961" width="17.6640625" style="139" bestFit="1" customWidth="1"/>
    <col min="8962" max="8962" width="9.33203125" style="139" bestFit="1" customWidth="1"/>
    <col min="8963" max="8964" width="20.1640625" style="139" bestFit="1" customWidth="1"/>
    <col min="8965" max="8965" width="11.6640625" style="139" bestFit="1" customWidth="1"/>
    <col min="8966" max="8966" width="3.5" style="139" bestFit="1" customWidth="1"/>
    <col min="8967" max="8967" width="20.1640625" style="139" customWidth="1"/>
    <col min="8968" max="8968" width="17.6640625" style="139" customWidth="1"/>
    <col min="8969" max="8970" width="20.1640625" style="139" customWidth="1"/>
    <col min="8971" max="8972" width="9.33203125" style="139" bestFit="1" customWidth="1"/>
    <col min="8973" max="8973" width="10.5" style="139" bestFit="1" customWidth="1"/>
    <col min="8974" max="8974" width="9.33203125" style="139" bestFit="1" customWidth="1"/>
    <col min="8975" max="9216" width="9.33203125" style="139"/>
    <col min="9217" max="9217" width="17.6640625" style="139" bestFit="1" customWidth="1"/>
    <col min="9218" max="9218" width="9.33203125" style="139" bestFit="1" customWidth="1"/>
    <col min="9219" max="9220" width="20.1640625" style="139" bestFit="1" customWidth="1"/>
    <col min="9221" max="9221" width="11.6640625" style="139" bestFit="1" customWidth="1"/>
    <col min="9222" max="9222" width="3.5" style="139" bestFit="1" customWidth="1"/>
    <col min="9223" max="9223" width="20.1640625" style="139" customWidth="1"/>
    <col min="9224" max="9224" width="17.6640625" style="139" customWidth="1"/>
    <col min="9225" max="9226" width="20.1640625" style="139" customWidth="1"/>
    <col min="9227" max="9228" width="9.33203125" style="139" bestFit="1" customWidth="1"/>
    <col min="9229" max="9229" width="10.5" style="139" bestFit="1" customWidth="1"/>
    <col min="9230" max="9230" width="9.33203125" style="139" bestFit="1" customWidth="1"/>
    <col min="9231" max="9472" width="9.33203125" style="139"/>
    <col min="9473" max="9473" width="17.6640625" style="139" bestFit="1" customWidth="1"/>
    <col min="9474" max="9474" width="9.33203125" style="139" bestFit="1" customWidth="1"/>
    <col min="9475" max="9476" width="20.1640625" style="139" bestFit="1" customWidth="1"/>
    <col min="9477" max="9477" width="11.6640625" style="139" bestFit="1" customWidth="1"/>
    <col min="9478" max="9478" width="3.5" style="139" bestFit="1" customWidth="1"/>
    <col min="9479" max="9479" width="20.1640625" style="139" customWidth="1"/>
    <col min="9480" max="9480" width="17.6640625" style="139" customWidth="1"/>
    <col min="9481" max="9482" width="20.1640625" style="139" customWidth="1"/>
    <col min="9483" max="9484" width="9.33203125" style="139" bestFit="1" customWidth="1"/>
    <col min="9485" max="9485" width="10.5" style="139" bestFit="1" customWidth="1"/>
    <col min="9486" max="9486" width="9.33203125" style="139" bestFit="1" customWidth="1"/>
    <col min="9487" max="9728" width="9.33203125" style="139"/>
    <col min="9729" max="9729" width="17.6640625" style="139" bestFit="1" customWidth="1"/>
    <col min="9730" max="9730" width="9.33203125" style="139" bestFit="1" customWidth="1"/>
    <col min="9731" max="9732" width="20.1640625" style="139" bestFit="1" customWidth="1"/>
    <col min="9733" max="9733" width="11.6640625" style="139" bestFit="1" customWidth="1"/>
    <col min="9734" max="9734" width="3.5" style="139" bestFit="1" customWidth="1"/>
    <col min="9735" max="9735" width="20.1640625" style="139" customWidth="1"/>
    <col min="9736" max="9736" width="17.6640625" style="139" customWidth="1"/>
    <col min="9737" max="9738" width="20.1640625" style="139" customWidth="1"/>
    <col min="9739" max="9740" width="9.33203125" style="139" bestFit="1" customWidth="1"/>
    <col min="9741" max="9741" width="10.5" style="139" bestFit="1" customWidth="1"/>
    <col min="9742" max="9742" width="9.33203125" style="139" bestFit="1" customWidth="1"/>
    <col min="9743" max="9984" width="9.33203125" style="139"/>
    <col min="9985" max="9985" width="17.6640625" style="139" bestFit="1" customWidth="1"/>
    <col min="9986" max="9986" width="9.33203125" style="139" bestFit="1" customWidth="1"/>
    <col min="9987" max="9988" width="20.1640625" style="139" bestFit="1" customWidth="1"/>
    <col min="9989" max="9989" width="11.6640625" style="139" bestFit="1" customWidth="1"/>
    <col min="9990" max="9990" width="3.5" style="139" bestFit="1" customWidth="1"/>
    <col min="9991" max="9991" width="20.1640625" style="139" customWidth="1"/>
    <col min="9992" max="9992" width="17.6640625" style="139" customWidth="1"/>
    <col min="9993" max="9994" width="20.1640625" style="139" customWidth="1"/>
    <col min="9995" max="9996" width="9.33203125" style="139" bestFit="1" customWidth="1"/>
    <col min="9997" max="9997" width="10.5" style="139" bestFit="1" customWidth="1"/>
    <col min="9998" max="9998" width="9.33203125" style="139" bestFit="1" customWidth="1"/>
    <col min="9999" max="10240" width="9.33203125" style="139"/>
    <col min="10241" max="10241" width="17.6640625" style="139" bestFit="1" customWidth="1"/>
    <col min="10242" max="10242" width="9.33203125" style="139" bestFit="1" customWidth="1"/>
    <col min="10243" max="10244" width="20.1640625" style="139" bestFit="1" customWidth="1"/>
    <col min="10245" max="10245" width="11.6640625" style="139" bestFit="1" customWidth="1"/>
    <col min="10246" max="10246" width="3.5" style="139" bestFit="1" customWidth="1"/>
    <col min="10247" max="10247" width="20.1640625" style="139" customWidth="1"/>
    <col min="10248" max="10248" width="17.6640625" style="139" customWidth="1"/>
    <col min="10249" max="10250" width="20.1640625" style="139" customWidth="1"/>
    <col min="10251" max="10252" width="9.33203125" style="139" bestFit="1" customWidth="1"/>
    <col min="10253" max="10253" width="10.5" style="139" bestFit="1" customWidth="1"/>
    <col min="10254" max="10254" width="9.33203125" style="139" bestFit="1" customWidth="1"/>
    <col min="10255" max="10496" width="9.33203125" style="139"/>
    <col min="10497" max="10497" width="17.6640625" style="139" bestFit="1" customWidth="1"/>
    <col min="10498" max="10498" width="9.33203125" style="139" bestFit="1" customWidth="1"/>
    <col min="10499" max="10500" width="20.1640625" style="139" bestFit="1" customWidth="1"/>
    <col min="10501" max="10501" width="11.6640625" style="139" bestFit="1" customWidth="1"/>
    <col min="10502" max="10502" width="3.5" style="139" bestFit="1" customWidth="1"/>
    <col min="10503" max="10503" width="20.1640625" style="139" customWidth="1"/>
    <col min="10504" max="10504" width="17.6640625" style="139" customWidth="1"/>
    <col min="10505" max="10506" width="20.1640625" style="139" customWidth="1"/>
    <col min="10507" max="10508" width="9.33203125" style="139" bestFit="1" customWidth="1"/>
    <col min="10509" max="10509" width="10.5" style="139" bestFit="1" customWidth="1"/>
    <col min="10510" max="10510" width="9.33203125" style="139" bestFit="1" customWidth="1"/>
    <col min="10511" max="10752" width="9.33203125" style="139"/>
    <col min="10753" max="10753" width="17.6640625" style="139" bestFit="1" customWidth="1"/>
    <col min="10754" max="10754" width="9.33203125" style="139" bestFit="1" customWidth="1"/>
    <col min="10755" max="10756" width="20.1640625" style="139" bestFit="1" customWidth="1"/>
    <col min="10757" max="10757" width="11.6640625" style="139" bestFit="1" customWidth="1"/>
    <col min="10758" max="10758" width="3.5" style="139" bestFit="1" customWidth="1"/>
    <col min="10759" max="10759" width="20.1640625" style="139" customWidth="1"/>
    <col min="10760" max="10760" width="17.6640625" style="139" customWidth="1"/>
    <col min="10761" max="10762" width="20.1640625" style="139" customWidth="1"/>
    <col min="10763" max="10764" width="9.33203125" style="139" bestFit="1" customWidth="1"/>
    <col min="10765" max="10765" width="10.5" style="139" bestFit="1" customWidth="1"/>
    <col min="10766" max="10766" width="9.33203125" style="139" bestFit="1" customWidth="1"/>
    <col min="10767" max="11008" width="9.33203125" style="139"/>
    <col min="11009" max="11009" width="17.6640625" style="139" bestFit="1" customWidth="1"/>
    <col min="11010" max="11010" width="9.33203125" style="139" bestFit="1" customWidth="1"/>
    <col min="11011" max="11012" width="20.1640625" style="139" bestFit="1" customWidth="1"/>
    <col min="11013" max="11013" width="11.6640625" style="139" bestFit="1" customWidth="1"/>
    <col min="11014" max="11014" width="3.5" style="139" bestFit="1" customWidth="1"/>
    <col min="11015" max="11015" width="20.1640625" style="139" customWidth="1"/>
    <col min="11016" max="11016" width="17.6640625" style="139" customWidth="1"/>
    <col min="11017" max="11018" width="20.1640625" style="139" customWidth="1"/>
    <col min="11019" max="11020" width="9.33203125" style="139" bestFit="1" customWidth="1"/>
    <col min="11021" max="11021" width="10.5" style="139" bestFit="1" customWidth="1"/>
    <col min="11022" max="11022" width="9.33203125" style="139" bestFit="1" customWidth="1"/>
    <col min="11023" max="11264" width="9.33203125" style="139"/>
    <col min="11265" max="11265" width="17.6640625" style="139" bestFit="1" customWidth="1"/>
    <col min="11266" max="11266" width="9.33203125" style="139" bestFit="1" customWidth="1"/>
    <col min="11267" max="11268" width="20.1640625" style="139" bestFit="1" customWidth="1"/>
    <col min="11269" max="11269" width="11.6640625" style="139" bestFit="1" customWidth="1"/>
    <col min="11270" max="11270" width="3.5" style="139" bestFit="1" customWidth="1"/>
    <col min="11271" max="11271" width="20.1640625" style="139" customWidth="1"/>
    <col min="11272" max="11272" width="17.6640625" style="139" customWidth="1"/>
    <col min="11273" max="11274" width="20.1640625" style="139" customWidth="1"/>
    <col min="11275" max="11276" width="9.33203125" style="139" bestFit="1" customWidth="1"/>
    <col min="11277" max="11277" width="10.5" style="139" bestFit="1" customWidth="1"/>
    <col min="11278" max="11278" width="9.33203125" style="139" bestFit="1" customWidth="1"/>
    <col min="11279" max="11520" width="9.33203125" style="139"/>
    <col min="11521" max="11521" width="17.6640625" style="139" bestFit="1" customWidth="1"/>
    <col min="11522" max="11522" width="9.33203125" style="139" bestFit="1" customWidth="1"/>
    <col min="11523" max="11524" width="20.1640625" style="139" bestFit="1" customWidth="1"/>
    <col min="11525" max="11525" width="11.6640625" style="139" bestFit="1" customWidth="1"/>
    <col min="11526" max="11526" width="3.5" style="139" bestFit="1" customWidth="1"/>
    <col min="11527" max="11527" width="20.1640625" style="139" customWidth="1"/>
    <col min="11528" max="11528" width="17.6640625" style="139" customWidth="1"/>
    <col min="11529" max="11530" width="20.1640625" style="139" customWidth="1"/>
    <col min="11531" max="11532" width="9.33203125" style="139" bestFit="1" customWidth="1"/>
    <col min="11533" max="11533" width="10.5" style="139" bestFit="1" customWidth="1"/>
    <col min="11534" max="11534" width="9.33203125" style="139" bestFit="1" customWidth="1"/>
    <col min="11535" max="11776" width="9.33203125" style="139"/>
    <col min="11777" max="11777" width="17.6640625" style="139" bestFit="1" customWidth="1"/>
    <col min="11778" max="11778" width="9.33203125" style="139" bestFit="1" customWidth="1"/>
    <col min="11779" max="11780" width="20.1640625" style="139" bestFit="1" customWidth="1"/>
    <col min="11781" max="11781" width="11.6640625" style="139" bestFit="1" customWidth="1"/>
    <col min="11782" max="11782" width="3.5" style="139" bestFit="1" customWidth="1"/>
    <col min="11783" max="11783" width="20.1640625" style="139" customWidth="1"/>
    <col min="11784" max="11784" width="17.6640625" style="139" customWidth="1"/>
    <col min="11785" max="11786" width="20.1640625" style="139" customWidth="1"/>
    <col min="11787" max="11788" width="9.33203125" style="139" bestFit="1" customWidth="1"/>
    <col min="11789" max="11789" width="10.5" style="139" bestFit="1" customWidth="1"/>
    <col min="11790" max="11790" width="9.33203125" style="139" bestFit="1" customWidth="1"/>
    <col min="11791" max="12032" width="9.33203125" style="139"/>
    <col min="12033" max="12033" width="17.6640625" style="139" bestFit="1" customWidth="1"/>
    <col min="12034" max="12034" width="9.33203125" style="139" bestFit="1" customWidth="1"/>
    <col min="12035" max="12036" width="20.1640625" style="139" bestFit="1" customWidth="1"/>
    <col min="12037" max="12037" width="11.6640625" style="139" bestFit="1" customWidth="1"/>
    <col min="12038" max="12038" width="3.5" style="139" bestFit="1" customWidth="1"/>
    <col min="12039" max="12039" width="20.1640625" style="139" customWidth="1"/>
    <col min="12040" max="12040" width="17.6640625" style="139" customWidth="1"/>
    <col min="12041" max="12042" width="20.1640625" style="139" customWidth="1"/>
    <col min="12043" max="12044" width="9.33203125" style="139" bestFit="1" customWidth="1"/>
    <col min="12045" max="12045" width="10.5" style="139" bestFit="1" customWidth="1"/>
    <col min="12046" max="12046" width="9.33203125" style="139" bestFit="1" customWidth="1"/>
    <col min="12047" max="12288" width="9.33203125" style="139"/>
    <col min="12289" max="12289" width="17.6640625" style="139" bestFit="1" customWidth="1"/>
    <col min="12290" max="12290" width="9.33203125" style="139" bestFit="1" customWidth="1"/>
    <col min="12291" max="12292" width="20.1640625" style="139" bestFit="1" customWidth="1"/>
    <col min="12293" max="12293" width="11.6640625" style="139" bestFit="1" customWidth="1"/>
    <col min="12294" max="12294" width="3.5" style="139" bestFit="1" customWidth="1"/>
    <col min="12295" max="12295" width="20.1640625" style="139" customWidth="1"/>
    <col min="12296" max="12296" width="17.6640625" style="139" customWidth="1"/>
    <col min="12297" max="12298" width="20.1640625" style="139" customWidth="1"/>
    <col min="12299" max="12300" width="9.33203125" style="139" bestFit="1" customWidth="1"/>
    <col min="12301" max="12301" width="10.5" style="139" bestFit="1" customWidth="1"/>
    <col min="12302" max="12302" width="9.33203125" style="139" bestFit="1" customWidth="1"/>
    <col min="12303" max="12544" width="9.33203125" style="139"/>
    <col min="12545" max="12545" width="17.6640625" style="139" bestFit="1" customWidth="1"/>
    <col min="12546" max="12546" width="9.33203125" style="139" bestFit="1" customWidth="1"/>
    <col min="12547" max="12548" width="20.1640625" style="139" bestFit="1" customWidth="1"/>
    <col min="12549" max="12549" width="11.6640625" style="139" bestFit="1" customWidth="1"/>
    <col min="12550" max="12550" width="3.5" style="139" bestFit="1" customWidth="1"/>
    <col min="12551" max="12551" width="20.1640625" style="139" customWidth="1"/>
    <col min="12552" max="12552" width="17.6640625" style="139" customWidth="1"/>
    <col min="12553" max="12554" width="20.1640625" style="139" customWidth="1"/>
    <col min="12555" max="12556" width="9.33203125" style="139" bestFit="1" customWidth="1"/>
    <col min="12557" max="12557" width="10.5" style="139" bestFit="1" customWidth="1"/>
    <col min="12558" max="12558" width="9.33203125" style="139" bestFit="1" customWidth="1"/>
    <col min="12559" max="12800" width="9.33203125" style="139"/>
    <col min="12801" max="12801" width="17.6640625" style="139" bestFit="1" customWidth="1"/>
    <col min="12802" max="12802" width="9.33203125" style="139" bestFit="1" customWidth="1"/>
    <col min="12803" max="12804" width="20.1640625" style="139" bestFit="1" customWidth="1"/>
    <col min="12805" max="12805" width="11.6640625" style="139" bestFit="1" customWidth="1"/>
    <col min="12806" max="12806" width="3.5" style="139" bestFit="1" customWidth="1"/>
    <col min="12807" max="12807" width="20.1640625" style="139" customWidth="1"/>
    <col min="12808" max="12808" width="17.6640625" style="139" customWidth="1"/>
    <col min="12809" max="12810" width="20.1640625" style="139" customWidth="1"/>
    <col min="12811" max="12812" width="9.33203125" style="139" bestFit="1" customWidth="1"/>
    <col min="12813" max="12813" width="10.5" style="139" bestFit="1" customWidth="1"/>
    <col min="12814" max="12814" width="9.33203125" style="139" bestFit="1" customWidth="1"/>
    <col min="12815" max="13056" width="9.33203125" style="139"/>
    <col min="13057" max="13057" width="17.6640625" style="139" bestFit="1" customWidth="1"/>
    <col min="13058" max="13058" width="9.33203125" style="139" bestFit="1" customWidth="1"/>
    <col min="13059" max="13060" width="20.1640625" style="139" bestFit="1" customWidth="1"/>
    <col min="13061" max="13061" width="11.6640625" style="139" bestFit="1" customWidth="1"/>
    <col min="13062" max="13062" width="3.5" style="139" bestFit="1" customWidth="1"/>
    <col min="13063" max="13063" width="20.1640625" style="139" customWidth="1"/>
    <col min="13064" max="13064" width="17.6640625" style="139" customWidth="1"/>
    <col min="13065" max="13066" width="20.1640625" style="139" customWidth="1"/>
    <col min="13067" max="13068" width="9.33203125" style="139" bestFit="1" customWidth="1"/>
    <col min="13069" max="13069" width="10.5" style="139" bestFit="1" customWidth="1"/>
    <col min="13070" max="13070" width="9.33203125" style="139" bestFit="1" customWidth="1"/>
    <col min="13071" max="13312" width="9.33203125" style="139"/>
    <col min="13313" max="13313" width="17.6640625" style="139" bestFit="1" customWidth="1"/>
    <col min="13314" max="13314" width="9.33203125" style="139" bestFit="1" customWidth="1"/>
    <col min="13315" max="13316" width="20.1640625" style="139" bestFit="1" customWidth="1"/>
    <col min="13317" max="13317" width="11.6640625" style="139" bestFit="1" customWidth="1"/>
    <col min="13318" max="13318" width="3.5" style="139" bestFit="1" customWidth="1"/>
    <col min="13319" max="13319" width="20.1640625" style="139" customWidth="1"/>
    <col min="13320" max="13320" width="17.6640625" style="139" customWidth="1"/>
    <col min="13321" max="13322" width="20.1640625" style="139" customWidth="1"/>
    <col min="13323" max="13324" width="9.33203125" style="139" bestFit="1" customWidth="1"/>
    <col min="13325" max="13325" width="10.5" style="139" bestFit="1" customWidth="1"/>
    <col min="13326" max="13326" width="9.33203125" style="139" bestFit="1" customWidth="1"/>
    <col min="13327" max="13568" width="9.33203125" style="139"/>
    <col min="13569" max="13569" width="17.6640625" style="139" bestFit="1" customWidth="1"/>
    <col min="13570" max="13570" width="9.33203125" style="139" bestFit="1" customWidth="1"/>
    <col min="13571" max="13572" width="20.1640625" style="139" bestFit="1" customWidth="1"/>
    <col min="13573" max="13573" width="11.6640625" style="139" bestFit="1" customWidth="1"/>
    <col min="13574" max="13574" width="3.5" style="139" bestFit="1" customWidth="1"/>
    <col min="13575" max="13575" width="20.1640625" style="139" customWidth="1"/>
    <col min="13576" max="13576" width="17.6640625" style="139" customWidth="1"/>
    <col min="13577" max="13578" width="20.1640625" style="139" customWidth="1"/>
    <col min="13579" max="13580" width="9.33203125" style="139" bestFit="1" customWidth="1"/>
    <col min="13581" max="13581" width="10.5" style="139" bestFit="1" customWidth="1"/>
    <col min="13582" max="13582" width="9.33203125" style="139" bestFit="1" customWidth="1"/>
    <col min="13583" max="13824" width="9.33203125" style="139"/>
    <col min="13825" max="13825" width="17.6640625" style="139" bestFit="1" customWidth="1"/>
    <col min="13826" max="13826" width="9.33203125" style="139" bestFit="1" customWidth="1"/>
    <col min="13827" max="13828" width="20.1640625" style="139" bestFit="1" customWidth="1"/>
    <col min="13829" max="13829" width="11.6640625" style="139" bestFit="1" customWidth="1"/>
    <col min="13830" max="13830" width="3.5" style="139" bestFit="1" customWidth="1"/>
    <col min="13831" max="13831" width="20.1640625" style="139" customWidth="1"/>
    <col min="13832" max="13832" width="17.6640625" style="139" customWidth="1"/>
    <col min="13833" max="13834" width="20.1640625" style="139" customWidth="1"/>
    <col min="13835" max="13836" width="9.33203125" style="139" bestFit="1" customWidth="1"/>
    <col min="13837" max="13837" width="10.5" style="139" bestFit="1" customWidth="1"/>
    <col min="13838" max="13838" width="9.33203125" style="139" bestFit="1" customWidth="1"/>
    <col min="13839" max="14080" width="9.33203125" style="139"/>
    <col min="14081" max="14081" width="17.6640625" style="139" bestFit="1" customWidth="1"/>
    <col min="14082" max="14082" width="9.33203125" style="139" bestFit="1" customWidth="1"/>
    <col min="14083" max="14084" width="20.1640625" style="139" bestFit="1" customWidth="1"/>
    <col min="14085" max="14085" width="11.6640625" style="139" bestFit="1" customWidth="1"/>
    <col min="14086" max="14086" width="3.5" style="139" bestFit="1" customWidth="1"/>
    <col min="14087" max="14087" width="20.1640625" style="139" customWidth="1"/>
    <col min="14088" max="14088" width="17.6640625" style="139" customWidth="1"/>
    <col min="14089" max="14090" width="20.1640625" style="139" customWidth="1"/>
    <col min="14091" max="14092" width="9.33203125" style="139" bestFit="1" customWidth="1"/>
    <col min="14093" max="14093" width="10.5" style="139" bestFit="1" customWidth="1"/>
    <col min="14094" max="14094" width="9.33203125" style="139" bestFit="1" customWidth="1"/>
    <col min="14095" max="14336" width="9.33203125" style="139"/>
    <col min="14337" max="14337" width="17.6640625" style="139" bestFit="1" customWidth="1"/>
    <col min="14338" max="14338" width="9.33203125" style="139" bestFit="1" customWidth="1"/>
    <col min="14339" max="14340" width="20.1640625" style="139" bestFit="1" customWidth="1"/>
    <col min="14341" max="14341" width="11.6640625" style="139" bestFit="1" customWidth="1"/>
    <col min="14342" max="14342" width="3.5" style="139" bestFit="1" customWidth="1"/>
    <col min="14343" max="14343" width="20.1640625" style="139" customWidth="1"/>
    <col min="14344" max="14344" width="17.6640625" style="139" customWidth="1"/>
    <col min="14345" max="14346" width="20.1640625" style="139" customWidth="1"/>
    <col min="14347" max="14348" width="9.33203125" style="139" bestFit="1" customWidth="1"/>
    <col min="14349" max="14349" width="10.5" style="139" bestFit="1" customWidth="1"/>
    <col min="14350" max="14350" width="9.33203125" style="139" bestFit="1" customWidth="1"/>
    <col min="14351" max="14592" width="9.33203125" style="139"/>
    <col min="14593" max="14593" width="17.6640625" style="139" bestFit="1" customWidth="1"/>
    <col min="14594" max="14594" width="9.33203125" style="139" bestFit="1" customWidth="1"/>
    <col min="14595" max="14596" width="20.1640625" style="139" bestFit="1" customWidth="1"/>
    <col min="14597" max="14597" width="11.6640625" style="139" bestFit="1" customWidth="1"/>
    <col min="14598" max="14598" width="3.5" style="139" bestFit="1" customWidth="1"/>
    <col min="14599" max="14599" width="20.1640625" style="139" customWidth="1"/>
    <col min="14600" max="14600" width="17.6640625" style="139" customWidth="1"/>
    <col min="14601" max="14602" width="20.1640625" style="139" customWidth="1"/>
    <col min="14603" max="14604" width="9.33203125" style="139" bestFit="1" customWidth="1"/>
    <col min="14605" max="14605" width="10.5" style="139" bestFit="1" customWidth="1"/>
    <col min="14606" max="14606" width="9.33203125" style="139" bestFit="1" customWidth="1"/>
    <col min="14607" max="14848" width="9.33203125" style="139"/>
    <col min="14849" max="14849" width="17.6640625" style="139" bestFit="1" customWidth="1"/>
    <col min="14850" max="14850" width="9.33203125" style="139" bestFit="1" customWidth="1"/>
    <col min="14851" max="14852" width="20.1640625" style="139" bestFit="1" customWidth="1"/>
    <col min="14853" max="14853" width="11.6640625" style="139" bestFit="1" customWidth="1"/>
    <col min="14854" max="14854" width="3.5" style="139" bestFit="1" customWidth="1"/>
    <col min="14855" max="14855" width="20.1640625" style="139" customWidth="1"/>
    <col min="14856" max="14856" width="17.6640625" style="139" customWidth="1"/>
    <col min="14857" max="14858" width="20.1640625" style="139" customWidth="1"/>
    <col min="14859" max="14860" width="9.33203125" style="139" bestFit="1" customWidth="1"/>
    <col min="14861" max="14861" width="10.5" style="139" bestFit="1" customWidth="1"/>
    <col min="14862" max="14862" width="9.33203125" style="139" bestFit="1" customWidth="1"/>
    <col min="14863" max="15104" width="9.33203125" style="139"/>
    <col min="15105" max="15105" width="17.6640625" style="139" bestFit="1" customWidth="1"/>
    <col min="15106" max="15106" width="9.33203125" style="139" bestFit="1" customWidth="1"/>
    <col min="15107" max="15108" width="20.1640625" style="139" bestFit="1" customWidth="1"/>
    <col min="15109" max="15109" width="11.6640625" style="139" bestFit="1" customWidth="1"/>
    <col min="15110" max="15110" width="3.5" style="139" bestFit="1" customWidth="1"/>
    <col min="15111" max="15111" width="20.1640625" style="139" customWidth="1"/>
    <col min="15112" max="15112" width="17.6640625" style="139" customWidth="1"/>
    <col min="15113" max="15114" width="20.1640625" style="139" customWidth="1"/>
    <col min="15115" max="15116" width="9.33203125" style="139" bestFit="1" customWidth="1"/>
    <col min="15117" max="15117" width="10.5" style="139" bestFit="1" customWidth="1"/>
    <col min="15118" max="15118" width="9.33203125" style="139" bestFit="1" customWidth="1"/>
    <col min="15119" max="15360" width="9.33203125" style="139"/>
    <col min="15361" max="15361" width="17.6640625" style="139" bestFit="1" customWidth="1"/>
    <col min="15362" max="15362" width="9.33203125" style="139" bestFit="1" customWidth="1"/>
    <col min="15363" max="15364" width="20.1640625" style="139" bestFit="1" customWidth="1"/>
    <col min="15365" max="15365" width="11.6640625" style="139" bestFit="1" customWidth="1"/>
    <col min="15366" max="15366" width="3.5" style="139" bestFit="1" customWidth="1"/>
    <col min="15367" max="15367" width="20.1640625" style="139" customWidth="1"/>
    <col min="15368" max="15368" width="17.6640625" style="139" customWidth="1"/>
    <col min="15369" max="15370" width="20.1640625" style="139" customWidth="1"/>
    <col min="15371" max="15372" width="9.33203125" style="139" bestFit="1" customWidth="1"/>
    <col min="15373" max="15373" width="10.5" style="139" bestFit="1" customWidth="1"/>
    <col min="15374" max="15374" width="9.33203125" style="139" bestFit="1" customWidth="1"/>
    <col min="15375" max="15616" width="9.33203125" style="139"/>
    <col min="15617" max="15617" width="17.6640625" style="139" bestFit="1" customWidth="1"/>
    <col min="15618" max="15618" width="9.33203125" style="139" bestFit="1" customWidth="1"/>
    <col min="15619" max="15620" width="20.1640625" style="139" bestFit="1" customWidth="1"/>
    <col min="15621" max="15621" width="11.6640625" style="139" bestFit="1" customWidth="1"/>
    <col min="15622" max="15622" width="3.5" style="139" bestFit="1" customWidth="1"/>
    <col min="15623" max="15623" width="20.1640625" style="139" customWidth="1"/>
    <col min="15624" max="15624" width="17.6640625" style="139" customWidth="1"/>
    <col min="15625" max="15626" width="20.1640625" style="139" customWidth="1"/>
    <col min="15627" max="15628" width="9.33203125" style="139" bestFit="1" customWidth="1"/>
    <col min="15629" max="15629" width="10.5" style="139" bestFit="1" customWidth="1"/>
    <col min="15630" max="15630" width="9.33203125" style="139" bestFit="1" customWidth="1"/>
    <col min="15631" max="15872" width="9.33203125" style="139"/>
    <col min="15873" max="15873" width="17.6640625" style="139" bestFit="1" customWidth="1"/>
    <col min="15874" max="15874" width="9.33203125" style="139" bestFit="1" customWidth="1"/>
    <col min="15875" max="15876" width="20.1640625" style="139" bestFit="1" customWidth="1"/>
    <col min="15877" max="15877" width="11.6640625" style="139" bestFit="1" customWidth="1"/>
    <col min="15878" max="15878" width="3.5" style="139" bestFit="1" customWidth="1"/>
    <col min="15879" max="15879" width="20.1640625" style="139" customWidth="1"/>
    <col min="15880" max="15880" width="17.6640625" style="139" customWidth="1"/>
    <col min="15881" max="15882" width="20.1640625" style="139" customWidth="1"/>
    <col min="15883" max="15884" width="9.33203125" style="139" bestFit="1" customWidth="1"/>
    <col min="15885" max="15885" width="10.5" style="139" bestFit="1" customWidth="1"/>
    <col min="15886" max="15886" width="9.33203125" style="139" bestFit="1" customWidth="1"/>
    <col min="15887" max="16128" width="9.33203125" style="139"/>
    <col min="16129" max="16129" width="17.6640625" style="139" bestFit="1" customWidth="1"/>
    <col min="16130" max="16130" width="9.33203125" style="139" bestFit="1" customWidth="1"/>
    <col min="16131" max="16132" width="20.1640625" style="139" bestFit="1" customWidth="1"/>
    <col min="16133" max="16133" width="11.6640625" style="139" bestFit="1" customWidth="1"/>
    <col min="16134" max="16134" width="3.5" style="139" bestFit="1" customWidth="1"/>
    <col min="16135" max="16135" width="20.1640625" style="139" customWidth="1"/>
    <col min="16136" max="16136" width="17.6640625" style="139" customWidth="1"/>
    <col min="16137" max="16138" width="20.1640625" style="139" customWidth="1"/>
    <col min="16139" max="16140" width="9.33203125" style="139" bestFit="1" customWidth="1"/>
    <col min="16141" max="16141" width="10.5" style="139" bestFit="1" customWidth="1"/>
    <col min="16142" max="16142" width="9.33203125" style="139" bestFit="1" customWidth="1"/>
    <col min="16143" max="16384" width="9.33203125" style="139"/>
  </cols>
  <sheetData>
    <row r="1" spans="1:14" ht="24.75" customHeight="1" x14ac:dyDescent="0.2">
      <c r="A1" s="264" t="s">
        <v>120</v>
      </c>
      <c r="B1" s="265" t="s">
        <v>121</v>
      </c>
      <c r="C1" s="265" t="s">
        <v>111</v>
      </c>
      <c r="D1" s="266" t="s">
        <v>112</v>
      </c>
      <c r="E1" s="267" t="s">
        <v>121</v>
      </c>
      <c r="F1" s="267"/>
      <c r="G1" s="267" t="s">
        <v>122</v>
      </c>
      <c r="H1" s="267"/>
      <c r="I1" s="267" t="s">
        <v>123</v>
      </c>
      <c r="J1" s="267" t="s">
        <v>124</v>
      </c>
      <c r="K1" s="267" t="s">
        <v>125</v>
      </c>
      <c r="L1" s="267" t="s">
        <v>34</v>
      </c>
      <c r="M1" s="267" t="s">
        <v>126</v>
      </c>
      <c r="N1" s="267" t="s">
        <v>127</v>
      </c>
    </row>
    <row r="2" spans="1:14" x14ac:dyDescent="0.2">
      <c r="A2" s="268"/>
      <c r="B2" s="269"/>
      <c r="C2" s="270"/>
      <c r="D2" s="271">
        <f>SettlementDate</f>
        <v>41858</v>
      </c>
      <c r="E2" s="272">
        <f t="array" ref="E2:E127">_xll.qlPiecewiseYieldCurveData(YieldCurve,InterestRatesTrigger)</f>
        <v>1</v>
      </c>
      <c r="F2" s="139">
        <v>0</v>
      </c>
      <c r="G2" s="274">
        <f>_xll.qlInterestRateIndexFixingDate(IborIndex,I2)</f>
        <v>41858</v>
      </c>
      <c r="H2" s="139" t="str">
        <f>_xll.qlMakeDatedOIS(,I2,J2,OvernightIndex,0,"Act/360",0)</f>
        <v>obj_0040c#0003</v>
      </c>
      <c r="I2" s="274">
        <f>_xll.qlCalendarAdvance(Calendar,$D$2,F2&amp;"M","mf")</f>
        <v>41858</v>
      </c>
      <c r="J2" s="274">
        <f>_xll.qlInterestRateIndexMaturity(IborIndex,I2)</f>
        <v>42223</v>
      </c>
      <c r="K2" s="272">
        <f>_xll.qlIndexFixing(IborIndex,G2,TRUE,InterestRatesTrigger)</f>
        <v>1.0678999999999883E-2</v>
      </c>
      <c r="L2" s="272">
        <f>_xll.qlOvernightIndexedSwapFairRate(H2,InterestRatesTrigger)</f>
        <v>6.7808219175112166E-3</v>
      </c>
      <c r="M2" s="273">
        <f>K2-L2</f>
        <v>3.8981780824886665E-3</v>
      </c>
      <c r="N2" s="272"/>
    </row>
    <row r="3" spans="1:14" x14ac:dyDescent="0.2">
      <c r="A3" s="275" t="str">
        <f>RateHelpersFRA!$F2</f>
        <v>obj_003b7#0003</v>
      </c>
      <c r="B3" s="276">
        <f>_xll.qlRateHelperRate($A3,InterestRatesTrigger)</f>
        <v>1.0678999999999999E-2</v>
      </c>
      <c r="C3" s="277">
        <f>_xll.qlRateHelperEarliestDate($A3)</f>
        <v>41858</v>
      </c>
      <c r="D3" s="271">
        <f>_xll.qlRateHelperLatestDate($A3)</f>
        <v>42223</v>
      </c>
      <c r="E3" s="272">
        <v>0.98943383606466551</v>
      </c>
      <c r="F3" s="139">
        <v>12</v>
      </c>
      <c r="G3" s="274">
        <f>_xll.qlInterestRateIndexFixingDate(IborIndex,I3)</f>
        <v>42223</v>
      </c>
      <c r="H3" s="139" t="str">
        <f>_xll.qlMakeDatedOIS(,I3,J3,OvernightIndex,0,"Act/360",0)</f>
        <v>obj_00414#0003</v>
      </c>
      <c r="I3" s="274">
        <f>_xll.qlCalendarAdvance(Calendar,$D$2,F3&amp;"M","mf")</f>
        <v>42223</v>
      </c>
      <c r="J3" s="274">
        <f>_xll.qlInterestRateIndexMaturity(IborIndex,I3)</f>
        <v>42590</v>
      </c>
      <c r="K3" s="272">
        <f>_xll.qlIndexFixing(IborIndex,G3,TRUE,InterestRatesTrigger)</f>
        <v>1.9500000000000017E-2</v>
      </c>
      <c r="L3" s="272">
        <f>_xll.qlOvernightIndexedSwapFairRate(H3,InterestRatesTrigger)</f>
        <v>1.431066809836189E-2</v>
      </c>
      <c r="M3" s="273">
        <f>K3-L3</f>
        <v>5.1893319016381272E-3</v>
      </c>
      <c r="N3" s="272"/>
    </row>
    <row r="4" spans="1:14" x14ac:dyDescent="0.2">
      <c r="A4" s="275" t="str">
        <f>RateHelpersFRA!$F3</f>
        <v>obj_0038a#0003</v>
      </c>
      <c r="B4" s="276">
        <f>_xll.qlRateHelperRate($A4,InterestRatesTrigger)</f>
        <v>1.9500000000000003E-2</v>
      </c>
      <c r="C4" s="277">
        <f>_xll.qlRateHelperEarliestDate($A4)</f>
        <v>42223</v>
      </c>
      <c r="D4" s="271">
        <f>_xll.qlRateHelperLatestDate($A4)</f>
        <v>42590</v>
      </c>
      <c r="E4" s="272">
        <v>0.97040720816001569</v>
      </c>
      <c r="F4" s="139">
        <v>24</v>
      </c>
      <c r="G4" s="274">
        <f>_xll.qlInterestRateIndexFixingDate(IborIndex,I4)</f>
        <v>42590</v>
      </c>
      <c r="H4" s="139" t="str">
        <f>_xll.qlMakeDatedOIS(,I4,J4,OvernightIndex,0,"Act/360",0)</f>
        <v>obj_00435#0003</v>
      </c>
      <c r="I4" s="274">
        <f>_xll.qlCalendarAdvance(Calendar,$D$2,F4&amp;"M","mf")</f>
        <v>42590</v>
      </c>
      <c r="J4" s="274">
        <f>_xll.qlInterestRateIndexMaturity(IborIndex,I4)</f>
        <v>42955</v>
      </c>
      <c r="K4" s="272">
        <f>_xll.qlIndexFixing(IborIndex,G4,TRUE,InterestRatesTrigger)</f>
        <v>2.5071108336024217E-2</v>
      </c>
      <c r="L4" s="272">
        <f>_xll.qlOvernightIndexedSwapFairRate(H4,InterestRatesTrigger)</f>
        <v>2.0290866493007254E-2</v>
      </c>
      <c r="M4" s="273">
        <f>K4-L4</f>
        <v>4.7802418430169628E-3</v>
      </c>
      <c r="N4" s="272"/>
    </row>
    <row r="5" spans="1:14" x14ac:dyDescent="0.2">
      <c r="A5" s="275" t="str">
        <f>RateHelpersFRA!$F4</f>
        <v>obj_003f6#0003</v>
      </c>
      <c r="B5" s="276">
        <f>_xll.qlRateHelperRate($A5,InterestRatesTrigger)</f>
        <v>1.8344999999410316E-2</v>
      </c>
      <c r="C5" s="277">
        <f>_xll.qlRateHelperEarliestDate($A5)</f>
        <v>41858</v>
      </c>
      <c r="D5" s="271">
        <f>_xll.qlRateHelperLatestDate($A5)</f>
        <v>42954</v>
      </c>
      <c r="E5" s="272">
        <v>0.94674253929757701</v>
      </c>
      <c r="F5" s="139">
        <v>36</v>
      </c>
      <c r="G5" s="274">
        <f>_xll.qlInterestRateIndexFixingDate(IborIndex,I5)</f>
        <v>42954</v>
      </c>
      <c r="H5" s="139" t="str">
        <f>_xll.qlMakeDatedOIS(,I5,J5,OvernightIndex,0,"Act/360",0)</f>
        <v>obj_00418#0003</v>
      </c>
      <c r="I5" s="274">
        <f>_xll.qlCalendarAdvance(Calendar,$D$2,F5&amp;"M","mf")</f>
        <v>42954</v>
      </c>
      <c r="J5" s="274">
        <f>_xll.qlInterestRateIndexMaturity(IborIndex,I5)</f>
        <v>43319</v>
      </c>
      <c r="K5" s="272">
        <f>_xll.qlIndexFixing(IborIndex,G5,TRUE,InterestRatesTrigger)</f>
        <v>2.8779200310361963E-2</v>
      </c>
      <c r="L5" s="272">
        <f>_xll.qlOvernightIndexedSwapFairRate(H5,InterestRatesTrigger)</f>
        <v>2.3335688859792147E-2</v>
      </c>
      <c r="M5" s="273">
        <f>K5-L5</f>
        <v>5.4435114505698157E-3</v>
      </c>
      <c r="N5" s="272"/>
    </row>
    <row r="6" spans="1:14" x14ac:dyDescent="0.2">
      <c r="A6" s="275" t="str">
        <f>RateHelpersFRA!$F5</f>
        <v>obj_003f8#0003</v>
      </c>
      <c r="B6" s="276">
        <f>_xll.qlRateHelperRate($A6,InterestRatesTrigger)</f>
        <v>2.0872499999655746E-2</v>
      </c>
      <c r="C6" s="277">
        <f>_xll.qlRateHelperEarliestDate($A6)</f>
        <v>41858</v>
      </c>
      <c r="D6" s="271">
        <f>_xll.qlRateHelperLatestDate($A6)</f>
        <v>43319</v>
      </c>
      <c r="E6" s="272">
        <v>0.92025824298543735</v>
      </c>
      <c r="F6" s="139">
        <v>48</v>
      </c>
      <c r="G6" s="274">
        <f>_xll.qlInterestRateIndexFixingDate(IborIndex,I6)</f>
        <v>43319</v>
      </c>
      <c r="H6" s="139" t="str">
        <f>_xll.qlMakeDatedOIS(,I6,J6,OvernightIndex,0,"Act/360",0)</f>
        <v>obj_0040e#0003</v>
      </c>
      <c r="I6" s="274">
        <f>_xll.qlCalendarAdvance(Calendar,$D$2,F6&amp;"M","mf")</f>
        <v>43319</v>
      </c>
      <c r="J6" s="274">
        <f>_xll.qlInterestRateIndexMaturity(IborIndex,I6)</f>
        <v>43684</v>
      </c>
      <c r="K6" s="272">
        <f>_xll.qlIndexFixing(IborIndex,G6,TRUE,InterestRatesTrigger)</f>
        <v>3.0523800562580972E-2</v>
      </c>
      <c r="L6" s="272">
        <f>_xll.qlOvernightIndexedSwapFairRate(H6,InterestRatesTrigger)</f>
        <v>2.4557506570787133E-2</v>
      </c>
      <c r="M6" s="273">
        <f>K6-L6</f>
        <v>5.966293991793839E-3</v>
      </c>
      <c r="N6" s="272"/>
    </row>
    <row r="7" spans="1:14" x14ac:dyDescent="0.2">
      <c r="A7" s="275" t="str">
        <f>RateHelpersFRA!$F6</f>
        <v>obj_003fa#0003</v>
      </c>
      <c r="B7" s="276">
        <f>_xll.qlRateHelperRate($A7,InterestRatesTrigger)</f>
        <v>2.2717499999604839E-2</v>
      </c>
      <c r="C7" s="277">
        <f>_xll.qlRateHelperEarliestDate($A7)</f>
        <v>41858</v>
      </c>
      <c r="D7" s="271">
        <f>_xll.qlRateHelperLatestDate($A7)</f>
        <v>43684</v>
      </c>
      <c r="E7" s="272">
        <v>0.89300047459656173</v>
      </c>
      <c r="G7" s="274"/>
      <c r="I7" s="274"/>
      <c r="J7" s="274"/>
      <c r="K7" s="272"/>
      <c r="L7" s="272"/>
      <c r="M7" s="273"/>
    </row>
    <row r="8" spans="1:14" x14ac:dyDescent="0.2">
      <c r="A8" s="275"/>
      <c r="B8" s="276"/>
      <c r="C8" s="277"/>
      <c r="D8" s="271"/>
      <c r="E8" s="272" t="e">
        <v>#N/A</v>
      </c>
      <c r="F8" s="139">
        <v>1</v>
      </c>
      <c r="G8" s="274">
        <f>_xll.qlInterestRateIndexFixingDate(IborIndex,I8)</f>
        <v>41890</v>
      </c>
      <c r="H8" s="139" t="str">
        <f>_xll.qlMakeDatedOIS(,I8,J8,OvernightIndex,0,"Act/360",0)</f>
        <v>obj_00408#0003</v>
      </c>
      <c r="I8" s="274">
        <f>_xll.qlCalendarAdvance(Calendar,$D$2,F8&amp;"M","mf")</f>
        <v>41890</v>
      </c>
      <c r="J8" s="274">
        <f>_xll.qlInterestRateIndexMaturity(IborIndex,I8)</f>
        <v>42255</v>
      </c>
      <c r="L8" s="272">
        <f>_xll.qlOvernightIndexedSwapFairRate(H8,InterestRatesTrigger)</f>
        <v>7.3521910643117106E-3</v>
      </c>
      <c r="M8" s="273">
        <f>_xll.qlInterpolationInterpolate(BasisInterpolator,I8)</f>
        <v>4.0370777123691108E-3</v>
      </c>
      <c r="N8" s="272">
        <f t="shared" ref="N8:N51" si="0">L8+M8</f>
        <v>1.1389268776680821E-2</v>
      </c>
    </row>
    <row r="9" spans="1:14" x14ac:dyDescent="0.2">
      <c r="A9" s="275"/>
      <c r="B9" s="276"/>
      <c r="C9" s="277"/>
      <c r="D9" s="271"/>
      <c r="E9" s="272" t="e">
        <v>#N/A</v>
      </c>
      <c r="F9" s="139">
        <v>2</v>
      </c>
      <c r="G9" s="274">
        <f>_xll.qlInterestRateIndexFixingDate(IborIndex,I9)</f>
        <v>41919</v>
      </c>
      <c r="H9" s="139" t="str">
        <f>_xll.qlMakeDatedOIS(,I9,J9,OvernightIndex,0,"Act/360",0)</f>
        <v>obj_00415#0003</v>
      </c>
      <c r="I9" s="274">
        <f>_xll.qlCalendarAdvance(Calendar,$D$2,F9&amp;"M","mf")</f>
        <v>41919</v>
      </c>
      <c r="J9" s="274">
        <f>_xll.qlInterestRateIndexMaturity(IborIndex,I9)</f>
        <v>42284</v>
      </c>
      <c r="L9" s="272">
        <f>_xll.qlOvernightIndexedSwapFairRate(H9,InterestRatesTrigger)</f>
        <v>7.9229556532603128E-3</v>
      </c>
      <c r="M9" s="273">
        <f>_xll.qlInterpolationInterpolate(BasisInterpolator,I9)</f>
        <v>4.165616964546869E-3</v>
      </c>
      <c r="N9" s="272">
        <f t="shared" si="0"/>
        <v>1.2088572617807183E-2</v>
      </c>
    </row>
    <row r="10" spans="1:14" x14ac:dyDescent="0.2">
      <c r="A10" s="275"/>
      <c r="B10" s="276"/>
      <c r="C10" s="277"/>
      <c r="D10" s="271"/>
      <c r="E10" s="272" t="e">
        <v>#N/A</v>
      </c>
      <c r="F10" s="139">
        <v>3</v>
      </c>
      <c r="G10" s="274">
        <f>_xll.qlInterestRateIndexFixingDate(IborIndex,I10)</f>
        <v>41950</v>
      </c>
      <c r="H10" s="139" t="str">
        <f>_xll.qlMakeDatedOIS(,I10,J10,OvernightIndex,0,"Act/360",0)</f>
        <v>obj_00419#0003</v>
      </c>
      <c r="I10" s="274">
        <f>_xll.qlCalendarAdvance(Calendar,$D$2,F10&amp;"M","mf")</f>
        <v>41950</v>
      </c>
      <c r="J10" s="274">
        <f>_xll.qlInterestRateIndexMaturity(IborIndex,I10)</f>
        <v>42317</v>
      </c>
      <c r="L10" s="272">
        <f>_xll.qlOvernightIndexedSwapFairRate(H10,InterestRatesTrigger)</f>
        <v>8.5965614810585237E-3</v>
      </c>
      <c r="M10" s="273">
        <f>_xll.qlInterpolationInterpolate(BasisInterpolator,I10)</f>
        <v>4.3040724373586726E-3</v>
      </c>
      <c r="N10" s="272">
        <f t="shared" si="0"/>
        <v>1.2900633918417196E-2</v>
      </c>
    </row>
    <row r="11" spans="1:14" x14ac:dyDescent="0.2">
      <c r="A11" s="275"/>
      <c r="B11" s="276"/>
      <c r="C11" s="277"/>
      <c r="D11" s="271"/>
      <c r="E11" s="272" t="e">
        <v>#N/A</v>
      </c>
      <c r="F11" s="139">
        <v>4</v>
      </c>
      <c r="G11" s="274">
        <f>_xll.qlInterestRateIndexFixingDate(IborIndex,I11)</f>
        <v>41981</v>
      </c>
      <c r="H11" s="139" t="str">
        <f>_xll.qlMakeDatedOIS(,I11,J11,OvernightIndex,0,"Act/360",0)</f>
        <v>obj_00425#0003</v>
      </c>
      <c r="I11" s="274">
        <f>_xll.qlCalendarAdvance(Calendar,$D$2,F11&amp;"M","mf")</f>
        <v>41981</v>
      </c>
      <c r="J11" s="274">
        <f>_xll.qlInterestRateIndexMaturity(IborIndex,I11)</f>
        <v>42346</v>
      </c>
      <c r="L11" s="272">
        <f>_xll.qlOvernightIndexedSwapFairRate(H11,InterestRatesTrigger)</f>
        <v>9.2020367266223597E-3</v>
      </c>
      <c r="M11" s="273">
        <f>_xll.qlInterpolationInterpolate(BasisInterpolator,I11)</f>
        <v>4.4415961931395121E-3</v>
      </c>
      <c r="N11" s="272">
        <f t="shared" si="0"/>
        <v>1.3643632919761872E-2</v>
      </c>
    </row>
    <row r="12" spans="1:14" x14ac:dyDescent="0.2">
      <c r="A12" s="275"/>
      <c r="B12" s="276"/>
      <c r="C12" s="277"/>
      <c r="D12" s="271"/>
      <c r="E12" s="272" t="e">
        <v>#N/A</v>
      </c>
      <c r="F12" s="139">
        <v>5</v>
      </c>
      <c r="G12" s="274">
        <f>_xll.qlInterestRateIndexFixingDate(IborIndex,I12)</f>
        <v>42011</v>
      </c>
      <c r="H12" s="139" t="str">
        <f>_xll.qlMakeDatedOIS(,I12,J12,OvernightIndex,0,"Act/360",0)</f>
        <v>obj_00431#0003</v>
      </c>
      <c r="I12" s="274">
        <f>_xll.qlCalendarAdvance(Calendar,$D$2,F12&amp;"M","mf")</f>
        <v>42011</v>
      </c>
      <c r="J12" s="274">
        <f>_xll.qlInterestRateIndexMaturity(IborIndex,I12)</f>
        <v>42376</v>
      </c>
      <c r="L12" s="272">
        <f>_xll.qlOvernightIndexedSwapFairRate(H12,InterestRatesTrigger)</f>
        <v>9.8471498071742245E-3</v>
      </c>
      <c r="M12" s="273">
        <f>_xll.qlInterpolationInterpolate(BasisInterpolator,I12)</f>
        <v>4.5716341732852401E-3</v>
      </c>
      <c r="N12" s="272">
        <f t="shared" si="0"/>
        <v>1.4418783980459465E-2</v>
      </c>
    </row>
    <row r="13" spans="1:14" x14ac:dyDescent="0.2">
      <c r="A13" s="275"/>
      <c r="B13" s="276"/>
      <c r="C13" s="277"/>
      <c r="D13" s="271"/>
      <c r="E13" s="272" t="e">
        <v>#N/A</v>
      </c>
      <c r="F13" s="139">
        <v>6</v>
      </c>
      <c r="G13" s="274">
        <f>_xll.qlInterestRateIndexFixingDate(IborIndex,I13)</f>
        <v>42044</v>
      </c>
      <c r="H13" s="139" t="str">
        <f>_xll.qlMakeDatedOIS(,I13,J13,OvernightIndex,0,"Act/360",0)</f>
        <v>obj_00423#0003</v>
      </c>
      <c r="I13" s="274">
        <f>_xll.qlCalendarAdvance(Calendar,$D$2,F13&amp;"M","mf")</f>
        <v>42044</v>
      </c>
      <c r="J13" s="274">
        <f>_xll.qlInterestRateIndexMaturity(IborIndex,I13)</f>
        <v>42409</v>
      </c>
      <c r="L13" s="272">
        <f>_xll.qlOvernightIndexedSwapFairRate(H13,InterestRatesTrigger)</f>
        <v>1.0576537420772383E-2</v>
      </c>
      <c r="M13" s="273">
        <f>_xll.qlInterpolationInterpolate(BasisInterpolator,I13)</f>
        <v>4.7084506406327858E-3</v>
      </c>
      <c r="N13" s="272">
        <f t="shared" si="0"/>
        <v>1.5284988061405168E-2</v>
      </c>
    </row>
    <row r="14" spans="1:14" x14ac:dyDescent="0.2">
      <c r="A14" s="275"/>
      <c r="B14" s="276"/>
      <c r="C14" s="277"/>
      <c r="D14" s="271"/>
      <c r="E14" s="272" t="e">
        <v>#N/A</v>
      </c>
      <c r="F14" s="139">
        <v>7</v>
      </c>
      <c r="G14" s="274">
        <f>_xll.qlInterestRateIndexFixingDate(IborIndex,I14)</f>
        <v>42072</v>
      </c>
      <c r="H14" s="139" t="str">
        <f>_xll.qlMakeDatedOIS(,I14,J14,OvernightIndex,0,"Act/360",0)</f>
        <v>obj_0042f#0003</v>
      </c>
      <c r="I14" s="274">
        <f>_xll.qlCalendarAdvance(Calendar,$D$2,F14&amp;"M","mf")</f>
        <v>42072</v>
      </c>
      <c r="J14" s="274">
        <f>_xll.qlInterestRateIndexMaturity(IborIndex,I14)</f>
        <v>42438</v>
      </c>
      <c r="L14" s="272">
        <f>_xll.qlOvernightIndexedSwapFairRate(H14,InterestRatesTrigger)</f>
        <v>1.1167437203334791E-2</v>
      </c>
      <c r="M14" s="273">
        <f>_xll.qlInterpolationInterpolate(BasisInterpolator,I14)</f>
        <v>4.8170525445830606E-3</v>
      </c>
      <c r="N14" s="272">
        <f t="shared" si="0"/>
        <v>1.598448974791785E-2</v>
      </c>
    </row>
    <row r="15" spans="1:14" x14ac:dyDescent="0.2">
      <c r="A15" s="275"/>
      <c r="B15" s="276"/>
      <c r="C15" s="277"/>
      <c r="D15" s="271"/>
      <c r="E15" s="272" t="e">
        <v>#N/A</v>
      </c>
      <c r="F15" s="139">
        <v>8</v>
      </c>
      <c r="G15" s="274">
        <f>_xll.qlInterestRateIndexFixingDate(IborIndex,I15)</f>
        <v>42101</v>
      </c>
      <c r="H15" s="139" t="str">
        <f>_xll.qlMakeDatedOIS(,I15,J15,OvernightIndex,0,"Act/360",0)</f>
        <v>obj_0042a#0003</v>
      </c>
      <c r="I15" s="274">
        <f>_xll.qlCalendarAdvance(Calendar,$D$2,F15&amp;"M","mf")</f>
        <v>42101</v>
      </c>
      <c r="J15" s="274">
        <f>_xll.qlInterestRateIndexMaturity(IborIndex,I15)</f>
        <v>42467</v>
      </c>
      <c r="L15" s="272">
        <f>_xll.qlOvernightIndexedSwapFairRate(H15,InterestRatesTrigger)</f>
        <v>1.1778770736744257E-2</v>
      </c>
      <c r="M15" s="273">
        <f>_xll.qlInterpolationInterpolate(BasisInterpolator,I15)</f>
        <v>4.9198854128777465E-3</v>
      </c>
      <c r="N15" s="272">
        <f t="shared" si="0"/>
        <v>1.6698656149622002E-2</v>
      </c>
    </row>
    <row r="16" spans="1:14" x14ac:dyDescent="0.2">
      <c r="A16" s="275"/>
      <c r="B16" s="276"/>
      <c r="C16" s="277"/>
      <c r="D16" s="271"/>
      <c r="E16" s="272" t="e">
        <v>#N/A</v>
      </c>
      <c r="F16" s="139">
        <v>9</v>
      </c>
      <c r="G16" s="274">
        <f>_xll.qlInterestRateIndexFixingDate(IborIndex,I16)</f>
        <v>42131</v>
      </c>
      <c r="H16" s="139" t="str">
        <f>_xll.qlMakeDatedOIS(,I16,J16,OvernightIndex,0,"Act/360",0)</f>
        <v>obj_0040d#0003</v>
      </c>
      <c r="I16" s="274">
        <f>_xll.qlCalendarAdvance(Calendar,$D$2,F16&amp;"M","mf")</f>
        <v>42131</v>
      </c>
      <c r="J16" s="274">
        <f>_xll.qlInterestRateIndexMaturity(IborIndex,I16)</f>
        <v>42499</v>
      </c>
      <c r="L16" s="272">
        <f>_xll.qlOvernightIndexedSwapFairRate(H16,InterestRatesTrigger)</f>
        <v>1.2446820739418352E-2</v>
      </c>
      <c r="M16" s="273">
        <f>_xll.qlInterpolationInterpolate(BasisInterpolator,I16)</f>
        <v>5.0133475995298993E-3</v>
      </c>
      <c r="N16" s="272">
        <f t="shared" si="0"/>
        <v>1.746016833894825E-2</v>
      </c>
    </row>
    <row r="17" spans="1:14" x14ac:dyDescent="0.2">
      <c r="A17" s="275"/>
      <c r="B17" s="276"/>
      <c r="C17" s="277"/>
      <c r="D17" s="271"/>
      <c r="E17" s="272" t="e">
        <v>#N/A</v>
      </c>
      <c r="F17" s="139">
        <v>10</v>
      </c>
      <c r="G17" s="274">
        <f>_xll.qlInterestRateIndexFixingDate(IborIndex,I17)</f>
        <v>42163</v>
      </c>
      <c r="H17" s="139" t="str">
        <f>_xll.qlMakeDatedOIS(,I17,J17,OvernightIndex,0,"Act/360",0)</f>
        <v>obj_00433#0003</v>
      </c>
      <c r="I17" s="274">
        <f>_xll.qlCalendarAdvance(Calendar,$D$2,F17&amp;"M","mf")</f>
        <v>42163</v>
      </c>
      <c r="J17" s="274">
        <f>_xll.qlInterestRateIndexMaturity(IborIndex,I17)</f>
        <v>42529</v>
      </c>
      <c r="L17" s="272">
        <f>_xll.qlOvernightIndexedSwapFairRate(H17,InterestRatesTrigger)</f>
        <v>1.3072748884591154E-2</v>
      </c>
      <c r="M17" s="273">
        <f>_xll.qlInterpolationInterpolate(BasisInterpolator,I17)</f>
        <v>5.0954801586289167E-3</v>
      </c>
      <c r="N17" s="272">
        <f t="shared" si="0"/>
        <v>1.8168229043220071E-2</v>
      </c>
    </row>
    <row r="18" spans="1:14" x14ac:dyDescent="0.2">
      <c r="A18" s="275"/>
      <c r="B18" s="276"/>
      <c r="C18" s="277"/>
      <c r="D18" s="271"/>
      <c r="E18" s="272" t="e">
        <v>#N/A</v>
      </c>
      <c r="F18" s="139">
        <v>11</v>
      </c>
      <c r="G18" s="274">
        <f>_xll.qlInterestRateIndexFixingDate(IborIndex,I18)</f>
        <v>42192</v>
      </c>
      <c r="H18" s="139" t="str">
        <f>_xll.qlMakeDatedOIS(,I18,J18,OvernightIndex,0,"Act/360",0)</f>
        <v>obj_00427#0003</v>
      </c>
      <c r="I18" s="274">
        <f>_xll.qlCalendarAdvance(Calendar,$D$2,F18&amp;"M","mf")</f>
        <v>42192</v>
      </c>
      <c r="J18" s="274">
        <f>_xll.qlInterestRateIndexMaturity(IborIndex,I18)</f>
        <v>42558</v>
      </c>
      <c r="L18" s="272">
        <f>_xll.qlOvernightIndexedSwapFairRate(H18,InterestRatesTrigger)</f>
        <v>1.3670477023214752E-2</v>
      </c>
      <c r="M18" s="273">
        <f>_xll.qlInterpolationInterpolate(BasisInterpolator,I18)</f>
        <v>5.1515300790291171E-3</v>
      </c>
      <c r="N18" s="272">
        <f t="shared" si="0"/>
        <v>1.8822007102243868E-2</v>
      </c>
    </row>
    <row r="19" spans="1:14" x14ac:dyDescent="0.2">
      <c r="A19" s="275"/>
      <c r="B19" s="276"/>
      <c r="C19" s="277"/>
      <c r="D19" s="271"/>
      <c r="E19" s="272" t="e">
        <v>#N/A</v>
      </c>
      <c r="F19" s="139">
        <v>13</v>
      </c>
      <c r="G19" s="274">
        <f>_xll.qlInterestRateIndexFixingDate(IborIndex,I19)</f>
        <v>42254</v>
      </c>
      <c r="H19" s="139" t="str">
        <f>_xll.qlMakeDatedOIS(,I19,J19,OvernightIndex,0,"Act/360",0)</f>
        <v>obj_00422#0003</v>
      </c>
      <c r="I19" s="274">
        <f>_xll.qlCalendarAdvance(Calendar,$D$2,F19&amp;"M","mf")</f>
        <v>42254</v>
      </c>
      <c r="J19" s="274">
        <f>_xll.qlInterestRateIndexMaturity(IborIndex,I19)</f>
        <v>42620</v>
      </c>
      <c r="L19" s="272">
        <f>_xll.qlOvernightIndexedSwapFairRate(H19,InterestRatesTrigger)</f>
        <v>1.4909927357263439E-2</v>
      </c>
      <c r="M19" s="273">
        <f>_xll.qlInterpolationInterpolate(BasisInterpolator,I19)</f>
        <v>5.2021025251924279E-3</v>
      </c>
      <c r="N19" s="272">
        <f t="shared" si="0"/>
        <v>2.0112029882455869E-2</v>
      </c>
    </row>
    <row r="20" spans="1:14" x14ac:dyDescent="0.2">
      <c r="A20" s="275"/>
      <c r="B20" s="276"/>
      <c r="C20" s="277"/>
      <c r="D20" s="271"/>
      <c r="E20" s="272" t="e">
        <v>#N/A</v>
      </c>
      <c r="F20" s="139">
        <v>14</v>
      </c>
      <c r="G20" s="274">
        <f>_xll.qlInterestRateIndexFixingDate(IborIndex,I20)</f>
        <v>42284</v>
      </c>
      <c r="H20" s="139" t="str">
        <f>_xll.qlMakeDatedOIS(,I20,J20,OvernightIndex,0,"Act/360",0)</f>
        <v>obj_0041a#0003</v>
      </c>
      <c r="I20" s="274">
        <f>_xll.qlCalendarAdvance(Calendar,$D$2,F20&amp;"M","mf")</f>
        <v>42284</v>
      </c>
      <c r="J20" s="274">
        <f>_xll.qlInterestRateIndexMaturity(IborIndex,I20)</f>
        <v>42650</v>
      </c>
      <c r="L20" s="272">
        <f>_xll.qlOvernightIndexedSwapFairRate(H20,InterestRatesTrigger)</f>
        <v>1.5478031298891229E-2</v>
      </c>
      <c r="M20" s="273">
        <f>_xll.qlInterpolationInterpolate(BasisInterpolator,I20)</f>
        <v>5.1927942060013398E-3</v>
      </c>
      <c r="N20" s="272">
        <f t="shared" si="0"/>
        <v>2.0670825504892569E-2</v>
      </c>
    </row>
    <row r="21" spans="1:14" x14ac:dyDescent="0.2">
      <c r="A21" s="275"/>
      <c r="B21" s="276"/>
      <c r="C21" s="277"/>
      <c r="D21" s="271"/>
      <c r="E21" s="272" t="e">
        <v>#N/A</v>
      </c>
      <c r="F21" s="139">
        <v>15</v>
      </c>
      <c r="G21" s="274">
        <f>_xll.qlInterestRateIndexFixingDate(IborIndex,I21)</f>
        <v>42317</v>
      </c>
      <c r="H21" s="139" t="str">
        <f>_xll.qlMakeDatedOIS(,I21,J21,OvernightIndex,0,"Act/360",0)</f>
        <v>obj_00434#0003</v>
      </c>
      <c r="I21" s="274">
        <f>_xll.qlCalendarAdvance(Calendar,$D$2,F21&amp;"M","mf")</f>
        <v>42317</v>
      </c>
      <c r="J21" s="274">
        <f>_xll.qlInterestRateIndexMaturity(IborIndex,I21)</f>
        <v>42683</v>
      </c>
      <c r="L21" s="272">
        <f>_xll.qlOvernightIndexedSwapFairRate(H21,InterestRatesTrigger)</f>
        <v>1.60799874153893E-2</v>
      </c>
      <c r="M21" s="273">
        <f>_xll.qlInterpolationInterpolate(BasisInterpolator,I21)</f>
        <v>5.1626196924967182E-3</v>
      </c>
      <c r="N21" s="272">
        <f t="shared" si="0"/>
        <v>2.1242607107886016E-2</v>
      </c>
    </row>
    <row r="22" spans="1:14" x14ac:dyDescent="0.2">
      <c r="A22" s="275"/>
      <c r="B22" s="276"/>
      <c r="C22" s="277"/>
      <c r="D22" s="271"/>
      <c r="E22" s="272" t="e">
        <v>#N/A</v>
      </c>
      <c r="F22" s="139">
        <v>16</v>
      </c>
      <c r="G22" s="274">
        <f>_xll.qlInterestRateIndexFixingDate(IborIndex,I22)</f>
        <v>42345</v>
      </c>
      <c r="H22" s="139" t="str">
        <f>_xll.qlMakeDatedOIS(,I22,J22,OvernightIndex,0,"Act/360",0)</f>
        <v>obj_00412#0003</v>
      </c>
      <c r="I22" s="274">
        <f>_xll.qlCalendarAdvance(Calendar,$D$2,F22&amp;"M","mf")</f>
        <v>42345</v>
      </c>
      <c r="J22" s="274">
        <f>_xll.qlInterestRateIndexMaturity(IborIndex,I22)</f>
        <v>42711</v>
      </c>
      <c r="L22" s="272">
        <f>_xll.qlOvernightIndexedSwapFairRate(H22,InterestRatesTrigger)</f>
        <v>1.6572802570066887E-2</v>
      </c>
      <c r="M22" s="273">
        <f>_xll.qlInterpolationInterpolate(BasisInterpolator,I22)</f>
        <v>5.1244808576863341E-3</v>
      </c>
      <c r="N22" s="272">
        <f t="shared" si="0"/>
        <v>2.1697283427753219E-2</v>
      </c>
    </row>
    <row r="23" spans="1:14" x14ac:dyDescent="0.2">
      <c r="A23" s="275"/>
      <c r="B23" s="276"/>
      <c r="C23" s="277"/>
      <c r="D23" s="271"/>
      <c r="E23" s="272" t="e">
        <v>#N/A</v>
      </c>
      <c r="F23" s="139">
        <v>17</v>
      </c>
      <c r="G23" s="274">
        <f>_xll.qlInterestRateIndexFixingDate(IborIndex,I23)</f>
        <v>42376</v>
      </c>
      <c r="H23" s="139" t="str">
        <f>_xll.qlMakeDatedOIS(,I23,J23,OvernightIndex,0,"Act/360",0)</f>
        <v>obj_0041b#0003</v>
      </c>
      <c r="I23" s="274">
        <f>_xll.qlCalendarAdvance(Calendar,$D$2,F23&amp;"M","mf")</f>
        <v>42376</v>
      </c>
      <c r="J23" s="274">
        <f>_xll.qlInterestRateIndexMaturity(IborIndex,I23)</f>
        <v>42744</v>
      </c>
      <c r="L23" s="272">
        <f>_xll.qlOvernightIndexedSwapFairRate(H23,InterestRatesTrigger)</f>
        <v>1.7118186863639803E-2</v>
      </c>
      <c r="M23" s="273">
        <f>_xll.qlInterpolationInterpolate(BasisInterpolator,I23)</f>
        <v>5.0729966778452328E-3</v>
      </c>
      <c r="N23" s="272">
        <f t="shared" si="0"/>
        <v>2.2191183541485034E-2</v>
      </c>
    </row>
    <row r="24" spans="1:14" x14ac:dyDescent="0.2">
      <c r="A24" s="275"/>
      <c r="B24" s="276"/>
      <c r="C24" s="277"/>
      <c r="D24" s="271"/>
      <c r="E24" s="272" t="e">
        <v>#N/A</v>
      </c>
      <c r="F24" s="139">
        <v>18</v>
      </c>
      <c r="G24" s="274">
        <f>_xll.qlInterestRateIndexFixingDate(IborIndex,I24)</f>
        <v>42408</v>
      </c>
      <c r="H24" s="139" t="str">
        <f>_xll.qlMakeDatedOIS(,I24,J24,OvernightIndex,0,"Act/360",0)</f>
        <v>obj_0042b#0003</v>
      </c>
      <c r="I24" s="274">
        <f>_xll.qlCalendarAdvance(Calendar,$D$2,F24&amp;"M","mf")</f>
        <v>42408</v>
      </c>
      <c r="J24" s="274">
        <f>_xll.qlInterestRateIndexMaturity(IborIndex,I24)</f>
        <v>42774</v>
      </c>
      <c r="L24" s="272">
        <f>_xll.qlOvernightIndexedSwapFairRate(H24,InterestRatesTrigger)</f>
        <v>1.7630579921380233E-2</v>
      </c>
      <c r="M24" s="273">
        <f>_xll.qlInterpolationInterpolate(BasisInterpolator,I24)</f>
        <v>5.0140930702018693E-3</v>
      </c>
      <c r="N24" s="272">
        <f t="shared" si="0"/>
        <v>2.2644672991582102E-2</v>
      </c>
    </row>
    <row r="25" spans="1:14" x14ac:dyDescent="0.2">
      <c r="A25" s="275"/>
      <c r="B25" s="276"/>
      <c r="C25" s="277"/>
      <c r="D25" s="271"/>
      <c r="E25" s="272" t="e">
        <v>#N/A</v>
      </c>
      <c r="F25" s="139">
        <v>19</v>
      </c>
      <c r="G25" s="274">
        <f>_xll.qlInterestRateIndexFixingDate(IborIndex,I25)</f>
        <v>42436</v>
      </c>
      <c r="H25" s="139" t="str">
        <f>_xll.qlMakeDatedOIS(,I25,J25,OvernightIndex,0,"Act/360",0)</f>
        <v>obj_0041f#0003</v>
      </c>
      <c r="I25" s="274">
        <f>_xll.qlCalendarAdvance(Calendar,$D$2,F25&amp;"M","mf")</f>
        <v>42436</v>
      </c>
      <c r="J25" s="274">
        <f>_xll.qlInterestRateIndexMaturity(IborIndex,I25)</f>
        <v>42801</v>
      </c>
      <c r="L25" s="272">
        <f>_xll.qlOvernightIndexedSwapFairRate(H25,InterestRatesTrigger)</f>
        <v>1.8073849639852219E-2</v>
      </c>
      <c r="M25" s="273">
        <f>_xll.qlInterpolationInterpolate(BasisInterpolator,I25)</f>
        <v>4.9613331266204165E-3</v>
      </c>
      <c r="N25" s="272">
        <f t="shared" si="0"/>
        <v>2.3035182766472637E-2</v>
      </c>
    </row>
    <row r="26" spans="1:14" x14ac:dyDescent="0.2">
      <c r="A26" s="275"/>
      <c r="B26" s="276"/>
      <c r="C26" s="277"/>
      <c r="D26" s="271"/>
      <c r="E26" s="272" t="e">
        <v>#N/A</v>
      </c>
      <c r="F26" s="139">
        <v>20</v>
      </c>
      <c r="G26" s="274">
        <f>_xll.qlInterestRateIndexFixingDate(IborIndex,I26)</f>
        <v>42467</v>
      </c>
      <c r="H26" s="139" t="str">
        <f>_xll.qlMakeDatedOIS(,I26,J26,OvernightIndex,0,"Act/360",0)</f>
        <v>obj_00429#0003</v>
      </c>
      <c r="I26" s="274">
        <f>_xll.qlCalendarAdvance(Calendar,$D$2,F26&amp;"M","mf")</f>
        <v>42467</v>
      </c>
      <c r="J26" s="274">
        <f>_xll.qlInterestRateIndexMaturity(IborIndex,I26)</f>
        <v>42832</v>
      </c>
      <c r="L26" s="272">
        <f>_xll.qlOvernightIndexedSwapFairRate(H26,InterestRatesTrigger)</f>
        <v>1.8559311260023217E-2</v>
      </c>
      <c r="M26" s="273">
        <f>_xll.qlInterpolationInterpolate(BasisInterpolator,I26)</f>
        <v>4.9053238717381631E-3</v>
      </c>
      <c r="N26" s="272">
        <f t="shared" si="0"/>
        <v>2.3464635131761381E-2</v>
      </c>
    </row>
    <row r="27" spans="1:14" x14ac:dyDescent="0.2">
      <c r="A27" s="275"/>
      <c r="B27" s="276"/>
      <c r="C27" s="277"/>
      <c r="D27" s="271"/>
      <c r="E27" s="272" t="e">
        <v>#N/A</v>
      </c>
      <c r="F27" s="139">
        <v>21</v>
      </c>
      <c r="G27" s="274">
        <f>_xll.qlInterestRateIndexFixingDate(IborIndex,I27)</f>
        <v>42499</v>
      </c>
      <c r="H27" s="139" t="str">
        <f>_xll.qlMakeDatedOIS(,I27,J27,OvernightIndex,0,"Act/360",0)</f>
        <v>obj_00430#0003</v>
      </c>
      <c r="I27" s="274">
        <f>_xll.qlCalendarAdvance(Calendar,$D$2,F27&amp;"M","mf")</f>
        <v>42499</v>
      </c>
      <c r="J27" s="274">
        <f>_xll.qlInterestRateIndexMaturity(IborIndex,I27)</f>
        <v>42864</v>
      </c>
      <c r="L27" s="272">
        <f>_xll.qlOvernightIndexedSwapFairRate(H27,InterestRatesTrigger)</f>
        <v>1.9042171432702811E-2</v>
      </c>
      <c r="M27" s="273">
        <f>_xll.qlInterpolationInterpolate(BasisInterpolator,I27)</f>
        <v>4.8540893621937913E-3</v>
      </c>
      <c r="N27" s="272">
        <f t="shared" si="0"/>
        <v>2.3896260794896602E-2</v>
      </c>
    </row>
    <row r="28" spans="1:14" x14ac:dyDescent="0.2">
      <c r="A28" s="275"/>
      <c r="B28" s="276"/>
      <c r="C28" s="277"/>
      <c r="D28" s="271"/>
      <c r="E28" s="272" t="e">
        <v>#N/A</v>
      </c>
      <c r="F28" s="139">
        <v>22</v>
      </c>
      <c r="G28" s="274">
        <f>_xll.qlInterestRateIndexFixingDate(IborIndex,I28)</f>
        <v>42528</v>
      </c>
      <c r="H28" s="139" t="str">
        <f>_xll.qlMakeDatedOIS(,I28,J28,OvernightIndex,0,"Act/360",0)</f>
        <v>obj_00417#0003</v>
      </c>
      <c r="I28" s="274">
        <f>_xll.qlCalendarAdvance(Calendar,$D$2,F28&amp;"M","mf")</f>
        <v>42528</v>
      </c>
      <c r="J28" s="274">
        <f>_xll.qlInterestRateIndexMaturity(IborIndex,I28)</f>
        <v>42893</v>
      </c>
      <c r="L28" s="272">
        <f>_xll.qlOvernightIndexedSwapFairRate(H28,InterestRatesTrigger)</f>
        <v>1.9461564517441323E-2</v>
      </c>
      <c r="M28" s="273">
        <f>_xll.qlInterpolationInterpolate(BasisInterpolator,I28)</f>
        <v>4.8167956961186996E-3</v>
      </c>
      <c r="N28" s="272">
        <f t="shared" si="0"/>
        <v>2.4278360213560023E-2</v>
      </c>
    </row>
    <row r="29" spans="1:14" x14ac:dyDescent="0.2">
      <c r="A29" s="275"/>
      <c r="B29" s="276"/>
      <c r="C29" s="277"/>
      <c r="D29" s="271"/>
      <c r="E29" s="272" t="e">
        <v>#N/A</v>
      </c>
      <c r="F29" s="139">
        <v>23</v>
      </c>
      <c r="G29" s="274">
        <f>_xll.qlInterestRateIndexFixingDate(IborIndex,I29)</f>
        <v>42558</v>
      </c>
      <c r="H29" s="139" t="str">
        <f>_xll.qlMakeDatedOIS(,I29,J29,OvernightIndex,0,"Act/360",0)</f>
        <v>obj_0040a#0003</v>
      </c>
      <c r="I29" s="274">
        <f>_xll.qlCalendarAdvance(Calendar,$D$2,F29&amp;"M","mf")</f>
        <v>42558</v>
      </c>
      <c r="J29" s="274">
        <f>_xll.qlInterestRateIndexMaturity(IborIndex,I29)</f>
        <v>42923</v>
      </c>
      <c r="L29" s="272">
        <f>_xll.qlOvernightIndexedSwapFairRate(H29,InterestRatesTrigger)</f>
        <v>1.987505499307873E-2</v>
      </c>
      <c r="M29" s="273">
        <f>_xll.qlInterpolationInterpolate(BasisInterpolator,I29)</f>
        <v>4.790614205143629E-3</v>
      </c>
      <c r="N29" s="272">
        <f t="shared" si="0"/>
        <v>2.466566919822236E-2</v>
      </c>
    </row>
    <row r="30" spans="1:14" x14ac:dyDescent="0.2">
      <c r="A30" s="275"/>
      <c r="B30" s="276"/>
      <c r="C30" s="277"/>
      <c r="D30" s="271"/>
      <c r="E30" s="272" t="e">
        <v>#N/A</v>
      </c>
      <c r="F30" s="139">
        <v>25</v>
      </c>
      <c r="G30" s="274">
        <f>_xll.qlInterestRateIndexFixingDate(IborIndex,I30)</f>
        <v>42620</v>
      </c>
      <c r="H30" s="139" t="str">
        <f>_xll.qlMakeDatedOIS(,I30,J30,OvernightIndex,0,"Act/360",0)</f>
        <v>obj_0042d#0003</v>
      </c>
      <c r="I30" s="274">
        <f>_xll.qlCalendarAdvance(Calendar,$D$2,F30&amp;"M","mf")</f>
        <v>42620</v>
      </c>
      <c r="J30" s="274">
        <f>_xll.qlInterestRateIndexMaturity(IborIndex,I30)</f>
        <v>42985</v>
      </c>
      <c r="L30" s="272">
        <f>_xll.qlOvernightIndexedSwapFairRate(H30,InterestRatesTrigger)</f>
        <v>2.0655289105433402E-2</v>
      </c>
      <c r="M30" s="273">
        <f>_xll.qlInterpolationInterpolate(BasisInterpolator,I30)</f>
        <v>4.7875818672916109E-3</v>
      </c>
      <c r="N30" s="272">
        <f t="shared" si="0"/>
        <v>2.5442870972725011E-2</v>
      </c>
    </row>
    <row r="31" spans="1:14" x14ac:dyDescent="0.2">
      <c r="A31" s="275"/>
      <c r="B31" s="276"/>
      <c r="C31" s="277"/>
      <c r="D31" s="271"/>
      <c r="E31" s="272" t="e">
        <v>#N/A</v>
      </c>
      <c r="F31" s="139">
        <v>26</v>
      </c>
      <c r="G31" s="274">
        <f>_xll.qlInterestRateIndexFixingDate(IborIndex,I31)</f>
        <v>42650</v>
      </c>
      <c r="H31" s="139" t="str">
        <f>_xll.qlMakeDatedOIS(,I31,J31,OvernightIndex,0,"Act/360",0)</f>
        <v>obj_00409#0003</v>
      </c>
      <c r="I31" s="274">
        <f>_xll.qlCalendarAdvance(Calendar,$D$2,F31&amp;"M","mf")</f>
        <v>42650</v>
      </c>
      <c r="J31" s="274">
        <f>_xll.qlInterestRateIndexMaturity(IborIndex,I31)</f>
        <v>43017</v>
      </c>
      <c r="L31" s="272">
        <f>_xll.qlOvernightIndexedSwapFairRate(H31,InterestRatesTrigger)</f>
        <v>2.1006169231911728E-2</v>
      </c>
      <c r="M31" s="273">
        <f>_xll.qlInterpolationInterpolate(BasisInterpolator,I31)</f>
        <v>4.8085435711945181E-3</v>
      </c>
      <c r="N31" s="272">
        <f t="shared" si="0"/>
        <v>2.5814712803106245E-2</v>
      </c>
    </row>
    <row r="32" spans="1:14" x14ac:dyDescent="0.2">
      <c r="A32" s="275"/>
      <c r="B32" s="276"/>
      <c r="C32" s="277"/>
      <c r="D32" s="271"/>
      <c r="E32" s="272" t="e">
        <v>#N/A</v>
      </c>
      <c r="F32" s="139">
        <v>27</v>
      </c>
      <c r="G32" s="274">
        <f>_xll.qlInterestRateIndexFixingDate(IborIndex,I32)</f>
        <v>42681</v>
      </c>
      <c r="H32" s="139" t="str">
        <f>_xll.qlMakeDatedOIS(,I32,J32,OvernightIndex,0,"Act/360",0)</f>
        <v>obj_0040b#0003</v>
      </c>
      <c r="I32" s="274">
        <f>_xll.qlCalendarAdvance(Calendar,$D$2,F32&amp;"M","mf")</f>
        <v>42681</v>
      </c>
      <c r="J32" s="274">
        <f>_xll.qlInterestRateIndexMaturity(IborIndex,I32)</f>
        <v>43046</v>
      </c>
      <c r="L32" s="272">
        <f>_xll.qlOvernightIndexedSwapFairRate(H32,InterestRatesTrigger)</f>
        <v>2.1323240810515898E-2</v>
      </c>
      <c r="M32" s="273">
        <f>_xll.qlInterpolationInterpolate(BasisInterpolator,I32)</f>
        <v>4.8428982634391151E-3</v>
      </c>
      <c r="N32" s="272">
        <f t="shared" si="0"/>
        <v>2.6166139073955014E-2</v>
      </c>
    </row>
    <row r="33" spans="1:14" x14ac:dyDescent="0.2">
      <c r="A33" s="275"/>
      <c r="B33" s="276"/>
      <c r="C33" s="277"/>
      <c r="D33" s="271"/>
      <c r="E33" s="272" t="e">
        <v>#N/A</v>
      </c>
      <c r="F33" s="139">
        <v>28</v>
      </c>
      <c r="G33" s="274">
        <f>_xll.qlInterestRateIndexFixingDate(IborIndex,I33)</f>
        <v>42711</v>
      </c>
      <c r="H33" s="139" t="str">
        <f>_xll.qlMakeDatedOIS(,I33,J33,OvernightIndex,0,"Act/360",0)</f>
        <v>obj_00436#0003</v>
      </c>
      <c r="I33" s="274">
        <f>_xll.qlCalendarAdvance(Calendar,$D$2,F33&amp;"M","mf")</f>
        <v>42711</v>
      </c>
      <c r="J33" s="274">
        <f>_xll.qlInterestRateIndexMaturity(IborIndex,I33)</f>
        <v>43076</v>
      </c>
      <c r="L33" s="272">
        <f>_xll.qlOvernightIndexedSwapFairRate(H33,InterestRatesTrigger)</f>
        <v>2.1618027572757145E-2</v>
      </c>
      <c r="M33" s="273">
        <f>_xll.qlInterpolationInterpolate(BasisInterpolator,I33)</f>
        <v>4.8869209251414135E-3</v>
      </c>
      <c r="N33" s="272">
        <f t="shared" si="0"/>
        <v>2.650494849789856E-2</v>
      </c>
    </row>
    <row r="34" spans="1:14" x14ac:dyDescent="0.2">
      <c r="A34" s="275"/>
      <c r="B34" s="276"/>
      <c r="C34" s="277"/>
      <c r="D34" s="271"/>
      <c r="E34" s="272" t="e">
        <v>#N/A</v>
      </c>
      <c r="F34" s="139">
        <v>29</v>
      </c>
      <c r="G34" s="274">
        <f>_xll.qlInterestRateIndexFixingDate(IborIndex,I34)</f>
        <v>42744</v>
      </c>
      <c r="H34" s="139" t="str">
        <f>_xll.qlMakeDatedOIS(,I34,J34,OvernightIndex,0,"Act/360",0)</f>
        <v>obj_00428#0003</v>
      </c>
      <c r="I34" s="274">
        <f>_xll.qlCalendarAdvance(Calendar,$D$2,F34&amp;"M","mf")</f>
        <v>42744</v>
      </c>
      <c r="J34" s="274">
        <f>_xll.qlInterestRateIndexMaturity(IborIndex,I34)</f>
        <v>43109</v>
      </c>
      <c r="L34" s="272">
        <f>_xll.qlOvernightIndexedSwapFairRate(H34,InterestRatesTrigger)</f>
        <v>2.1918347218538439E-2</v>
      </c>
      <c r="M34" s="273">
        <f>_xll.qlInterpolationInterpolate(BasisInterpolator,I34)</f>
        <v>4.9458369326302685E-3</v>
      </c>
      <c r="N34" s="272">
        <f t="shared" si="0"/>
        <v>2.6864184151168709E-2</v>
      </c>
    </row>
    <row r="35" spans="1:14" x14ac:dyDescent="0.2">
      <c r="A35" s="275"/>
      <c r="B35" s="276"/>
      <c r="C35" s="277"/>
      <c r="D35" s="271"/>
      <c r="E35" s="272" t="e">
        <v>#N/A</v>
      </c>
      <c r="F35" s="139">
        <v>30</v>
      </c>
      <c r="G35" s="274">
        <f>_xll.qlInterestRateIndexFixingDate(IborIndex,I35)</f>
        <v>42773</v>
      </c>
      <c r="H35" s="139" t="str">
        <f>_xll.qlMakeDatedOIS(,I35,J35,OvernightIndex,0,"Act/360",0)</f>
        <v>obj_0041e#0003</v>
      </c>
      <c r="I35" s="274">
        <f>_xll.qlCalendarAdvance(Calendar,$D$2,F35&amp;"M","mf")</f>
        <v>42773</v>
      </c>
      <c r="J35" s="274">
        <f>_xll.qlInterestRateIndexMaturity(IborIndex,I35)</f>
        <v>43138</v>
      </c>
      <c r="L35" s="272">
        <f>_xll.qlOvernightIndexedSwapFairRate(H35,InterestRatesTrigger)</f>
        <v>2.2162667856783468E-2</v>
      </c>
      <c r="M35" s="273">
        <f>_xll.qlInterpolationInterpolate(BasisInterpolator,I35)</f>
        <v>5.005183999425792E-3</v>
      </c>
      <c r="N35" s="272">
        <f t="shared" si="0"/>
        <v>2.716785185620926E-2</v>
      </c>
    </row>
    <row r="36" spans="1:14" x14ac:dyDescent="0.2">
      <c r="A36" s="275"/>
      <c r="B36" s="276"/>
      <c r="C36" s="277"/>
      <c r="D36" s="271"/>
      <c r="E36" s="272" t="e">
        <v>#N/A</v>
      </c>
      <c r="F36" s="139">
        <v>31</v>
      </c>
      <c r="G36" s="274">
        <f>_xll.qlInterestRateIndexFixingDate(IborIndex,I36)</f>
        <v>42801</v>
      </c>
      <c r="H36" s="139" t="str">
        <f>_xll.qlMakeDatedOIS(,I36,J36,OvernightIndex,0,"Act/360",0)</f>
        <v>obj_00410#0003</v>
      </c>
      <c r="I36" s="274">
        <f>_xll.qlCalendarAdvance(Calendar,$D$2,F36&amp;"M","mf")</f>
        <v>42801</v>
      </c>
      <c r="J36" s="274">
        <f>_xll.qlInterestRateIndexMaturity(IborIndex,I36)</f>
        <v>43166</v>
      </c>
      <c r="L36" s="272">
        <f>_xll.qlOvernightIndexedSwapFairRate(H36,InterestRatesTrigger)</f>
        <v>2.2382136842524727E-2</v>
      </c>
      <c r="M36" s="273">
        <f>_xll.qlInterpolationInterpolate(BasisInterpolator,I36)</f>
        <v>5.0678632864539983E-3</v>
      </c>
      <c r="N36" s="272">
        <f t="shared" si="0"/>
        <v>2.7450000128978726E-2</v>
      </c>
    </row>
    <row r="37" spans="1:14" x14ac:dyDescent="0.2">
      <c r="A37" s="275"/>
      <c r="B37" s="276"/>
      <c r="C37" s="277"/>
      <c r="D37" s="271"/>
      <c r="E37" s="272" t="e">
        <v>#N/A</v>
      </c>
      <c r="F37" s="139">
        <v>32</v>
      </c>
      <c r="G37" s="274">
        <f>_xll.qlInterestRateIndexFixingDate(IborIndex,I37)</f>
        <v>42832</v>
      </c>
      <c r="H37" s="139" t="str">
        <f>_xll.qlMakeDatedOIS(,I37,J37,OvernightIndex,0,"Act/360",0)</f>
        <v>obj_00426#0003</v>
      </c>
      <c r="I37" s="274">
        <f>_xll.qlCalendarAdvance(Calendar,$D$2,F37&amp;"M","mf")</f>
        <v>42832</v>
      </c>
      <c r="J37" s="274">
        <f>_xll.qlInterestRateIndexMaturity(IborIndex,I37)</f>
        <v>43199</v>
      </c>
      <c r="L37" s="272">
        <f>_xll.qlOvernightIndexedSwapFairRate(H37,InterestRatesTrigger)</f>
        <v>2.261471906493338E-2</v>
      </c>
      <c r="M37" s="273">
        <f>_xll.qlInterpolationInterpolate(BasisInterpolator,I37)</f>
        <v>5.141849472354792E-3</v>
      </c>
      <c r="N37" s="272">
        <f t="shared" si="0"/>
        <v>2.7756568537288171E-2</v>
      </c>
    </row>
    <row r="38" spans="1:14" x14ac:dyDescent="0.2">
      <c r="A38" s="275"/>
      <c r="B38" s="276"/>
      <c r="C38" s="277"/>
      <c r="D38" s="271"/>
      <c r="E38" s="272" t="e">
        <v>#N/A</v>
      </c>
      <c r="F38" s="139">
        <v>33</v>
      </c>
      <c r="G38" s="274">
        <f>_xll.qlInterestRateIndexFixingDate(IborIndex,I38)</f>
        <v>42863</v>
      </c>
      <c r="H38" s="139" t="str">
        <f>_xll.qlMakeDatedOIS(,I38,J38,OvernightIndex,0,"Act/360",0)</f>
        <v>obj_0041d#0003</v>
      </c>
      <c r="I38" s="274">
        <f>_xll.qlCalendarAdvance(Calendar,$D$2,F38&amp;"M","mf")</f>
        <v>42863</v>
      </c>
      <c r="J38" s="274">
        <f>_xll.qlInterestRateIndexMaturity(IborIndex,I38)</f>
        <v>43228</v>
      </c>
      <c r="L38" s="272">
        <f>_xll.qlOvernightIndexedSwapFairRate(H38,InterestRatesTrigger)</f>
        <v>2.281515830291907E-2</v>
      </c>
      <c r="M38" s="273">
        <f>_xll.qlInterpolationInterpolate(BasisInterpolator,I38)</f>
        <v>5.2188795787492482E-3</v>
      </c>
      <c r="N38" s="272">
        <f t="shared" si="0"/>
        <v>2.8034037881668319E-2</v>
      </c>
    </row>
    <row r="39" spans="1:14" x14ac:dyDescent="0.2">
      <c r="A39" s="275"/>
      <c r="B39" s="276"/>
      <c r="C39" s="277"/>
      <c r="D39" s="271"/>
      <c r="E39" s="272" t="e">
        <v>#N/A</v>
      </c>
      <c r="F39" s="139">
        <v>34</v>
      </c>
      <c r="G39" s="274">
        <f>_xll.qlInterestRateIndexFixingDate(IborIndex,I39)</f>
        <v>42893</v>
      </c>
      <c r="H39" s="139" t="str">
        <f>_xll.qlMakeDatedOIS(,I39,J39,OvernightIndex,0,"Act/360",0)</f>
        <v>obj_00420#0003</v>
      </c>
      <c r="I39" s="274">
        <f>_xll.qlCalendarAdvance(Calendar,$D$2,F39&amp;"M","mf")</f>
        <v>42893</v>
      </c>
      <c r="J39" s="274">
        <f>_xll.qlInterestRateIndexMaturity(IborIndex,I39)</f>
        <v>43258</v>
      </c>
      <c r="L39" s="272">
        <f>_xll.qlOvernightIndexedSwapFairRate(H39,InterestRatesTrigger)</f>
        <v>2.3000739071456312E-2</v>
      </c>
      <c r="M39" s="273">
        <f>_xll.qlInterpolationInterpolate(BasisInterpolator,I39)</f>
        <v>5.294488075403554E-3</v>
      </c>
      <c r="N39" s="272">
        <f t="shared" si="0"/>
        <v>2.8295227146859867E-2</v>
      </c>
    </row>
    <row r="40" spans="1:14" x14ac:dyDescent="0.2">
      <c r="A40" s="275"/>
      <c r="B40" s="276"/>
      <c r="C40" s="277"/>
      <c r="D40" s="271"/>
      <c r="E40" s="272" t="e">
        <v>#N/A</v>
      </c>
      <c r="F40" s="139">
        <v>35</v>
      </c>
      <c r="G40" s="274">
        <f>_xll.qlInterestRateIndexFixingDate(IborIndex,I40)</f>
        <v>42923</v>
      </c>
      <c r="H40" s="139" t="str">
        <f>_xll.qlMakeDatedOIS(,I40,J40,OvernightIndex,0,"Act/360",0)</f>
        <v>obj_00411#0003</v>
      </c>
      <c r="I40" s="274">
        <f>_xll.qlCalendarAdvance(Calendar,$D$2,F40&amp;"M","mf")</f>
        <v>42923</v>
      </c>
      <c r="J40" s="274">
        <f>_xll.qlInterestRateIndexMaturity(IborIndex,I40)</f>
        <v>43290</v>
      </c>
      <c r="L40" s="272">
        <f>_xll.qlOvernightIndexedSwapFairRate(H40,InterestRatesTrigger)</f>
        <v>2.3178332732233384E-2</v>
      </c>
      <c r="M40" s="273">
        <f>_xll.qlInterpolationInterpolate(BasisInterpolator,I40)</f>
        <v>5.3692495610815705E-3</v>
      </c>
      <c r="N40" s="272">
        <f t="shared" si="0"/>
        <v>2.8547582293314954E-2</v>
      </c>
    </row>
    <row r="41" spans="1:14" x14ac:dyDescent="0.2">
      <c r="A41" s="275"/>
      <c r="B41" s="276"/>
      <c r="C41" s="277"/>
      <c r="D41" s="271"/>
      <c r="E41" s="272" t="e">
        <v>#N/A</v>
      </c>
      <c r="F41" s="139">
        <v>37</v>
      </c>
      <c r="G41" s="274">
        <f>_xll.qlInterestRateIndexFixingDate(IborIndex,I41)</f>
        <v>42985</v>
      </c>
      <c r="H41" s="139" t="str">
        <f>_xll.qlMakeDatedOIS(,I41,J41,OvernightIndex,0,"Act/360",0)</f>
        <v>obj_0042c#0003</v>
      </c>
      <c r="I41" s="274">
        <f>_xll.qlCalendarAdvance(Calendar,$D$2,F41&amp;"M","mf")</f>
        <v>42985</v>
      </c>
      <c r="J41" s="274">
        <f>_xll.qlInterestRateIndexMaturity(IborIndex,I41)</f>
        <v>43350</v>
      </c>
      <c r="L41" s="272">
        <f>_xll.qlOvernightIndexedSwapFairRate(H41,InterestRatesTrigger)</f>
        <v>2.3486443693142543E-2</v>
      </c>
      <c r="M41" s="273">
        <f>_xll.qlInterpolationInterpolate(BasisInterpolator,I41)</f>
        <v>5.5122756977686394E-3</v>
      </c>
      <c r="N41" s="272">
        <f t="shared" si="0"/>
        <v>2.8998719390911181E-2</v>
      </c>
    </row>
    <row r="42" spans="1:14" x14ac:dyDescent="0.2">
      <c r="A42" s="275"/>
      <c r="B42" s="276"/>
      <c r="C42" s="277"/>
      <c r="D42" s="271"/>
      <c r="E42" s="272" t="e">
        <v>#N/A</v>
      </c>
      <c r="F42" s="139">
        <v>38</v>
      </c>
      <c r="G42" s="274">
        <f>_xll.qlInterestRateIndexFixingDate(IborIndex,I42)</f>
        <v>43017</v>
      </c>
      <c r="H42" s="139" t="str">
        <f>_xll.qlMakeDatedOIS(,I42,J42,OvernightIndex,0,"Act/360",0)</f>
        <v>obj_0040f#0003</v>
      </c>
      <c r="I42" s="274">
        <f>_xll.qlCalendarAdvance(Calendar,$D$2,F42&amp;"M","mf")</f>
        <v>43017</v>
      </c>
      <c r="J42" s="274">
        <f>_xll.qlInterestRateIndexMaturity(IborIndex,I42)</f>
        <v>43382</v>
      </c>
      <c r="L42" s="272">
        <f>_xll.qlOvernightIndexedSwapFairRate(H42,InterestRatesTrigger)</f>
        <v>2.3629733961435043E-2</v>
      </c>
      <c r="M42" s="273">
        <f>_xll.qlInterpolationInterpolate(BasisInterpolator,I42)</f>
        <v>5.576755297996977E-3</v>
      </c>
      <c r="N42" s="272">
        <f t="shared" si="0"/>
        <v>2.920648925943202E-2</v>
      </c>
    </row>
    <row r="43" spans="1:14" x14ac:dyDescent="0.2">
      <c r="A43" s="275"/>
      <c r="B43" s="276"/>
      <c r="C43" s="277"/>
      <c r="D43" s="271"/>
      <c r="E43" s="272" t="e">
        <v>#N/A</v>
      </c>
      <c r="F43" s="139">
        <v>39</v>
      </c>
      <c r="G43" s="274">
        <f>_xll.qlInterestRateIndexFixingDate(IborIndex,I43)</f>
        <v>43046</v>
      </c>
      <c r="H43" s="139" t="str">
        <f>_xll.qlMakeDatedOIS(,I43,J43,OvernightIndex,0,"Act/360",0)</f>
        <v>obj_00424#0003</v>
      </c>
      <c r="I43" s="274">
        <f>_xll.qlCalendarAdvance(Calendar,$D$2,F43&amp;"M","mf")</f>
        <v>43046</v>
      </c>
      <c r="J43" s="274">
        <f>_xll.qlInterestRateIndexMaturity(IborIndex,I43)</f>
        <v>43411</v>
      </c>
      <c r="L43" s="272">
        <f>_xll.qlOvernightIndexedSwapFairRate(H43,InterestRatesTrigger)</f>
        <v>2.3749622012054994E-2</v>
      </c>
      <c r="M43" s="273">
        <f>_xll.qlInterpolationInterpolate(BasisInterpolator,I43)</f>
        <v>5.6298779196543667E-3</v>
      </c>
      <c r="N43" s="272">
        <f t="shared" si="0"/>
        <v>2.9379499931709359E-2</v>
      </c>
    </row>
    <row r="44" spans="1:14" x14ac:dyDescent="0.2">
      <c r="A44" s="275"/>
      <c r="B44" s="276"/>
      <c r="C44" s="277"/>
      <c r="D44" s="271"/>
      <c r="E44" s="272" t="e">
        <v>#N/A</v>
      </c>
      <c r="F44" s="139">
        <v>40</v>
      </c>
      <c r="G44" s="274">
        <f>_xll.qlInterestRateIndexFixingDate(IborIndex,I44)</f>
        <v>43076</v>
      </c>
      <c r="H44" s="139" t="str">
        <f>_xll.qlMakeDatedOIS(,I44,J44,OvernightIndex,0,"Act/360",0)</f>
        <v>obj_0042e#0003</v>
      </c>
      <c r="I44" s="274">
        <f>_xll.qlCalendarAdvance(Calendar,$D$2,F44&amp;"M","mf")</f>
        <v>43076</v>
      </c>
      <c r="J44" s="274">
        <f>_xll.qlInterestRateIndexMaturity(IborIndex,I44)</f>
        <v>43441</v>
      </c>
      <c r="L44" s="272">
        <f>_xll.qlOvernightIndexedSwapFairRate(H44,InterestRatesTrigger)</f>
        <v>2.3864510235584516E-2</v>
      </c>
      <c r="M44" s="273">
        <f>_xll.qlInterpolationInterpolate(BasisInterpolator,I44)</f>
        <v>5.6799481284429895E-3</v>
      </c>
      <c r="N44" s="272">
        <f t="shared" si="0"/>
        <v>2.9544458364027505E-2</v>
      </c>
    </row>
    <row r="45" spans="1:14" x14ac:dyDescent="0.2">
      <c r="A45" s="275"/>
      <c r="B45" s="276"/>
      <c r="C45" s="277"/>
      <c r="D45" s="271"/>
      <c r="E45" s="273" t="e">
        <v>#N/A</v>
      </c>
      <c r="F45" s="139">
        <v>41</v>
      </c>
      <c r="G45" s="274">
        <f>_xll.qlInterestRateIndexFixingDate(IborIndex,I45)</f>
        <v>43108</v>
      </c>
      <c r="H45" s="139" t="str">
        <f>_xll.qlMakeDatedOIS(,I45,J45,OvernightIndex,0,"Act/360",0)</f>
        <v>obj_00421#0003</v>
      </c>
      <c r="I45" s="274">
        <f>_xll.qlCalendarAdvance(Calendar,$D$2,F45&amp;"M","mf")</f>
        <v>43108</v>
      </c>
      <c r="J45" s="274">
        <f>_xll.qlInterestRateIndexMaturity(IborIndex,I45)</f>
        <v>43473</v>
      </c>
      <c r="L45" s="272">
        <f>_xll.qlOvernightIndexedSwapFairRate(H45,InterestRatesTrigger)</f>
        <v>2.3977762315284742E-2</v>
      </c>
      <c r="M45" s="273">
        <f>_xll.qlInterpolationInterpolate(BasisInterpolator,I45)</f>
        <v>5.7284050039600395E-3</v>
      </c>
      <c r="N45" s="272">
        <f t="shared" si="0"/>
        <v>2.9706167319244782E-2</v>
      </c>
    </row>
    <row r="46" spans="1:14" x14ac:dyDescent="0.2">
      <c r="A46" s="275"/>
      <c r="B46" s="276"/>
      <c r="C46" s="277"/>
      <c r="D46" s="271"/>
      <c r="E46" s="273" t="e">
        <v>#N/A</v>
      </c>
      <c r="F46" s="139">
        <v>42</v>
      </c>
      <c r="G46" s="274">
        <f>_xll.qlInterestRateIndexFixingDate(IborIndex,I46)</f>
        <v>43138</v>
      </c>
      <c r="H46" s="139" t="str">
        <f>_xll.qlMakeDatedOIS(,I46,J46,OvernightIndex,0,"Act/360",0)</f>
        <v>obj_0041c#0003</v>
      </c>
      <c r="I46" s="274">
        <f>_xll.qlCalendarAdvance(Calendar,$D$2,F46&amp;"M","mf")</f>
        <v>43138</v>
      </c>
      <c r="J46" s="274">
        <f>_xll.qlInterestRateIndexMaturity(IborIndex,I46)</f>
        <v>43503</v>
      </c>
      <c r="L46" s="272">
        <f>_xll.qlOvernightIndexedSwapFairRate(H46,InterestRatesTrigger)</f>
        <v>2.4076116009763573E-2</v>
      </c>
      <c r="M46" s="273">
        <f>_xll.qlInterpolationInterpolate(BasisInterpolator,I46)</f>
        <v>5.7697204820578388E-3</v>
      </c>
      <c r="N46" s="272">
        <f t="shared" si="0"/>
        <v>2.9845836491821411E-2</v>
      </c>
    </row>
    <row r="47" spans="1:14" x14ac:dyDescent="0.2">
      <c r="A47" s="275"/>
      <c r="B47" s="276"/>
      <c r="C47" s="277"/>
      <c r="D47" s="271"/>
      <c r="E47" s="273" t="e">
        <v>#N/A</v>
      </c>
      <c r="F47" s="139">
        <v>43</v>
      </c>
      <c r="G47" s="274">
        <f>_xll.qlInterestRateIndexFixingDate(IborIndex,I47)</f>
        <v>43166</v>
      </c>
      <c r="H47" s="139" t="str">
        <f>_xll.qlMakeDatedOIS(,I47,J47,OvernightIndex,0,"Act/360",0)</f>
        <v>obj_00406#0003</v>
      </c>
      <c r="I47" s="274">
        <f>_xll.qlCalendarAdvance(Calendar,$D$2,F47&amp;"M","mf")</f>
        <v>43166</v>
      </c>
      <c r="J47" s="274">
        <f>_xll.qlInterestRateIndexMaturity(IborIndex,I47)</f>
        <v>43531</v>
      </c>
      <c r="L47" s="272">
        <f>_xll.qlOvernightIndexedSwapFairRate(H47,InterestRatesTrigger)</f>
        <v>2.4161849186313714E-2</v>
      </c>
      <c r="M47" s="273">
        <f>_xll.qlInterpolationInterpolate(BasisInterpolator,I47)</f>
        <v>5.8051667293497599E-3</v>
      </c>
      <c r="N47" s="272">
        <f t="shared" si="0"/>
        <v>2.9967015915663475E-2</v>
      </c>
    </row>
    <row r="48" spans="1:14" x14ac:dyDescent="0.2">
      <c r="A48" s="275"/>
      <c r="B48" s="276"/>
      <c r="C48" s="277"/>
      <c r="D48" s="271"/>
      <c r="E48" s="273" t="e">
        <v>#N/A</v>
      </c>
      <c r="F48" s="139">
        <v>44</v>
      </c>
      <c r="G48" s="274">
        <f>_xll.qlInterestRateIndexFixingDate(IborIndex,I48)</f>
        <v>43199</v>
      </c>
      <c r="H48" s="139" t="str">
        <f>_xll.qlMakeDatedOIS(,I48,J48,OvernightIndex,0,"Act/360",0)</f>
        <v>obj_00416#0003</v>
      </c>
      <c r="I48" s="274">
        <f>_xll.qlCalendarAdvance(Calendar,$D$2,F48&amp;"M","mf")</f>
        <v>43199</v>
      </c>
      <c r="J48" s="274">
        <f>_xll.qlInterestRateIndexMaturity(IborIndex,I48)</f>
        <v>43564</v>
      </c>
      <c r="L48" s="272">
        <f>_xll.qlOvernightIndexedSwapFairRate(H48,InterestRatesTrigger)</f>
        <v>2.425633424592781E-2</v>
      </c>
      <c r="M48" s="273">
        <f>_xll.qlInterpolationInterpolate(BasisInterpolator,I48)</f>
        <v>5.8437052468066682E-3</v>
      </c>
      <c r="N48" s="272">
        <f t="shared" si="0"/>
        <v>3.010003949273448E-2</v>
      </c>
    </row>
    <row r="49" spans="1:14" x14ac:dyDescent="0.2">
      <c r="A49" s="275"/>
      <c r="B49" s="276"/>
      <c r="C49" s="277"/>
      <c r="D49" s="271"/>
      <c r="E49" s="273" t="e">
        <v>#N/A</v>
      </c>
      <c r="F49" s="139">
        <v>45</v>
      </c>
      <c r="G49" s="274">
        <f>_xll.qlInterestRateIndexFixingDate(IborIndex,I49)</f>
        <v>43228</v>
      </c>
      <c r="H49" s="139" t="str">
        <f>_xll.qlMakeDatedOIS(,I49,J49,OvernightIndex,0,"Act/360",0)</f>
        <v>obj_00413#0003</v>
      </c>
      <c r="I49" s="274">
        <f>_xll.qlCalendarAdvance(Calendar,$D$2,F49&amp;"M","mf")</f>
        <v>43228</v>
      </c>
      <c r="J49" s="274">
        <f>_xll.qlInterestRateIndexMaturity(IborIndex,I49)</f>
        <v>43593</v>
      </c>
      <c r="L49" s="272">
        <f>_xll.qlOvernightIndexedSwapFairRate(H49,InterestRatesTrigger)</f>
        <v>2.4334356397596318E-2</v>
      </c>
      <c r="M49" s="273">
        <f>_xll.qlInterpolationInterpolate(BasisInterpolator,I49)</f>
        <v>5.875251511063247E-3</v>
      </c>
      <c r="N49" s="272">
        <f t="shared" si="0"/>
        <v>3.0209607908659564E-2</v>
      </c>
    </row>
    <row r="50" spans="1:14" x14ac:dyDescent="0.2">
      <c r="A50" s="275"/>
      <c r="B50" s="276"/>
      <c r="C50" s="277"/>
      <c r="D50" s="271"/>
      <c r="E50" s="273" t="e">
        <v>#N/A</v>
      </c>
      <c r="F50" s="139">
        <v>46</v>
      </c>
      <c r="G50" s="274">
        <f>_xll.qlInterestRateIndexFixingDate(IborIndex,I50)</f>
        <v>43258</v>
      </c>
      <c r="H50" s="139" t="str">
        <f>_xll.qlMakeDatedOIS(,I50,J50,OvernightIndex,0,"Act/360",0)</f>
        <v>obj_00432#0003</v>
      </c>
      <c r="I50" s="274">
        <f>_xll.qlCalendarAdvance(Calendar,$D$2,F50&amp;"M","mf")</f>
        <v>43258</v>
      </c>
      <c r="J50" s="274">
        <f>_xll.qlInterestRateIndexMaturity(IborIndex,I50)</f>
        <v>43623</v>
      </c>
      <c r="L50" s="272">
        <f>_xll.qlOvernightIndexedSwapFairRate(H50,InterestRatesTrigger)</f>
        <v>2.4410989562543457E-2</v>
      </c>
      <c r="M50" s="273">
        <f>_xll.qlInterpolationInterpolate(BasisInterpolator,I50)</f>
        <v>5.9061924638739716E-3</v>
      </c>
      <c r="N50" s="272">
        <f t="shared" si="0"/>
        <v>3.0317182026417429E-2</v>
      </c>
    </row>
    <row r="51" spans="1:14" x14ac:dyDescent="0.2">
      <c r="A51" s="275"/>
      <c r="B51" s="276"/>
      <c r="C51" s="277"/>
      <c r="D51" s="271"/>
      <c r="E51" s="273" t="e">
        <v>#N/A</v>
      </c>
      <c r="F51" s="139">
        <v>47</v>
      </c>
      <c r="G51" s="274">
        <f>_xll.qlInterestRateIndexFixingDate(IborIndex,I51)</f>
        <v>43290</v>
      </c>
      <c r="H51" s="139" t="str">
        <f>_xll.qlMakeDatedOIS(,I51,J51,OvernightIndex,0,"Act/360",0)</f>
        <v>obj_00407#0003</v>
      </c>
      <c r="I51" s="274">
        <f>_xll.qlCalendarAdvance(Calendar,$D$2,F51&amp;"M","mf")</f>
        <v>43290</v>
      </c>
      <c r="J51" s="274">
        <f>_xll.qlInterestRateIndexMaturity(IborIndex,I51)</f>
        <v>43655</v>
      </c>
      <c r="L51" s="272">
        <f>_xll.qlOvernightIndexedSwapFairRate(H51,InterestRatesTrigger)</f>
        <v>2.4489104803209077E-2</v>
      </c>
      <c r="M51" s="273">
        <f>_xll.qlInterpolationInterpolate(BasisInterpolator,I51)</f>
        <v>5.9379717474252131E-3</v>
      </c>
      <c r="N51" s="272">
        <f t="shared" si="0"/>
        <v>3.0427076550634289E-2</v>
      </c>
    </row>
    <row r="52" spans="1:14" x14ac:dyDescent="0.2">
      <c r="A52" s="275"/>
      <c r="B52" s="276"/>
      <c r="C52" s="277"/>
      <c r="D52" s="271"/>
      <c r="E52" s="273" t="e">
        <v>#N/A</v>
      </c>
    </row>
    <row r="53" spans="1:14" x14ac:dyDescent="0.2">
      <c r="A53" s="275"/>
      <c r="B53" s="276"/>
      <c r="C53" s="277"/>
      <c r="D53" s="271"/>
      <c r="E53" s="273" t="e">
        <v>#N/A</v>
      </c>
    </row>
    <row r="54" spans="1:14" x14ac:dyDescent="0.2">
      <c r="A54" s="275"/>
      <c r="B54" s="276"/>
      <c r="C54" s="277"/>
      <c r="D54" s="271"/>
      <c r="E54" s="273" t="e">
        <v>#N/A</v>
      </c>
    </row>
    <row r="55" spans="1:14" x14ac:dyDescent="0.2">
      <c r="A55" s="275"/>
      <c r="B55" s="276"/>
      <c r="C55" s="277"/>
      <c r="D55" s="271"/>
      <c r="E55" s="273" t="e">
        <v>#N/A</v>
      </c>
    </row>
    <row r="56" spans="1:14" x14ac:dyDescent="0.2">
      <c r="A56" s="275"/>
      <c r="B56" s="276"/>
      <c r="C56" s="277"/>
      <c r="D56" s="271"/>
      <c r="E56" s="273" t="e">
        <v>#N/A</v>
      </c>
    </row>
    <row r="57" spans="1:14" x14ac:dyDescent="0.2">
      <c r="A57" s="275"/>
      <c r="B57" s="276"/>
      <c r="C57" s="277"/>
      <c r="D57" s="271"/>
      <c r="E57" s="273" t="e">
        <v>#N/A</v>
      </c>
    </row>
    <row r="58" spans="1:14" x14ac:dyDescent="0.2">
      <c r="A58" s="275"/>
      <c r="B58" s="276"/>
      <c r="C58" s="277"/>
      <c r="D58" s="271"/>
      <c r="E58" s="273" t="e">
        <v>#N/A</v>
      </c>
    </row>
    <row r="59" spans="1:14" x14ac:dyDescent="0.2">
      <c r="A59" s="275"/>
      <c r="B59" s="276"/>
      <c r="C59" s="277"/>
      <c r="D59" s="271"/>
      <c r="E59" s="273" t="e">
        <v>#N/A</v>
      </c>
    </row>
    <row r="60" spans="1:14" x14ac:dyDescent="0.2">
      <c r="A60" s="275"/>
      <c r="B60" s="276"/>
      <c r="C60" s="277"/>
      <c r="D60" s="271"/>
      <c r="E60" s="273" t="e">
        <v>#N/A</v>
      </c>
    </row>
    <row r="61" spans="1:14" x14ac:dyDescent="0.2">
      <c r="A61" s="275"/>
      <c r="B61" s="276"/>
      <c r="C61" s="277"/>
      <c r="D61" s="271"/>
      <c r="E61" s="273" t="e">
        <v>#N/A</v>
      </c>
    </row>
    <row r="62" spans="1:14" x14ac:dyDescent="0.2">
      <c r="A62" s="275"/>
      <c r="B62" s="276"/>
      <c r="C62" s="277"/>
      <c r="D62" s="271"/>
      <c r="E62" s="273" t="e">
        <v>#N/A</v>
      </c>
    </row>
    <row r="63" spans="1:14" x14ac:dyDescent="0.2">
      <c r="A63" s="275"/>
      <c r="B63" s="276"/>
      <c r="C63" s="277"/>
      <c r="D63" s="271"/>
      <c r="E63" s="273" t="e">
        <v>#N/A</v>
      </c>
    </row>
    <row r="64" spans="1:14" x14ac:dyDescent="0.2">
      <c r="A64" s="275"/>
      <c r="B64" s="276"/>
      <c r="C64" s="277"/>
      <c r="D64" s="271"/>
      <c r="E64" s="273" t="e">
        <v>#N/A</v>
      </c>
    </row>
    <row r="65" spans="1:5" x14ac:dyDescent="0.2">
      <c r="A65" s="275"/>
      <c r="B65" s="276"/>
      <c r="C65" s="277"/>
      <c r="D65" s="271"/>
      <c r="E65" s="273" t="e">
        <v>#N/A</v>
      </c>
    </row>
    <row r="66" spans="1:5" x14ac:dyDescent="0.2">
      <c r="A66" s="275"/>
      <c r="B66" s="276"/>
      <c r="C66" s="277"/>
      <c r="D66" s="271"/>
      <c r="E66" s="273" t="e">
        <v>#N/A</v>
      </c>
    </row>
    <row r="67" spans="1:5" x14ac:dyDescent="0.2">
      <c r="A67" s="275"/>
      <c r="B67" s="276"/>
      <c r="C67" s="277"/>
      <c r="D67" s="271"/>
      <c r="E67" s="273" t="e">
        <v>#N/A</v>
      </c>
    </row>
    <row r="68" spans="1:5" x14ac:dyDescent="0.2">
      <c r="A68" s="275"/>
      <c r="B68" s="276"/>
      <c r="C68" s="277"/>
      <c r="D68" s="271"/>
      <c r="E68" s="273" t="e">
        <v>#N/A</v>
      </c>
    </row>
    <row r="69" spans="1:5" x14ac:dyDescent="0.2">
      <c r="A69" s="275"/>
      <c r="B69" s="276"/>
      <c r="C69" s="277"/>
      <c r="D69" s="271"/>
      <c r="E69" s="273" t="e">
        <v>#N/A</v>
      </c>
    </row>
    <row r="70" spans="1:5" x14ac:dyDescent="0.2">
      <c r="A70" s="275"/>
      <c r="B70" s="276"/>
      <c r="C70" s="277"/>
      <c r="D70" s="271"/>
      <c r="E70" s="273" t="e">
        <v>#N/A</v>
      </c>
    </row>
    <row r="71" spans="1:5" x14ac:dyDescent="0.2">
      <c r="A71" s="275"/>
      <c r="B71" s="276"/>
      <c r="C71" s="277"/>
      <c r="D71" s="271"/>
      <c r="E71" s="273" t="e">
        <v>#N/A</v>
      </c>
    </row>
    <row r="72" spans="1:5" x14ac:dyDescent="0.2">
      <c r="A72" s="275"/>
      <c r="B72" s="276"/>
      <c r="C72" s="277"/>
      <c r="D72" s="271"/>
      <c r="E72" s="273" t="e">
        <v>#N/A</v>
      </c>
    </row>
    <row r="73" spans="1:5" x14ac:dyDescent="0.2">
      <c r="A73" s="275"/>
      <c r="B73" s="276"/>
      <c r="C73" s="277"/>
      <c r="D73" s="271"/>
      <c r="E73" s="273" t="e">
        <v>#N/A</v>
      </c>
    </row>
    <row r="74" spans="1:5" x14ac:dyDescent="0.2">
      <c r="A74" s="275"/>
      <c r="B74" s="276"/>
      <c r="C74" s="277"/>
      <c r="D74" s="271"/>
      <c r="E74" s="273" t="e">
        <v>#N/A</v>
      </c>
    </row>
    <row r="75" spans="1:5" x14ac:dyDescent="0.2">
      <c r="A75" s="275"/>
      <c r="B75" s="276"/>
      <c r="C75" s="277"/>
      <c r="D75" s="271"/>
      <c r="E75" s="273" t="e">
        <v>#N/A</v>
      </c>
    </row>
    <row r="76" spans="1:5" x14ac:dyDescent="0.2">
      <c r="A76" s="275"/>
      <c r="B76" s="276"/>
      <c r="C76" s="277"/>
      <c r="D76" s="271"/>
      <c r="E76" s="273" t="e">
        <v>#N/A</v>
      </c>
    </row>
    <row r="77" spans="1:5" x14ac:dyDescent="0.2">
      <c r="A77" s="275"/>
      <c r="B77" s="276"/>
      <c r="C77" s="277"/>
      <c r="D77" s="271"/>
      <c r="E77" s="273" t="e">
        <v>#N/A</v>
      </c>
    </row>
    <row r="78" spans="1:5" x14ac:dyDescent="0.2">
      <c r="A78" s="275"/>
      <c r="B78" s="276"/>
      <c r="C78" s="277"/>
      <c r="D78" s="271"/>
      <c r="E78" s="273" t="e">
        <v>#N/A</v>
      </c>
    </row>
    <row r="79" spans="1:5" x14ac:dyDescent="0.2">
      <c r="A79" s="275"/>
      <c r="B79" s="276"/>
      <c r="C79" s="277"/>
      <c r="D79" s="271"/>
      <c r="E79" s="273" t="e">
        <v>#N/A</v>
      </c>
    </row>
    <row r="80" spans="1:5" x14ac:dyDescent="0.2">
      <c r="A80" s="275"/>
      <c r="B80" s="276"/>
      <c r="C80" s="277"/>
      <c r="D80" s="271"/>
      <c r="E80" s="273" t="e">
        <v>#N/A</v>
      </c>
    </row>
    <row r="81" spans="1:5" x14ac:dyDescent="0.2">
      <c r="A81" s="275"/>
      <c r="B81" s="276"/>
      <c r="C81" s="277"/>
      <c r="D81" s="271"/>
      <c r="E81" s="273" t="e">
        <v>#N/A</v>
      </c>
    </row>
    <row r="82" spans="1:5" x14ac:dyDescent="0.2">
      <c r="A82" s="275"/>
      <c r="B82" s="276"/>
      <c r="C82" s="277"/>
      <c r="D82" s="271"/>
      <c r="E82" s="273" t="e">
        <v>#N/A</v>
      </c>
    </row>
    <row r="83" spans="1:5" x14ac:dyDescent="0.2">
      <c r="A83" s="275"/>
      <c r="B83" s="276"/>
      <c r="C83" s="277"/>
      <c r="D83" s="271"/>
      <c r="E83" s="273" t="e">
        <v>#N/A</v>
      </c>
    </row>
    <row r="84" spans="1:5" x14ac:dyDescent="0.2">
      <c r="A84" s="275"/>
      <c r="B84" s="276"/>
      <c r="C84" s="277"/>
      <c r="D84" s="271"/>
      <c r="E84" s="273" t="e">
        <v>#N/A</v>
      </c>
    </row>
    <row r="85" spans="1:5" x14ac:dyDescent="0.2">
      <c r="A85" s="275"/>
      <c r="B85" s="276"/>
      <c r="C85" s="277"/>
      <c r="D85" s="271"/>
      <c r="E85" s="273" t="e">
        <v>#N/A</v>
      </c>
    </row>
    <row r="86" spans="1:5" x14ac:dyDescent="0.2">
      <c r="A86" s="275"/>
      <c r="B86" s="276"/>
      <c r="C86" s="277"/>
      <c r="D86" s="271"/>
      <c r="E86" s="273" t="e">
        <v>#N/A</v>
      </c>
    </row>
    <row r="87" spans="1:5" x14ac:dyDescent="0.2">
      <c r="A87" s="275"/>
      <c r="B87" s="276"/>
      <c r="C87" s="277"/>
      <c r="D87" s="271"/>
      <c r="E87" s="273" t="e">
        <v>#N/A</v>
      </c>
    </row>
    <row r="88" spans="1:5" x14ac:dyDescent="0.2">
      <c r="A88" s="275"/>
      <c r="B88" s="276"/>
      <c r="C88" s="277"/>
      <c r="D88" s="271"/>
      <c r="E88" s="273" t="e">
        <v>#N/A</v>
      </c>
    </row>
    <row r="89" spans="1:5" x14ac:dyDescent="0.2">
      <c r="A89" s="275"/>
      <c r="B89" s="276"/>
      <c r="C89" s="277"/>
      <c r="D89" s="271"/>
      <c r="E89" s="273" t="e">
        <v>#N/A</v>
      </c>
    </row>
    <row r="90" spans="1:5" x14ac:dyDescent="0.2">
      <c r="A90" s="275"/>
      <c r="B90" s="276"/>
      <c r="C90" s="277"/>
      <c r="D90" s="271"/>
      <c r="E90" s="273" t="e">
        <v>#N/A</v>
      </c>
    </row>
    <row r="91" spans="1:5" x14ac:dyDescent="0.2">
      <c r="A91" s="275"/>
      <c r="B91" s="276"/>
      <c r="C91" s="277"/>
      <c r="D91" s="271"/>
      <c r="E91" s="273" t="e">
        <v>#N/A</v>
      </c>
    </row>
    <row r="92" spans="1:5" x14ac:dyDescent="0.2">
      <c r="A92" s="275"/>
      <c r="B92" s="276"/>
      <c r="C92" s="277"/>
      <c r="D92" s="271"/>
      <c r="E92" s="273" t="e">
        <v>#N/A</v>
      </c>
    </row>
    <row r="93" spans="1:5" x14ac:dyDescent="0.2">
      <c r="A93" s="275"/>
      <c r="B93" s="276"/>
      <c r="C93" s="277"/>
      <c r="D93" s="271"/>
      <c r="E93" s="273" t="e">
        <v>#N/A</v>
      </c>
    </row>
    <row r="94" spans="1:5" x14ac:dyDescent="0.2">
      <c r="A94" s="275"/>
      <c r="B94" s="276"/>
      <c r="C94" s="277"/>
      <c r="D94" s="271"/>
      <c r="E94" s="273" t="e">
        <v>#N/A</v>
      </c>
    </row>
    <row r="95" spans="1:5" x14ac:dyDescent="0.2">
      <c r="A95" s="275"/>
      <c r="B95" s="276"/>
      <c r="C95" s="277"/>
      <c r="D95" s="271"/>
      <c r="E95" s="273" t="e">
        <v>#N/A</v>
      </c>
    </row>
    <row r="96" spans="1:5" x14ac:dyDescent="0.2">
      <c r="A96" s="275"/>
      <c r="B96" s="276"/>
      <c r="C96" s="277"/>
      <c r="D96" s="271"/>
      <c r="E96" s="273" t="e">
        <v>#N/A</v>
      </c>
    </row>
    <row r="97" spans="1:5" x14ac:dyDescent="0.2">
      <c r="A97" s="275"/>
      <c r="B97" s="276"/>
      <c r="C97" s="277"/>
      <c r="D97" s="271"/>
      <c r="E97" s="273" t="e">
        <v>#N/A</v>
      </c>
    </row>
    <row r="98" spans="1:5" x14ac:dyDescent="0.2">
      <c r="A98" s="275"/>
      <c r="B98" s="276"/>
      <c r="C98" s="277"/>
      <c r="D98" s="271"/>
      <c r="E98" s="273" t="e">
        <v>#N/A</v>
      </c>
    </row>
    <row r="99" spans="1:5" x14ac:dyDescent="0.2">
      <c r="A99" s="275"/>
      <c r="B99" s="276"/>
      <c r="C99" s="277"/>
      <c r="D99" s="271"/>
      <c r="E99" s="273" t="e">
        <v>#N/A</v>
      </c>
    </row>
    <row r="100" spans="1:5" x14ac:dyDescent="0.2">
      <c r="A100" s="275"/>
      <c r="B100" s="276"/>
      <c r="C100" s="277"/>
      <c r="D100" s="271"/>
      <c r="E100" s="273" t="e">
        <v>#N/A</v>
      </c>
    </row>
    <row r="101" spans="1:5" x14ac:dyDescent="0.2">
      <c r="A101" s="275"/>
      <c r="B101" s="276"/>
      <c r="C101" s="277"/>
      <c r="D101" s="271"/>
      <c r="E101" s="273" t="e">
        <v>#N/A</v>
      </c>
    </row>
    <row r="102" spans="1:5" x14ac:dyDescent="0.2">
      <c r="A102" s="275"/>
      <c r="B102" s="276"/>
      <c r="C102" s="277"/>
      <c r="D102" s="271"/>
      <c r="E102" s="273" t="e">
        <v>#N/A</v>
      </c>
    </row>
    <row r="103" spans="1:5" x14ac:dyDescent="0.2">
      <c r="A103" s="275"/>
      <c r="B103" s="276"/>
      <c r="C103" s="277"/>
      <c r="D103" s="271"/>
      <c r="E103" s="273" t="e">
        <v>#N/A</v>
      </c>
    </row>
    <row r="104" spans="1:5" x14ac:dyDescent="0.2">
      <c r="A104" s="275"/>
      <c r="B104" s="276"/>
      <c r="C104" s="277"/>
      <c r="D104" s="271"/>
      <c r="E104" s="273" t="e">
        <v>#N/A</v>
      </c>
    </row>
    <row r="105" spans="1:5" x14ac:dyDescent="0.2">
      <c r="A105" s="275"/>
      <c r="B105" s="276"/>
      <c r="C105" s="277"/>
      <c r="D105" s="271"/>
      <c r="E105" s="273" t="e">
        <v>#N/A</v>
      </c>
    </row>
    <row r="106" spans="1:5" x14ac:dyDescent="0.2">
      <c r="A106" s="275"/>
      <c r="B106" s="276"/>
      <c r="C106" s="277"/>
      <c r="D106" s="271"/>
      <c r="E106" s="273" t="e">
        <v>#N/A</v>
      </c>
    </row>
    <row r="107" spans="1:5" x14ac:dyDescent="0.2">
      <c r="A107" s="275"/>
      <c r="B107" s="276"/>
      <c r="C107" s="277"/>
      <c r="D107" s="271"/>
      <c r="E107" s="273" t="e">
        <v>#N/A</v>
      </c>
    </row>
    <row r="108" spans="1:5" x14ac:dyDescent="0.2">
      <c r="A108" s="275"/>
      <c r="B108" s="276"/>
      <c r="C108" s="277"/>
      <c r="D108" s="271"/>
      <c r="E108" s="273" t="e">
        <v>#N/A</v>
      </c>
    </row>
    <row r="109" spans="1:5" x14ac:dyDescent="0.2">
      <c r="A109" s="275"/>
      <c r="B109" s="276"/>
      <c r="C109" s="277"/>
      <c r="D109" s="271"/>
      <c r="E109" s="273" t="e">
        <v>#N/A</v>
      </c>
    </row>
    <row r="110" spans="1:5" x14ac:dyDescent="0.2">
      <c r="A110" s="275"/>
      <c r="B110" s="276"/>
      <c r="C110" s="277"/>
      <c r="D110" s="271"/>
      <c r="E110" s="273" t="e">
        <v>#N/A</v>
      </c>
    </row>
    <row r="111" spans="1:5" x14ac:dyDescent="0.2">
      <c r="A111" s="275"/>
      <c r="B111" s="276"/>
      <c r="C111" s="277"/>
      <c r="D111" s="271"/>
      <c r="E111" s="273" t="e">
        <v>#N/A</v>
      </c>
    </row>
    <row r="112" spans="1:5" x14ac:dyDescent="0.2">
      <c r="A112" s="275"/>
      <c r="B112" s="276"/>
      <c r="C112" s="277"/>
      <c r="D112" s="271"/>
      <c r="E112" s="273" t="e">
        <v>#N/A</v>
      </c>
    </row>
    <row r="113" spans="1:5" x14ac:dyDescent="0.2">
      <c r="A113" s="275"/>
      <c r="B113" s="276"/>
      <c r="C113" s="277"/>
      <c r="D113" s="271"/>
      <c r="E113" s="273" t="e">
        <v>#N/A</v>
      </c>
    </row>
    <row r="114" spans="1:5" x14ac:dyDescent="0.2">
      <c r="A114" s="275"/>
      <c r="B114" s="276"/>
      <c r="C114" s="277"/>
      <c r="D114" s="271"/>
      <c r="E114" s="273" t="e">
        <v>#N/A</v>
      </c>
    </row>
    <row r="115" spans="1:5" x14ac:dyDescent="0.2">
      <c r="A115" s="275"/>
      <c r="B115" s="276"/>
      <c r="C115" s="277"/>
      <c r="D115" s="271"/>
      <c r="E115" s="273" t="e">
        <v>#N/A</v>
      </c>
    </row>
    <row r="116" spans="1:5" x14ac:dyDescent="0.2">
      <c r="A116" s="275"/>
      <c r="B116" s="276"/>
      <c r="C116" s="277"/>
      <c r="D116" s="271"/>
      <c r="E116" s="273" t="e">
        <v>#N/A</v>
      </c>
    </row>
    <row r="117" spans="1:5" x14ac:dyDescent="0.2">
      <c r="A117" s="275"/>
      <c r="B117" s="276"/>
      <c r="C117" s="277"/>
      <c r="D117" s="271"/>
      <c r="E117" s="273" t="e">
        <v>#N/A</v>
      </c>
    </row>
    <row r="118" spans="1:5" x14ac:dyDescent="0.2">
      <c r="A118" s="275"/>
      <c r="B118" s="276"/>
      <c r="C118" s="277"/>
      <c r="D118" s="271"/>
      <c r="E118" s="273" t="e">
        <v>#N/A</v>
      </c>
    </row>
    <row r="119" spans="1:5" x14ac:dyDescent="0.2">
      <c r="A119" s="275"/>
      <c r="B119" s="276"/>
      <c r="C119" s="277"/>
      <c r="D119" s="271"/>
      <c r="E119" s="273" t="e">
        <v>#N/A</v>
      </c>
    </row>
    <row r="120" spans="1:5" x14ac:dyDescent="0.2">
      <c r="A120" s="275"/>
      <c r="B120" s="276"/>
      <c r="C120" s="277"/>
      <c r="D120" s="271"/>
      <c r="E120" s="273" t="e">
        <v>#N/A</v>
      </c>
    </row>
    <row r="121" spans="1:5" x14ac:dyDescent="0.2">
      <c r="A121" s="275"/>
      <c r="B121" s="276"/>
      <c r="C121" s="277"/>
      <c r="D121" s="271"/>
      <c r="E121" s="273" t="e">
        <v>#N/A</v>
      </c>
    </row>
    <row r="122" spans="1:5" x14ac:dyDescent="0.2">
      <c r="A122" s="275"/>
      <c r="B122" s="276"/>
      <c r="C122" s="277"/>
      <c r="D122" s="271"/>
      <c r="E122" s="273" t="e">
        <v>#N/A</v>
      </c>
    </row>
    <row r="123" spans="1:5" x14ac:dyDescent="0.2">
      <c r="A123" s="275"/>
      <c r="B123" s="276"/>
      <c r="C123" s="277"/>
      <c r="D123" s="271"/>
      <c r="E123" s="273" t="e">
        <v>#N/A</v>
      </c>
    </row>
    <row r="124" spans="1:5" x14ac:dyDescent="0.2">
      <c r="A124" s="275"/>
      <c r="B124" s="276"/>
      <c r="C124" s="277"/>
      <c r="D124" s="271"/>
      <c r="E124" s="273" t="e">
        <v>#N/A</v>
      </c>
    </row>
    <row r="125" spans="1:5" x14ac:dyDescent="0.2">
      <c r="A125" s="275"/>
      <c r="B125" s="276"/>
      <c r="C125" s="277"/>
      <c r="D125" s="271"/>
      <c r="E125" s="273" t="e">
        <v>#N/A</v>
      </c>
    </row>
    <row r="126" spans="1:5" x14ac:dyDescent="0.2">
      <c r="A126" s="275"/>
      <c r="B126" s="276"/>
      <c r="C126" s="277"/>
      <c r="D126" s="271"/>
      <c r="E126" s="273" t="e">
        <v>#N/A</v>
      </c>
    </row>
    <row r="127" spans="1:5" x14ac:dyDescent="0.2">
      <c r="A127" s="278"/>
      <c r="B127" s="279"/>
      <c r="C127" s="280"/>
      <c r="D127" s="281"/>
      <c r="E127" s="273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85"/>
  <sheetViews>
    <sheetView workbookViewId="0">
      <selection activeCell="D2" sqref="D2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2.83203125" style="1" customWidth="1"/>
    <col min="15" max="15" width="10.5" style="1" bestFit="1" customWidth="1"/>
    <col min="16" max="16" width="5.83203125" style="1" customWidth="1"/>
    <col min="17" max="16384" width="9.33203125" style="1"/>
  </cols>
  <sheetData>
    <row r="1" spans="1:16" ht="12" thickBot="1" x14ac:dyDescent="0.25">
      <c r="A1" s="138"/>
      <c r="B1" s="139"/>
      <c r="C1" s="139"/>
      <c r="D1" s="140"/>
      <c r="E1" s="140"/>
      <c r="F1" s="141"/>
      <c r="G1" s="139"/>
      <c r="H1" s="142"/>
      <c r="I1" s="143"/>
      <c r="J1" s="143"/>
      <c r="K1" s="144"/>
      <c r="L1" s="144"/>
      <c r="M1" s="144"/>
      <c r="N1" s="143"/>
      <c r="O1" s="139">
        <f>_xll.ohTrigger(O3:O84)</f>
        <v>31</v>
      </c>
      <c r="P1" s="145"/>
    </row>
    <row r="2" spans="1:16" ht="12.75" thickBot="1" x14ac:dyDescent="0.3">
      <c r="A2" s="146"/>
      <c r="B2" s="147"/>
      <c r="C2" s="148" t="str">
        <f>Currency&amp;"_015_SyntheticQuotes"&amp;".xml"</f>
        <v>GBP_015_SyntheticQuotes.xml</v>
      </c>
      <c r="D2" s="149" t="str">
        <f>IF(Serialize,_xll.ohObjectSave(D3:D40,SerializationPath&amp;C2,FileOverwrite,Serialize),"---")</f>
        <v>---</v>
      </c>
      <c r="E2" s="206"/>
      <c r="F2" s="150"/>
      <c r="G2" s="139"/>
      <c r="H2" s="151"/>
      <c r="I2" s="152"/>
      <c r="J2" s="153" t="s">
        <v>82</v>
      </c>
      <c r="K2" s="154"/>
      <c r="L2" s="155" t="s">
        <v>83</v>
      </c>
      <c r="M2" s="154"/>
      <c r="N2" s="152" t="s">
        <v>84</v>
      </c>
      <c r="O2" s="156" t="s">
        <v>85</v>
      </c>
      <c r="P2" s="157"/>
    </row>
    <row r="3" spans="1:16" x14ac:dyDescent="0.2">
      <c r="A3" s="158">
        <v>1</v>
      </c>
      <c r="B3" s="159" t="s">
        <v>55</v>
      </c>
      <c r="C3" s="160" t="str">
        <f>Currency&amp;$B3&amp;"_SYNTH"&amp;Tenor1M&amp;QuoteSuffix</f>
        <v>GBPSND_SYNTH1M_Quote</v>
      </c>
      <c r="D3" s="161" t="str">
        <f>_xll.qlSimpleQuote(C3,,RateTickValue,Permanent,EvaluationDate,ObjectOverwrite)</f>
        <v>GBPSND_SYNTH1M_Quote#0003</v>
      </c>
      <c r="E3" s="172" t="str">
        <f>_xll.ohRangeRetrieveError($D3)</f>
        <v/>
      </c>
      <c r="F3" s="150"/>
      <c r="G3" s="139"/>
      <c r="H3" s="151"/>
      <c r="I3" s="208" t="s">
        <v>55</v>
      </c>
      <c r="J3" s="162">
        <f>SynthDepo!G34</f>
        <v>5.3942858082957979E-3</v>
      </c>
      <c r="K3" s="163"/>
      <c r="L3" s="164">
        <v>5.3942858082957979E-3</v>
      </c>
      <c r="M3" s="154"/>
      <c r="N3" s="221">
        <f t="array" ref="N3:N84">QuoteLive</f>
        <v>5.3942858082957979E-3</v>
      </c>
      <c r="O3" s="166">
        <f>_xll.qlSimpleQuoteSetValue(D3,ROUND(N3,6),EvaluationDate)</f>
        <v>0</v>
      </c>
      <c r="P3" s="167"/>
    </row>
    <row r="4" spans="1:16" x14ac:dyDescent="0.2">
      <c r="A4" s="168" t="str">
        <f>_xll.qlPeriodEquivalent(Months1M&amp;"M")</f>
        <v>1M</v>
      </c>
      <c r="B4" s="169" t="s">
        <v>56</v>
      </c>
      <c r="C4" s="170" t="str">
        <f>Currency&amp;$B4&amp;"_SYNTH"&amp;Tenor1M&amp;QuoteSuffix</f>
        <v>GBPSWD_SYNTH1M_Quote</v>
      </c>
      <c r="D4" s="171" t="str">
        <f>_xll.qlSimpleQuote(C4,,RateTickValue,Permanent,EvaluationDate,ObjectOverwrite)</f>
        <v>GBPSWD_SYNTH1M_Quote#0003</v>
      </c>
      <c r="E4" s="172" t="str">
        <f>_xll.ohRangeRetrieveError($D4)</f>
        <v/>
      </c>
      <c r="F4" s="150"/>
      <c r="G4" s="139"/>
      <c r="H4" s="151"/>
      <c r="I4" s="193" t="s">
        <v>56</v>
      </c>
      <c r="J4" s="162">
        <f>SynthDepo!G35</f>
        <v>4.9875150559665479E-3</v>
      </c>
      <c r="K4" s="163"/>
      <c r="L4" s="164">
        <v>4.9875150559665479E-3</v>
      </c>
      <c r="M4" s="154"/>
      <c r="N4" s="165">
        <v>4.9875150559665479E-3</v>
      </c>
      <c r="O4" s="166">
        <f>_xll.qlSimpleQuoteSetValue(D4,ROUND(N4,6),EvaluationDate)</f>
        <v>0</v>
      </c>
      <c r="P4" s="167"/>
    </row>
    <row r="5" spans="1:16" x14ac:dyDescent="0.2">
      <c r="A5" s="173"/>
      <c r="B5" s="169" t="s">
        <v>57</v>
      </c>
      <c r="C5" s="170" t="str">
        <f>Currency&amp;$B5&amp;"_SYNTH"&amp;Tenor1M&amp;QuoteSuffix</f>
        <v>GBP2WD_SYNTH1M_Quote</v>
      </c>
      <c r="D5" s="171" t="str">
        <f>_xll.qlSimpleQuote(C5,,RateTickValue,Permanent,EvaluationDate,ObjectOverwrite)</f>
        <v>GBP2WD_SYNTH1M_Quote#0003</v>
      </c>
      <c r="E5" s="172" t="str">
        <f>_xll.ohRangeRetrieveError($D5)</f>
        <v/>
      </c>
      <c r="F5" s="150"/>
      <c r="G5" s="139"/>
      <c r="H5" s="151"/>
      <c r="I5" s="193" t="s">
        <v>57</v>
      </c>
      <c r="J5" s="162">
        <f>SynthDepo!G36</f>
        <v>4.9876067378318949E-3</v>
      </c>
      <c r="K5" s="163"/>
      <c r="L5" s="164">
        <v>4.9876067378318949E-3</v>
      </c>
      <c r="M5" s="154"/>
      <c r="N5" s="165">
        <v>4.9876067378318949E-3</v>
      </c>
      <c r="O5" s="166">
        <f>_xll.qlSimpleQuoteSetValue(D5,ROUND(N5,6),EvaluationDate)</f>
        <v>0</v>
      </c>
      <c r="P5" s="167"/>
    </row>
    <row r="6" spans="1:16" x14ac:dyDescent="0.2">
      <c r="A6" s="173"/>
      <c r="B6" s="169" t="s">
        <v>58</v>
      </c>
      <c r="C6" s="170" t="str">
        <f>Currency&amp;$B6&amp;"_SYNTH"&amp;Tenor1M&amp;QuoteSuffix</f>
        <v>GBP3WD_SYNTH1M_Quote</v>
      </c>
      <c r="D6" s="171" t="str">
        <f>_xll.qlSimpleQuote(C6,,RateTickValue,Permanent,EvaluationDate,ObjectOverwrite)</f>
        <v>GBP3WD_SYNTH1M_Quote#0003</v>
      </c>
      <c r="E6" s="172" t="str">
        <f>_xll.ohRangeRetrieveError($D6)</f>
        <v/>
      </c>
      <c r="F6" s="150"/>
      <c r="G6" s="139"/>
      <c r="H6" s="151"/>
      <c r="I6" s="194" t="s">
        <v>58</v>
      </c>
      <c r="J6" s="162">
        <f>SynthDepo!G37</f>
        <v>4.9962765980591682E-3</v>
      </c>
      <c r="K6" s="163"/>
      <c r="L6" s="174">
        <v>4.9962765980591682E-3</v>
      </c>
      <c r="M6" s="154"/>
      <c r="N6" s="175">
        <v>4.9962765980591682E-3</v>
      </c>
      <c r="O6" s="166">
        <f>_xll.qlSimpleQuoteSetValue(D6,ROUND(N6,6),EvaluationDate)</f>
        <v>0</v>
      </c>
      <c r="P6" s="167"/>
    </row>
    <row r="7" spans="1:16" ht="12" thickBot="1" x14ac:dyDescent="0.25">
      <c r="A7" s="173"/>
      <c r="B7" s="177" t="s">
        <v>59</v>
      </c>
      <c r="C7" s="170" t="str">
        <f>Currency&amp;$B7&amp;"_SYNTH"&amp;Tenor1M&amp;QuoteSuffix</f>
        <v>GBP1MD_SYNTH1M_Quote</v>
      </c>
      <c r="D7" s="178" t="str">
        <f>_xll.qlSimpleQuote(C7,,RateTickValue,Permanent,EvaluationDate,ObjectOverwrite)</f>
        <v>GBP1MD_SYNTH1M_Quote#0003</v>
      </c>
      <c r="E7" s="211" t="str">
        <f>_xll.ohRangeRetrieveError($D7)</f>
        <v/>
      </c>
      <c r="F7" s="150"/>
      <c r="G7" s="139"/>
      <c r="H7" s="151"/>
      <c r="I7" s="197" t="s">
        <v>59</v>
      </c>
      <c r="J7" s="209">
        <f>SynthDepo!G38</f>
        <v>5.0125000000000005E-3</v>
      </c>
      <c r="K7" s="163"/>
      <c r="L7" s="164">
        <v>5.0125000000000005E-3</v>
      </c>
      <c r="M7" s="154"/>
      <c r="N7" s="165">
        <v>5.0125000000000005E-3</v>
      </c>
      <c r="O7" s="215">
        <f>_xll.qlSimpleQuoteSetValue(D7,ROUND(N7,6),EvaluationDate)</f>
        <v>0</v>
      </c>
      <c r="P7" s="167"/>
    </row>
    <row r="8" spans="1:16" x14ac:dyDescent="0.2">
      <c r="A8" s="182">
        <v>3</v>
      </c>
      <c r="B8" s="159" t="s">
        <v>55</v>
      </c>
      <c r="C8" s="160" t="str">
        <f t="shared" ref="C8:C14" si="0">Currency&amp;$B8&amp;"_SYNTH"&amp;Tenor3M&amp;QuoteSuffix</f>
        <v>GBPSND_SYNTH3M_Quote</v>
      </c>
      <c r="D8" s="195" t="str">
        <f>_xll.qlSimpleQuote(C8,,RateTickValue,Permanent,EvaluationDate,ObjectOverwrite)</f>
        <v>GBPSND_SYNTH3M_Quote#0003</v>
      </c>
      <c r="E8" s="213" t="str">
        <f>_xll.ohRangeRetrieveError($D8)</f>
        <v/>
      </c>
      <c r="F8" s="150"/>
      <c r="G8" s="139"/>
      <c r="H8" s="183"/>
      <c r="I8" s="184" t="s">
        <v>55</v>
      </c>
      <c r="J8" s="162">
        <f>SynthDepo!H34</f>
        <v>5.9569215421239148E-3</v>
      </c>
      <c r="K8" s="186"/>
      <c r="L8" s="187">
        <v>5.9569215421239148E-3</v>
      </c>
      <c r="M8" s="188"/>
      <c r="N8" s="189">
        <v>5.9569215421239148E-3</v>
      </c>
      <c r="O8" s="166">
        <f>_xll.qlSimpleQuoteSetValue(D8,ROUND(N8,6),EvaluationDate)</f>
        <v>0</v>
      </c>
      <c r="P8" s="191"/>
    </row>
    <row r="9" spans="1:16" x14ac:dyDescent="0.2">
      <c r="A9" s="192" t="s">
        <v>3</v>
      </c>
      <c r="B9" s="169" t="s">
        <v>56</v>
      </c>
      <c r="C9" s="170" t="str">
        <f t="shared" si="0"/>
        <v>GBPSWD_SYNTH3M_Quote</v>
      </c>
      <c r="D9" s="195" t="str">
        <f>_xll.qlSimpleQuote(C9,,RateTickValue,Permanent,EvaluationDate,ObjectOverwrite)</f>
        <v>GBPSWD_SYNTH3M_Quote#0003</v>
      </c>
      <c r="E9" s="211" t="str">
        <f>_xll.ohRangeRetrieveError($D9)</f>
        <v/>
      </c>
      <c r="F9" s="150"/>
      <c r="G9" s="139"/>
      <c r="H9" s="183"/>
      <c r="I9" s="193" t="s">
        <v>56</v>
      </c>
      <c r="J9" s="162">
        <f>SynthDepo!H35</f>
        <v>5.5465634598507764E-3</v>
      </c>
      <c r="K9" s="186"/>
      <c r="L9" s="164">
        <v>5.5465634598507764E-3</v>
      </c>
      <c r="M9" s="188"/>
      <c r="N9" s="165">
        <v>5.5465634598507764E-3</v>
      </c>
      <c r="O9" s="166">
        <f>_xll.qlSimpleQuoteSetValue(D9,ROUND(N9,6),EvaluationDate)</f>
        <v>0</v>
      </c>
      <c r="P9" s="167"/>
    </row>
    <row r="10" spans="1:16" x14ac:dyDescent="0.2">
      <c r="A10" s="217"/>
      <c r="B10" s="169" t="s">
        <v>57</v>
      </c>
      <c r="C10" s="170" t="str">
        <f t="shared" si="0"/>
        <v>GBP2WD_SYNTH3M_Quote</v>
      </c>
      <c r="D10" s="195" t="str">
        <f>_xll.qlSimpleQuote(C10,,RateTickValue,Permanent,EvaluationDate,ObjectOverwrite)</f>
        <v>GBP2WD_SYNTH3M_Quote#0003</v>
      </c>
      <c r="E10" s="211" t="str">
        <f>_xll.ohRangeRetrieveError($D10)</f>
        <v/>
      </c>
      <c r="F10" s="150"/>
      <c r="G10" s="139"/>
      <c r="H10" s="183"/>
      <c r="I10" s="193" t="s">
        <v>57</v>
      </c>
      <c r="J10" s="162">
        <f>SynthDepo!H36</f>
        <v>5.5418292310168262E-3</v>
      </c>
      <c r="K10" s="186"/>
      <c r="L10" s="164">
        <v>5.5418292310168262E-3</v>
      </c>
      <c r="M10" s="188"/>
      <c r="N10" s="165">
        <v>5.5418292310168262E-3</v>
      </c>
      <c r="O10" s="166">
        <f>_xll.qlSimpleQuoteSetValue(D10,ROUND(N10,6),EvaluationDate)</f>
        <v>0</v>
      </c>
      <c r="P10" s="167"/>
    </row>
    <row r="11" spans="1:16" x14ac:dyDescent="0.2">
      <c r="A11" s="217"/>
      <c r="B11" s="169" t="s">
        <v>58</v>
      </c>
      <c r="C11" s="170" t="str">
        <f t="shared" si="0"/>
        <v>GBP3WD_SYNTH3M_Quote</v>
      </c>
      <c r="D11" s="195" t="str">
        <f>_xll.qlSimpleQuote(C11,,RateTickValue,Permanent,EvaluationDate,ObjectOverwrite)</f>
        <v>GBP3WD_SYNTH3M_Quote#0003</v>
      </c>
      <c r="E11" s="211" t="str">
        <f>_xll.ohRangeRetrieveError($D11)</f>
        <v/>
      </c>
      <c r="F11" s="150"/>
      <c r="G11" s="139"/>
      <c r="H11" s="183"/>
      <c r="I11" s="194" t="s">
        <v>58</v>
      </c>
      <c r="J11" s="162">
        <f>SynthDepo!H37</f>
        <v>5.5449832040801918E-3</v>
      </c>
      <c r="K11" s="186"/>
      <c r="L11" s="174">
        <v>5.5449832040801918E-3</v>
      </c>
      <c r="M11" s="188"/>
      <c r="N11" s="175">
        <v>5.5449832040801918E-3</v>
      </c>
      <c r="O11" s="166">
        <f>_xll.qlSimpleQuoteSetValue(D11,ROUND(N11,6),EvaluationDate)</f>
        <v>0</v>
      </c>
      <c r="P11" s="167"/>
    </row>
    <row r="12" spans="1:16" x14ac:dyDescent="0.2">
      <c r="A12" s="217"/>
      <c r="B12" s="169" t="s">
        <v>59</v>
      </c>
      <c r="C12" s="170" t="str">
        <f t="shared" si="0"/>
        <v>GBP1MD_SYNTH3M_Quote</v>
      </c>
      <c r="D12" s="195" t="str">
        <f>_xll.qlSimpleQuote(C12,,RateTickValue,Permanent,EvaluationDate,ObjectOverwrite)</f>
        <v>GBP1MD_SYNTH3M_Quote#0003</v>
      </c>
      <c r="E12" s="211" t="str">
        <f>_xll.ohRangeRetrieveError($D12)</f>
        <v/>
      </c>
      <c r="F12" s="150"/>
      <c r="G12" s="139"/>
      <c r="H12" s="183"/>
      <c r="I12" s="193" t="s">
        <v>59</v>
      </c>
      <c r="J12" s="214">
        <f>SynthDepo!H38</f>
        <v>5.5511447492533192E-3</v>
      </c>
      <c r="K12" s="186"/>
      <c r="L12" s="164">
        <v>5.5511447492533192E-3</v>
      </c>
      <c r="M12" s="188"/>
      <c r="N12" s="165">
        <v>5.5511447492533192E-3</v>
      </c>
      <c r="O12" s="216">
        <f>_xll.qlSimpleQuoteSetValue(D12,ROUND(N12,6),EvaluationDate)</f>
        <v>0</v>
      </c>
      <c r="P12" s="167"/>
    </row>
    <row r="13" spans="1:16" x14ac:dyDescent="0.2">
      <c r="A13" s="217"/>
      <c r="B13" s="169" t="s">
        <v>71</v>
      </c>
      <c r="C13" s="170" t="str">
        <f t="shared" si="0"/>
        <v>GBP2MD_SYNTH3M_Quote</v>
      </c>
      <c r="D13" s="195" t="str">
        <f>_xll.qlSimpleQuote(C13,,RateTickValue,Permanent,EvaluationDate,ObjectOverwrite)</f>
        <v>GBP2MD_SYNTH3M_Quote#0003</v>
      </c>
      <c r="E13" s="211" t="str">
        <f>_xll.ohRangeRetrieveError($D13)</f>
        <v/>
      </c>
      <c r="F13" s="150"/>
      <c r="G13" s="139"/>
      <c r="H13" s="183"/>
      <c r="I13" s="193" t="s">
        <v>71</v>
      </c>
      <c r="J13" s="162">
        <f>SynthDepo!H39</f>
        <v>5.5661458169347488E-3</v>
      </c>
      <c r="K13" s="186"/>
      <c r="L13" s="164">
        <v>5.5661458169347488E-3</v>
      </c>
      <c r="M13" s="188"/>
      <c r="N13" s="165">
        <v>5.5661458169347488E-3</v>
      </c>
      <c r="O13" s="166">
        <f>_xll.qlSimpleQuoteSetValue(D13,ROUND(N13,6),EvaluationDate)</f>
        <v>0</v>
      </c>
      <c r="P13" s="167"/>
    </row>
    <row r="14" spans="1:16" ht="12" thickBot="1" x14ac:dyDescent="0.25">
      <c r="A14" s="217"/>
      <c r="B14" s="196" t="s">
        <v>72</v>
      </c>
      <c r="C14" s="170" t="str">
        <f t="shared" si="0"/>
        <v>GBP3MD_SYNTH3M_Quote</v>
      </c>
      <c r="D14" s="195" t="str">
        <f>_xll.qlSimpleQuote(C14,,RateTickValue,Permanent,EvaluationDate,ObjectOverwrite)</f>
        <v>GBP3MD_SYNTH3M_Quote#0003</v>
      </c>
      <c r="E14" s="211" t="str">
        <f>_xll.ohRangeRetrieveError($D14)</f>
        <v/>
      </c>
      <c r="F14" s="150"/>
      <c r="G14" s="139"/>
      <c r="H14" s="183"/>
      <c r="I14" s="197" t="s">
        <v>72</v>
      </c>
      <c r="J14" s="179">
        <f>SynthDepo!H40</f>
        <v>5.6150000000000011E-3</v>
      </c>
      <c r="K14" s="186"/>
      <c r="L14" s="180">
        <v>5.6150000000000011E-3</v>
      </c>
      <c r="M14" s="188"/>
      <c r="N14" s="181">
        <v>5.6150000000000011E-3</v>
      </c>
      <c r="O14" s="166">
        <f>_xll.qlSimpleQuoteSetValue(D14,ROUND(N14,6),EvaluationDate)</f>
        <v>0</v>
      </c>
      <c r="P14" s="167"/>
    </row>
    <row r="15" spans="1:16" x14ac:dyDescent="0.2">
      <c r="A15" s="158">
        <v>6</v>
      </c>
      <c r="B15" s="198" t="s">
        <v>55</v>
      </c>
      <c r="C15" s="160" t="str">
        <f t="shared" ref="C15:C24" si="1">Currency&amp;$B15&amp;"_SYNTH"&amp;Tenor6M&amp;QuoteSuffix</f>
        <v>GBPSND_SYNTH6M_Quote</v>
      </c>
      <c r="D15" s="210" t="str">
        <f>_xll.qlSimpleQuote(C15,,RateTickValue,Permanent,EvaluationDate,ObjectOverwrite)</f>
        <v>GBPSND_SYNTH6M_Quote#0003</v>
      </c>
      <c r="E15" s="213" t="str">
        <f>_xll.ohRangeRetrieveError($D15)</f>
        <v/>
      </c>
      <c r="F15" s="150"/>
      <c r="G15" s="139"/>
      <c r="H15" s="183"/>
      <c r="I15" s="184" t="s">
        <v>55</v>
      </c>
      <c r="J15" s="185">
        <f>SynthDepo!I34</f>
        <v>7.3502766638147855E-3</v>
      </c>
      <c r="K15" s="186"/>
      <c r="L15" s="187">
        <v>7.3502766638147855E-3</v>
      </c>
      <c r="M15" s="188"/>
      <c r="N15" s="189">
        <v>7.3502766638147855E-3</v>
      </c>
      <c r="O15" s="190">
        <f>_xll.qlSimpleQuoteSetValue(D15,ROUND(N15,6),EvaluationDate)</f>
        <v>0</v>
      </c>
      <c r="P15" s="199"/>
    </row>
    <row r="16" spans="1:16" x14ac:dyDescent="0.2">
      <c r="A16" s="168" t="s">
        <v>15</v>
      </c>
      <c r="B16" s="200" t="s">
        <v>56</v>
      </c>
      <c r="C16" s="170" t="str">
        <f t="shared" si="1"/>
        <v>GBPSWD_SYNTH6M_Quote</v>
      </c>
      <c r="D16" s="195" t="str">
        <f>_xll.qlSimpleQuote(C16,,RateTickValue,Permanent,EvaluationDate,ObjectOverwrite)</f>
        <v>GBPSWD_SYNTH6M_Quote#0003</v>
      </c>
      <c r="E16" s="211" t="str">
        <f>_xll.ohRangeRetrieveError($D16)</f>
        <v/>
      </c>
      <c r="F16" s="150"/>
      <c r="G16" s="139"/>
      <c r="H16" s="183"/>
      <c r="I16" s="193" t="s">
        <v>56</v>
      </c>
      <c r="J16" s="162">
        <f>SynthDepo!I35</f>
        <v>6.8910033181453171E-3</v>
      </c>
      <c r="K16" s="186"/>
      <c r="L16" s="164">
        <v>6.8910033181453171E-3</v>
      </c>
      <c r="M16" s="188"/>
      <c r="N16" s="165">
        <v>6.8910033181453171E-3</v>
      </c>
      <c r="O16" s="166">
        <f>_xll.qlSimpleQuoteSetValue(D16,ROUND(N16,6),EvaluationDate)</f>
        <v>0</v>
      </c>
      <c r="P16" s="201"/>
    </row>
    <row r="17" spans="1:16" x14ac:dyDescent="0.2">
      <c r="A17" s="218"/>
      <c r="B17" s="200" t="s">
        <v>57</v>
      </c>
      <c r="C17" s="170" t="str">
        <f t="shared" si="1"/>
        <v>GBP2WD_SYNTH6M_Quote</v>
      </c>
      <c r="D17" s="195" t="str">
        <f>_xll.qlSimpleQuote(C17,,RateTickValue,Permanent,EvaluationDate,ObjectOverwrite)</f>
        <v>GBP2WD_SYNTH6M_Quote#0003</v>
      </c>
      <c r="E17" s="211" t="str">
        <f>_xll.ohRangeRetrieveError($D17)</f>
        <v/>
      </c>
      <c r="F17" s="150"/>
      <c r="G17" s="139"/>
      <c r="H17" s="202"/>
      <c r="I17" s="193" t="s">
        <v>57</v>
      </c>
      <c r="J17" s="162">
        <f>SynthDepo!I36</f>
        <v>6.8323524913735233E-3</v>
      </c>
      <c r="K17" s="186"/>
      <c r="L17" s="164">
        <v>6.8323524913735233E-3</v>
      </c>
      <c r="M17" s="188"/>
      <c r="N17" s="165">
        <v>6.8323524913735233E-3</v>
      </c>
      <c r="O17" s="166">
        <f>_xll.qlSimpleQuoteSetValue(D17,ROUND(N17,6),EvaluationDate)</f>
        <v>0</v>
      </c>
      <c r="P17" s="201"/>
    </row>
    <row r="18" spans="1:16" x14ac:dyDescent="0.2">
      <c r="A18" s="173"/>
      <c r="B18" s="200" t="s">
        <v>58</v>
      </c>
      <c r="C18" s="170" t="str">
        <f t="shared" si="1"/>
        <v>GBP3WD_SYNTH6M_Quote</v>
      </c>
      <c r="D18" s="195" t="str">
        <f>_xll.qlSimpleQuote(C18,,RateTickValue,Permanent,EvaluationDate,ObjectOverwrite)</f>
        <v>GBP3WD_SYNTH6M_Quote#0003</v>
      </c>
      <c r="E18" s="211" t="str">
        <f>_xll.ohRangeRetrieveError($D18)</f>
        <v/>
      </c>
      <c r="F18" s="150"/>
      <c r="G18" s="139"/>
      <c r="H18" s="202"/>
      <c r="I18" s="193" t="s">
        <v>58</v>
      </c>
      <c r="J18" s="162">
        <f>SynthDepo!I37</f>
        <v>6.7849834765767569E-3</v>
      </c>
      <c r="K18" s="186"/>
      <c r="L18" s="164">
        <v>6.7849834765767569E-3</v>
      </c>
      <c r="M18" s="188"/>
      <c r="N18" s="165">
        <v>6.7849834765767569E-3</v>
      </c>
      <c r="O18" s="166">
        <f>_xll.qlSimpleQuoteSetValue(D18,ROUND(N18,6),EvaluationDate)</f>
        <v>0</v>
      </c>
      <c r="P18" s="201"/>
    </row>
    <row r="19" spans="1:16" x14ac:dyDescent="0.2">
      <c r="A19" s="173"/>
      <c r="B19" s="200" t="s">
        <v>59</v>
      </c>
      <c r="C19" s="170" t="str">
        <f t="shared" si="1"/>
        <v>GBP1MD_SYNTH6M_Quote</v>
      </c>
      <c r="D19" s="195" t="str">
        <f>_xll.qlSimpleQuote(C19,,RateTickValue,Permanent,EvaluationDate,ObjectOverwrite)</f>
        <v>GBP1MD_SYNTH6M_Quote#0003</v>
      </c>
      <c r="E19" s="211" t="str">
        <f>_xll.ohRangeRetrieveError($D19)</f>
        <v/>
      </c>
      <c r="F19" s="150"/>
      <c r="G19" s="139"/>
      <c r="H19" s="202"/>
      <c r="I19" s="193" t="s">
        <v>59</v>
      </c>
      <c r="J19" s="162">
        <f>SynthDepo!I38</f>
        <v>6.7186082326164773E-3</v>
      </c>
      <c r="K19" s="186"/>
      <c r="L19" s="164">
        <v>6.7186082326164773E-3</v>
      </c>
      <c r="M19" s="188"/>
      <c r="N19" s="165">
        <v>6.7186082326164773E-3</v>
      </c>
      <c r="O19" s="166">
        <f>_xll.qlSimpleQuoteSetValue(D19,ROUND(N19,6),EvaluationDate)</f>
        <v>0</v>
      </c>
      <c r="P19" s="201"/>
    </row>
    <row r="20" spans="1:16" x14ac:dyDescent="0.2">
      <c r="A20" s="173"/>
      <c r="B20" s="200" t="s">
        <v>71</v>
      </c>
      <c r="C20" s="170" t="str">
        <f t="shared" si="1"/>
        <v>GBP2MD_SYNTH6M_Quote</v>
      </c>
      <c r="D20" s="195" t="str">
        <f>_xll.qlSimpleQuote(C20,,RateTickValue,Permanent,EvaluationDate,ObjectOverwrite)</f>
        <v>GBP2MD_SYNTH6M_Quote#0003</v>
      </c>
      <c r="E20" s="211" t="str">
        <f>_xll.ohRangeRetrieveError($D20)</f>
        <v/>
      </c>
      <c r="F20" s="150"/>
      <c r="G20" s="139"/>
      <c r="H20" s="202"/>
      <c r="I20" s="193" t="s">
        <v>71</v>
      </c>
      <c r="J20" s="162">
        <f>SynthDepo!I39</f>
        <v>6.582545209272349E-3</v>
      </c>
      <c r="K20" s="186"/>
      <c r="L20" s="164">
        <v>6.582545209272349E-3</v>
      </c>
      <c r="M20" s="188"/>
      <c r="N20" s="165">
        <v>6.582545209272349E-3</v>
      </c>
      <c r="O20" s="166">
        <f>_xll.qlSimpleQuoteSetValue(D20,ROUND(N20,6),EvaluationDate)</f>
        <v>0</v>
      </c>
      <c r="P20" s="201"/>
    </row>
    <row r="21" spans="1:16" x14ac:dyDescent="0.2">
      <c r="A21" s="173"/>
      <c r="B21" s="200" t="s">
        <v>72</v>
      </c>
      <c r="C21" s="170" t="str">
        <f t="shared" si="1"/>
        <v>GBP3MD_SYNTH6M_Quote</v>
      </c>
      <c r="D21" s="195" t="str">
        <f>_xll.qlSimpleQuote(C21,,RateTickValue,Permanent,EvaluationDate,ObjectOverwrite)</f>
        <v>GBP3MD_SYNTH6M_Quote#0003</v>
      </c>
      <c r="E21" s="211" t="str">
        <f>_xll.ohRangeRetrieveError($D21)</f>
        <v/>
      </c>
      <c r="F21" s="150"/>
      <c r="G21" s="139"/>
      <c r="H21" s="202"/>
      <c r="I21" s="193" t="s">
        <v>72</v>
      </c>
      <c r="J21" s="162">
        <f>SynthDepo!I40</f>
        <v>6.5343264222658438E-3</v>
      </c>
      <c r="K21" s="186"/>
      <c r="L21" s="164">
        <v>6.5343264222658438E-3</v>
      </c>
      <c r="M21" s="188"/>
      <c r="N21" s="165">
        <v>6.5343264222658438E-3</v>
      </c>
      <c r="O21" s="166">
        <f>_xll.qlSimpleQuoteSetValue(D21,ROUND(N21,6),EvaluationDate)</f>
        <v>0</v>
      </c>
      <c r="P21" s="201"/>
    </row>
    <row r="22" spans="1:16" x14ac:dyDescent="0.2">
      <c r="A22" s="173"/>
      <c r="B22" s="200" t="s">
        <v>73</v>
      </c>
      <c r="C22" s="170" t="str">
        <f t="shared" si="1"/>
        <v>GBP4MD_SYNTH6M_Quote</v>
      </c>
      <c r="D22" s="195" t="str">
        <f>_xll.qlSimpleQuote(C22,,RateTickValue,Permanent,EvaluationDate,ObjectOverwrite)</f>
        <v>GBP4MD_SYNTH6M_Quote#0003</v>
      </c>
      <c r="E22" s="211" t="str">
        <f>_xll.ohRangeRetrieveError($D22)</f>
        <v/>
      </c>
      <c r="F22" s="150"/>
      <c r="G22" s="139"/>
      <c r="H22" s="202"/>
      <c r="I22" s="193" t="s">
        <v>73</v>
      </c>
      <c r="J22" s="162">
        <f>SynthDepo!I41</f>
        <v>6.7363922335185681E-3</v>
      </c>
      <c r="K22" s="186"/>
      <c r="L22" s="164">
        <v>6.7363922335185681E-3</v>
      </c>
      <c r="M22" s="188"/>
      <c r="N22" s="165">
        <v>6.7363922335185681E-3</v>
      </c>
      <c r="O22" s="166">
        <f>_xll.qlSimpleQuoteSetValue(D22,ROUND(N22,6),EvaluationDate)</f>
        <v>0</v>
      </c>
      <c r="P22" s="201"/>
    </row>
    <row r="23" spans="1:16" x14ac:dyDescent="0.2">
      <c r="A23" s="173"/>
      <c r="B23" s="200" t="s">
        <v>74</v>
      </c>
      <c r="C23" s="170" t="str">
        <f t="shared" si="1"/>
        <v>GBP5MD_SYNTH6M_Quote</v>
      </c>
      <c r="D23" s="195" t="str">
        <f>_xll.qlSimpleQuote(C23,,RateTickValue,Permanent,EvaluationDate,ObjectOverwrite)</f>
        <v>GBP5MD_SYNTH6M_Quote#0003</v>
      </c>
      <c r="E23" s="211" t="str">
        <f>_xll.ohRangeRetrieveError($D23)</f>
        <v/>
      </c>
      <c r="F23" s="150"/>
      <c r="G23" s="139"/>
      <c r="H23" s="202"/>
      <c r="I23" s="193" t="s">
        <v>74</v>
      </c>
      <c r="J23" s="162">
        <f>SynthDepo!I42</f>
        <v>6.9056694943264102E-3</v>
      </c>
      <c r="K23" s="186"/>
      <c r="L23" s="164">
        <v>6.9056694943264102E-3</v>
      </c>
      <c r="M23" s="188"/>
      <c r="N23" s="165">
        <v>6.9056694943264102E-3</v>
      </c>
      <c r="O23" s="166">
        <f>_xll.qlSimpleQuoteSetValue(D23,ROUND(N23,6),EvaluationDate)</f>
        <v>0</v>
      </c>
      <c r="P23" s="201"/>
    </row>
    <row r="24" spans="1:16" ht="12" thickBot="1" x14ac:dyDescent="0.25">
      <c r="A24" s="176"/>
      <c r="B24" s="177" t="s">
        <v>75</v>
      </c>
      <c r="C24" s="170" t="str">
        <f t="shared" si="1"/>
        <v>GBP6MD_SYNTH6M_Quote</v>
      </c>
      <c r="D24" s="178" t="str">
        <f>_xll.qlSimpleQuote(C24,,RateTickValue,Permanent,EvaluationDate,ObjectOverwrite)</f>
        <v>GBP6MD_SYNTH6M_Quote#0003</v>
      </c>
      <c r="E24" s="211" t="str">
        <f>_xll.ohRangeRetrieveError($D24)</f>
        <v/>
      </c>
      <c r="F24" s="150"/>
      <c r="G24" s="139"/>
      <c r="H24" s="202"/>
      <c r="I24" s="197" t="s">
        <v>75</v>
      </c>
      <c r="J24" s="179">
        <f>SynthDepo!I43</f>
        <v>7.1405999999999883E-3</v>
      </c>
      <c r="K24" s="186"/>
      <c r="L24" s="180">
        <v>7.1405999999999883E-3</v>
      </c>
      <c r="M24" s="188"/>
      <c r="N24" s="181">
        <v>7.1405999999999883E-3</v>
      </c>
      <c r="O24" s="166">
        <f>_xll.qlSimpleQuoteSetValue(D24,ROUND(N24,6),EvaluationDate)</f>
        <v>0</v>
      </c>
      <c r="P24" s="201"/>
    </row>
    <row r="25" spans="1:16" x14ac:dyDescent="0.2">
      <c r="A25" s="158">
        <v>12</v>
      </c>
      <c r="B25" s="159" t="s">
        <v>55</v>
      </c>
      <c r="C25" s="160" t="str">
        <f t="shared" ref="C25:C40" si="2">Currency&amp;$B25&amp;"_SYNTH"&amp;Tenor1Y&amp;QuoteSuffix</f>
        <v>GBPSND_SYNTH1Y_Quote</v>
      </c>
      <c r="D25" s="210" t="str">
        <f>_xll.qlSimpleQuote(C25,,RateTickValue,Permanent,EvaluationDate,ObjectOverwrite)</f>
        <v>GBPSND_SYNTH1Y_Quote#0003</v>
      </c>
      <c r="E25" s="213" t="str">
        <f>_xll.ohRangeRetrieveError($D25)</f>
        <v/>
      </c>
      <c r="F25" s="150"/>
      <c r="G25" s="139"/>
      <c r="H25" s="183"/>
      <c r="I25" s="203" t="s">
        <v>55</v>
      </c>
      <c r="J25" s="185">
        <f>SynthDepo!J34</f>
        <v>7.8791171332990018E-3</v>
      </c>
      <c r="K25" s="186"/>
      <c r="L25" s="187">
        <v>7.8791171332990018E-3</v>
      </c>
      <c r="M25" s="188"/>
      <c r="N25" s="189">
        <v>7.8791171332990018E-3</v>
      </c>
      <c r="O25" s="190">
        <f>_xll.qlSimpleQuoteSetValue(D25,ROUND(N25,6),EvaluationDate)</f>
        <v>0</v>
      </c>
      <c r="P25" s="199"/>
    </row>
    <row r="26" spans="1:16" x14ac:dyDescent="0.2">
      <c r="A26" s="168" t="s">
        <v>24</v>
      </c>
      <c r="B26" s="169" t="s">
        <v>56</v>
      </c>
      <c r="C26" s="170" t="str">
        <f t="shared" si="2"/>
        <v>GBPSWD_SYNTH1Y_Quote</v>
      </c>
      <c r="D26" s="195" t="str">
        <f>_xll.qlSimpleQuote(C26,,RateTickValue,Permanent,EvaluationDate,ObjectOverwrite)</f>
        <v>GBPSWD_SYNTH1Y_Quote#0003</v>
      </c>
      <c r="E26" s="211" t="str">
        <f>_xll.ohRangeRetrieveError($D26)</f>
        <v/>
      </c>
      <c r="F26" s="150"/>
      <c r="G26" s="139"/>
      <c r="H26" s="183"/>
      <c r="I26" s="204" t="s">
        <v>56</v>
      </c>
      <c r="J26" s="162">
        <f>SynthDepo!J35</f>
        <v>7.4828526728301301E-3</v>
      </c>
      <c r="K26" s="186"/>
      <c r="L26" s="164">
        <v>7.4828526728301301E-3</v>
      </c>
      <c r="M26" s="188"/>
      <c r="N26" s="165">
        <v>7.4828526728301301E-3</v>
      </c>
      <c r="O26" s="166">
        <f>_xll.qlSimpleQuoteSetValue(D26,ROUND(N26,6),EvaluationDate)</f>
        <v>0</v>
      </c>
      <c r="P26" s="201"/>
    </row>
    <row r="27" spans="1:16" x14ac:dyDescent="0.2">
      <c r="A27" s="173"/>
      <c r="B27" s="169" t="s">
        <v>57</v>
      </c>
      <c r="C27" s="170" t="str">
        <f t="shared" si="2"/>
        <v>GBP2WD_SYNTH1Y_Quote</v>
      </c>
      <c r="D27" s="195" t="str">
        <f>_xll.qlSimpleQuote(C27,,RateTickValue,Permanent,EvaluationDate,ObjectOverwrite)</f>
        <v>GBP2WD_SYNTH1Y_Quote#0003</v>
      </c>
      <c r="E27" s="211" t="str">
        <f>_xll.ohRangeRetrieveError($D27)</f>
        <v/>
      </c>
      <c r="F27" s="150"/>
      <c r="G27" s="139"/>
      <c r="H27" s="202"/>
      <c r="I27" s="204" t="s">
        <v>57</v>
      </c>
      <c r="J27" s="162">
        <f>SynthDepo!J36</f>
        <v>7.4952016951992505E-3</v>
      </c>
      <c r="K27" s="186"/>
      <c r="L27" s="164">
        <v>7.4952016951992505E-3</v>
      </c>
      <c r="M27" s="188"/>
      <c r="N27" s="165">
        <v>7.4952016951992505E-3</v>
      </c>
      <c r="O27" s="166">
        <f>_xll.qlSimpleQuoteSetValue(D27,ROUND(N27,6),EvaluationDate)</f>
        <v>0</v>
      </c>
      <c r="P27" s="201"/>
    </row>
    <row r="28" spans="1:16" x14ac:dyDescent="0.2">
      <c r="A28" s="173"/>
      <c r="B28" s="169" t="s">
        <v>58</v>
      </c>
      <c r="C28" s="170" t="str">
        <f t="shared" si="2"/>
        <v>GBP3WD_SYNTH1Y_Quote</v>
      </c>
      <c r="D28" s="195" t="str">
        <f>_xll.qlSimpleQuote(C28,,RateTickValue,Permanent,EvaluationDate,ObjectOverwrite)</f>
        <v>GBP3WD_SYNTH1Y_Quote#0003</v>
      </c>
      <c r="E28" s="211" t="str">
        <f>_xll.ohRangeRetrieveError($D28)</f>
        <v/>
      </c>
      <c r="F28" s="150"/>
      <c r="G28" s="139"/>
      <c r="H28" s="202"/>
      <c r="I28" s="204" t="s">
        <v>58</v>
      </c>
      <c r="J28" s="162">
        <f>SynthDepo!J37</f>
        <v>7.5161288959302974E-3</v>
      </c>
      <c r="K28" s="186"/>
      <c r="L28" s="164">
        <v>7.5161288959302974E-3</v>
      </c>
      <c r="M28" s="188"/>
      <c r="N28" s="165">
        <v>7.5161288959302974E-3</v>
      </c>
      <c r="O28" s="166">
        <f>_xll.qlSimpleQuoteSetValue(D28,ROUND(N28,6),EvaluationDate)</f>
        <v>0</v>
      </c>
      <c r="P28" s="201"/>
    </row>
    <row r="29" spans="1:16" x14ac:dyDescent="0.2">
      <c r="A29" s="173"/>
      <c r="B29" s="169" t="s">
        <v>59</v>
      </c>
      <c r="C29" s="170" t="str">
        <f t="shared" si="2"/>
        <v>GBP1MD_SYNTH1Y_Quote</v>
      </c>
      <c r="D29" s="195" t="str">
        <f>_xll.qlSimpleQuote(C29,,RateTickValue,Permanent,EvaluationDate,ObjectOverwrite)</f>
        <v>GBP1MD_SYNTH1Y_Quote#0003</v>
      </c>
      <c r="E29" s="211" t="str">
        <f>_xll.ohRangeRetrieveError($D29)</f>
        <v/>
      </c>
      <c r="F29" s="150"/>
      <c r="G29" s="139"/>
      <c r="H29" s="202"/>
      <c r="I29" s="205" t="s">
        <v>59</v>
      </c>
      <c r="J29" s="162">
        <f>SynthDepo!J38</f>
        <v>7.5516138329484893E-3</v>
      </c>
      <c r="K29" s="186"/>
      <c r="L29" s="174">
        <v>7.5516138329484893E-3</v>
      </c>
      <c r="M29" s="188"/>
      <c r="N29" s="175">
        <v>7.5516138329484893E-3</v>
      </c>
      <c r="O29" s="166">
        <f>_xll.qlSimpleQuoteSetValue(D29,ROUND(N29,6),EvaluationDate)</f>
        <v>0</v>
      </c>
      <c r="P29" s="201"/>
    </row>
    <row r="30" spans="1:16" x14ac:dyDescent="0.2">
      <c r="A30" s="173"/>
      <c r="B30" s="169" t="s">
        <v>71</v>
      </c>
      <c r="C30" s="170" t="str">
        <f t="shared" si="2"/>
        <v>GBP2MD_SYNTH1Y_Quote</v>
      </c>
      <c r="D30" s="195" t="str">
        <f>_xll.qlSimpleQuote(C30,,RateTickValue,Permanent,EvaluationDate,ObjectOverwrite)</f>
        <v>GBP2MD_SYNTH1Y_Quote#0003</v>
      </c>
      <c r="E30" s="211" t="str">
        <f>_xll.ohRangeRetrieveError($D30)</f>
        <v/>
      </c>
      <c r="F30" s="150"/>
      <c r="G30" s="139"/>
      <c r="H30" s="202"/>
      <c r="I30" s="204" t="s">
        <v>71</v>
      </c>
      <c r="J30" s="214">
        <f>SynthDepo!J39</f>
        <v>7.652089092941722E-3</v>
      </c>
      <c r="K30" s="186"/>
      <c r="L30" s="164">
        <v>7.652089092941722E-3</v>
      </c>
      <c r="M30" s="188"/>
      <c r="N30" s="165">
        <v>7.652089092941722E-3</v>
      </c>
      <c r="O30" s="216">
        <f>_xll.qlSimpleQuoteSetValue(D30,ROUND(N30,6),EvaluationDate)</f>
        <v>0</v>
      </c>
      <c r="P30" s="199"/>
    </row>
    <row r="31" spans="1:16" x14ac:dyDescent="0.2">
      <c r="A31" s="173"/>
      <c r="B31" s="169" t="s">
        <v>72</v>
      </c>
      <c r="C31" s="170" t="str">
        <f t="shared" si="2"/>
        <v>GBP3MD_SYNTH1Y_Quote</v>
      </c>
      <c r="D31" s="195" t="str">
        <f>_xll.qlSimpleQuote(C31,,RateTickValue,Permanent,EvaluationDate,ObjectOverwrite)</f>
        <v>GBP3MD_SYNTH1Y_Quote#0003</v>
      </c>
      <c r="E31" s="211" t="str">
        <f>_xll.ohRangeRetrieveError($D31)</f>
        <v/>
      </c>
      <c r="F31" s="150"/>
      <c r="G31" s="139"/>
      <c r="H31" s="202"/>
      <c r="I31" s="204" t="s">
        <v>72</v>
      </c>
      <c r="J31" s="162">
        <f>SynthDepo!J40</f>
        <v>7.805407711877644E-3</v>
      </c>
      <c r="K31" s="186"/>
      <c r="L31" s="164">
        <v>7.805407711877644E-3</v>
      </c>
      <c r="M31" s="188"/>
      <c r="N31" s="165">
        <v>7.805407711877644E-3</v>
      </c>
      <c r="O31" s="166">
        <f>_xll.qlSimpleQuoteSetValue(D31,ROUND(N31,6),EvaluationDate)</f>
        <v>0</v>
      </c>
      <c r="P31" s="201"/>
    </row>
    <row r="32" spans="1:16" x14ac:dyDescent="0.2">
      <c r="A32" s="173"/>
      <c r="B32" s="169" t="s">
        <v>73</v>
      </c>
      <c r="C32" s="170" t="str">
        <f t="shared" si="2"/>
        <v>GBP4MD_SYNTH1Y_Quote</v>
      </c>
      <c r="D32" s="195" t="str">
        <f>_xll.qlSimpleQuote(C32,,RateTickValue,Permanent,EvaluationDate,ObjectOverwrite)</f>
        <v>GBP4MD_SYNTH1Y_Quote#0003</v>
      </c>
      <c r="E32" s="211" t="str">
        <f>_xll.ohRangeRetrieveError($D32)</f>
        <v/>
      </c>
      <c r="F32" s="150"/>
      <c r="G32" s="139"/>
      <c r="H32" s="202"/>
      <c r="I32" s="204" t="s">
        <v>73</v>
      </c>
      <c r="J32" s="162">
        <f>SynthDepo!J41</f>
        <v>8.1559866045383556E-3</v>
      </c>
      <c r="K32" s="186"/>
      <c r="L32" s="164">
        <v>8.1559866045383556E-3</v>
      </c>
      <c r="M32" s="188"/>
      <c r="N32" s="165">
        <v>8.1559866045383556E-3</v>
      </c>
      <c r="O32" s="166">
        <f>_xll.qlSimpleQuoteSetValue(D32,ROUND(N32,6),EvaluationDate)</f>
        <v>0</v>
      </c>
      <c r="P32" s="201"/>
    </row>
    <row r="33" spans="1:16" x14ac:dyDescent="0.2">
      <c r="A33" s="173"/>
      <c r="B33" s="169" t="s">
        <v>74</v>
      </c>
      <c r="C33" s="170" t="str">
        <f t="shared" si="2"/>
        <v>GBP5MD_SYNTH1Y_Quote</v>
      </c>
      <c r="D33" s="195" t="str">
        <f>_xll.qlSimpleQuote(C33,,RateTickValue,Permanent,EvaluationDate,ObjectOverwrite)</f>
        <v>GBP5MD_SYNTH1Y_Quote#0003</v>
      </c>
      <c r="E33" s="211" t="str">
        <f>_xll.ohRangeRetrieveError($D33)</f>
        <v/>
      </c>
      <c r="F33" s="150"/>
      <c r="G33" s="139"/>
      <c r="H33" s="183"/>
      <c r="I33" s="204" t="s">
        <v>74</v>
      </c>
      <c r="J33" s="162">
        <f>SynthDepo!J42</f>
        <v>8.4184999826827402E-3</v>
      </c>
      <c r="K33" s="186"/>
      <c r="L33" s="164">
        <v>8.4184999826827402E-3</v>
      </c>
      <c r="M33" s="188"/>
      <c r="N33" s="165">
        <v>8.4184999826827402E-3</v>
      </c>
      <c r="O33" s="166">
        <f>_xll.qlSimpleQuoteSetValue(D33,ROUND(N33,6),EvaluationDate)</f>
        <v>0</v>
      </c>
      <c r="P33" s="201"/>
    </row>
    <row r="34" spans="1:16" x14ac:dyDescent="0.2">
      <c r="A34" s="173"/>
      <c r="B34" s="169" t="s">
        <v>75</v>
      </c>
      <c r="C34" s="170" t="str">
        <f t="shared" si="2"/>
        <v>GBP6MD_SYNTH1Y_Quote</v>
      </c>
      <c r="D34" s="195" t="str">
        <f>_xll.qlSimpleQuote(C34,,RateTickValue,Permanent,EvaluationDate,ObjectOverwrite)</f>
        <v>GBP6MD_SYNTH1Y_Quote#0003</v>
      </c>
      <c r="E34" s="211" t="str">
        <f>_xll.ohRangeRetrieveError($D34)</f>
        <v/>
      </c>
      <c r="F34" s="150"/>
      <c r="G34" s="139"/>
      <c r="H34" s="183"/>
      <c r="I34" s="204" t="s">
        <v>75</v>
      </c>
      <c r="J34" s="162">
        <f>SynthDepo!J43</f>
        <v>8.6986345614914959E-3</v>
      </c>
      <c r="K34" s="186"/>
      <c r="L34" s="164">
        <v>8.6986345614914959E-3</v>
      </c>
      <c r="M34" s="188"/>
      <c r="N34" s="165">
        <v>8.6986345614914959E-3</v>
      </c>
      <c r="O34" s="166">
        <f>_xll.qlSimpleQuoteSetValue(D34,ROUND(N34,6),EvaluationDate)</f>
        <v>0</v>
      </c>
      <c r="P34" s="201"/>
    </row>
    <row r="35" spans="1:16" x14ac:dyDescent="0.2">
      <c r="A35" s="173"/>
      <c r="B35" s="169" t="s">
        <v>76</v>
      </c>
      <c r="C35" s="170" t="str">
        <f t="shared" si="2"/>
        <v>GBP7MD_SYNTH1Y_Quote</v>
      </c>
      <c r="D35" s="195" t="str">
        <f>_xll.qlSimpleQuote(C35,,RateTickValue,Permanent,EvaluationDate,ObjectOverwrite)</f>
        <v>GBP7MD_SYNTH1Y_Quote#0003</v>
      </c>
      <c r="E35" s="211" t="str">
        <f>_xll.ohRangeRetrieveError($D35)</f>
        <v/>
      </c>
      <c r="F35" s="150"/>
      <c r="G35" s="139"/>
      <c r="H35" s="183"/>
      <c r="I35" s="204" t="s">
        <v>76</v>
      </c>
      <c r="J35" s="162">
        <f>SynthDepo!J44</f>
        <v>9.0192634861052494E-3</v>
      </c>
      <c r="K35" s="186"/>
      <c r="L35" s="164">
        <v>9.0192634861052494E-3</v>
      </c>
      <c r="M35" s="188"/>
      <c r="N35" s="165">
        <v>9.0192634861052494E-3</v>
      </c>
      <c r="O35" s="166">
        <f>_xll.qlSimpleQuoteSetValue(D35,ROUND(N35,6),EvaluationDate)</f>
        <v>0</v>
      </c>
      <c r="P35" s="201"/>
    </row>
    <row r="36" spans="1:16" x14ac:dyDescent="0.2">
      <c r="A36" s="173"/>
      <c r="B36" s="169" t="s">
        <v>77</v>
      </c>
      <c r="C36" s="170" t="str">
        <f t="shared" si="2"/>
        <v>GBP8MD_SYNTH1Y_Quote</v>
      </c>
      <c r="D36" s="195" t="str">
        <f>_xll.qlSimpleQuote(C36,,RateTickValue,Permanent,EvaluationDate,ObjectOverwrite)</f>
        <v>GBP8MD_SYNTH1Y_Quote#0003</v>
      </c>
      <c r="E36" s="211" t="str">
        <f>_xll.ohRangeRetrieveError($D36)</f>
        <v/>
      </c>
      <c r="F36" s="150"/>
      <c r="G36" s="139"/>
      <c r="H36" s="183"/>
      <c r="I36" s="204" t="s">
        <v>77</v>
      </c>
      <c r="J36" s="162">
        <f>SynthDepo!J45</f>
        <v>9.3293277880189401E-3</v>
      </c>
      <c r="K36" s="186"/>
      <c r="L36" s="164">
        <v>9.3293277880189401E-3</v>
      </c>
      <c r="M36" s="188"/>
      <c r="N36" s="165">
        <v>9.3293277880189401E-3</v>
      </c>
      <c r="O36" s="166">
        <f>_xll.qlSimpleQuoteSetValue(D36,ROUND(N36,6),EvaluationDate)</f>
        <v>0</v>
      </c>
      <c r="P36" s="201"/>
    </row>
    <row r="37" spans="1:16" x14ac:dyDescent="0.2">
      <c r="A37" s="219"/>
      <c r="B37" s="169" t="s">
        <v>78</v>
      </c>
      <c r="C37" s="170" t="str">
        <f t="shared" si="2"/>
        <v>GBP9MD_SYNTH1Y_Quote</v>
      </c>
      <c r="D37" s="195" t="str">
        <f>_xll.qlSimpleQuote(C37,,RateTickValue,Permanent,EvaluationDate,ObjectOverwrite)</f>
        <v>GBP9MD_SYNTH1Y_Quote#0003</v>
      </c>
      <c r="E37" s="211" t="str">
        <f>_xll.ohRangeRetrieveError($D37)</f>
        <v/>
      </c>
      <c r="F37" s="150"/>
      <c r="G37" s="139"/>
      <c r="H37" s="183"/>
      <c r="I37" s="204" t="s">
        <v>78</v>
      </c>
      <c r="J37" s="162">
        <f>SynthDepo!J46</f>
        <v>9.6288274673649674E-3</v>
      </c>
      <c r="K37" s="186"/>
      <c r="L37" s="164">
        <v>9.6288274673649674E-3</v>
      </c>
      <c r="M37" s="188"/>
      <c r="N37" s="165">
        <v>9.6288274673649674E-3</v>
      </c>
      <c r="O37" s="166">
        <f>_xll.qlSimpleQuoteSetValue(D37,ROUND(N37,6),EvaluationDate)</f>
        <v>0</v>
      </c>
      <c r="P37" s="201"/>
    </row>
    <row r="38" spans="1:16" x14ac:dyDescent="0.2">
      <c r="A38" s="219"/>
      <c r="B38" s="169" t="s">
        <v>79</v>
      </c>
      <c r="C38" s="170" t="str">
        <f t="shared" si="2"/>
        <v>GBP10MD_SYNTH1Y_Quote</v>
      </c>
      <c r="D38" s="195" t="str">
        <f>_xll.qlSimpleQuote(C38,,RateTickValue,Permanent,EvaluationDate,ObjectOverwrite)</f>
        <v>GBP10MD_SYNTH1Y_Quote#0003</v>
      </c>
      <c r="E38" s="211" t="str">
        <f>_xll.ohRangeRetrieveError($D38)</f>
        <v/>
      </c>
      <c r="F38" s="150"/>
      <c r="G38" s="139"/>
      <c r="H38" s="183"/>
      <c r="I38" s="204" t="s">
        <v>79</v>
      </c>
      <c r="J38" s="162">
        <f>SynthDepo!J47</f>
        <v>1.0005828038557159E-2</v>
      </c>
      <c r="K38" s="186"/>
      <c r="L38" s="164">
        <v>1.0005828038557159E-2</v>
      </c>
      <c r="M38" s="188"/>
      <c r="N38" s="165">
        <v>1.0005828038557159E-2</v>
      </c>
      <c r="O38" s="166">
        <f>_xll.qlSimpleQuoteSetValue(D38,ROUND(N38,6),EvaluationDate)</f>
        <v>0</v>
      </c>
      <c r="P38" s="201"/>
    </row>
    <row r="39" spans="1:16" x14ac:dyDescent="0.2">
      <c r="A39" s="173"/>
      <c r="B39" s="169" t="s">
        <v>80</v>
      </c>
      <c r="C39" s="170" t="str">
        <f t="shared" si="2"/>
        <v>GBP11MD_SYNTH1Y_Quote</v>
      </c>
      <c r="D39" s="195" t="str">
        <f>_xll.qlSimpleQuote(C39,,RateTickValue,Permanent,EvaluationDate,ObjectOverwrite)</f>
        <v>GBP11MD_SYNTH1Y_Quote#0003</v>
      </c>
      <c r="E39" s="211" t="str">
        <f>_xll.ohRangeRetrieveError($D39)</f>
        <v/>
      </c>
      <c r="F39" s="150"/>
      <c r="G39" s="139"/>
      <c r="H39" s="183"/>
      <c r="I39" s="204" t="s">
        <v>80</v>
      </c>
      <c r="J39" s="162">
        <f>SynthDepo!J48</f>
        <v>1.0328221107925971E-2</v>
      </c>
      <c r="K39" s="186"/>
      <c r="L39" s="164">
        <v>1.0328221107925971E-2</v>
      </c>
      <c r="M39" s="188"/>
      <c r="N39" s="165">
        <v>1.0328221107925971E-2</v>
      </c>
      <c r="O39" s="166">
        <f>_xll.qlSimpleQuoteSetValue(D39,ROUND(N39,6),EvaluationDate)</f>
        <v>-1.2999999999999123E-5</v>
      </c>
      <c r="P39" s="201"/>
    </row>
    <row r="40" spans="1:16" ht="12" thickBot="1" x14ac:dyDescent="0.25">
      <c r="A40" s="173"/>
      <c r="B40" s="177" t="s">
        <v>81</v>
      </c>
      <c r="C40" s="170" t="str">
        <f t="shared" si="2"/>
        <v>GBP1YD_SYNTH1Y_Quote</v>
      </c>
      <c r="D40" s="195" t="str">
        <f>_xll.qlSimpleQuote(C40,,RateTickValue,Permanent,EvaluationDate,ObjectOverwrite)</f>
        <v>GBP1YD_SYNTH1Y_Quote#0003</v>
      </c>
      <c r="E40" s="211" t="str">
        <f>_xll.ohRangeRetrieveError($D40)</f>
        <v/>
      </c>
      <c r="F40" s="150"/>
      <c r="G40" s="139"/>
      <c r="H40" s="183"/>
      <c r="I40" s="204" t="s">
        <v>81</v>
      </c>
      <c r="J40" s="293">
        <f>SynthDepo!J49</f>
        <v>1.0678800000000002E-2</v>
      </c>
      <c r="K40" s="186"/>
      <c r="L40" s="164">
        <v>1.0678800000000002E-2</v>
      </c>
      <c r="M40" s="188"/>
      <c r="N40" s="165">
        <v>1.0678800000000002E-2</v>
      </c>
      <c r="O40" s="166">
        <f>_xll.qlSimpleQuoteSetValue(D40,ROUND(N40,6),EvaluationDate)</f>
        <v>0</v>
      </c>
      <c r="P40" s="199"/>
    </row>
    <row r="41" spans="1:16" x14ac:dyDescent="0.2">
      <c r="A41" s="222">
        <v>1</v>
      </c>
      <c r="B41" s="159" t="str">
        <f t="shared" ref="B41:B84" si="3">A41&amp;"x"&amp;A41+Months12M&amp;"F"</f>
        <v>1x13F</v>
      </c>
      <c r="C41" s="160" t="str">
        <f t="shared" ref="C41:C84" si="4">Currency&amp;$B41&amp;"_SYNTH"&amp;Tenor1Y&amp;QuoteSuffix</f>
        <v>GBP1x13F_SYNTH1Y_Quote</v>
      </c>
      <c r="D41" s="210" t="str">
        <f>_xll.qlSimpleQuote(C41,,RateTickValue,Permanent,Trigger,ObjectOverwrite)</f>
        <v>GBP1x13F_SYNTH1Y_Quote#0003</v>
      </c>
      <c r="E41" s="213" t="str">
        <f>_xll.ohRangeRetrieveError($D41)</f>
        <v/>
      </c>
      <c r="F41" s="224"/>
      <c r="H41" s="288">
        <v>1</v>
      </c>
      <c r="I41" s="300" t="s">
        <v>129</v>
      </c>
      <c r="J41" s="297">
        <f>SynthFRA!N8</f>
        <v>1.1389268776680821E-2</v>
      </c>
      <c r="K41" s="286"/>
      <c r="L41" s="298">
        <v>1.1389268776680821E-2</v>
      </c>
      <c r="M41" s="287"/>
      <c r="N41" s="299">
        <v>1.1389268776680821E-2</v>
      </c>
      <c r="O41" s="190">
        <f>_xll.qlSimpleQuoteSetValue(D41,ROUND(N41,6),EvaluationDate)</f>
        <v>4.9999999999997963E-6</v>
      </c>
      <c r="P41" s="356"/>
    </row>
    <row r="42" spans="1:16" x14ac:dyDescent="0.2">
      <c r="A42" s="173">
        <v>2</v>
      </c>
      <c r="B42" s="223" t="str">
        <f t="shared" si="3"/>
        <v>2x14F</v>
      </c>
      <c r="C42" s="170" t="str">
        <f t="shared" si="4"/>
        <v>GBP2x14F_SYNTH1Y_Quote</v>
      </c>
      <c r="D42" s="195" t="str">
        <f>_xll.qlSimpleQuote(C42,,RateTickValue,Permanent,Trigger,ObjectOverwrite)</f>
        <v>GBP2x14F_SYNTH1Y_Quote#0003</v>
      </c>
      <c r="E42" s="211" t="str">
        <f>_xll.ohRangeRetrieveError($D42)</f>
        <v/>
      </c>
      <c r="F42" s="150"/>
      <c r="H42" s="291">
        <v>2</v>
      </c>
      <c r="I42" s="301" t="s">
        <v>130</v>
      </c>
      <c r="J42" s="293">
        <f>SynthFRA!N9</f>
        <v>1.2088572617807183E-2</v>
      </c>
      <c r="K42" s="292"/>
      <c r="L42" s="294">
        <v>1.2088572617807183E-2</v>
      </c>
      <c r="M42" s="290"/>
      <c r="N42" s="295">
        <v>1.2088572617807183E-2</v>
      </c>
      <c r="O42" s="296">
        <f>_xll.qlSimpleQuoteSetValue(D42,ROUND(N42,6),EvaluationDate)</f>
        <v>2.0000000000002655E-6</v>
      </c>
      <c r="P42" s="302"/>
    </row>
    <row r="43" spans="1:16" x14ac:dyDescent="0.2">
      <c r="A43" s="173">
        <v>3</v>
      </c>
      <c r="B43" s="223" t="str">
        <f t="shared" si="3"/>
        <v>3x15F</v>
      </c>
      <c r="C43" s="170" t="str">
        <f t="shared" si="4"/>
        <v>GBP3x15F_SYNTH1Y_Quote</v>
      </c>
      <c r="D43" s="195" t="str">
        <f>_xll.qlSimpleQuote(C43,,RateTickValue,Permanent,Trigger,ObjectOverwrite)</f>
        <v>GBP3x15F_SYNTH1Y_Quote#0003</v>
      </c>
      <c r="E43" s="211" t="str">
        <f>_xll.ohRangeRetrieveError($D43)</f>
        <v/>
      </c>
      <c r="F43" s="150"/>
      <c r="H43" s="291">
        <v>3</v>
      </c>
      <c r="I43" s="301" t="s">
        <v>131</v>
      </c>
      <c r="J43" s="293">
        <f>SynthFRA!N10</f>
        <v>1.2900633918417196E-2</v>
      </c>
      <c r="K43" s="292"/>
      <c r="L43" s="294">
        <v>1.2900633918417196E-2</v>
      </c>
      <c r="M43" s="290"/>
      <c r="N43" s="295">
        <v>1.2900633918417196E-2</v>
      </c>
      <c r="O43" s="296">
        <f>_xll.qlSimpleQuoteSetValue(D43,ROUND(N43,6),EvaluationDate)</f>
        <v>-5.000000000001531E-6</v>
      </c>
      <c r="P43" s="302"/>
    </row>
    <row r="44" spans="1:16" x14ac:dyDescent="0.2">
      <c r="A44" s="173">
        <v>4</v>
      </c>
      <c r="B44" s="223" t="str">
        <f t="shared" si="3"/>
        <v>4x16F</v>
      </c>
      <c r="C44" s="170" t="str">
        <f t="shared" si="4"/>
        <v>GBP4x16F_SYNTH1Y_Quote</v>
      </c>
      <c r="D44" s="195" t="str">
        <f>_xll.qlSimpleQuote(C44,,RateTickValue,Permanent,Trigger,ObjectOverwrite)</f>
        <v>GBP4x16F_SYNTH1Y_Quote#0003</v>
      </c>
      <c r="E44" s="211" t="str">
        <f>_xll.ohRangeRetrieveError($D44)</f>
        <v/>
      </c>
      <c r="F44" s="150"/>
      <c r="H44" s="291">
        <v>4</v>
      </c>
      <c r="I44" s="301" t="s">
        <v>132</v>
      </c>
      <c r="J44" s="293">
        <f>SynthFRA!N11</f>
        <v>1.3643632919761872E-2</v>
      </c>
      <c r="K44" s="292"/>
      <c r="L44" s="294">
        <v>1.3643632919761872E-2</v>
      </c>
      <c r="M44" s="290"/>
      <c r="N44" s="295">
        <v>1.3643632919761872E-2</v>
      </c>
      <c r="O44" s="296">
        <f>_xll.qlSimpleQuoteSetValue(D44,ROUND(N44,6),EvaluationDate)</f>
        <v>-7.9999999999993271E-6</v>
      </c>
      <c r="P44" s="302"/>
    </row>
    <row r="45" spans="1:16" x14ac:dyDescent="0.2">
      <c r="A45" s="173">
        <v>5</v>
      </c>
      <c r="B45" s="223" t="str">
        <f t="shared" si="3"/>
        <v>5x17F</v>
      </c>
      <c r="C45" s="170" t="str">
        <f t="shared" si="4"/>
        <v>GBP5x17F_SYNTH1Y_Quote</v>
      </c>
      <c r="D45" s="195" t="str">
        <f>_xll.qlSimpleQuote(C45,,RateTickValue,Permanent,Trigger,ObjectOverwrite)</f>
        <v>GBP5x17F_SYNTH1Y_Quote#0003</v>
      </c>
      <c r="E45" s="211" t="str">
        <f>_xll.ohRangeRetrieveError($D45)</f>
        <v/>
      </c>
      <c r="F45" s="150"/>
      <c r="H45" s="291">
        <v>5</v>
      </c>
      <c r="I45" s="301" t="s">
        <v>133</v>
      </c>
      <c r="J45" s="293">
        <f>SynthFRA!N12</f>
        <v>1.4418783980459465E-2</v>
      </c>
      <c r="K45" s="292"/>
      <c r="L45" s="294">
        <v>1.4418783980459465E-2</v>
      </c>
      <c r="M45" s="290"/>
      <c r="N45" s="295">
        <v>1.4418783980459465E-2</v>
      </c>
      <c r="O45" s="296">
        <f>_xll.qlSimpleQuoteSetValue(D45,ROUND(N45,6),EvaluationDate)</f>
        <v>-9.0000000000003272E-6</v>
      </c>
      <c r="P45" s="302"/>
    </row>
    <row r="46" spans="1:16" x14ac:dyDescent="0.2">
      <c r="A46" s="173">
        <v>6</v>
      </c>
      <c r="B46" s="223" t="str">
        <f t="shared" si="3"/>
        <v>6x18F</v>
      </c>
      <c r="C46" s="170" t="str">
        <f t="shared" si="4"/>
        <v>GBP6x18F_SYNTH1Y_Quote</v>
      </c>
      <c r="D46" s="195" t="str">
        <f>_xll.qlSimpleQuote(C46,,RateTickValue,Permanent,Trigger,ObjectOverwrite)</f>
        <v>GBP6x18F_SYNTH1Y_Quote#0003</v>
      </c>
      <c r="E46" s="211" t="str">
        <f>_xll.ohRangeRetrieveError($D46)</f>
        <v/>
      </c>
      <c r="F46" s="150"/>
      <c r="H46" s="291">
        <v>6</v>
      </c>
      <c r="I46" s="301" t="s">
        <v>134</v>
      </c>
      <c r="J46" s="293">
        <f>SynthFRA!N13</f>
        <v>1.5284988061405168E-2</v>
      </c>
      <c r="K46" s="292"/>
      <c r="L46" s="294">
        <v>1.5284988061405168E-2</v>
      </c>
      <c r="M46" s="290"/>
      <c r="N46" s="295">
        <v>1.5284988061405168E-2</v>
      </c>
      <c r="O46" s="296">
        <f>_xll.qlSimpleQuoteSetValue(D46,ROUND(N46,6),EvaluationDate)</f>
        <v>-9.0000000000003272E-6</v>
      </c>
      <c r="P46" s="302"/>
    </row>
    <row r="47" spans="1:16" x14ac:dyDescent="0.2">
      <c r="A47" s="173">
        <v>7</v>
      </c>
      <c r="B47" s="223" t="str">
        <f t="shared" si="3"/>
        <v>7x19F</v>
      </c>
      <c r="C47" s="170" t="str">
        <f t="shared" si="4"/>
        <v>GBP7x19F_SYNTH1Y_Quote</v>
      </c>
      <c r="D47" s="195" t="str">
        <f>_xll.qlSimpleQuote(C47,,RateTickValue,Permanent,Trigger,ObjectOverwrite)</f>
        <v>GBP7x19F_SYNTH1Y_Quote#0003</v>
      </c>
      <c r="E47" s="211" t="str">
        <f>_xll.ohRangeRetrieveError($D47)</f>
        <v/>
      </c>
      <c r="F47" s="150"/>
      <c r="H47" s="291">
        <v>7</v>
      </c>
      <c r="I47" s="301" t="s">
        <v>135</v>
      </c>
      <c r="J47" s="293">
        <f>SynthFRA!N14</f>
        <v>1.598448974791785E-2</v>
      </c>
      <c r="K47" s="292"/>
      <c r="L47" s="294">
        <v>1.598448974791785E-2</v>
      </c>
      <c r="M47" s="290"/>
      <c r="N47" s="295">
        <v>1.598448974791785E-2</v>
      </c>
      <c r="O47" s="296">
        <f>_xll.qlSimpleQuoteSetValue(D47,ROUND(N47,6),EvaluationDate)</f>
        <v>-7.9999999999975924E-6</v>
      </c>
      <c r="P47" s="302"/>
    </row>
    <row r="48" spans="1:16" x14ac:dyDescent="0.2">
      <c r="A48" s="173">
        <v>8</v>
      </c>
      <c r="B48" s="223" t="str">
        <f t="shared" si="3"/>
        <v>8x20F</v>
      </c>
      <c r="C48" s="170" t="str">
        <f t="shared" si="4"/>
        <v>GBP8x20F_SYNTH1Y_Quote</v>
      </c>
      <c r="D48" s="195" t="str">
        <f>_xll.qlSimpleQuote(C48,,RateTickValue,Permanent,Trigger,ObjectOverwrite)</f>
        <v>GBP8x20F_SYNTH1Y_Quote#0003</v>
      </c>
      <c r="E48" s="211" t="str">
        <f>_xll.ohRangeRetrieveError($D48)</f>
        <v/>
      </c>
      <c r="F48" s="150"/>
      <c r="H48" s="291">
        <v>8</v>
      </c>
      <c r="I48" s="301" t="s">
        <v>136</v>
      </c>
      <c r="J48" s="293">
        <f>SynthFRA!N15</f>
        <v>1.6698656149622002E-2</v>
      </c>
      <c r="K48" s="292"/>
      <c r="L48" s="294">
        <v>1.6698656149622002E-2</v>
      </c>
      <c r="M48" s="290"/>
      <c r="N48" s="295">
        <v>1.6698656149622002E-2</v>
      </c>
      <c r="O48" s="296">
        <f>_xll.qlSimpleQuoteSetValue(D48,ROUND(N48,6),EvaluationDate)</f>
        <v>-7.0000000000000617E-6</v>
      </c>
      <c r="P48" s="302"/>
    </row>
    <row r="49" spans="1:16" x14ac:dyDescent="0.2">
      <c r="A49" s="173">
        <v>9</v>
      </c>
      <c r="B49" s="223" t="str">
        <f t="shared" si="3"/>
        <v>9x21F</v>
      </c>
      <c r="C49" s="170" t="str">
        <f t="shared" si="4"/>
        <v>GBP9x21F_SYNTH1Y_Quote</v>
      </c>
      <c r="D49" s="195" t="str">
        <f>_xll.qlSimpleQuote(C49,,RateTickValue,Permanent,Trigger,ObjectOverwrite)</f>
        <v>GBP9x21F_SYNTH1Y_Quote#0003</v>
      </c>
      <c r="E49" s="211" t="str">
        <f>_xll.ohRangeRetrieveError($D49)</f>
        <v/>
      </c>
      <c r="F49" s="150"/>
      <c r="H49" s="291">
        <v>9</v>
      </c>
      <c r="I49" s="301" t="s">
        <v>137</v>
      </c>
      <c r="J49" s="293">
        <f>SynthFRA!N16</f>
        <v>1.746016833894825E-2</v>
      </c>
      <c r="K49" s="292"/>
      <c r="L49" s="294">
        <v>1.746016833894825E-2</v>
      </c>
      <c r="M49" s="290"/>
      <c r="N49" s="295">
        <v>1.746016833894825E-2</v>
      </c>
      <c r="O49" s="296">
        <f>_xll.qlSimpleQuoteSetValue(D49,ROUND(N49,6),EvaluationDate)</f>
        <v>-5.9999999999990616E-6</v>
      </c>
      <c r="P49" s="302"/>
    </row>
    <row r="50" spans="1:16" x14ac:dyDescent="0.2">
      <c r="A50" s="173">
        <v>10</v>
      </c>
      <c r="B50" s="223" t="str">
        <f t="shared" si="3"/>
        <v>10x22F</v>
      </c>
      <c r="C50" s="170" t="str">
        <f t="shared" si="4"/>
        <v>GBP10x22F_SYNTH1Y_Quote</v>
      </c>
      <c r="D50" s="195" t="str">
        <f>_xll.qlSimpleQuote(C50,,RateTickValue,Permanent,Trigger,ObjectOverwrite)</f>
        <v>GBP10x22F_SYNTH1Y_Quote#0003</v>
      </c>
      <c r="E50" s="211" t="str">
        <f>_xll.ohRangeRetrieveError($D50)</f>
        <v/>
      </c>
      <c r="F50" s="150"/>
      <c r="H50" s="291">
        <v>10</v>
      </c>
      <c r="I50" s="301" t="s">
        <v>138</v>
      </c>
      <c r="J50" s="293">
        <f>SynthFRA!N17</f>
        <v>1.8168229043220071E-2</v>
      </c>
      <c r="K50" s="292"/>
      <c r="L50" s="294">
        <v>1.8168229043220071E-2</v>
      </c>
      <c r="M50" s="290"/>
      <c r="N50" s="295">
        <v>1.8168229043220071E-2</v>
      </c>
      <c r="O50" s="296">
        <f>_xll.qlSimpleQuoteSetValue(D50,ROUND(N50,6),EvaluationDate)</f>
        <v>-4.0000000000005309E-6</v>
      </c>
      <c r="P50" s="302"/>
    </row>
    <row r="51" spans="1:16" x14ac:dyDescent="0.2">
      <c r="A51" s="173">
        <v>11</v>
      </c>
      <c r="B51" s="223" t="str">
        <f t="shared" si="3"/>
        <v>11x23F</v>
      </c>
      <c r="C51" s="170" t="str">
        <f t="shared" si="4"/>
        <v>GBP11x23F_SYNTH1Y_Quote</v>
      </c>
      <c r="D51" s="195" t="str">
        <f>_xll.qlSimpleQuote(C51,,RateTickValue,Permanent,Trigger,ObjectOverwrite)</f>
        <v>GBP11x23F_SYNTH1Y_Quote#0003</v>
      </c>
      <c r="E51" s="211" t="str">
        <f>_xll.ohRangeRetrieveError($D51)</f>
        <v/>
      </c>
      <c r="F51" s="150"/>
      <c r="H51" s="291">
        <v>11</v>
      </c>
      <c r="I51" s="301" t="s">
        <v>139</v>
      </c>
      <c r="J51" s="293">
        <f>SynthFRA!N18</f>
        <v>1.8822007102243868E-2</v>
      </c>
      <c r="K51" s="292"/>
      <c r="L51" s="294">
        <v>1.8822007102243868E-2</v>
      </c>
      <c r="M51" s="290"/>
      <c r="N51" s="295">
        <v>1.8822007102243868E-2</v>
      </c>
      <c r="O51" s="296">
        <f>_xll.qlSimpleQuoteSetValue(D51,ROUND(N51,6),EvaluationDate)</f>
        <v>8.9999999999985925E-6</v>
      </c>
      <c r="P51" s="302"/>
    </row>
    <row r="52" spans="1:16" x14ac:dyDescent="0.2">
      <c r="A52" s="173">
        <v>13</v>
      </c>
      <c r="B52" s="223" t="str">
        <f t="shared" si="3"/>
        <v>13x25F</v>
      </c>
      <c r="C52" s="170" t="str">
        <f t="shared" si="4"/>
        <v>GBP13x25F_SYNTH1Y_Quote</v>
      </c>
      <c r="D52" s="195" t="str">
        <f>_xll.qlSimpleQuote(C52,,RateTickValue,Permanent,Trigger,ObjectOverwrite)</f>
        <v>GBP13x25F_SYNTH1Y_Quote#0003</v>
      </c>
      <c r="E52" s="211" t="str">
        <f>_xll.ohRangeRetrieveError($D52)</f>
        <v/>
      </c>
      <c r="F52" s="150"/>
      <c r="H52" s="291">
        <v>13</v>
      </c>
      <c r="I52" s="301" t="s">
        <v>140</v>
      </c>
      <c r="J52" s="293">
        <f>SynthFRA!N19</f>
        <v>2.0112029882455869E-2</v>
      </c>
      <c r="K52" s="292"/>
      <c r="L52" s="294">
        <v>2.0112029882455869E-2</v>
      </c>
      <c r="M52" s="290"/>
      <c r="N52" s="295">
        <v>2.0112029882455869E-2</v>
      </c>
      <c r="O52" s="296">
        <f>_xll.qlSimpleQuoteSetValue(D52,ROUND(N52,6),EvaluationDate)</f>
        <v>-4.9999999999980616E-6</v>
      </c>
      <c r="P52" s="302"/>
    </row>
    <row r="53" spans="1:16" x14ac:dyDescent="0.2">
      <c r="A53" s="173">
        <v>14</v>
      </c>
      <c r="B53" s="223" t="str">
        <f t="shared" si="3"/>
        <v>14x26F</v>
      </c>
      <c r="C53" s="170" t="str">
        <f t="shared" si="4"/>
        <v>GBP14x26F_SYNTH1Y_Quote</v>
      </c>
      <c r="D53" s="195" t="str">
        <f>_xll.qlSimpleQuote(C53,,RateTickValue,Permanent,Trigger,ObjectOverwrite)</f>
        <v>GBP14x26F_SYNTH1Y_Quote#0003</v>
      </c>
      <c r="E53" s="211" t="str">
        <f>_xll.ohRangeRetrieveError($D53)</f>
        <v/>
      </c>
      <c r="F53" s="150"/>
      <c r="H53" s="291">
        <v>14</v>
      </c>
      <c r="I53" s="301" t="s">
        <v>141</v>
      </c>
      <c r="J53" s="293">
        <f>SynthFRA!N20</f>
        <v>2.0670825504892569E-2</v>
      </c>
      <c r="K53" s="292"/>
      <c r="L53" s="294">
        <v>2.0670825504892569E-2</v>
      </c>
      <c r="M53" s="290"/>
      <c r="N53" s="295">
        <v>2.0670825504892569E-2</v>
      </c>
      <c r="O53" s="296">
        <f>_xll.qlSimpleQuoteSetValue(D53,ROUND(N53,6),EvaluationDate)</f>
        <v>-1.0000000000010001E-6</v>
      </c>
      <c r="P53" s="302"/>
    </row>
    <row r="54" spans="1:16" x14ac:dyDescent="0.2">
      <c r="A54" s="173">
        <v>15</v>
      </c>
      <c r="B54" s="223" t="str">
        <f t="shared" si="3"/>
        <v>15x27F</v>
      </c>
      <c r="C54" s="170" t="str">
        <f t="shared" si="4"/>
        <v>GBP15x27F_SYNTH1Y_Quote</v>
      </c>
      <c r="D54" s="195" t="str">
        <f>_xll.qlSimpleQuote(C54,,RateTickValue,Permanent,Trigger,ObjectOverwrite)</f>
        <v>GBP15x27F_SYNTH1Y_Quote#0003</v>
      </c>
      <c r="E54" s="211" t="str">
        <f>_xll.ohRangeRetrieveError($D54)</f>
        <v/>
      </c>
      <c r="F54" s="150"/>
      <c r="H54" s="291">
        <v>15</v>
      </c>
      <c r="I54" s="301" t="s">
        <v>142</v>
      </c>
      <c r="J54" s="293">
        <f>SynthFRA!N21</f>
        <v>2.1242607107886016E-2</v>
      </c>
      <c r="K54" s="292"/>
      <c r="L54" s="294">
        <v>2.1242607107886016E-2</v>
      </c>
      <c r="M54" s="290"/>
      <c r="N54" s="295">
        <v>2.1242607107886016E-2</v>
      </c>
      <c r="O54" s="296">
        <f>_xll.qlSimpleQuoteSetValue(D54,ROUND(N54,6),EvaluationDate)</f>
        <v>5.000000000001531E-6</v>
      </c>
      <c r="P54" s="302"/>
    </row>
    <row r="55" spans="1:16" x14ac:dyDescent="0.2">
      <c r="A55" s="173">
        <v>16</v>
      </c>
      <c r="B55" s="223" t="str">
        <f t="shared" si="3"/>
        <v>16x28F</v>
      </c>
      <c r="C55" s="170" t="str">
        <f t="shared" si="4"/>
        <v>GBP16x28F_SYNTH1Y_Quote</v>
      </c>
      <c r="D55" s="195" t="str">
        <f>_xll.qlSimpleQuote(C55,,RateTickValue,Permanent,Trigger,ObjectOverwrite)</f>
        <v>GBP16x28F_SYNTH1Y_Quote#0003</v>
      </c>
      <c r="E55" s="211" t="str">
        <f>_xll.ohRangeRetrieveError($D55)</f>
        <v/>
      </c>
      <c r="F55" s="150"/>
      <c r="H55" s="291">
        <v>16</v>
      </c>
      <c r="I55" s="301" t="s">
        <v>143</v>
      </c>
      <c r="J55" s="293">
        <f>SynthFRA!N22</f>
        <v>2.1697283427753219E-2</v>
      </c>
      <c r="K55" s="292"/>
      <c r="L55" s="294">
        <v>2.1697283427753219E-2</v>
      </c>
      <c r="M55" s="290"/>
      <c r="N55" s="295">
        <v>2.1697283427753219E-2</v>
      </c>
      <c r="O55" s="296">
        <f>_xll.qlSimpleQuoteSetValue(D55,ROUND(N55,6),EvaluationDate)</f>
        <v>7.0000000000000617E-6</v>
      </c>
      <c r="P55" s="302"/>
    </row>
    <row r="56" spans="1:16" x14ac:dyDescent="0.2">
      <c r="A56" s="173">
        <v>17</v>
      </c>
      <c r="B56" s="223" t="str">
        <f t="shared" si="3"/>
        <v>17x29F</v>
      </c>
      <c r="C56" s="170" t="str">
        <f t="shared" si="4"/>
        <v>GBP17x29F_SYNTH1Y_Quote</v>
      </c>
      <c r="D56" s="195" t="str">
        <f>_xll.qlSimpleQuote(C56,,RateTickValue,Permanent,Trigger,ObjectOverwrite)</f>
        <v>GBP17x29F_SYNTH1Y_Quote#0003</v>
      </c>
      <c r="E56" s="211" t="str">
        <f>_xll.ohRangeRetrieveError($D56)</f>
        <v/>
      </c>
      <c r="F56" s="150"/>
      <c r="H56" s="291">
        <v>17</v>
      </c>
      <c r="I56" s="301" t="s">
        <v>144</v>
      </c>
      <c r="J56" s="293">
        <f>SynthFRA!N23</f>
        <v>2.2191183541485034E-2</v>
      </c>
      <c r="K56" s="292"/>
      <c r="L56" s="294">
        <v>2.2191183541485034E-2</v>
      </c>
      <c r="M56" s="290"/>
      <c r="N56" s="295">
        <v>2.2191183541485034E-2</v>
      </c>
      <c r="O56" s="296">
        <f>_xll.qlSimpleQuoteSetValue(D56,ROUND(N56,6),EvaluationDate)</f>
        <v>5.9999999999990616E-6</v>
      </c>
      <c r="P56" s="302"/>
    </row>
    <row r="57" spans="1:16" x14ac:dyDescent="0.2">
      <c r="A57" s="173">
        <v>18</v>
      </c>
      <c r="B57" s="223" t="str">
        <f t="shared" si="3"/>
        <v>18x30F</v>
      </c>
      <c r="C57" s="170" t="str">
        <f t="shared" si="4"/>
        <v>GBP18x30F_SYNTH1Y_Quote</v>
      </c>
      <c r="D57" s="195" t="str">
        <f>_xll.qlSimpleQuote(C57,,RateTickValue,Permanent,Trigger,ObjectOverwrite)</f>
        <v>GBP18x30F_SYNTH1Y_Quote#0003</v>
      </c>
      <c r="E57" s="211" t="str">
        <f>_xll.ohRangeRetrieveError($D57)</f>
        <v/>
      </c>
      <c r="F57" s="150"/>
      <c r="H57" s="291">
        <v>18</v>
      </c>
      <c r="I57" s="301" t="s">
        <v>145</v>
      </c>
      <c r="J57" s="293">
        <f>SynthFRA!N24</f>
        <v>2.2644672991582102E-2</v>
      </c>
      <c r="K57" s="292"/>
      <c r="L57" s="294">
        <v>2.2644672991582102E-2</v>
      </c>
      <c r="M57" s="290"/>
      <c r="N57" s="295">
        <v>2.2644672991582102E-2</v>
      </c>
      <c r="O57" s="296">
        <f>_xll.qlSimpleQuoteSetValue(D57,ROUND(N57,6),EvaluationDate)</f>
        <v>4.9999999999980616E-6</v>
      </c>
      <c r="P57" s="302"/>
    </row>
    <row r="58" spans="1:16" x14ac:dyDescent="0.2">
      <c r="A58" s="173">
        <v>19</v>
      </c>
      <c r="B58" s="223" t="str">
        <f t="shared" si="3"/>
        <v>19x31F</v>
      </c>
      <c r="C58" s="170" t="str">
        <f t="shared" si="4"/>
        <v>GBP19x31F_SYNTH1Y_Quote</v>
      </c>
      <c r="D58" s="195" t="str">
        <f>_xll.qlSimpleQuote(C58,,RateTickValue,Permanent,Trigger,ObjectOverwrite)</f>
        <v>GBP19x31F_SYNTH1Y_Quote#0003</v>
      </c>
      <c r="E58" s="211" t="str">
        <f>_xll.ohRangeRetrieveError($D58)</f>
        <v/>
      </c>
      <c r="F58" s="150"/>
      <c r="H58" s="291">
        <v>19</v>
      </c>
      <c r="I58" s="301" t="s">
        <v>146</v>
      </c>
      <c r="J58" s="293">
        <f>SynthFRA!N25</f>
        <v>2.3035182766472637E-2</v>
      </c>
      <c r="K58" s="292"/>
      <c r="L58" s="294">
        <v>2.3035182766472637E-2</v>
      </c>
      <c r="M58" s="290"/>
      <c r="N58" s="295">
        <v>2.3035182766472637E-2</v>
      </c>
      <c r="O58" s="296">
        <f>_xll.qlSimpleQuoteSetValue(D58,ROUND(N58,6),EvaluationDate)</f>
        <v>1.9999999999985307E-6</v>
      </c>
      <c r="P58" s="302"/>
    </row>
    <row r="59" spans="1:16" x14ac:dyDescent="0.2">
      <c r="A59" s="173">
        <v>20</v>
      </c>
      <c r="B59" s="223" t="str">
        <f t="shared" si="3"/>
        <v>20x32F</v>
      </c>
      <c r="C59" s="170" t="str">
        <f t="shared" si="4"/>
        <v>GBP20x32F_SYNTH1Y_Quote</v>
      </c>
      <c r="D59" s="195" t="str">
        <f>_xll.qlSimpleQuote(C59,,RateTickValue,Permanent,Trigger,ObjectOverwrite)</f>
        <v>GBP20x32F_SYNTH1Y_Quote#0003</v>
      </c>
      <c r="E59" s="211" t="str">
        <f>_xll.ohRangeRetrieveError($D59)</f>
        <v/>
      </c>
      <c r="F59" s="150"/>
      <c r="H59" s="291">
        <v>20</v>
      </c>
      <c r="I59" s="301" t="s">
        <v>147</v>
      </c>
      <c r="J59" s="293">
        <f>SynthFRA!N26</f>
        <v>2.3464635131761381E-2</v>
      </c>
      <c r="K59" s="292"/>
      <c r="L59" s="294">
        <v>2.3464635131761381E-2</v>
      </c>
      <c r="M59" s="290"/>
      <c r="N59" s="295">
        <v>2.3464635131761381E-2</v>
      </c>
      <c r="O59" s="296">
        <f>_xll.qlSimpleQuoteSetValue(D59,ROUND(N59,6),EvaluationDate)</f>
        <v>1.0000000000010001E-6</v>
      </c>
      <c r="P59" s="302"/>
    </row>
    <row r="60" spans="1:16" x14ac:dyDescent="0.2">
      <c r="A60" s="173">
        <v>21</v>
      </c>
      <c r="B60" s="223" t="str">
        <f t="shared" si="3"/>
        <v>21x33F</v>
      </c>
      <c r="C60" s="170" t="str">
        <f t="shared" si="4"/>
        <v>GBP21x33F_SYNTH1Y_Quote</v>
      </c>
      <c r="D60" s="195" t="str">
        <f>_xll.qlSimpleQuote(C60,,RateTickValue,Permanent,Trigger,ObjectOverwrite)</f>
        <v>GBP21x33F_SYNTH1Y_Quote#0003</v>
      </c>
      <c r="E60" s="211" t="str">
        <f>_xll.ohRangeRetrieveError($D60)</f>
        <v/>
      </c>
      <c r="F60" s="150"/>
      <c r="H60" s="291">
        <v>21</v>
      </c>
      <c r="I60" s="301" t="s">
        <v>148</v>
      </c>
      <c r="J60" s="293">
        <f>SynthFRA!N27</f>
        <v>2.3896260794896602E-2</v>
      </c>
      <c r="K60" s="292"/>
      <c r="L60" s="294">
        <v>2.3896260794896602E-2</v>
      </c>
      <c r="M60" s="290"/>
      <c r="N60" s="295">
        <v>2.3896260794896602E-2</v>
      </c>
      <c r="O60" s="296">
        <f>_xll.qlSimpleQuoteSetValue(D60,ROUND(N60,6),EvaluationDate)</f>
        <v>-1.0000000000010001E-6</v>
      </c>
      <c r="P60" s="302"/>
    </row>
    <row r="61" spans="1:16" x14ac:dyDescent="0.2">
      <c r="A61" s="173">
        <v>22</v>
      </c>
      <c r="B61" s="223" t="str">
        <f t="shared" si="3"/>
        <v>22x34F</v>
      </c>
      <c r="C61" s="170" t="str">
        <f t="shared" si="4"/>
        <v>GBP22x34F_SYNTH1Y_Quote</v>
      </c>
      <c r="D61" s="195" t="str">
        <f>_xll.qlSimpleQuote(C61,,RateTickValue,Permanent,Trigger,ObjectOverwrite)</f>
        <v>GBP22x34F_SYNTH1Y_Quote#0003</v>
      </c>
      <c r="E61" s="211" t="str">
        <f>_xll.ohRangeRetrieveError($D61)</f>
        <v/>
      </c>
      <c r="F61" s="150"/>
      <c r="H61" s="291">
        <v>22</v>
      </c>
      <c r="I61" s="301" t="s">
        <v>149</v>
      </c>
      <c r="J61" s="293">
        <f>SynthFRA!N28</f>
        <v>2.4278360213560023E-2</v>
      </c>
      <c r="K61" s="292"/>
      <c r="L61" s="294">
        <v>2.4278360213560023E-2</v>
      </c>
      <c r="M61" s="290"/>
      <c r="N61" s="295">
        <v>2.4278360213560023E-2</v>
      </c>
      <c r="O61" s="296">
        <f>_xll.qlSimpleQuoteSetValue(D61,ROUND(N61,6),EvaluationDate)</f>
        <v>-1.9999999999985307E-6</v>
      </c>
      <c r="P61" s="302"/>
    </row>
    <row r="62" spans="1:16" x14ac:dyDescent="0.2">
      <c r="A62" s="173">
        <v>23</v>
      </c>
      <c r="B62" s="223" t="str">
        <f t="shared" si="3"/>
        <v>23x35F</v>
      </c>
      <c r="C62" s="170" t="str">
        <f t="shared" si="4"/>
        <v>GBP23x35F_SYNTH1Y_Quote</v>
      </c>
      <c r="D62" s="195" t="str">
        <f>_xll.qlSimpleQuote(C62,,RateTickValue,Permanent,Trigger,ObjectOverwrite)</f>
        <v>GBP23x35F_SYNTH1Y_Quote#0003</v>
      </c>
      <c r="E62" s="211" t="str">
        <f>_xll.ohRangeRetrieveError($D62)</f>
        <v/>
      </c>
      <c r="F62" s="150"/>
      <c r="H62" s="291">
        <v>23</v>
      </c>
      <c r="I62" s="301" t="s">
        <v>150</v>
      </c>
      <c r="J62" s="293">
        <f>SynthFRA!N29</f>
        <v>2.466566919822236E-2</v>
      </c>
      <c r="K62" s="292"/>
      <c r="L62" s="294">
        <v>2.466566919822236E-2</v>
      </c>
      <c r="M62" s="290"/>
      <c r="N62" s="295">
        <v>2.466566919822236E-2</v>
      </c>
      <c r="O62" s="296">
        <f>_xll.qlSimpleQuoteSetValue(D62,ROUND(N62,6),EvaluationDate)</f>
        <v>-1.0000000000010001E-6</v>
      </c>
      <c r="P62" s="302"/>
    </row>
    <row r="63" spans="1:16" x14ac:dyDescent="0.2">
      <c r="A63" s="173">
        <v>25</v>
      </c>
      <c r="B63" s="223" t="str">
        <f t="shared" si="3"/>
        <v>25x37F</v>
      </c>
      <c r="C63" s="170" t="str">
        <f t="shared" si="4"/>
        <v>GBP25x37F_SYNTH1Y_Quote</v>
      </c>
      <c r="D63" s="195" t="str">
        <f>_xll.qlSimpleQuote(C63,,RateTickValue,Permanent,Trigger,ObjectOverwrite)</f>
        <v>GBP25x37F_SYNTH1Y_Quote#0003</v>
      </c>
      <c r="E63" s="211" t="str">
        <f>_xll.ohRangeRetrieveError($D63)</f>
        <v/>
      </c>
      <c r="F63" s="150"/>
      <c r="H63" s="291">
        <v>25</v>
      </c>
      <c r="I63" s="301" t="s">
        <v>151</v>
      </c>
      <c r="J63" s="293">
        <f>SynthFRA!N30</f>
        <v>2.5442870972725011E-2</v>
      </c>
      <c r="K63" s="292"/>
      <c r="L63" s="294">
        <v>2.5442870972725011E-2</v>
      </c>
      <c r="M63" s="290"/>
      <c r="N63" s="295">
        <v>2.5442870972725011E-2</v>
      </c>
      <c r="O63" s="296">
        <f>_xll.qlSimpleQuoteSetValue(D63,ROUND(N63,6),EvaluationDate)</f>
        <v>1.0000000000010001E-6</v>
      </c>
      <c r="P63" s="302"/>
    </row>
    <row r="64" spans="1:16" x14ac:dyDescent="0.2">
      <c r="A64" s="173">
        <v>26</v>
      </c>
      <c r="B64" s="223" t="str">
        <f t="shared" si="3"/>
        <v>26x38F</v>
      </c>
      <c r="C64" s="170" t="str">
        <f t="shared" si="4"/>
        <v>GBP26x38F_SYNTH1Y_Quote</v>
      </c>
      <c r="D64" s="195" t="str">
        <f>_xll.qlSimpleQuote(C64,,RateTickValue,Permanent,Trigger,ObjectOverwrite)</f>
        <v>GBP26x38F_SYNTH1Y_Quote#0003</v>
      </c>
      <c r="E64" s="211" t="str">
        <f>_xll.ohRangeRetrieveError($D64)</f>
        <v/>
      </c>
      <c r="F64" s="150"/>
      <c r="H64" s="291">
        <v>26</v>
      </c>
      <c r="I64" s="301" t="s">
        <v>152</v>
      </c>
      <c r="J64" s="293">
        <f>SynthFRA!N31</f>
        <v>2.5814712803106245E-2</v>
      </c>
      <c r="K64" s="292"/>
      <c r="L64" s="294">
        <v>2.5814712803106245E-2</v>
      </c>
      <c r="M64" s="290"/>
      <c r="N64" s="295">
        <v>2.5814712803106245E-2</v>
      </c>
      <c r="O64" s="296">
        <f>_xll.qlSimpleQuoteSetValue(D64,ROUND(N64,6),EvaluationDate)</f>
        <v>1.0000000000010001E-6</v>
      </c>
      <c r="P64" s="302"/>
    </row>
    <row r="65" spans="1:16" x14ac:dyDescent="0.2">
      <c r="A65" s="173">
        <v>27</v>
      </c>
      <c r="B65" s="223" t="str">
        <f t="shared" si="3"/>
        <v>27x39F</v>
      </c>
      <c r="C65" s="170" t="str">
        <f t="shared" si="4"/>
        <v>GBP27x39F_SYNTH1Y_Quote</v>
      </c>
      <c r="D65" s="195" t="str">
        <f>_xll.qlSimpleQuote(C65,,RateTickValue,Permanent,Trigger,ObjectOverwrite)</f>
        <v>GBP27x39F_SYNTH1Y_Quote#0003</v>
      </c>
      <c r="E65" s="211" t="str">
        <f>_xll.ohRangeRetrieveError($D65)</f>
        <v/>
      </c>
      <c r="F65" s="150"/>
      <c r="H65" s="291">
        <v>27</v>
      </c>
      <c r="I65" s="301" t="s">
        <v>153</v>
      </c>
      <c r="J65" s="293">
        <f>SynthFRA!N32</f>
        <v>2.6166139073955014E-2</v>
      </c>
      <c r="K65" s="292"/>
      <c r="L65" s="294">
        <v>2.6166139073955014E-2</v>
      </c>
      <c r="M65" s="290"/>
      <c r="N65" s="295">
        <v>2.6166139073955014E-2</v>
      </c>
      <c r="O65" s="296">
        <f>_xll.qlSimpleQuoteSetValue(D65,ROUND(N65,6),EvaluationDate)</f>
        <v>-2.0000000000020002E-6</v>
      </c>
      <c r="P65" s="302"/>
    </row>
    <row r="66" spans="1:16" x14ac:dyDescent="0.2">
      <c r="A66" s="173">
        <v>28</v>
      </c>
      <c r="B66" s="223" t="str">
        <f t="shared" si="3"/>
        <v>28x40F</v>
      </c>
      <c r="C66" s="170" t="str">
        <f t="shared" si="4"/>
        <v>GBP28x40F_SYNTH1Y_Quote</v>
      </c>
      <c r="D66" s="195" t="str">
        <f>_xll.qlSimpleQuote(C66,,RateTickValue,Permanent,Trigger,ObjectOverwrite)</f>
        <v>GBP28x40F_SYNTH1Y_Quote#0003</v>
      </c>
      <c r="E66" s="211" t="str">
        <f>_xll.ohRangeRetrieveError($D66)</f>
        <v/>
      </c>
      <c r="F66" s="150"/>
      <c r="H66" s="291">
        <v>28</v>
      </c>
      <c r="I66" s="301" t="s">
        <v>154</v>
      </c>
      <c r="J66" s="293">
        <f>SynthFRA!N33</f>
        <v>2.650494849789856E-2</v>
      </c>
      <c r="K66" s="292"/>
      <c r="L66" s="294">
        <v>2.650494849789856E-2</v>
      </c>
      <c r="M66" s="290"/>
      <c r="N66" s="295">
        <v>2.650494849789856E-2</v>
      </c>
      <c r="O66" s="296">
        <f>_xll.qlSimpleQuoteSetValue(D66,ROUND(N66,6),EvaluationDate)</f>
        <v>-4.9999999999980616E-6</v>
      </c>
      <c r="P66" s="302"/>
    </row>
    <row r="67" spans="1:16" x14ac:dyDescent="0.2">
      <c r="A67" s="173">
        <v>29</v>
      </c>
      <c r="B67" s="223" t="str">
        <f t="shared" si="3"/>
        <v>29x41F</v>
      </c>
      <c r="C67" s="170" t="str">
        <f t="shared" si="4"/>
        <v>GBP29x41F_SYNTH1Y_Quote</v>
      </c>
      <c r="D67" s="195" t="str">
        <f>_xll.qlSimpleQuote(C67,,RateTickValue,Permanent,Trigger,ObjectOverwrite)</f>
        <v>GBP29x41F_SYNTH1Y_Quote#0003</v>
      </c>
      <c r="E67" s="211" t="str">
        <f>_xll.ohRangeRetrieveError($D67)</f>
        <v/>
      </c>
      <c r="F67" s="150"/>
      <c r="H67" s="291">
        <v>29</v>
      </c>
      <c r="I67" s="301" t="s">
        <v>155</v>
      </c>
      <c r="J67" s="293">
        <f>SynthFRA!N34</f>
        <v>2.6864184151168709E-2</v>
      </c>
      <c r="K67" s="292"/>
      <c r="L67" s="294">
        <v>2.6864184151168709E-2</v>
      </c>
      <c r="M67" s="290"/>
      <c r="N67" s="295">
        <v>2.6864184151168709E-2</v>
      </c>
      <c r="O67" s="296">
        <f>_xll.qlSimpleQuoteSetValue(D67,ROUND(N67,6),EvaluationDate)</f>
        <v>-9.9999999999995925E-6</v>
      </c>
      <c r="P67" s="302"/>
    </row>
    <row r="68" spans="1:16" x14ac:dyDescent="0.2">
      <c r="A68" s="173">
        <v>30</v>
      </c>
      <c r="B68" s="223" t="str">
        <f t="shared" si="3"/>
        <v>30x42F</v>
      </c>
      <c r="C68" s="170" t="str">
        <f t="shared" si="4"/>
        <v>GBP30x42F_SYNTH1Y_Quote</v>
      </c>
      <c r="D68" s="195" t="str">
        <f>_xll.qlSimpleQuote(C68,,RateTickValue,Permanent,Trigger,ObjectOverwrite)</f>
        <v>GBP30x42F_SYNTH1Y_Quote#0003</v>
      </c>
      <c r="E68" s="211" t="str">
        <f>_xll.ohRangeRetrieveError($D68)</f>
        <v/>
      </c>
      <c r="F68" s="150"/>
      <c r="H68" s="291">
        <v>30</v>
      </c>
      <c r="I68" s="301" t="s">
        <v>156</v>
      </c>
      <c r="J68" s="293">
        <f>SynthFRA!N35</f>
        <v>2.716785185620926E-2</v>
      </c>
      <c r="K68" s="292"/>
      <c r="L68" s="294">
        <v>2.716785185620926E-2</v>
      </c>
      <c r="M68" s="290"/>
      <c r="N68" s="295">
        <v>2.716785185620926E-2</v>
      </c>
      <c r="O68" s="296">
        <f>_xll.qlSimpleQuoteSetValue(D68,ROUND(N68,6),EvaluationDate)</f>
        <v>-1.4000000000000123E-5</v>
      </c>
      <c r="P68" s="302"/>
    </row>
    <row r="69" spans="1:16" x14ac:dyDescent="0.2">
      <c r="A69" s="173">
        <v>31</v>
      </c>
      <c r="B69" s="223" t="str">
        <f t="shared" si="3"/>
        <v>31x43F</v>
      </c>
      <c r="C69" s="170" t="str">
        <f t="shared" si="4"/>
        <v>GBP31x43F_SYNTH1Y_Quote</v>
      </c>
      <c r="D69" s="195" t="str">
        <f>_xll.qlSimpleQuote(C69,,RateTickValue,Permanent,Trigger,ObjectOverwrite)</f>
        <v>GBP31x43F_SYNTH1Y_Quote#0003</v>
      </c>
      <c r="E69" s="211" t="str">
        <f>_xll.ohRangeRetrieveError($D69)</f>
        <v/>
      </c>
      <c r="F69" s="150"/>
      <c r="H69" s="291">
        <v>31</v>
      </c>
      <c r="I69" s="301" t="s">
        <v>157</v>
      </c>
      <c r="J69" s="293">
        <f>SynthFRA!N36</f>
        <v>2.7450000128978726E-2</v>
      </c>
      <c r="K69" s="292"/>
      <c r="L69" s="294">
        <v>2.7450000128978726E-2</v>
      </c>
      <c r="M69" s="290"/>
      <c r="N69" s="295">
        <v>2.7450000128978726E-2</v>
      </c>
      <c r="O69" s="296">
        <f>_xll.qlSimpleQuoteSetValue(D69,ROUND(N69,6),EvaluationDate)</f>
        <v>-1.9000000000001654E-5</v>
      </c>
      <c r="P69" s="302"/>
    </row>
    <row r="70" spans="1:16" x14ac:dyDescent="0.2">
      <c r="A70" s="173">
        <v>32</v>
      </c>
      <c r="B70" s="223" t="str">
        <f t="shared" si="3"/>
        <v>32x44F</v>
      </c>
      <c r="C70" s="170" t="str">
        <f t="shared" si="4"/>
        <v>GBP32x44F_SYNTH1Y_Quote</v>
      </c>
      <c r="D70" s="195" t="str">
        <f>_xll.qlSimpleQuote(C70,,RateTickValue,Permanent,Trigger,ObjectOverwrite)</f>
        <v>GBP32x44F_SYNTH1Y_Quote#0003</v>
      </c>
      <c r="E70" s="211" t="str">
        <f>_xll.ohRangeRetrieveError($D70)</f>
        <v/>
      </c>
      <c r="F70" s="150"/>
      <c r="H70" s="291">
        <v>32</v>
      </c>
      <c r="I70" s="301" t="s">
        <v>158</v>
      </c>
      <c r="J70" s="293">
        <f>SynthFRA!N37</f>
        <v>2.7756568537288171E-2</v>
      </c>
      <c r="K70" s="292"/>
      <c r="L70" s="294">
        <v>2.7756568537288171E-2</v>
      </c>
      <c r="M70" s="290"/>
      <c r="N70" s="295">
        <v>2.7756568537288171E-2</v>
      </c>
      <c r="O70" s="296">
        <f>_xll.qlSimpleQuoteSetValue(D70,ROUND(N70,6),EvaluationDate)</f>
        <v>-2.5000000000000716E-5</v>
      </c>
      <c r="P70" s="302"/>
    </row>
    <row r="71" spans="1:16" x14ac:dyDescent="0.2">
      <c r="A71" s="173">
        <v>33</v>
      </c>
      <c r="B71" s="223" t="str">
        <f t="shared" si="3"/>
        <v>33x45F</v>
      </c>
      <c r="C71" s="170" t="str">
        <f t="shared" si="4"/>
        <v>GBP33x45F_SYNTH1Y_Quote</v>
      </c>
      <c r="D71" s="195" t="str">
        <f>_xll.qlSimpleQuote(C71,,RateTickValue,Permanent,Trigger,ObjectOverwrite)</f>
        <v>GBP33x45F_SYNTH1Y_Quote#0003</v>
      </c>
      <c r="E71" s="211" t="str">
        <f>_xll.ohRangeRetrieveError($D71)</f>
        <v/>
      </c>
      <c r="F71" s="150"/>
      <c r="H71" s="291">
        <v>33</v>
      </c>
      <c r="I71" s="301" t="s">
        <v>159</v>
      </c>
      <c r="J71" s="293">
        <f>SynthFRA!N38</f>
        <v>2.8034037881668319E-2</v>
      </c>
      <c r="K71" s="292"/>
      <c r="L71" s="294">
        <v>2.8034037881668319E-2</v>
      </c>
      <c r="M71" s="290"/>
      <c r="N71" s="295">
        <v>2.8034037881668319E-2</v>
      </c>
      <c r="O71" s="296">
        <f>_xll.qlSimpleQuoteSetValue(D71,ROUND(N71,6),EvaluationDate)</f>
        <v>-3.0999999999999778E-5</v>
      </c>
      <c r="P71" s="302"/>
    </row>
    <row r="72" spans="1:16" x14ac:dyDescent="0.2">
      <c r="A72" s="173">
        <v>34</v>
      </c>
      <c r="B72" s="223" t="str">
        <f t="shared" si="3"/>
        <v>34x46F</v>
      </c>
      <c r="C72" s="170" t="str">
        <f t="shared" si="4"/>
        <v>GBP34x46F_SYNTH1Y_Quote</v>
      </c>
      <c r="D72" s="195" t="str">
        <f>_xll.qlSimpleQuote(C72,,RateTickValue,Permanent,Trigger,ObjectOverwrite)</f>
        <v>GBP34x46F_SYNTH1Y_Quote#0003</v>
      </c>
      <c r="E72" s="211" t="str">
        <f>_xll.ohRangeRetrieveError($D72)</f>
        <v/>
      </c>
      <c r="F72" s="150"/>
      <c r="H72" s="291">
        <v>34</v>
      </c>
      <c r="I72" s="301" t="s">
        <v>160</v>
      </c>
      <c r="J72" s="293">
        <f>SynthFRA!N39</f>
        <v>2.8295227146859867E-2</v>
      </c>
      <c r="K72" s="292"/>
      <c r="L72" s="294">
        <v>2.8295227146859867E-2</v>
      </c>
      <c r="M72" s="290"/>
      <c r="N72" s="295">
        <v>2.8295227146859867E-2</v>
      </c>
      <c r="O72" s="296">
        <f>_xll.qlSimpleQuoteSetValue(D72,ROUND(N72,6),EvaluationDate)</f>
        <v>-3.5999999999997839E-5</v>
      </c>
      <c r="P72" s="302"/>
    </row>
    <row r="73" spans="1:16" x14ac:dyDescent="0.2">
      <c r="A73" s="173">
        <v>35</v>
      </c>
      <c r="B73" s="223" t="str">
        <f t="shared" si="3"/>
        <v>35x47F</v>
      </c>
      <c r="C73" s="170" t="str">
        <f t="shared" si="4"/>
        <v>GBP35x47F_SYNTH1Y_Quote</v>
      </c>
      <c r="D73" s="195" t="str">
        <f>_xll.qlSimpleQuote(C73,,RateTickValue,Permanent,Trigger,ObjectOverwrite)</f>
        <v>GBP35x47F_SYNTH1Y_Quote#0003</v>
      </c>
      <c r="E73" s="211" t="str">
        <f>_xll.ohRangeRetrieveError($D73)</f>
        <v/>
      </c>
      <c r="F73" s="150"/>
      <c r="H73" s="291">
        <v>35</v>
      </c>
      <c r="I73" s="301" t="s">
        <v>161</v>
      </c>
      <c r="J73" s="293">
        <f>SynthFRA!N40</f>
        <v>2.8547582293314954E-2</v>
      </c>
      <c r="K73" s="292"/>
      <c r="L73" s="294">
        <v>2.8547582293314954E-2</v>
      </c>
      <c r="M73" s="290"/>
      <c r="N73" s="295">
        <v>2.8547582293314954E-2</v>
      </c>
      <c r="O73" s="296">
        <f>_xll.qlSimpleQuoteSetValue(D73,ROUND(N73,6),EvaluationDate)</f>
        <v>-3.900000000000084E-5</v>
      </c>
      <c r="P73" s="302"/>
    </row>
    <row r="74" spans="1:16" x14ac:dyDescent="0.2">
      <c r="A74" s="173">
        <v>37</v>
      </c>
      <c r="B74" s="223" t="str">
        <f t="shared" si="3"/>
        <v>37x49F</v>
      </c>
      <c r="C74" s="170" t="str">
        <f t="shared" si="4"/>
        <v>GBP37x49F_SYNTH1Y_Quote</v>
      </c>
      <c r="D74" s="195" t="str">
        <f>_xll.qlSimpleQuote(C74,,RateTickValue,Permanent,Trigger,ObjectOverwrite)</f>
        <v>GBP37x49F_SYNTH1Y_Quote#0003</v>
      </c>
      <c r="E74" s="211" t="str">
        <f>_xll.ohRangeRetrieveError($D74)</f>
        <v/>
      </c>
      <c r="F74" s="150"/>
      <c r="H74" s="291">
        <v>37</v>
      </c>
      <c r="I74" s="301" t="s">
        <v>162</v>
      </c>
      <c r="J74" s="293">
        <f>SynthFRA!N41</f>
        <v>2.8998719390911181E-2</v>
      </c>
      <c r="K74" s="292"/>
      <c r="L74" s="294">
        <v>2.8998719390911181E-2</v>
      </c>
      <c r="M74" s="290"/>
      <c r="N74" s="295">
        <v>2.8998719390911181E-2</v>
      </c>
      <c r="O74" s="296">
        <f>_xll.qlSimpleQuoteSetValue(D74,ROUND(N74,6),EvaluationDate)</f>
        <v>-4.099999999999937E-5</v>
      </c>
      <c r="P74" s="302"/>
    </row>
    <row r="75" spans="1:16" x14ac:dyDescent="0.2">
      <c r="A75" s="173">
        <v>38</v>
      </c>
      <c r="B75" s="223" t="str">
        <f t="shared" si="3"/>
        <v>38x50F</v>
      </c>
      <c r="C75" s="170" t="str">
        <f t="shared" si="4"/>
        <v>GBP38x50F_SYNTH1Y_Quote</v>
      </c>
      <c r="D75" s="195" t="str">
        <f>_xll.qlSimpleQuote(C75,,RateTickValue,Permanent,Trigger,ObjectOverwrite)</f>
        <v>GBP38x50F_SYNTH1Y_Quote#0003</v>
      </c>
      <c r="E75" s="211" t="str">
        <f>_xll.ohRangeRetrieveError($D75)</f>
        <v/>
      </c>
      <c r="F75" s="150"/>
      <c r="H75" s="291">
        <v>38</v>
      </c>
      <c r="I75" s="301" t="s">
        <v>163</v>
      </c>
      <c r="J75" s="293">
        <f>SynthFRA!N42</f>
        <v>2.920648925943202E-2</v>
      </c>
      <c r="K75" s="292"/>
      <c r="L75" s="294">
        <v>2.920648925943202E-2</v>
      </c>
      <c r="M75" s="290"/>
      <c r="N75" s="295">
        <v>2.920648925943202E-2</v>
      </c>
      <c r="O75" s="296">
        <f>_xll.qlSimpleQuoteSetValue(D75,ROUND(N75,6),EvaluationDate)</f>
        <v>-4.000000000000184E-5</v>
      </c>
      <c r="P75" s="302"/>
    </row>
    <row r="76" spans="1:16" x14ac:dyDescent="0.2">
      <c r="A76" s="173">
        <v>39</v>
      </c>
      <c r="B76" s="223" t="str">
        <f t="shared" si="3"/>
        <v>39x51F</v>
      </c>
      <c r="C76" s="170" t="str">
        <f t="shared" si="4"/>
        <v>GBP39x51F_SYNTH1Y_Quote</v>
      </c>
      <c r="D76" s="195" t="str">
        <f>_xll.qlSimpleQuote(C76,,RateTickValue,Permanent,Trigger,ObjectOverwrite)</f>
        <v>GBP39x51F_SYNTH1Y_Quote#0003</v>
      </c>
      <c r="E76" s="211" t="str">
        <f>_xll.ohRangeRetrieveError($D76)</f>
        <v/>
      </c>
      <c r="F76" s="150"/>
      <c r="H76" s="291">
        <v>39</v>
      </c>
      <c r="I76" s="301" t="s">
        <v>164</v>
      </c>
      <c r="J76" s="293">
        <f>SynthFRA!N43</f>
        <v>2.9379499931709359E-2</v>
      </c>
      <c r="K76" s="292"/>
      <c r="L76" s="294">
        <v>2.9379499931709359E-2</v>
      </c>
      <c r="M76" s="290"/>
      <c r="N76" s="295">
        <v>2.9379499931709359E-2</v>
      </c>
      <c r="O76" s="296">
        <f>_xll.qlSimpleQuoteSetValue(D76,ROUND(N76,6),EvaluationDate)</f>
        <v>-3.7000000000002309E-5</v>
      </c>
      <c r="P76" s="302"/>
    </row>
    <row r="77" spans="1:16" x14ac:dyDescent="0.2">
      <c r="A77" s="173">
        <v>40</v>
      </c>
      <c r="B77" s="223" t="str">
        <f t="shared" si="3"/>
        <v>40x52F</v>
      </c>
      <c r="C77" s="170" t="str">
        <f t="shared" si="4"/>
        <v>GBP40x52F_SYNTH1Y_Quote</v>
      </c>
      <c r="D77" s="195" t="str">
        <f>_xll.qlSimpleQuote(C77,,RateTickValue,Permanent,Trigger,ObjectOverwrite)</f>
        <v>GBP40x52F_SYNTH1Y_Quote#0003</v>
      </c>
      <c r="E77" s="211" t="str">
        <f>_xll.ohRangeRetrieveError($D77)</f>
        <v/>
      </c>
      <c r="F77" s="150"/>
      <c r="H77" s="291">
        <v>40</v>
      </c>
      <c r="I77" s="301" t="s">
        <v>165</v>
      </c>
      <c r="J77" s="293">
        <f>SynthFRA!N44</f>
        <v>2.9544458364027505E-2</v>
      </c>
      <c r="K77" s="292"/>
      <c r="L77" s="294">
        <v>2.9544458364027505E-2</v>
      </c>
      <c r="M77" s="290"/>
      <c r="N77" s="295">
        <v>2.9544458364027505E-2</v>
      </c>
      <c r="O77" s="296">
        <f>_xll.qlSimpleQuoteSetValue(D77,ROUND(N77,6),EvaluationDate)</f>
        <v>-3.2999999999998308E-5</v>
      </c>
      <c r="P77" s="302"/>
    </row>
    <row r="78" spans="1:16" x14ac:dyDescent="0.2">
      <c r="A78" s="173">
        <v>41</v>
      </c>
      <c r="B78" s="223" t="str">
        <f t="shared" si="3"/>
        <v>41x53F</v>
      </c>
      <c r="C78" s="170" t="str">
        <f t="shared" si="4"/>
        <v>GBP41x53F_SYNTH1Y_Quote</v>
      </c>
      <c r="D78" s="195" t="str">
        <f>_xll.qlSimpleQuote(C78,,RateTickValue,Permanent,Trigger,ObjectOverwrite)</f>
        <v>GBP41x53F_SYNTH1Y_Quote#0003</v>
      </c>
      <c r="E78" s="211" t="str">
        <f>_xll.ohRangeRetrieveError($D78)</f>
        <v/>
      </c>
      <c r="F78" s="150"/>
      <c r="H78" s="291">
        <v>41</v>
      </c>
      <c r="I78" s="301" t="s">
        <v>166</v>
      </c>
      <c r="J78" s="293">
        <f>SynthFRA!N45</f>
        <v>2.9706167319244782E-2</v>
      </c>
      <c r="K78" s="292"/>
      <c r="L78" s="294">
        <v>2.9706167319244782E-2</v>
      </c>
      <c r="M78" s="290"/>
      <c r="N78" s="295">
        <v>2.9706167319244782E-2</v>
      </c>
      <c r="O78" s="296">
        <f>_xll.qlSimpleQuoteSetValue(D78,ROUND(N78,6),EvaluationDate)</f>
        <v>-2.6999999999999247E-5</v>
      </c>
      <c r="P78" s="302"/>
    </row>
    <row r="79" spans="1:16" x14ac:dyDescent="0.2">
      <c r="A79" s="173">
        <v>42</v>
      </c>
      <c r="B79" s="223" t="str">
        <f t="shared" si="3"/>
        <v>42x54F</v>
      </c>
      <c r="C79" s="170" t="str">
        <f t="shared" si="4"/>
        <v>GBP42x54F_SYNTH1Y_Quote</v>
      </c>
      <c r="D79" s="195" t="str">
        <f>_xll.qlSimpleQuote(C79,,RateTickValue,Permanent,Trigger,ObjectOverwrite)</f>
        <v>GBP42x54F_SYNTH1Y_Quote#0003</v>
      </c>
      <c r="E79" s="211" t="str">
        <f>_xll.ohRangeRetrieveError($D79)</f>
        <v/>
      </c>
      <c r="F79" s="150"/>
      <c r="H79" s="291">
        <v>42</v>
      </c>
      <c r="I79" s="301" t="s">
        <v>167</v>
      </c>
      <c r="J79" s="293">
        <f>SynthFRA!N46</f>
        <v>2.9845836491821411E-2</v>
      </c>
      <c r="K79" s="292"/>
      <c r="L79" s="294">
        <v>2.9845836491821411E-2</v>
      </c>
      <c r="M79" s="290"/>
      <c r="N79" s="295">
        <v>2.9845836491821411E-2</v>
      </c>
      <c r="O79" s="296">
        <f>_xll.qlSimpleQuoteSetValue(D79,ROUND(N79,6),EvaluationDate)</f>
        <v>-1.8999999999998185E-5</v>
      </c>
      <c r="P79" s="302"/>
    </row>
    <row r="80" spans="1:16" x14ac:dyDescent="0.2">
      <c r="A80" s="173">
        <v>43</v>
      </c>
      <c r="B80" s="223" t="str">
        <f t="shared" si="3"/>
        <v>43x55F</v>
      </c>
      <c r="C80" s="170" t="str">
        <f t="shared" si="4"/>
        <v>GBP43x55F_SYNTH1Y_Quote</v>
      </c>
      <c r="D80" s="195" t="str">
        <f>_xll.qlSimpleQuote(C80,,RateTickValue,Permanent,Trigger,ObjectOverwrite)</f>
        <v>GBP43x55F_SYNTH1Y_Quote#0003</v>
      </c>
      <c r="E80" s="211" t="str">
        <f>_xll.ohRangeRetrieveError($D80)</f>
        <v/>
      </c>
      <c r="F80" s="150"/>
      <c r="H80" s="291">
        <v>43</v>
      </c>
      <c r="I80" s="301" t="s">
        <v>168</v>
      </c>
      <c r="J80" s="293">
        <f>SynthFRA!N47</f>
        <v>2.9967015915663475E-2</v>
      </c>
      <c r="K80" s="292"/>
      <c r="L80" s="294">
        <v>2.9967015915663475E-2</v>
      </c>
      <c r="M80" s="290"/>
      <c r="N80" s="295">
        <v>2.9967015915663475E-2</v>
      </c>
      <c r="O80" s="296">
        <f>_xll.qlSimpleQuoteSetValue(D80,ROUND(N80,6),EvaluationDate)</f>
        <v>-1.1999999999998123E-5</v>
      </c>
      <c r="P80" s="302"/>
    </row>
    <row r="81" spans="1:17" x14ac:dyDescent="0.2">
      <c r="A81" s="173">
        <v>44</v>
      </c>
      <c r="B81" s="223" t="str">
        <f t="shared" si="3"/>
        <v>44x56F</v>
      </c>
      <c r="C81" s="170" t="str">
        <f t="shared" si="4"/>
        <v>GBP44x56F_SYNTH1Y_Quote</v>
      </c>
      <c r="D81" s="195" t="str">
        <f>_xll.qlSimpleQuote(C81,,RateTickValue,Permanent,Trigger,ObjectOverwrite)</f>
        <v>GBP44x56F_SYNTH1Y_Quote#0003</v>
      </c>
      <c r="E81" s="211" t="str">
        <f>_xll.ohRangeRetrieveError($D81)</f>
        <v/>
      </c>
      <c r="F81" s="150"/>
      <c r="H81" s="291">
        <v>44</v>
      </c>
      <c r="I81" s="301" t="s">
        <v>169</v>
      </c>
      <c r="J81" s="293">
        <f>SynthFRA!N48</f>
        <v>3.010003949273448E-2</v>
      </c>
      <c r="K81" s="292"/>
      <c r="L81" s="294">
        <v>3.010003949273448E-2</v>
      </c>
      <c r="M81" s="290"/>
      <c r="N81" s="295">
        <v>3.010003949273448E-2</v>
      </c>
      <c r="O81" s="296">
        <f>_xll.qlSimpleQuoteSetValue(D81,ROUND(N81,6),EvaluationDate)</f>
        <v>-2.0000000000020002E-6</v>
      </c>
      <c r="P81" s="302"/>
    </row>
    <row r="82" spans="1:17" x14ac:dyDescent="0.2">
      <c r="A82" s="173">
        <v>45</v>
      </c>
      <c r="B82" s="223" t="str">
        <f t="shared" si="3"/>
        <v>45x57F</v>
      </c>
      <c r="C82" s="170" t="str">
        <f t="shared" si="4"/>
        <v>GBP45x57F_SYNTH1Y_Quote</v>
      </c>
      <c r="D82" s="195" t="str">
        <f>_xll.qlSimpleQuote(C82,,RateTickValue,Permanent,Trigger,ObjectOverwrite)</f>
        <v>GBP45x57F_SYNTH1Y_Quote#0003</v>
      </c>
      <c r="E82" s="211" t="str">
        <f>_xll.ohRangeRetrieveError($D82)</f>
        <v/>
      </c>
      <c r="F82" s="150"/>
      <c r="H82" s="291">
        <v>45</v>
      </c>
      <c r="I82" s="301" t="s">
        <v>170</v>
      </c>
      <c r="J82" s="293">
        <f>SynthFRA!N49</f>
        <v>3.0209607908659564E-2</v>
      </c>
      <c r="K82" s="292"/>
      <c r="L82" s="294">
        <v>3.0209607908659564E-2</v>
      </c>
      <c r="M82" s="290"/>
      <c r="N82" s="295">
        <v>3.0209607908659564E-2</v>
      </c>
      <c r="O82" s="296">
        <f>_xll.qlSimpleQuoteSetValue(D82,ROUND(N82,6),EvaluationDate)</f>
        <v>8.0000000000010618E-6</v>
      </c>
      <c r="P82" s="302"/>
    </row>
    <row r="83" spans="1:17" x14ac:dyDescent="0.2">
      <c r="A83" s="173">
        <v>46</v>
      </c>
      <c r="B83" s="223" t="str">
        <f t="shared" si="3"/>
        <v>46x58F</v>
      </c>
      <c r="C83" s="170" t="str">
        <f t="shared" si="4"/>
        <v>GBP46x58F_SYNTH1Y_Quote</v>
      </c>
      <c r="D83" s="195" t="str">
        <f>_xll.qlSimpleQuote(C83,,RateTickValue,Permanent,Trigger,ObjectOverwrite)</f>
        <v>GBP46x58F_SYNTH1Y_Quote#0003</v>
      </c>
      <c r="E83" s="211" t="str">
        <f>_xll.ohRangeRetrieveError($D83)</f>
        <v/>
      </c>
      <c r="F83" s="150"/>
      <c r="H83" s="291">
        <v>46</v>
      </c>
      <c r="I83" s="301" t="s">
        <v>171</v>
      </c>
      <c r="J83" s="293">
        <f>SynthFRA!N50</f>
        <v>3.0317182026417429E-2</v>
      </c>
      <c r="K83" s="292"/>
      <c r="L83" s="294">
        <v>3.0317182026417429E-2</v>
      </c>
      <c r="M83" s="290"/>
      <c r="N83" s="295">
        <v>3.0317182026417429E-2</v>
      </c>
      <c r="O83" s="296">
        <f>_xll.qlSimpleQuoteSetValue(D83,ROUND(N83,6),EvaluationDate)</f>
        <v>1.8000000000000654E-5</v>
      </c>
      <c r="P83" s="302"/>
    </row>
    <row r="84" spans="1:17" ht="12" thickBot="1" x14ac:dyDescent="0.25">
      <c r="A84" s="176">
        <v>47</v>
      </c>
      <c r="B84" s="225" t="str">
        <f t="shared" si="3"/>
        <v>47x59F</v>
      </c>
      <c r="C84" s="226" t="str">
        <f t="shared" si="4"/>
        <v>GBP47x59F_SYNTH1Y_Quote</v>
      </c>
      <c r="D84" s="178" t="str">
        <f>_xll.qlSimpleQuote(C84,,RateTickValue,Permanent,Trigger,ObjectOverwrite)</f>
        <v>GBP47x59F_SYNTH1Y_Quote#0003</v>
      </c>
      <c r="E84" s="212" t="str">
        <f>_xll.ohRangeRetrieveError($D84)</f>
        <v/>
      </c>
      <c r="F84" s="227"/>
      <c r="H84" s="291">
        <v>47</v>
      </c>
      <c r="I84" s="301" t="s">
        <v>172</v>
      </c>
      <c r="J84" s="293">
        <f>SynthFRA!N51</f>
        <v>3.0427076550634289E-2</v>
      </c>
      <c r="K84" s="292"/>
      <c r="L84" s="294">
        <v>3.0427076550634289E-2</v>
      </c>
      <c r="M84" s="290"/>
      <c r="N84" s="295">
        <v>3.0427076550634289E-2</v>
      </c>
      <c r="O84" s="296">
        <f>_xll.qlSimpleQuoteSetValue(D84,ROUND(N84,6),EvaluationDate)</f>
        <v>3.0999999999999778E-5</v>
      </c>
      <c r="P84" s="302"/>
    </row>
    <row r="85" spans="1:17" x14ac:dyDescent="0.2">
      <c r="A85"/>
      <c r="H85" s="220"/>
      <c r="I85" s="220"/>
      <c r="J85" s="220"/>
      <c r="K85" s="220"/>
      <c r="L85" s="220"/>
      <c r="M85" s="220"/>
      <c r="N85" s="220"/>
      <c r="O85" s="220"/>
      <c r="P85" s="220"/>
      <c r="Q85" s="28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K2" sqref="K2"/>
    </sheetView>
  </sheetViews>
  <sheetFormatPr defaultRowHeight="11.25" x14ac:dyDescent="0.2"/>
  <cols>
    <col min="1" max="1" width="3.33203125" style="307" customWidth="1"/>
    <col min="2" max="2" width="4.5" style="307" bestFit="1" customWidth="1"/>
    <col min="3" max="3" width="3.6640625" style="307" bestFit="1" customWidth="1"/>
    <col min="4" max="4" width="3.1640625" style="307" bestFit="1" customWidth="1"/>
    <col min="5" max="5" width="5.5" style="307" bestFit="1" customWidth="1"/>
    <col min="6" max="6" width="3.1640625" style="307" bestFit="1" customWidth="1"/>
    <col min="7" max="7" width="4.1640625" style="307" bestFit="1" customWidth="1"/>
    <col min="8" max="8" width="18.83203125" style="307" bestFit="1" customWidth="1"/>
    <col min="9" max="9" width="22.33203125" style="307" bestFit="1" customWidth="1"/>
    <col min="10" max="10" width="37.1640625" style="307" bestFit="1" customWidth="1"/>
    <col min="11" max="11" width="38.5" style="307" bestFit="1" customWidth="1"/>
    <col min="12" max="12" width="24.6640625" style="307" customWidth="1"/>
    <col min="13" max="14" width="3.33203125" style="307" customWidth="1"/>
    <col min="15" max="15" width="4.6640625" style="307" bestFit="1" customWidth="1"/>
    <col min="16" max="16" width="3.6640625" style="307" bestFit="1" customWidth="1"/>
    <col min="17" max="17" width="3.1640625" style="307" bestFit="1" customWidth="1"/>
    <col min="18" max="18" width="3.83203125" style="307" bestFit="1" customWidth="1"/>
    <col min="19" max="20" width="4.1640625" style="307" bestFit="1" customWidth="1"/>
    <col min="21" max="16384" width="9.33203125" style="307"/>
  </cols>
  <sheetData>
    <row r="1" spans="1:20" ht="12" thickBot="1" x14ac:dyDescent="0.25">
      <c r="A1" s="303" t="str">
        <f>K7</f>
        <v>GBPSB6L5Y_S6L12L_Quote#0003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5"/>
      <c r="M1" s="306"/>
    </row>
    <row r="2" spans="1:20" ht="22.5" x14ac:dyDescent="0.2">
      <c r="A2" s="308"/>
      <c r="B2" s="309"/>
      <c r="C2" s="309"/>
      <c r="D2" s="309"/>
      <c r="E2" s="309" t="s">
        <v>173</v>
      </c>
      <c r="F2" s="309"/>
      <c r="G2" s="309"/>
      <c r="H2" s="309" t="s">
        <v>174</v>
      </c>
      <c r="I2" s="309" t="s">
        <v>175</v>
      </c>
      <c r="J2" s="310" t="str">
        <f>Currency&amp;"_020_Sw"&amp;$C$3&amp;$D$3&amp;"_"&amp;"Fwd"&amp;$E$3&amp;IF(H3=0,,"_Spr"&amp;$F3&amp;$G3)&amp;".xml"</f>
        <v>GBP_020_SwSB6L_Fwd0d_Spr6L12L.xml</v>
      </c>
      <c r="K2" s="311" t="str">
        <f>IF(Serialize,_xll.ohObjectSave(K3:K36,SerializationPath&amp;J2,FileOverwrite,Serialize),"---")</f>
        <v>---</v>
      </c>
      <c r="L2" s="312" t="str">
        <f>_xll.ohRangeRetrieveError(K2)</f>
        <v/>
      </c>
      <c r="M2" s="313"/>
      <c r="O2" s="314"/>
      <c r="P2" s="315"/>
      <c r="Q2" s="315"/>
      <c r="R2" s="315"/>
      <c r="S2" s="315"/>
      <c r="T2" s="316"/>
    </row>
    <row r="3" spans="1:20" x14ac:dyDescent="0.2">
      <c r="A3" s="308"/>
      <c r="B3" s="317" t="s">
        <v>24</v>
      </c>
      <c r="C3" s="318" t="str">
        <f t="shared" ref="C3:C36" si="0">VLOOKUP(Currency,$O$3:$T$7,2)</f>
        <v>SB</v>
      </c>
      <c r="D3" s="318" t="str">
        <f t="shared" ref="D3:D36" si="1">VLOOKUP(Currency,$O$3:$T$7,3)</f>
        <v>6L</v>
      </c>
      <c r="E3" s="318" t="str">
        <f t="shared" ref="E3:E36" si="2">VLOOKUP(Currency,$O$3:$T$7,4)</f>
        <v>0d</v>
      </c>
      <c r="F3" s="318" t="str">
        <f t="shared" ref="F3:F36" si="3">VLOOKUP(Currency,$O$3:$T$7,5)</f>
        <v>6L</v>
      </c>
      <c r="G3" s="318" t="str">
        <f t="shared" ref="G3:G36" si="4">VLOOKUP(Currency,$O$3:$T$7,6)</f>
        <v>12L</v>
      </c>
      <c r="H3" s="319" t="str">
        <f t="shared" ref="H3:H36" si="5">IF(F3=0,0,Currency&amp;$F3&amp;$G3&amp;$B3&amp;QuoteSuffix)</f>
        <v>GBP6L12L1Y_Quote</v>
      </c>
      <c r="I3" s="320" t="str">
        <f>PROPER(Currency)&amp;FamilyName&amp;"Swap"&amp;FixingType&amp;$B3</f>
        <v>GbpLiborSwapIsda1Y</v>
      </c>
      <c r="J3" s="321" t="str">
        <f t="shared" ref="J3:J36" si="6">Currency&amp;$C3&amp;$D3&amp;$B3&amp;IF(UPPER(E3)="0D","","_Fwd"&amp;E3)&amp;IF(H3=0,,"_S"&amp;$F3&amp;$G3)&amp;QuoteSuffix</f>
        <v>GBPSB6L1Y_S6L12L_Quote</v>
      </c>
      <c r="K3" s="321"/>
      <c r="L3" s="322" t="str">
        <f>_xll.ohRangeRetrieveError(K3)</f>
        <v/>
      </c>
      <c r="M3" s="313"/>
      <c r="O3" s="323" t="s">
        <v>176</v>
      </c>
      <c r="P3" s="324" t="s">
        <v>177</v>
      </c>
      <c r="Q3" s="324" t="s">
        <v>178</v>
      </c>
      <c r="R3" s="324" t="s">
        <v>179</v>
      </c>
      <c r="S3" s="324" t="s">
        <v>178</v>
      </c>
      <c r="T3" s="325" t="s">
        <v>180</v>
      </c>
    </row>
    <row r="4" spans="1:20" x14ac:dyDescent="0.2">
      <c r="A4" s="308"/>
      <c r="B4" s="317" t="s">
        <v>181</v>
      </c>
      <c r="C4" s="318" t="str">
        <f t="shared" si="0"/>
        <v>SB</v>
      </c>
      <c r="D4" s="318" t="str">
        <f t="shared" si="1"/>
        <v>6L</v>
      </c>
      <c r="E4" s="318" t="str">
        <f t="shared" si="2"/>
        <v>0d</v>
      </c>
      <c r="F4" s="318" t="str">
        <f t="shared" si="3"/>
        <v>6L</v>
      </c>
      <c r="G4" s="318" t="str">
        <f t="shared" si="4"/>
        <v>12L</v>
      </c>
      <c r="H4" s="319" t="str">
        <f t="shared" si="5"/>
        <v>GBP6L12L2Y_Quote</v>
      </c>
      <c r="I4" s="326" t="str">
        <f>PROPER(Currency)&amp;FamilyName&amp;"Swap"&amp;FixingType&amp;$B4</f>
        <v>GbpLiborSwapIsda2Y</v>
      </c>
      <c r="J4" s="321" t="str">
        <f t="shared" si="6"/>
        <v>GBPSB6L2Y_S6L12L_Quote</v>
      </c>
      <c r="K4" s="321" t="str">
        <f>_xll.qlForwardSwapQuote(J4,I4,H4,E4,Permanent,Trigger,ObjectOverwrite)</f>
        <v>GBPSB6L2Y_S6L12L_Quote#0003</v>
      </c>
      <c r="L4" s="322" t="str">
        <f>_xll.ohRangeRetrieveError(K4)</f>
        <v/>
      </c>
      <c r="M4" s="313"/>
      <c r="O4" s="323" t="s">
        <v>182</v>
      </c>
      <c r="P4" s="324" t="s">
        <v>177</v>
      </c>
      <c r="Q4" s="324" t="s">
        <v>183</v>
      </c>
      <c r="R4" s="324" t="s">
        <v>179</v>
      </c>
      <c r="S4" s="324" t="s">
        <v>183</v>
      </c>
      <c r="T4" s="325" t="s">
        <v>184</v>
      </c>
    </row>
    <row r="5" spans="1:20" x14ac:dyDescent="0.2">
      <c r="A5" s="308"/>
      <c r="B5" s="317" t="s">
        <v>117</v>
      </c>
      <c r="C5" s="318" t="str">
        <f t="shared" si="0"/>
        <v>SB</v>
      </c>
      <c r="D5" s="318" t="str">
        <f t="shared" si="1"/>
        <v>6L</v>
      </c>
      <c r="E5" s="318" t="str">
        <f t="shared" si="2"/>
        <v>0d</v>
      </c>
      <c r="F5" s="318" t="str">
        <f t="shared" si="3"/>
        <v>6L</v>
      </c>
      <c r="G5" s="318" t="str">
        <f t="shared" si="4"/>
        <v>12L</v>
      </c>
      <c r="H5" s="319" t="str">
        <f t="shared" si="5"/>
        <v>GBP6L12L3Y_Quote</v>
      </c>
      <c r="I5" s="326" t="str">
        <f>PROPER(Currency)&amp;FamilyName&amp;"Swap"&amp;FixingType&amp;$B5</f>
        <v>GbpLiborSwapIsda3Y</v>
      </c>
      <c r="J5" s="321" t="str">
        <f t="shared" si="6"/>
        <v>GBPSB6L3Y_S6L12L_Quote</v>
      </c>
      <c r="K5" s="321" t="str">
        <f>_xll.qlForwardSwapQuote(J5,I5,H5,E5,Permanent,Trigger,ObjectOverwrite)</f>
        <v>GBPSB6L3Y_S6L12L_Quote#0003</v>
      </c>
      <c r="L5" s="322" t="str">
        <f>_xll.ohRangeRetrieveError(K5)</f>
        <v/>
      </c>
      <c r="M5" s="313"/>
      <c r="O5" s="323" t="s">
        <v>50</v>
      </c>
      <c r="P5" s="324" t="s">
        <v>185</v>
      </c>
      <c r="Q5" s="324" t="s">
        <v>178</v>
      </c>
      <c r="R5" s="324" t="s">
        <v>186</v>
      </c>
      <c r="S5" s="324" t="s">
        <v>178</v>
      </c>
      <c r="T5" s="325" t="s">
        <v>180</v>
      </c>
    </row>
    <row r="6" spans="1:20" x14ac:dyDescent="0.2">
      <c r="A6" s="308"/>
      <c r="B6" s="317" t="s">
        <v>118</v>
      </c>
      <c r="C6" s="318" t="str">
        <f t="shared" si="0"/>
        <v>SB</v>
      </c>
      <c r="D6" s="318" t="str">
        <f t="shared" si="1"/>
        <v>6L</v>
      </c>
      <c r="E6" s="318" t="str">
        <f t="shared" si="2"/>
        <v>0d</v>
      </c>
      <c r="F6" s="318" t="str">
        <f t="shared" si="3"/>
        <v>6L</v>
      </c>
      <c r="G6" s="318" t="str">
        <f t="shared" si="4"/>
        <v>12L</v>
      </c>
      <c r="H6" s="319" t="str">
        <f t="shared" si="5"/>
        <v>GBP6L12L4Y_Quote</v>
      </c>
      <c r="I6" s="326" t="str">
        <f>PROPER(Currency)&amp;FamilyName&amp;"Swap"&amp;FixingType&amp;$B6</f>
        <v>GbpLiborSwapIsda4Y</v>
      </c>
      <c r="J6" s="321" t="str">
        <f t="shared" si="6"/>
        <v>GBPSB6L4Y_S6L12L_Quote</v>
      </c>
      <c r="K6" s="321" t="str">
        <f>_xll.qlForwardSwapQuote(J6,I6,H6,E6,Permanent,Trigger,ObjectOverwrite)</f>
        <v>GBPSB6L4Y_S6L12L_Quote#0003</v>
      </c>
      <c r="L6" s="322" t="str">
        <f>_xll.ohRangeRetrieveError(K6)</f>
        <v/>
      </c>
      <c r="M6" s="313"/>
      <c r="O6" s="323" t="s">
        <v>187</v>
      </c>
      <c r="P6" s="324" t="s">
        <v>185</v>
      </c>
      <c r="Q6" s="324" t="s">
        <v>178</v>
      </c>
      <c r="R6" s="324" t="s">
        <v>179</v>
      </c>
      <c r="S6" s="324" t="s">
        <v>178</v>
      </c>
      <c r="T6" s="325" t="s">
        <v>180</v>
      </c>
    </row>
    <row r="7" spans="1:20" ht="12" thickBot="1" x14ac:dyDescent="0.25">
      <c r="A7" s="308"/>
      <c r="B7" s="317" t="s">
        <v>119</v>
      </c>
      <c r="C7" s="318" t="str">
        <f t="shared" si="0"/>
        <v>SB</v>
      </c>
      <c r="D7" s="318" t="str">
        <f t="shared" si="1"/>
        <v>6L</v>
      </c>
      <c r="E7" s="318" t="str">
        <f t="shared" si="2"/>
        <v>0d</v>
      </c>
      <c r="F7" s="318" t="str">
        <f t="shared" si="3"/>
        <v>6L</v>
      </c>
      <c r="G7" s="318" t="str">
        <f t="shared" si="4"/>
        <v>12L</v>
      </c>
      <c r="H7" s="319" t="str">
        <f t="shared" si="5"/>
        <v>GBP6L12L5Y_Quote</v>
      </c>
      <c r="I7" s="326" t="str">
        <f t="shared" ref="I7:I36" si="7">PROPER(Currency)&amp;FamilyName&amp;"Swap"&amp;FixingType&amp;$B7</f>
        <v>GbpLiborSwapIsda5Y</v>
      </c>
      <c r="J7" s="321" t="str">
        <f t="shared" si="6"/>
        <v>GBPSB6L5Y_S6L12L_Quote</v>
      </c>
      <c r="K7" s="321" t="str">
        <f>_xll.qlForwardSwapQuote(J7,I7,H7,E7,Permanent,Trigger,ObjectOverwrite)</f>
        <v>GBPSB6L5Y_S6L12L_Quote#0003</v>
      </c>
      <c r="L7" s="322" t="str">
        <f>_xll.ohRangeRetrieveError(K7)</f>
        <v/>
      </c>
      <c r="M7" s="313"/>
      <c r="O7" s="327" t="s">
        <v>188</v>
      </c>
      <c r="P7" s="328" t="s">
        <v>189</v>
      </c>
      <c r="Q7" s="328" t="s">
        <v>190</v>
      </c>
      <c r="R7" s="328" t="s">
        <v>179</v>
      </c>
      <c r="S7" s="328" t="s">
        <v>180</v>
      </c>
      <c r="T7" s="329" t="s">
        <v>190</v>
      </c>
    </row>
    <row r="8" spans="1:20" x14ac:dyDescent="0.2">
      <c r="A8" s="308"/>
      <c r="B8" s="317" t="s">
        <v>191</v>
      </c>
      <c r="C8" s="318" t="str">
        <f t="shared" si="0"/>
        <v>SB</v>
      </c>
      <c r="D8" s="318" t="str">
        <f t="shared" si="1"/>
        <v>6L</v>
      </c>
      <c r="E8" s="318" t="str">
        <f t="shared" si="2"/>
        <v>0d</v>
      </c>
      <c r="F8" s="318" t="str">
        <f t="shared" si="3"/>
        <v>6L</v>
      </c>
      <c r="G8" s="318" t="str">
        <f t="shared" si="4"/>
        <v>12L</v>
      </c>
      <c r="H8" s="319" t="str">
        <f t="shared" si="5"/>
        <v>GBP6L12L6Y_Quote</v>
      </c>
      <c r="I8" s="326" t="str">
        <f t="shared" si="7"/>
        <v>GbpLiborSwapIsda6Y</v>
      </c>
      <c r="J8" s="321" t="str">
        <f t="shared" si="6"/>
        <v>GBPSB6L6Y_S6L12L_Quote</v>
      </c>
      <c r="K8" s="321" t="str">
        <f>_xll.qlForwardSwapQuote(J8,I8,H8,E8,Permanent,Trigger,ObjectOverwrite)</f>
        <v>GBPSB6L6Y_S6L12L_Quote#0003</v>
      </c>
      <c r="L8" s="322" t="str">
        <f>_xll.ohRangeRetrieveError(K8)</f>
        <v/>
      </c>
      <c r="M8" s="313"/>
    </row>
    <row r="9" spans="1:20" x14ac:dyDescent="0.2">
      <c r="A9" s="308"/>
      <c r="B9" s="317" t="s">
        <v>192</v>
      </c>
      <c r="C9" s="318" t="str">
        <f t="shared" si="0"/>
        <v>SB</v>
      </c>
      <c r="D9" s="318" t="str">
        <f t="shared" si="1"/>
        <v>6L</v>
      </c>
      <c r="E9" s="318" t="str">
        <f t="shared" si="2"/>
        <v>0d</v>
      </c>
      <c r="F9" s="318" t="str">
        <f t="shared" si="3"/>
        <v>6L</v>
      </c>
      <c r="G9" s="318" t="str">
        <f t="shared" si="4"/>
        <v>12L</v>
      </c>
      <c r="H9" s="319" t="str">
        <f t="shared" si="5"/>
        <v>GBP6L12L7Y_Quote</v>
      </c>
      <c r="I9" s="326" t="str">
        <f t="shared" si="7"/>
        <v>GbpLiborSwapIsda7Y</v>
      </c>
      <c r="J9" s="321" t="str">
        <f t="shared" si="6"/>
        <v>GBPSB6L7Y_S6L12L_Quote</v>
      </c>
      <c r="K9" s="321" t="str">
        <f>_xll.qlForwardSwapQuote(J9,I9,H9,E9,Permanent,Trigger,ObjectOverwrite)</f>
        <v>GBPSB6L7Y_S6L12L_Quote#0003</v>
      </c>
      <c r="L9" s="322" t="str">
        <f>_xll.ohRangeRetrieveError(K9)</f>
        <v/>
      </c>
      <c r="M9" s="313"/>
    </row>
    <row r="10" spans="1:20" x14ac:dyDescent="0.2">
      <c r="A10" s="308"/>
      <c r="B10" s="317" t="s">
        <v>193</v>
      </c>
      <c r="C10" s="318" t="str">
        <f t="shared" si="0"/>
        <v>SB</v>
      </c>
      <c r="D10" s="318" t="str">
        <f t="shared" si="1"/>
        <v>6L</v>
      </c>
      <c r="E10" s="318" t="str">
        <f t="shared" si="2"/>
        <v>0d</v>
      </c>
      <c r="F10" s="318" t="str">
        <f t="shared" si="3"/>
        <v>6L</v>
      </c>
      <c r="G10" s="318" t="str">
        <f t="shared" si="4"/>
        <v>12L</v>
      </c>
      <c r="H10" s="319" t="str">
        <f t="shared" si="5"/>
        <v>GBP6L12L8Y_Quote</v>
      </c>
      <c r="I10" s="326" t="str">
        <f t="shared" si="7"/>
        <v>GbpLiborSwapIsda8Y</v>
      </c>
      <c r="J10" s="321" t="str">
        <f t="shared" si="6"/>
        <v>GBPSB6L8Y_S6L12L_Quote</v>
      </c>
      <c r="K10" s="321" t="str">
        <f>_xll.qlForwardSwapQuote(J10,I10,H10,E10,Permanent,Trigger,ObjectOverwrite)</f>
        <v>GBPSB6L8Y_S6L12L_Quote#0003</v>
      </c>
      <c r="L10" s="322" t="str">
        <f>_xll.ohRangeRetrieveError(K10)</f>
        <v/>
      </c>
      <c r="M10" s="313"/>
    </row>
    <row r="11" spans="1:20" x14ac:dyDescent="0.2">
      <c r="A11" s="308"/>
      <c r="B11" s="317" t="s">
        <v>194</v>
      </c>
      <c r="C11" s="318" t="str">
        <f t="shared" si="0"/>
        <v>SB</v>
      </c>
      <c r="D11" s="318" t="str">
        <f t="shared" si="1"/>
        <v>6L</v>
      </c>
      <c r="E11" s="318" t="str">
        <f t="shared" si="2"/>
        <v>0d</v>
      </c>
      <c r="F11" s="318" t="str">
        <f t="shared" si="3"/>
        <v>6L</v>
      </c>
      <c r="G11" s="318" t="str">
        <f t="shared" si="4"/>
        <v>12L</v>
      </c>
      <c r="H11" s="319" t="str">
        <f t="shared" si="5"/>
        <v>GBP6L12L9Y_Quote</v>
      </c>
      <c r="I11" s="326" t="str">
        <f t="shared" si="7"/>
        <v>GbpLiborSwapIsda9Y</v>
      </c>
      <c r="J11" s="321" t="str">
        <f t="shared" si="6"/>
        <v>GBPSB6L9Y_S6L12L_Quote</v>
      </c>
      <c r="K11" s="321" t="str">
        <f>_xll.qlForwardSwapQuote(J11,I11,H11,E11,Permanent,Trigger,ObjectOverwrite)</f>
        <v>GBPSB6L9Y_S6L12L_Quote#0003</v>
      </c>
      <c r="L11" s="322" t="str">
        <f>_xll.ohRangeRetrieveError(K11)</f>
        <v/>
      </c>
      <c r="M11" s="313"/>
    </row>
    <row r="12" spans="1:20" x14ac:dyDescent="0.2">
      <c r="A12" s="308"/>
      <c r="B12" s="317" t="s">
        <v>195</v>
      </c>
      <c r="C12" s="318" t="str">
        <f t="shared" si="0"/>
        <v>SB</v>
      </c>
      <c r="D12" s="318" t="str">
        <f t="shared" si="1"/>
        <v>6L</v>
      </c>
      <c r="E12" s="318" t="str">
        <f t="shared" si="2"/>
        <v>0d</v>
      </c>
      <c r="F12" s="318" t="str">
        <f t="shared" si="3"/>
        <v>6L</v>
      </c>
      <c r="G12" s="318" t="str">
        <f t="shared" si="4"/>
        <v>12L</v>
      </c>
      <c r="H12" s="319" t="str">
        <f t="shared" si="5"/>
        <v>GBP6L12L10Y_Quote</v>
      </c>
      <c r="I12" s="326" t="str">
        <f t="shared" si="7"/>
        <v>GbpLiborSwapIsda10Y</v>
      </c>
      <c r="J12" s="321" t="str">
        <f t="shared" si="6"/>
        <v>GBPSB6L10Y_S6L12L_Quote</v>
      </c>
      <c r="K12" s="321" t="str">
        <f>_xll.qlForwardSwapQuote(J12,I12,H12,E12,Permanent,Trigger,ObjectOverwrite)</f>
        <v>GBPSB6L10Y_S6L12L_Quote#0003</v>
      </c>
      <c r="L12" s="322" t="str">
        <f>_xll.ohRangeRetrieveError(K12)</f>
        <v/>
      </c>
      <c r="M12" s="313"/>
    </row>
    <row r="13" spans="1:20" x14ac:dyDescent="0.2">
      <c r="A13" s="308"/>
      <c r="B13" s="317" t="s">
        <v>196</v>
      </c>
      <c r="C13" s="318" t="str">
        <f t="shared" si="0"/>
        <v>SB</v>
      </c>
      <c r="D13" s="318" t="str">
        <f t="shared" si="1"/>
        <v>6L</v>
      </c>
      <c r="E13" s="318" t="str">
        <f t="shared" si="2"/>
        <v>0d</v>
      </c>
      <c r="F13" s="318" t="str">
        <f t="shared" si="3"/>
        <v>6L</v>
      </c>
      <c r="G13" s="318" t="str">
        <f t="shared" si="4"/>
        <v>12L</v>
      </c>
      <c r="H13" s="319" t="str">
        <f t="shared" si="5"/>
        <v>GBP6L12L11Y_Quote</v>
      </c>
      <c r="I13" s="326" t="str">
        <f t="shared" si="7"/>
        <v>GbpLiborSwapIsda11Y</v>
      </c>
      <c r="J13" s="321" t="str">
        <f t="shared" si="6"/>
        <v>GBPSB6L11Y_S6L12L_Quote</v>
      </c>
      <c r="K13" s="321" t="str">
        <f>_xll.qlForwardSwapQuote(J13,I13,H13,E13,Permanent,Trigger,ObjectOverwrite)</f>
        <v>GBPSB6L11Y_S6L12L_Quote#0003</v>
      </c>
      <c r="L13" s="322" t="str">
        <f>_xll.ohRangeRetrieveError(K13)</f>
        <v/>
      </c>
      <c r="M13" s="313"/>
    </row>
    <row r="14" spans="1:20" x14ac:dyDescent="0.2">
      <c r="A14" s="308"/>
      <c r="B14" s="317" t="s">
        <v>197</v>
      </c>
      <c r="C14" s="318" t="str">
        <f t="shared" si="0"/>
        <v>SB</v>
      </c>
      <c r="D14" s="318" t="str">
        <f t="shared" si="1"/>
        <v>6L</v>
      </c>
      <c r="E14" s="318" t="str">
        <f t="shared" si="2"/>
        <v>0d</v>
      </c>
      <c r="F14" s="318" t="str">
        <f t="shared" si="3"/>
        <v>6L</v>
      </c>
      <c r="G14" s="318" t="str">
        <f t="shared" si="4"/>
        <v>12L</v>
      </c>
      <c r="H14" s="319" t="str">
        <f t="shared" si="5"/>
        <v>GBP6L12L12Y_Quote</v>
      </c>
      <c r="I14" s="326" t="str">
        <f t="shared" si="7"/>
        <v>GbpLiborSwapIsda12Y</v>
      </c>
      <c r="J14" s="321" t="str">
        <f t="shared" si="6"/>
        <v>GBPSB6L12Y_S6L12L_Quote</v>
      </c>
      <c r="K14" s="321" t="str">
        <f>_xll.qlForwardSwapQuote(J14,I14,H14,E14,Permanent,Trigger,ObjectOverwrite)</f>
        <v>GBPSB6L12Y_S6L12L_Quote#0003</v>
      </c>
      <c r="L14" s="322" t="str">
        <f>_xll.ohRangeRetrieveError(K14)</f>
        <v/>
      </c>
      <c r="M14" s="313"/>
    </row>
    <row r="15" spans="1:20" x14ac:dyDescent="0.2">
      <c r="A15" s="308"/>
      <c r="B15" s="317" t="s">
        <v>198</v>
      </c>
      <c r="C15" s="318" t="str">
        <f t="shared" si="0"/>
        <v>SB</v>
      </c>
      <c r="D15" s="318" t="str">
        <f t="shared" si="1"/>
        <v>6L</v>
      </c>
      <c r="E15" s="318" t="str">
        <f t="shared" si="2"/>
        <v>0d</v>
      </c>
      <c r="F15" s="318" t="str">
        <f t="shared" si="3"/>
        <v>6L</v>
      </c>
      <c r="G15" s="318" t="str">
        <f t="shared" si="4"/>
        <v>12L</v>
      </c>
      <c r="H15" s="319" t="str">
        <f t="shared" si="5"/>
        <v>GBP6L12L13Y_Quote</v>
      </c>
      <c r="I15" s="326" t="str">
        <f t="shared" si="7"/>
        <v>GbpLiborSwapIsda13Y</v>
      </c>
      <c r="J15" s="321" t="str">
        <f t="shared" si="6"/>
        <v>GBPSB6L13Y_S6L12L_Quote</v>
      </c>
      <c r="K15" s="321" t="str">
        <f>_xll.qlForwardSwapQuote(J15,I15,H15,E15,Permanent,Trigger,ObjectOverwrite)</f>
        <v>GBPSB6L13Y_S6L12L_Quote#0003</v>
      </c>
      <c r="L15" s="322" t="str">
        <f>_xll.ohRangeRetrieveError(K15)</f>
        <v/>
      </c>
      <c r="M15" s="313"/>
    </row>
    <row r="16" spans="1:20" x14ac:dyDescent="0.2">
      <c r="A16" s="308"/>
      <c r="B16" s="317" t="s">
        <v>199</v>
      </c>
      <c r="C16" s="318" t="str">
        <f t="shared" si="0"/>
        <v>SB</v>
      </c>
      <c r="D16" s="318" t="str">
        <f t="shared" si="1"/>
        <v>6L</v>
      </c>
      <c r="E16" s="318" t="str">
        <f t="shared" si="2"/>
        <v>0d</v>
      </c>
      <c r="F16" s="318" t="str">
        <f t="shared" si="3"/>
        <v>6L</v>
      </c>
      <c r="G16" s="318" t="str">
        <f t="shared" si="4"/>
        <v>12L</v>
      </c>
      <c r="H16" s="319" t="str">
        <f t="shared" si="5"/>
        <v>GBP6L12L14Y_Quote</v>
      </c>
      <c r="I16" s="326" t="str">
        <f t="shared" si="7"/>
        <v>GbpLiborSwapIsda14Y</v>
      </c>
      <c r="J16" s="321" t="str">
        <f t="shared" si="6"/>
        <v>GBPSB6L14Y_S6L12L_Quote</v>
      </c>
      <c r="K16" s="321" t="str">
        <f>_xll.qlForwardSwapQuote(J16,I16,H16,E16,Permanent,Trigger,ObjectOverwrite)</f>
        <v>GBPSB6L14Y_S6L12L_Quote#0003</v>
      </c>
      <c r="L16" s="322" t="str">
        <f>_xll.ohRangeRetrieveError(K16)</f>
        <v/>
      </c>
      <c r="M16" s="313"/>
    </row>
    <row r="17" spans="1:13" x14ac:dyDescent="0.2">
      <c r="A17" s="308"/>
      <c r="B17" s="317" t="s">
        <v>200</v>
      </c>
      <c r="C17" s="318" t="str">
        <f t="shared" si="0"/>
        <v>SB</v>
      </c>
      <c r="D17" s="318" t="str">
        <f t="shared" si="1"/>
        <v>6L</v>
      </c>
      <c r="E17" s="318" t="str">
        <f t="shared" si="2"/>
        <v>0d</v>
      </c>
      <c r="F17" s="318" t="str">
        <f t="shared" si="3"/>
        <v>6L</v>
      </c>
      <c r="G17" s="318" t="str">
        <f t="shared" si="4"/>
        <v>12L</v>
      </c>
      <c r="H17" s="319" t="str">
        <f t="shared" si="5"/>
        <v>GBP6L12L15Y_Quote</v>
      </c>
      <c r="I17" s="326" t="str">
        <f t="shared" si="7"/>
        <v>GbpLiborSwapIsda15Y</v>
      </c>
      <c r="J17" s="321" t="str">
        <f t="shared" si="6"/>
        <v>GBPSB6L15Y_S6L12L_Quote</v>
      </c>
      <c r="K17" s="321" t="str">
        <f>_xll.qlForwardSwapQuote(J17,I17,H17,E17,Permanent,Trigger,ObjectOverwrite)</f>
        <v>GBPSB6L15Y_S6L12L_Quote#0003</v>
      </c>
      <c r="L17" s="322" t="str">
        <f>_xll.ohRangeRetrieveError(K17)</f>
        <v/>
      </c>
      <c r="M17" s="313"/>
    </row>
    <row r="18" spans="1:13" x14ac:dyDescent="0.2">
      <c r="A18" s="308"/>
      <c r="B18" s="317" t="s">
        <v>201</v>
      </c>
      <c r="C18" s="318" t="str">
        <f t="shared" si="0"/>
        <v>SB</v>
      </c>
      <c r="D18" s="318" t="str">
        <f t="shared" si="1"/>
        <v>6L</v>
      </c>
      <c r="E18" s="318" t="str">
        <f t="shared" si="2"/>
        <v>0d</v>
      </c>
      <c r="F18" s="318" t="str">
        <f t="shared" si="3"/>
        <v>6L</v>
      </c>
      <c r="G18" s="318" t="str">
        <f t="shared" si="4"/>
        <v>12L</v>
      </c>
      <c r="H18" s="319" t="str">
        <f t="shared" si="5"/>
        <v>GBP6L12L16Y_Quote</v>
      </c>
      <c r="I18" s="326" t="str">
        <f t="shared" si="7"/>
        <v>GbpLiborSwapIsda16Y</v>
      </c>
      <c r="J18" s="321" t="str">
        <f t="shared" si="6"/>
        <v>GBPSB6L16Y_S6L12L_Quote</v>
      </c>
      <c r="K18" s="321" t="str">
        <f>_xll.qlForwardSwapQuote(J18,I18,H18,E18,Permanent,Trigger,ObjectOverwrite)</f>
        <v>GBPSB6L16Y_S6L12L_Quote#0003</v>
      </c>
      <c r="L18" s="322" t="str">
        <f>_xll.ohRangeRetrieveError(K18)</f>
        <v/>
      </c>
      <c r="M18" s="313"/>
    </row>
    <row r="19" spans="1:13" x14ac:dyDescent="0.2">
      <c r="A19" s="308"/>
      <c r="B19" s="317" t="s">
        <v>202</v>
      </c>
      <c r="C19" s="318" t="str">
        <f t="shared" si="0"/>
        <v>SB</v>
      </c>
      <c r="D19" s="318" t="str">
        <f t="shared" si="1"/>
        <v>6L</v>
      </c>
      <c r="E19" s="318" t="str">
        <f t="shared" si="2"/>
        <v>0d</v>
      </c>
      <c r="F19" s="318" t="str">
        <f t="shared" si="3"/>
        <v>6L</v>
      </c>
      <c r="G19" s="318" t="str">
        <f t="shared" si="4"/>
        <v>12L</v>
      </c>
      <c r="H19" s="319" t="str">
        <f t="shared" si="5"/>
        <v>GBP6L12L17Y_Quote</v>
      </c>
      <c r="I19" s="326" t="str">
        <f t="shared" si="7"/>
        <v>GbpLiborSwapIsda17Y</v>
      </c>
      <c r="J19" s="321" t="str">
        <f t="shared" si="6"/>
        <v>GBPSB6L17Y_S6L12L_Quote</v>
      </c>
      <c r="K19" s="321" t="str">
        <f>_xll.qlForwardSwapQuote(J19,I19,H19,E19,Permanent,Trigger,ObjectOverwrite)</f>
        <v>GBPSB6L17Y_S6L12L_Quote#0003</v>
      </c>
      <c r="L19" s="322" t="str">
        <f>_xll.ohRangeRetrieveError(K19)</f>
        <v/>
      </c>
      <c r="M19" s="313"/>
    </row>
    <row r="20" spans="1:13" x14ac:dyDescent="0.2">
      <c r="A20" s="308"/>
      <c r="B20" s="317" t="s">
        <v>203</v>
      </c>
      <c r="C20" s="318" t="str">
        <f t="shared" si="0"/>
        <v>SB</v>
      </c>
      <c r="D20" s="318" t="str">
        <f t="shared" si="1"/>
        <v>6L</v>
      </c>
      <c r="E20" s="318" t="str">
        <f t="shared" si="2"/>
        <v>0d</v>
      </c>
      <c r="F20" s="318" t="str">
        <f t="shared" si="3"/>
        <v>6L</v>
      </c>
      <c r="G20" s="318" t="str">
        <f t="shared" si="4"/>
        <v>12L</v>
      </c>
      <c r="H20" s="319" t="str">
        <f t="shared" si="5"/>
        <v>GBP6L12L18Y_Quote</v>
      </c>
      <c r="I20" s="326" t="str">
        <f t="shared" si="7"/>
        <v>GbpLiborSwapIsda18Y</v>
      </c>
      <c r="J20" s="321" t="str">
        <f t="shared" si="6"/>
        <v>GBPSB6L18Y_S6L12L_Quote</v>
      </c>
      <c r="K20" s="321" t="str">
        <f>_xll.qlForwardSwapQuote(J20,I20,H20,E20,Permanent,Trigger,ObjectOverwrite)</f>
        <v>GBPSB6L18Y_S6L12L_Quote#0003</v>
      </c>
      <c r="L20" s="322" t="str">
        <f>_xll.ohRangeRetrieveError(K20)</f>
        <v/>
      </c>
      <c r="M20" s="313"/>
    </row>
    <row r="21" spans="1:13" x14ac:dyDescent="0.2">
      <c r="A21" s="308"/>
      <c r="B21" s="317" t="s">
        <v>204</v>
      </c>
      <c r="C21" s="318" t="str">
        <f t="shared" si="0"/>
        <v>SB</v>
      </c>
      <c r="D21" s="318" t="str">
        <f t="shared" si="1"/>
        <v>6L</v>
      </c>
      <c r="E21" s="318" t="str">
        <f t="shared" si="2"/>
        <v>0d</v>
      </c>
      <c r="F21" s="318" t="str">
        <f t="shared" si="3"/>
        <v>6L</v>
      </c>
      <c r="G21" s="318" t="str">
        <f t="shared" si="4"/>
        <v>12L</v>
      </c>
      <c r="H21" s="319" t="str">
        <f t="shared" si="5"/>
        <v>GBP6L12L19Y_Quote</v>
      </c>
      <c r="I21" s="326" t="str">
        <f t="shared" si="7"/>
        <v>GbpLiborSwapIsda19Y</v>
      </c>
      <c r="J21" s="321" t="str">
        <f t="shared" si="6"/>
        <v>GBPSB6L19Y_S6L12L_Quote</v>
      </c>
      <c r="K21" s="321" t="str">
        <f>_xll.qlForwardSwapQuote(J21,I21,H21,E21,Permanent,Trigger,ObjectOverwrite)</f>
        <v>GBPSB6L19Y_S6L12L_Quote#0003</v>
      </c>
      <c r="L21" s="322" t="str">
        <f>_xll.ohRangeRetrieveError(K21)</f>
        <v/>
      </c>
      <c r="M21" s="313"/>
    </row>
    <row r="22" spans="1:13" x14ac:dyDescent="0.2">
      <c r="A22" s="308"/>
      <c r="B22" s="317" t="s">
        <v>205</v>
      </c>
      <c r="C22" s="318" t="str">
        <f t="shared" si="0"/>
        <v>SB</v>
      </c>
      <c r="D22" s="318" t="str">
        <f t="shared" si="1"/>
        <v>6L</v>
      </c>
      <c r="E22" s="318" t="str">
        <f t="shared" si="2"/>
        <v>0d</v>
      </c>
      <c r="F22" s="318" t="str">
        <f t="shared" si="3"/>
        <v>6L</v>
      </c>
      <c r="G22" s="318" t="str">
        <f t="shared" si="4"/>
        <v>12L</v>
      </c>
      <c r="H22" s="319" t="str">
        <f t="shared" si="5"/>
        <v>GBP6L12L20Y_Quote</v>
      </c>
      <c r="I22" s="326" t="str">
        <f t="shared" si="7"/>
        <v>GbpLiborSwapIsda20Y</v>
      </c>
      <c r="J22" s="321" t="str">
        <f t="shared" si="6"/>
        <v>GBPSB6L20Y_S6L12L_Quote</v>
      </c>
      <c r="K22" s="321" t="str">
        <f>_xll.qlForwardSwapQuote(J22,I22,H22,E22,Permanent,Trigger,ObjectOverwrite)</f>
        <v>GBPSB6L20Y_S6L12L_Quote#0003</v>
      </c>
      <c r="L22" s="322" t="str">
        <f>_xll.ohRangeRetrieveError(K22)</f>
        <v/>
      </c>
      <c r="M22" s="313"/>
    </row>
    <row r="23" spans="1:13" x14ac:dyDescent="0.2">
      <c r="A23" s="308"/>
      <c r="B23" s="317" t="s">
        <v>206</v>
      </c>
      <c r="C23" s="318" t="str">
        <f t="shared" si="0"/>
        <v>SB</v>
      </c>
      <c r="D23" s="318" t="str">
        <f t="shared" si="1"/>
        <v>6L</v>
      </c>
      <c r="E23" s="318" t="str">
        <f t="shared" si="2"/>
        <v>0d</v>
      </c>
      <c r="F23" s="318" t="str">
        <f t="shared" si="3"/>
        <v>6L</v>
      </c>
      <c r="G23" s="318" t="str">
        <f t="shared" si="4"/>
        <v>12L</v>
      </c>
      <c r="H23" s="319" t="str">
        <f t="shared" si="5"/>
        <v>GBP6L12L21Y_Quote</v>
      </c>
      <c r="I23" s="326" t="str">
        <f t="shared" si="7"/>
        <v>GbpLiborSwapIsda21Y</v>
      </c>
      <c r="J23" s="321" t="str">
        <f t="shared" si="6"/>
        <v>GBPSB6L21Y_S6L12L_Quote</v>
      </c>
      <c r="K23" s="321" t="str">
        <f>_xll.qlForwardSwapQuote(J23,I23,H23,E23,Permanent,Trigger,ObjectOverwrite)</f>
        <v>GBPSB6L21Y_S6L12L_Quote#0003</v>
      </c>
      <c r="L23" s="322" t="str">
        <f>_xll.ohRangeRetrieveError(K23)</f>
        <v/>
      </c>
      <c r="M23" s="313"/>
    </row>
    <row r="24" spans="1:13" x14ac:dyDescent="0.2">
      <c r="A24" s="308"/>
      <c r="B24" s="317" t="s">
        <v>207</v>
      </c>
      <c r="C24" s="318" t="str">
        <f t="shared" si="0"/>
        <v>SB</v>
      </c>
      <c r="D24" s="318" t="str">
        <f t="shared" si="1"/>
        <v>6L</v>
      </c>
      <c r="E24" s="318" t="str">
        <f t="shared" si="2"/>
        <v>0d</v>
      </c>
      <c r="F24" s="318" t="str">
        <f t="shared" si="3"/>
        <v>6L</v>
      </c>
      <c r="G24" s="318" t="str">
        <f t="shared" si="4"/>
        <v>12L</v>
      </c>
      <c r="H24" s="319" t="str">
        <f t="shared" si="5"/>
        <v>GBP6L12L22Y_Quote</v>
      </c>
      <c r="I24" s="326" t="str">
        <f t="shared" si="7"/>
        <v>GbpLiborSwapIsda22Y</v>
      </c>
      <c r="J24" s="321" t="str">
        <f t="shared" si="6"/>
        <v>GBPSB6L22Y_S6L12L_Quote</v>
      </c>
      <c r="K24" s="321" t="str">
        <f>_xll.qlForwardSwapQuote(J24,I24,H24,E24,Permanent,Trigger,ObjectOverwrite)</f>
        <v>GBPSB6L22Y_S6L12L_Quote#0003</v>
      </c>
      <c r="L24" s="322" t="str">
        <f>_xll.ohRangeRetrieveError(K24)</f>
        <v/>
      </c>
      <c r="M24" s="313"/>
    </row>
    <row r="25" spans="1:13" x14ac:dyDescent="0.2">
      <c r="A25" s="308"/>
      <c r="B25" s="317" t="s">
        <v>208</v>
      </c>
      <c r="C25" s="318" t="str">
        <f t="shared" si="0"/>
        <v>SB</v>
      </c>
      <c r="D25" s="318" t="str">
        <f t="shared" si="1"/>
        <v>6L</v>
      </c>
      <c r="E25" s="318" t="str">
        <f t="shared" si="2"/>
        <v>0d</v>
      </c>
      <c r="F25" s="318" t="str">
        <f t="shared" si="3"/>
        <v>6L</v>
      </c>
      <c r="G25" s="318" t="str">
        <f t="shared" si="4"/>
        <v>12L</v>
      </c>
      <c r="H25" s="319" t="str">
        <f t="shared" si="5"/>
        <v>GBP6L12L23Y_Quote</v>
      </c>
      <c r="I25" s="326" t="str">
        <f t="shared" si="7"/>
        <v>GbpLiborSwapIsda23Y</v>
      </c>
      <c r="J25" s="321" t="str">
        <f t="shared" si="6"/>
        <v>GBPSB6L23Y_S6L12L_Quote</v>
      </c>
      <c r="K25" s="321" t="str">
        <f>_xll.qlForwardSwapQuote(J25,I25,H25,E25,Permanent,Trigger,ObjectOverwrite)</f>
        <v>GBPSB6L23Y_S6L12L_Quote#0003</v>
      </c>
      <c r="L25" s="322" t="str">
        <f>_xll.ohRangeRetrieveError(K25)</f>
        <v/>
      </c>
      <c r="M25" s="313"/>
    </row>
    <row r="26" spans="1:13" x14ac:dyDescent="0.2">
      <c r="A26" s="308"/>
      <c r="B26" s="317" t="s">
        <v>209</v>
      </c>
      <c r="C26" s="318" t="str">
        <f t="shared" si="0"/>
        <v>SB</v>
      </c>
      <c r="D26" s="318" t="str">
        <f t="shared" si="1"/>
        <v>6L</v>
      </c>
      <c r="E26" s="318" t="str">
        <f t="shared" si="2"/>
        <v>0d</v>
      </c>
      <c r="F26" s="318" t="str">
        <f t="shared" si="3"/>
        <v>6L</v>
      </c>
      <c r="G26" s="318" t="str">
        <f t="shared" si="4"/>
        <v>12L</v>
      </c>
      <c r="H26" s="319" t="str">
        <f t="shared" si="5"/>
        <v>GBP6L12L24Y_Quote</v>
      </c>
      <c r="I26" s="326" t="str">
        <f t="shared" si="7"/>
        <v>GbpLiborSwapIsda24Y</v>
      </c>
      <c r="J26" s="321" t="str">
        <f t="shared" si="6"/>
        <v>GBPSB6L24Y_S6L12L_Quote</v>
      </c>
      <c r="K26" s="321" t="str">
        <f>_xll.qlForwardSwapQuote(J26,I26,H26,E26,Permanent,Trigger,ObjectOverwrite)</f>
        <v>GBPSB6L24Y_S6L12L_Quote#0003</v>
      </c>
      <c r="L26" s="322" t="str">
        <f>_xll.ohRangeRetrieveError(K26)</f>
        <v/>
      </c>
      <c r="M26" s="313"/>
    </row>
    <row r="27" spans="1:13" x14ac:dyDescent="0.2">
      <c r="A27" s="308"/>
      <c r="B27" s="317" t="s">
        <v>210</v>
      </c>
      <c r="C27" s="318" t="str">
        <f t="shared" si="0"/>
        <v>SB</v>
      </c>
      <c r="D27" s="318" t="str">
        <f t="shared" si="1"/>
        <v>6L</v>
      </c>
      <c r="E27" s="318" t="str">
        <f t="shared" si="2"/>
        <v>0d</v>
      </c>
      <c r="F27" s="318" t="str">
        <f t="shared" si="3"/>
        <v>6L</v>
      </c>
      <c r="G27" s="318" t="str">
        <f t="shared" si="4"/>
        <v>12L</v>
      </c>
      <c r="H27" s="319" t="str">
        <f t="shared" si="5"/>
        <v>GBP6L12L25Y_Quote</v>
      </c>
      <c r="I27" s="326" t="str">
        <f t="shared" si="7"/>
        <v>GbpLiborSwapIsda25Y</v>
      </c>
      <c r="J27" s="321" t="str">
        <f t="shared" si="6"/>
        <v>GBPSB6L25Y_S6L12L_Quote</v>
      </c>
      <c r="K27" s="321" t="str">
        <f>_xll.qlForwardSwapQuote(J27,I27,H27,E27,Permanent,Trigger,ObjectOverwrite)</f>
        <v>GBPSB6L25Y_S6L12L_Quote#0003</v>
      </c>
      <c r="L27" s="322" t="str">
        <f>_xll.ohRangeRetrieveError(K27)</f>
        <v/>
      </c>
      <c r="M27" s="313"/>
    </row>
    <row r="28" spans="1:13" x14ac:dyDescent="0.2">
      <c r="A28" s="308"/>
      <c r="B28" s="317" t="s">
        <v>211</v>
      </c>
      <c r="C28" s="318" t="str">
        <f t="shared" si="0"/>
        <v>SB</v>
      </c>
      <c r="D28" s="318" t="str">
        <f t="shared" si="1"/>
        <v>6L</v>
      </c>
      <c r="E28" s="318" t="str">
        <f t="shared" si="2"/>
        <v>0d</v>
      </c>
      <c r="F28" s="318" t="str">
        <f t="shared" si="3"/>
        <v>6L</v>
      </c>
      <c r="G28" s="318" t="str">
        <f t="shared" si="4"/>
        <v>12L</v>
      </c>
      <c r="H28" s="319" t="str">
        <f t="shared" si="5"/>
        <v>GBP6L12L26Y_Quote</v>
      </c>
      <c r="I28" s="326" t="str">
        <f t="shared" si="7"/>
        <v>GbpLiborSwapIsda26Y</v>
      </c>
      <c r="J28" s="321" t="str">
        <f t="shared" si="6"/>
        <v>GBPSB6L26Y_S6L12L_Quote</v>
      </c>
      <c r="K28" s="321" t="str">
        <f>_xll.qlForwardSwapQuote(J28,I28,H28,E28,Permanent,Trigger,ObjectOverwrite)</f>
        <v>GBPSB6L26Y_S6L12L_Quote#0003</v>
      </c>
      <c r="L28" s="322" t="str">
        <f>_xll.ohRangeRetrieveError(K28)</f>
        <v/>
      </c>
      <c r="M28" s="313"/>
    </row>
    <row r="29" spans="1:13" x14ac:dyDescent="0.2">
      <c r="A29" s="308"/>
      <c r="B29" s="317" t="s">
        <v>212</v>
      </c>
      <c r="C29" s="318" t="str">
        <f t="shared" si="0"/>
        <v>SB</v>
      </c>
      <c r="D29" s="318" t="str">
        <f t="shared" si="1"/>
        <v>6L</v>
      </c>
      <c r="E29" s="318" t="str">
        <f t="shared" si="2"/>
        <v>0d</v>
      </c>
      <c r="F29" s="318" t="str">
        <f t="shared" si="3"/>
        <v>6L</v>
      </c>
      <c r="G29" s="318" t="str">
        <f t="shared" si="4"/>
        <v>12L</v>
      </c>
      <c r="H29" s="319" t="str">
        <f t="shared" si="5"/>
        <v>GBP6L12L27Y_Quote</v>
      </c>
      <c r="I29" s="326" t="str">
        <f t="shared" si="7"/>
        <v>GbpLiborSwapIsda27Y</v>
      </c>
      <c r="J29" s="321" t="str">
        <f t="shared" si="6"/>
        <v>GBPSB6L27Y_S6L12L_Quote</v>
      </c>
      <c r="K29" s="321" t="str">
        <f>_xll.qlForwardSwapQuote(J29,I29,H29,E29,Permanent,Trigger,ObjectOverwrite)</f>
        <v>GBPSB6L27Y_S6L12L_Quote#0003</v>
      </c>
      <c r="L29" s="322" t="str">
        <f>_xll.ohRangeRetrieveError(K29)</f>
        <v/>
      </c>
      <c r="M29" s="313"/>
    </row>
    <row r="30" spans="1:13" x14ac:dyDescent="0.2">
      <c r="A30" s="308"/>
      <c r="B30" s="317" t="s">
        <v>213</v>
      </c>
      <c r="C30" s="318" t="str">
        <f t="shared" si="0"/>
        <v>SB</v>
      </c>
      <c r="D30" s="318" t="str">
        <f t="shared" si="1"/>
        <v>6L</v>
      </c>
      <c r="E30" s="318" t="str">
        <f t="shared" si="2"/>
        <v>0d</v>
      </c>
      <c r="F30" s="318" t="str">
        <f t="shared" si="3"/>
        <v>6L</v>
      </c>
      <c r="G30" s="318" t="str">
        <f t="shared" si="4"/>
        <v>12L</v>
      </c>
      <c r="H30" s="319" t="str">
        <f t="shared" si="5"/>
        <v>GBP6L12L28Y_Quote</v>
      </c>
      <c r="I30" s="326" t="str">
        <f t="shared" si="7"/>
        <v>GbpLiborSwapIsda28Y</v>
      </c>
      <c r="J30" s="321" t="str">
        <f t="shared" si="6"/>
        <v>GBPSB6L28Y_S6L12L_Quote</v>
      </c>
      <c r="K30" s="321" t="str">
        <f>_xll.qlForwardSwapQuote(J30,I30,H30,E30,Permanent,Trigger,ObjectOverwrite)</f>
        <v>GBPSB6L28Y_S6L12L_Quote#0003</v>
      </c>
      <c r="L30" s="322" t="str">
        <f>_xll.ohRangeRetrieveError(K30)</f>
        <v/>
      </c>
      <c r="M30" s="313"/>
    </row>
    <row r="31" spans="1:13" x14ac:dyDescent="0.2">
      <c r="A31" s="308"/>
      <c r="B31" s="317" t="s">
        <v>214</v>
      </c>
      <c r="C31" s="318" t="str">
        <f t="shared" si="0"/>
        <v>SB</v>
      </c>
      <c r="D31" s="318" t="str">
        <f t="shared" si="1"/>
        <v>6L</v>
      </c>
      <c r="E31" s="318" t="str">
        <f t="shared" si="2"/>
        <v>0d</v>
      </c>
      <c r="F31" s="318" t="str">
        <f t="shared" si="3"/>
        <v>6L</v>
      </c>
      <c r="G31" s="318" t="str">
        <f t="shared" si="4"/>
        <v>12L</v>
      </c>
      <c r="H31" s="319" t="str">
        <f t="shared" si="5"/>
        <v>GBP6L12L29Y_Quote</v>
      </c>
      <c r="I31" s="326" t="str">
        <f t="shared" si="7"/>
        <v>GbpLiborSwapIsda29Y</v>
      </c>
      <c r="J31" s="321" t="str">
        <f t="shared" si="6"/>
        <v>GBPSB6L29Y_S6L12L_Quote</v>
      </c>
      <c r="K31" s="321" t="str">
        <f>_xll.qlForwardSwapQuote(J31,I31,H31,E31,Permanent,Trigger,ObjectOverwrite)</f>
        <v>GBPSB6L29Y_S6L12L_Quote#0003</v>
      </c>
      <c r="L31" s="322" t="str">
        <f>_xll.ohRangeRetrieveError(K31)</f>
        <v/>
      </c>
      <c r="M31" s="313"/>
    </row>
    <row r="32" spans="1:13" x14ac:dyDescent="0.2">
      <c r="A32" s="308"/>
      <c r="B32" s="317" t="s">
        <v>215</v>
      </c>
      <c r="C32" s="318" t="str">
        <f t="shared" si="0"/>
        <v>SB</v>
      </c>
      <c r="D32" s="318" t="str">
        <f t="shared" si="1"/>
        <v>6L</v>
      </c>
      <c r="E32" s="318" t="str">
        <f t="shared" si="2"/>
        <v>0d</v>
      </c>
      <c r="F32" s="318" t="str">
        <f t="shared" si="3"/>
        <v>6L</v>
      </c>
      <c r="G32" s="318" t="str">
        <f t="shared" si="4"/>
        <v>12L</v>
      </c>
      <c r="H32" s="319" t="str">
        <f t="shared" si="5"/>
        <v>GBP6L12L30Y_Quote</v>
      </c>
      <c r="I32" s="326" t="str">
        <f t="shared" si="7"/>
        <v>GbpLiborSwapIsda30Y</v>
      </c>
      <c r="J32" s="321" t="str">
        <f t="shared" si="6"/>
        <v>GBPSB6L30Y_S6L12L_Quote</v>
      </c>
      <c r="K32" s="321" t="str">
        <f>_xll.qlForwardSwapQuote(J32,I32,H32,E32,Permanent,Trigger,ObjectOverwrite)</f>
        <v>GBPSB6L30Y_S6L12L_Quote#0003</v>
      </c>
      <c r="L32" s="322" t="str">
        <f>_xll.ohRangeRetrieveError(K32)</f>
        <v/>
      </c>
      <c r="M32" s="313"/>
    </row>
    <row r="33" spans="1:13" x14ac:dyDescent="0.2">
      <c r="A33" s="308"/>
      <c r="B33" s="317" t="s">
        <v>216</v>
      </c>
      <c r="C33" s="318" t="str">
        <f t="shared" si="0"/>
        <v>SB</v>
      </c>
      <c r="D33" s="318" t="str">
        <f t="shared" si="1"/>
        <v>6L</v>
      </c>
      <c r="E33" s="318" t="str">
        <f t="shared" si="2"/>
        <v>0d</v>
      </c>
      <c r="F33" s="318" t="str">
        <f t="shared" si="3"/>
        <v>6L</v>
      </c>
      <c r="G33" s="318" t="str">
        <f t="shared" si="4"/>
        <v>12L</v>
      </c>
      <c r="H33" s="319" t="str">
        <f t="shared" si="5"/>
        <v>GBP6L12L35Y_Quote</v>
      </c>
      <c r="I33" s="326" t="str">
        <f t="shared" si="7"/>
        <v>GbpLiborSwapIsda35Y</v>
      </c>
      <c r="J33" s="321" t="str">
        <f t="shared" si="6"/>
        <v>GBPSB6L35Y_S6L12L_Quote</v>
      </c>
      <c r="K33" s="321" t="str">
        <f>_xll.qlForwardSwapQuote(J33,I33,H33,E33,Permanent,Trigger,ObjectOverwrite)</f>
        <v>GBPSB6L35Y_S6L12L_Quote#0003</v>
      </c>
      <c r="L33" s="322" t="str">
        <f>_xll.ohRangeRetrieveError(K33)</f>
        <v/>
      </c>
      <c r="M33" s="313"/>
    </row>
    <row r="34" spans="1:13" x14ac:dyDescent="0.2">
      <c r="A34" s="308"/>
      <c r="B34" s="317" t="s">
        <v>217</v>
      </c>
      <c r="C34" s="318" t="str">
        <f t="shared" si="0"/>
        <v>SB</v>
      </c>
      <c r="D34" s="318" t="str">
        <f t="shared" si="1"/>
        <v>6L</v>
      </c>
      <c r="E34" s="318" t="str">
        <f t="shared" si="2"/>
        <v>0d</v>
      </c>
      <c r="F34" s="318" t="str">
        <f t="shared" si="3"/>
        <v>6L</v>
      </c>
      <c r="G34" s="318" t="str">
        <f t="shared" si="4"/>
        <v>12L</v>
      </c>
      <c r="H34" s="319" t="str">
        <f t="shared" si="5"/>
        <v>GBP6L12L40Y_Quote</v>
      </c>
      <c r="I34" s="326" t="str">
        <f t="shared" si="7"/>
        <v>GbpLiborSwapIsda40Y</v>
      </c>
      <c r="J34" s="321" t="str">
        <f t="shared" si="6"/>
        <v>GBPSB6L40Y_S6L12L_Quote</v>
      </c>
      <c r="K34" s="321" t="str">
        <f>_xll.qlForwardSwapQuote(J34,I34,H34,E34,Permanent,Trigger,ObjectOverwrite)</f>
        <v>GBPSB6L40Y_S6L12L_Quote#0003</v>
      </c>
      <c r="L34" s="322" t="str">
        <f>_xll.ohRangeRetrieveError(K34)</f>
        <v/>
      </c>
      <c r="M34" s="313"/>
    </row>
    <row r="35" spans="1:13" x14ac:dyDescent="0.2">
      <c r="A35" s="308"/>
      <c r="B35" s="317" t="s">
        <v>218</v>
      </c>
      <c r="C35" s="318" t="str">
        <f t="shared" si="0"/>
        <v>SB</v>
      </c>
      <c r="D35" s="318" t="str">
        <f t="shared" si="1"/>
        <v>6L</v>
      </c>
      <c r="E35" s="318" t="str">
        <f t="shared" si="2"/>
        <v>0d</v>
      </c>
      <c r="F35" s="318" t="str">
        <f t="shared" si="3"/>
        <v>6L</v>
      </c>
      <c r="G35" s="318" t="str">
        <f t="shared" si="4"/>
        <v>12L</v>
      </c>
      <c r="H35" s="319" t="str">
        <f t="shared" si="5"/>
        <v>GBP6L12L50Y_Quote</v>
      </c>
      <c r="I35" s="326" t="str">
        <f t="shared" si="7"/>
        <v>GbpLiborSwapIsda50Y</v>
      </c>
      <c r="J35" s="321" t="str">
        <f t="shared" si="6"/>
        <v>GBPSB6L50Y_S6L12L_Quote</v>
      </c>
      <c r="K35" s="321" t="str">
        <f>_xll.qlForwardSwapQuote(J35,I35,H35,E35,Permanent,Trigger,ObjectOverwrite)</f>
        <v>GBPSB6L50Y_S6L12L_Quote#0003</v>
      </c>
      <c r="L35" s="322" t="str">
        <f>_xll.ohRangeRetrieveError(K35)</f>
        <v/>
      </c>
      <c r="M35" s="313"/>
    </row>
    <row r="36" spans="1:13" x14ac:dyDescent="0.2">
      <c r="A36" s="308"/>
      <c r="B36" s="317" t="s">
        <v>219</v>
      </c>
      <c r="C36" s="318" t="str">
        <f t="shared" si="0"/>
        <v>SB</v>
      </c>
      <c r="D36" s="318" t="str">
        <f t="shared" si="1"/>
        <v>6L</v>
      </c>
      <c r="E36" s="318" t="str">
        <f t="shared" si="2"/>
        <v>0d</v>
      </c>
      <c r="F36" s="318" t="str">
        <f t="shared" si="3"/>
        <v>6L</v>
      </c>
      <c r="G36" s="318" t="str">
        <f t="shared" si="4"/>
        <v>12L</v>
      </c>
      <c r="H36" s="319" t="str">
        <f t="shared" si="5"/>
        <v>GBP6L12L60Y_Quote</v>
      </c>
      <c r="I36" s="326" t="str">
        <f t="shared" si="7"/>
        <v>GbpLiborSwapIsda60Y</v>
      </c>
      <c r="J36" s="321" t="str">
        <f t="shared" si="6"/>
        <v>GBPSB6L60Y_S6L12L_Quote</v>
      </c>
      <c r="K36" s="321" t="str">
        <f>_xll.qlForwardSwapQuote(J36,I36,H36,E36,Permanent,Trigger,ObjectOverwrite)</f>
        <v>GBPSB6L60Y_S6L12L_Quote#0003</v>
      </c>
      <c r="L36" s="322" t="str">
        <f>_xll.ohRangeRetrieveError(K36)</f>
        <v/>
      </c>
      <c r="M36" s="313"/>
    </row>
    <row r="37" spans="1:13" ht="12" thickBot="1" x14ac:dyDescent="0.25">
      <c r="A37" s="330"/>
      <c r="B37" s="331"/>
      <c r="C37" s="331"/>
      <c r="D37" s="331"/>
      <c r="E37" s="331"/>
      <c r="F37" s="331"/>
      <c r="G37" s="331"/>
      <c r="H37" s="331"/>
      <c r="I37" s="331"/>
      <c r="J37" s="331"/>
      <c r="K37" s="332"/>
      <c r="L37" s="332"/>
      <c r="M37" s="33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 Settings</vt:lpstr>
      <vt:lpstr>SynthDepo</vt:lpstr>
      <vt:lpstr>RateHelpersFRA</vt:lpstr>
      <vt:lpstr>SynthFRA</vt:lpstr>
      <vt:lpstr>Contribution</vt:lpstr>
      <vt:lpstr>Swaps1Y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FamilyName</vt:lpstr>
      <vt:lpstr>FileOverwrite</vt:lpstr>
      <vt:lpstr>FixingType</vt:lpstr>
      <vt:lpstr>IborIndex</vt:lpstr>
      <vt:lpstr>IborTenor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Months12M</vt:lpstr>
      <vt:lpstr>Contribution!Months1M</vt:lpstr>
      <vt:lpstr>Months3M</vt:lpstr>
      <vt:lpstr>Months6M</vt:lpstr>
      <vt:lpstr>NDays</vt:lpstr>
      <vt:lpstr>ObjectOverwrite</vt:lpstr>
      <vt:lpstr>OisCurve</vt:lpstr>
      <vt:lpstr>OisEngine</vt:lpstr>
      <vt:lpstr>OvernightIndex</vt:lpstr>
      <vt:lpstr>Permanent</vt:lpstr>
      <vt:lpstr>SynthFRA!Print_Area</vt:lpstr>
      <vt:lpstr>Quote</vt:lpstr>
      <vt:lpstr>QuoteLive</vt:lpstr>
      <vt:lpstr>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Tenor1Y</vt:lpstr>
      <vt:lpstr>Tenor3M</vt:lpstr>
      <vt:lpstr>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2008-10-02T09:42:40Z</cp:lastPrinted>
  <dcterms:created xsi:type="dcterms:W3CDTF">2007-10-30T15:41:10Z</dcterms:created>
  <dcterms:modified xsi:type="dcterms:W3CDTF">2014-08-07T15:53:45Z</dcterms:modified>
</cp:coreProperties>
</file>