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570" windowHeight="11250" tabRatio="826"/>
  </bookViews>
  <sheets>
    <sheet name="General Settings" sheetId="4" r:id="rId1"/>
    <sheet name="Depo_Calculation" sheetId="12" r:id="rId2"/>
    <sheet name="Contribution" sheetId="25" r:id="rId3"/>
  </sheets>
  <externalReferences>
    <externalReference r:id="rId4"/>
  </externalReferences>
  <definedNames>
    <definedName name="AllTriggers">'General Settings'!$I$17:$I$20</definedName>
    <definedName name="Calendar">'General Settings'!$D$28</definedName>
    <definedName name="Currency">'General Settings'!$D$4</definedName>
    <definedName name="EvaluationDate">'General Settings'!$I$18</definedName>
    <definedName name="FamilyName">'General Settings'!$D$6</definedName>
    <definedName name="FileOverwrite">'General Settings'!$I$8</definedName>
    <definedName name="InterestRatesTrigger">'General Settings'!$I$19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borCalendar">'General Settings'!$D$26</definedName>
    <definedName name="LiveDataFeed">'General Settings'!$D$12</definedName>
    <definedName name="LocalCalendar">'General Settings'!$D$25</definedName>
    <definedName name="Months12M" localSheetId="2">Contribution!$A$25</definedName>
    <definedName name="Months1M" localSheetId="2">Contribution!$A$3</definedName>
    <definedName name="Months3M" localSheetId="2">Contribution!$A$8</definedName>
    <definedName name="Months6M" localSheetId="2">Contribution!$A$15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2">Contribution!$N$3:$N$40</definedName>
    <definedName name="QuoteLive" localSheetId="2">Contribution!$J$3:$J$40</definedName>
    <definedName name="QuoteStatic" localSheetId="2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2">Contribution!$A$26</definedName>
    <definedName name="Tenor1M" localSheetId="2">Contribution!$A$4</definedName>
    <definedName name="Tenor3M" localSheetId="2">Contribution!$A$9</definedName>
    <definedName name="Tenor6M" localSheetId="2">Contribution!$A$16</definedName>
    <definedName name="Trigger">'General Settings'!$I$17</definedName>
  </definedNames>
  <calcPr calcId="145621"/>
</workbook>
</file>

<file path=xl/calcChain.xml><?xml version="1.0" encoding="utf-8"?>
<calcChain xmlns="http://schemas.openxmlformats.org/spreadsheetml/2006/main">
  <c r="G4" i="12" l="1"/>
  <c r="E2" i="12"/>
  <c r="F4" i="12"/>
  <c r="E5" i="12"/>
  <c r="E3" i="12"/>
  <c r="F2" i="12"/>
  <c r="F5" i="12"/>
  <c r="F3" i="12" l="1"/>
  <c r="E4" i="12" s="1"/>
  <c r="N3" i="25" l="1" a="1"/>
  <c r="I20" i="4" l="1"/>
  <c r="D27" i="4"/>
  <c r="D28" i="4" l="1"/>
  <c r="A26" i="25"/>
  <c r="I8" i="12" l="1"/>
  <c r="I9" i="12"/>
  <c r="I18" i="4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17" i="4"/>
  <c r="N9" i="12" l="1"/>
  <c r="O8" i="12"/>
  <c r="N8" i="12"/>
  <c r="O9" i="12"/>
  <c r="D27" i="12"/>
  <c r="D20" i="12"/>
  <c r="D21" i="12"/>
  <c r="D22" i="12"/>
  <c r="D23" i="12"/>
  <c r="D24" i="12"/>
  <c r="D19" i="12"/>
  <c r="I18" i="12"/>
  <c r="I17" i="12"/>
  <c r="D13" i="12"/>
  <c r="D14" i="12"/>
  <c r="D12" i="12"/>
  <c r="D19" i="4"/>
  <c r="D20" i="4"/>
  <c r="A10" i="12"/>
  <c r="R9" i="12" l="1"/>
  <c r="P9" i="12"/>
  <c r="S9" i="12"/>
  <c r="S8" i="12"/>
  <c r="R8" i="12"/>
  <c r="P8" i="12"/>
  <c r="D5" i="12"/>
  <c r="D9" i="4"/>
  <c r="D18" i="4"/>
  <c r="E10" i="12"/>
  <c r="D2" i="25" l="1"/>
  <c r="C2" i="25"/>
  <c r="A16" i="25"/>
  <c r="A4" i="25"/>
  <c r="A9" i="25"/>
  <c r="A11" i="12"/>
  <c r="C9" i="25" l="1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13" i="25"/>
  <c r="D31" i="25"/>
  <c r="D11" i="25"/>
  <c r="D18" i="25"/>
  <c r="D25" i="25"/>
  <c r="D19" i="25"/>
  <c r="D36" i="25"/>
  <c r="D35" i="25"/>
  <c r="D21" i="25"/>
  <c r="D29" i="25"/>
  <c r="D6" i="25"/>
  <c r="D5" i="25"/>
  <c r="D3" i="25"/>
  <c r="D40" i="25"/>
  <c r="D39" i="25"/>
  <c r="D15" i="25"/>
  <c r="D32" i="25"/>
  <c r="D8" i="25"/>
  <c r="D34" i="25"/>
  <c r="D38" i="25"/>
  <c r="D30" i="25"/>
  <c r="D26" i="25"/>
  <c r="D7" i="25"/>
  <c r="D28" i="25"/>
  <c r="D10" i="25"/>
  <c r="D12" i="25"/>
  <c r="D24" i="25"/>
  <c r="D16" i="25"/>
  <c r="D20" i="25"/>
  <c r="D23" i="25"/>
  <c r="D9" i="25"/>
  <c r="D27" i="25"/>
  <c r="D33" i="25"/>
  <c r="D37" i="25"/>
  <c r="D14" i="25"/>
  <c r="D4" i="25"/>
  <c r="D22" i="25"/>
  <c r="D17" i="25"/>
  <c r="D10" i="12" l="1"/>
  <c r="D6" i="4"/>
  <c r="A16" i="12"/>
  <c r="A7" i="12"/>
  <c r="A26" i="12"/>
  <c r="A3" i="12"/>
  <c r="E28" i="25"/>
  <c r="E39" i="25"/>
  <c r="E21" i="12"/>
  <c r="F41" i="12"/>
  <c r="E8" i="25"/>
  <c r="E5" i="25"/>
  <c r="E13" i="12"/>
  <c r="F38" i="12"/>
  <c r="F44" i="12"/>
  <c r="E40" i="25"/>
  <c r="F34" i="12"/>
  <c r="E26" i="25"/>
  <c r="E24" i="12"/>
  <c r="E37" i="25"/>
  <c r="E16" i="25"/>
  <c r="E20" i="25"/>
  <c r="F49" i="12"/>
  <c r="E35" i="25"/>
  <c r="E17" i="25"/>
  <c r="E12" i="25"/>
  <c r="E22" i="12"/>
  <c r="F46" i="12"/>
  <c r="E23" i="12"/>
  <c r="F37" i="12"/>
  <c r="F47" i="12"/>
  <c r="E21" i="25"/>
  <c r="E7" i="25"/>
  <c r="E27" i="25"/>
  <c r="E25" i="25"/>
  <c r="E14" i="12"/>
  <c r="E9" i="25"/>
  <c r="B1" i="4"/>
  <c r="E4" i="25"/>
  <c r="F42" i="12"/>
  <c r="E30" i="25"/>
  <c r="E29" i="25"/>
  <c r="E33" i="25"/>
  <c r="E6" i="25"/>
  <c r="E14" i="25"/>
  <c r="E15" i="25"/>
  <c r="F36" i="12"/>
  <c r="F48" i="12"/>
  <c r="F35" i="12"/>
  <c r="E10" i="25"/>
  <c r="E24" i="25"/>
  <c r="E22" i="25"/>
  <c r="E20" i="12"/>
  <c r="F43" i="12"/>
  <c r="E27" i="12"/>
  <c r="E19" i="25"/>
  <c r="E12" i="12"/>
  <c r="E11" i="25"/>
  <c r="E38" i="25"/>
  <c r="E18" i="25"/>
  <c r="F39" i="12"/>
  <c r="E13" i="25"/>
  <c r="E19" i="12"/>
  <c r="F40" i="12"/>
  <c r="E23" i="25"/>
  <c r="E32" i="25"/>
  <c r="F45" i="12"/>
  <c r="E31" i="25"/>
  <c r="E34" i="25"/>
  <c r="E36" i="25"/>
  <c r="E3" i="25"/>
  <c r="D2" i="12" l="1"/>
  <c r="D6" i="12"/>
  <c r="D26" i="12"/>
  <c r="D16" i="12"/>
  <c r="D3" i="12"/>
  <c r="A17" i="12"/>
  <c r="A4" i="12"/>
  <c r="D7" i="12"/>
  <c r="A8" i="12"/>
  <c r="A27" i="12"/>
  <c r="D25" i="12"/>
  <c r="D15" i="12"/>
  <c r="E15" i="12"/>
  <c r="E25" i="12"/>
  <c r="E6" i="12"/>
  <c r="K37" i="12" s="1"/>
  <c r="N2" i="12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B35" i="12"/>
  <c r="F21" i="12"/>
  <c r="B42" i="12"/>
  <c r="B38" i="12"/>
  <c r="B45" i="12"/>
  <c r="F14" i="12"/>
  <c r="F6" i="12"/>
  <c r="F20" i="12"/>
  <c r="B37" i="12"/>
  <c r="B34" i="12"/>
  <c r="F23" i="12"/>
  <c r="B47" i="12"/>
  <c r="B36" i="12"/>
  <c r="F25" i="12"/>
  <c r="B48" i="12"/>
  <c r="B46" i="12"/>
  <c r="B40" i="12"/>
  <c r="B39" i="12"/>
  <c r="B43" i="12"/>
  <c r="F27" i="12"/>
  <c r="F22" i="12"/>
  <c r="F19" i="12"/>
  <c r="B41" i="12"/>
  <c r="B44" i="12"/>
  <c r="F24" i="12"/>
  <c r="F13" i="12"/>
  <c r="F12" i="12"/>
  <c r="F15" i="12"/>
  <c r="B49" i="12"/>
  <c r="E16" i="12"/>
  <c r="E26" i="12"/>
  <c r="E7" i="12"/>
  <c r="J8" i="12" l="1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O3" i="12"/>
  <c r="O4" i="12"/>
  <c r="F7" i="12"/>
  <c r="O6" i="12"/>
  <c r="S18" i="12"/>
  <c r="P18" i="12"/>
  <c r="R18" i="12"/>
  <c r="R17" i="12"/>
  <c r="S17" i="12"/>
  <c r="P17" i="12"/>
  <c r="B14" i="12"/>
  <c r="C48" i="12"/>
  <c r="B19" i="12"/>
  <c r="C49" i="12"/>
  <c r="C35" i="12"/>
  <c r="C44" i="12"/>
  <c r="B23" i="12"/>
  <c r="C40" i="12"/>
  <c r="B25" i="12"/>
  <c r="B15" i="12"/>
  <c r="C46" i="12"/>
  <c r="C47" i="12"/>
  <c r="B13" i="12"/>
  <c r="C41" i="12"/>
  <c r="C39" i="12"/>
  <c r="B27" i="12"/>
  <c r="B2" i="12"/>
  <c r="C38" i="12"/>
  <c r="B20" i="12"/>
  <c r="C37" i="12"/>
  <c r="B21" i="12"/>
  <c r="C36" i="12"/>
  <c r="C45" i="12"/>
  <c r="B12" i="12"/>
  <c r="C42" i="12"/>
  <c r="C34" i="12"/>
  <c r="B6" i="12"/>
  <c r="C43" i="12"/>
  <c r="B24" i="12"/>
  <c r="B22" i="12"/>
  <c r="F26" i="12"/>
  <c r="B3" i="12"/>
  <c r="F16" i="12"/>
  <c r="B7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N4" i="12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14" i="12"/>
  <c r="C22" i="12"/>
  <c r="C6" i="12"/>
  <c r="C23" i="12"/>
  <c r="C21" i="12"/>
  <c r="C12" i="12"/>
  <c r="C27" i="12"/>
  <c r="C20" i="12"/>
  <c r="C19" i="12"/>
  <c r="B4" i="12"/>
  <c r="C24" i="12"/>
  <c r="C25" i="12"/>
  <c r="C2" i="12"/>
  <c r="C13" i="12"/>
  <c r="C15" i="12"/>
  <c r="B16" i="12"/>
  <c r="B26" i="12"/>
  <c r="C7" i="12"/>
  <c r="C3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26" i="12"/>
  <c r="C1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I19" i="4" l="1"/>
  <c r="G24" i="12"/>
  <c r="H20" i="12"/>
  <c r="G15" i="12"/>
  <c r="H15" i="12"/>
  <c r="H22" i="12"/>
  <c r="G22" i="12"/>
  <c r="G2" i="12"/>
  <c r="G11" i="12"/>
  <c r="H24" i="12"/>
  <c r="L44" i="12"/>
  <c r="G27" i="12"/>
  <c r="L47" i="12"/>
  <c r="H3" i="12"/>
  <c r="G13" i="12"/>
  <c r="L45" i="12"/>
  <c r="H27" i="12"/>
  <c r="G7" i="12"/>
  <c r="L39" i="12"/>
  <c r="G5" i="12"/>
  <c r="H12" i="12"/>
  <c r="H16" i="12"/>
  <c r="H10" i="12"/>
  <c r="G26" i="12"/>
  <c r="G20" i="12"/>
  <c r="L40" i="12"/>
  <c r="G3" i="12"/>
  <c r="H19" i="12"/>
  <c r="G16" i="12"/>
  <c r="L49" i="12"/>
  <c r="G10" i="12"/>
  <c r="H2" i="12"/>
  <c r="H6" i="12"/>
  <c r="G6" i="12"/>
  <c r="H4" i="12"/>
  <c r="G19" i="12"/>
  <c r="L42" i="12"/>
  <c r="L36" i="12"/>
  <c r="H26" i="12"/>
  <c r="L43" i="12"/>
  <c r="L35" i="12"/>
  <c r="G14" i="12"/>
  <c r="L41" i="12"/>
  <c r="H13" i="12"/>
  <c r="G21" i="12"/>
  <c r="H14" i="12"/>
  <c r="L38" i="12"/>
  <c r="G23" i="12"/>
  <c r="H21" i="12"/>
  <c r="L37" i="12"/>
  <c r="G25" i="12"/>
  <c r="H25" i="12"/>
  <c r="L46" i="12"/>
  <c r="G12" i="12"/>
  <c r="H7" i="12"/>
  <c r="L48" i="12"/>
  <c r="H23" i="12"/>
  <c r="H11" i="12"/>
  <c r="I4" i="12" l="1"/>
  <c r="I12" i="12"/>
  <c r="I25" i="12"/>
  <c r="I23" i="12"/>
  <c r="I21" i="12"/>
  <c r="I14" i="12"/>
  <c r="L34" i="12"/>
  <c r="I19" i="12"/>
  <c r="I6" i="12"/>
  <c r="I10" i="12"/>
  <c r="I16" i="12"/>
  <c r="J16" i="12" s="1"/>
  <c r="I3" i="12"/>
  <c r="J3" i="12" s="1"/>
  <c r="I20" i="12"/>
  <c r="I26" i="12"/>
  <c r="J26" i="12" s="1"/>
  <c r="I7" i="12"/>
  <c r="J7" i="12" s="1"/>
  <c r="I13" i="12"/>
  <c r="I27" i="12"/>
  <c r="I11" i="12"/>
  <c r="I2" i="12"/>
  <c r="I22" i="12"/>
  <c r="I15" i="12"/>
  <c r="I24" i="12"/>
  <c r="K27" i="12"/>
  <c r="K4" i="12"/>
  <c r="K3" i="12" l="1"/>
  <c r="N31" i="12"/>
  <c r="K26" i="12"/>
  <c r="Q31" i="12" s="1"/>
  <c r="J13" i="12"/>
  <c r="J9" i="12"/>
  <c r="J19" i="12"/>
  <c r="J24" i="12"/>
  <c r="J4" i="12"/>
  <c r="J14" i="12"/>
  <c r="J22" i="12"/>
  <c r="J20" i="12"/>
  <c r="J21" i="12"/>
  <c r="J23" i="12"/>
  <c r="J11" i="12"/>
  <c r="J18" i="12"/>
  <c r="J27" i="12"/>
  <c r="J10" i="12"/>
  <c r="J12" i="12"/>
  <c r="K13" i="12"/>
  <c r="H31" i="12"/>
  <c r="AB9" i="12" a="1"/>
  <c r="L13" i="12"/>
  <c r="V9" i="12" a="1"/>
  <c r="W9" i="12" a="1"/>
  <c r="X9" i="12" a="1"/>
  <c r="K14" i="12"/>
  <c r="L14" i="12" s="1"/>
  <c r="K11" i="12"/>
  <c r="L11" i="12" s="1"/>
  <c r="K10" i="12"/>
  <c r="L10" i="12" s="1"/>
  <c r="K12" i="12"/>
  <c r="L12" i="12" s="1"/>
  <c r="K19" i="12"/>
  <c r="K24" i="12"/>
  <c r="I31" i="12"/>
  <c r="AB18" i="12" a="1"/>
  <c r="L24" i="12"/>
  <c r="L19" i="12"/>
  <c r="K22" i="12"/>
  <c r="L22" i="12" s="1"/>
  <c r="K20" i="12"/>
  <c r="L20" i="12" s="1"/>
  <c r="K21" i="12"/>
  <c r="L21" i="12" s="1"/>
  <c r="K23" i="12"/>
  <c r="L23" i="12" s="1"/>
  <c r="V18" i="12" a="1"/>
  <c r="W18" i="12" a="1"/>
  <c r="X18" i="12" a="1"/>
  <c r="X18" i="12" l="1"/>
  <c r="X19" i="12"/>
  <c r="X20" i="12"/>
  <c r="W20" i="12"/>
  <c r="W19" i="12"/>
  <c r="W18" i="12"/>
  <c r="V20" i="12"/>
  <c r="V19" i="12"/>
  <c r="V18" i="12"/>
  <c r="AB20" i="12"/>
  <c r="AB19" i="12"/>
  <c r="AB18" i="12"/>
  <c r="I32" i="12"/>
  <c r="P31" i="12"/>
  <c r="X11" i="12"/>
  <c r="X10" i="12"/>
  <c r="X9" i="12"/>
  <c r="W11" i="12"/>
  <c r="W10" i="12"/>
  <c r="W9" i="12"/>
  <c r="V11" i="12"/>
  <c r="V10" i="12"/>
  <c r="V9" i="12"/>
  <c r="AB9" i="12"/>
  <c r="AB10" i="12"/>
  <c r="AB11" i="12"/>
  <c r="H32" i="12"/>
  <c r="AD9" i="12" l="1" a="1"/>
  <c r="AD18" i="12" a="1"/>
  <c r="AD20" i="12" l="1"/>
  <c r="AD18" i="12"/>
  <c r="AF19" i="12"/>
  <c r="AF18" i="12"/>
  <c r="AD19" i="12"/>
  <c r="AE20" i="12"/>
  <c r="AE18" i="12"/>
  <c r="AE19" i="12"/>
  <c r="AF20" i="12"/>
  <c r="AE9" i="12"/>
  <c r="AE10" i="12"/>
  <c r="AF9" i="12"/>
  <c r="AD11" i="12"/>
  <c r="AF10" i="12"/>
  <c r="AE11" i="12"/>
  <c r="AF11" i="12"/>
  <c r="AD10" i="12"/>
  <c r="AD9" i="12"/>
  <c r="Z9" i="12" l="1" a="1"/>
  <c r="Z18" i="12" a="1"/>
  <c r="Z18" i="12" l="1"/>
  <c r="Z19" i="12"/>
  <c r="W31" i="12" s="1"/>
  <c r="Z20" i="12"/>
  <c r="W32" i="12" s="1"/>
  <c r="Z10" i="12"/>
  <c r="V31" i="12" s="1"/>
  <c r="Z11" i="12"/>
  <c r="V32" i="12" s="1"/>
  <c r="Z9" i="12"/>
  <c r="W30" i="12" l="1"/>
  <c r="AH18" i="12" a="1"/>
  <c r="V30" i="12"/>
  <c r="AH9" i="12" a="1"/>
  <c r="AH18" i="12" l="1"/>
  <c r="AH20" i="12"/>
  <c r="AH19" i="12"/>
  <c r="AH11" i="12"/>
  <c r="AH9" i="12"/>
  <c r="AH10" i="12"/>
  <c r="V37" i="12"/>
  <c r="O37" i="12" s="1"/>
  <c r="H37" i="12" s="1"/>
  <c r="J11" i="25" s="1"/>
  <c r="N11" i="25" s="1"/>
  <c r="V39" i="12"/>
  <c r="O39" i="12" s="1"/>
  <c r="H39" i="12" s="1"/>
  <c r="J13" i="25" s="1"/>
  <c r="N13" i="25" s="1"/>
  <c r="V34" i="12"/>
  <c r="O34" i="12" s="1"/>
  <c r="H34" i="12" s="1"/>
  <c r="J8" i="25" s="1"/>
  <c r="N8" i="25" s="1"/>
  <c r="V40" i="12"/>
  <c r="O40" i="12" s="1"/>
  <c r="H40" i="12" s="1"/>
  <c r="J14" i="25" s="1"/>
  <c r="N14" i="25" s="1"/>
  <c r="V35" i="12"/>
  <c r="O35" i="12" s="1"/>
  <c r="H35" i="12" s="1"/>
  <c r="J9" i="25" s="1"/>
  <c r="N9" i="25" s="1"/>
  <c r="V38" i="12"/>
  <c r="O38" i="12" s="1"/>
  <c r="H38" i="12" s="1"/>
  <c r="J12" i="25" s="1"/>
  <c r="N12" i="25" s="1"/>
  <c r="V36" i="12"/>
  <c r="O36" i="12" s="1"/>
  <c r="H36" i="12" s="1"/>
  <c r="J10" i="25" s="1"/>
  <c r="N10" i="25" s="1"/>
  <c r="W40" i="12"/>
  <c r="P40" i="12" s="1"/>
  <c r="I40" i="12" s="1"/>
  <c r="J21" i="25" s="1"/>
  <c r="N21" i="25" s="1"/>
  <c r="W38" i="12"/>
  <c r="P38" i="12" s="1"/>
  <c r="I38" i="12" s="1"/>
  <c r="J19" i="25" s="1"/>
  <c r="N19" i="25" s="1"/>
  <c r="W39" i="12"/>
  <c r="P39" i="12" s="1"/>
  <c r="I39" i="12" s="1"/>
  <c r="J20" i="25" s="1"/>
  <c r="N20" i="25" s="1"/>
  <c r="W35" i="12"/>
  <c r="P35" i="12" s="1"/>
  <c r="I35" i="12" s="1"/>
  <c r="J16" i="25" s="1"/>
  <c r="N16" i="25" s="1"/>
  <c r="W37" i="12"/>
  <c r="P37" i="12" s="1"/>
  <c r="I37" i="12" s="1"/>
  <c r="J18" i="25" s="1"/>
  <c r="N18" i="25" s="1"/>
  <c r="W34" i="12"/>
  <c r="P34" i="12" s="1"/>
  <c r="I34" i="12" s="1"/>
  <c r="J15" i="25" s="1"/>
  <c r="N15" i="25" s="1"/>
  <c r="W36" i="12"/>
  <c r="P36" i="12" s="1"/>
  <c r="I36" i="12" s="1"/>
  <c r="J17" i="25" s="1"/>
  <c r="N17" i="25" s="1"/>
  <c r="W41" i="12"/>
  <c r="P41" i="12" s="1"/>
  <c r="I41" i="12" s="1"/>
  <c r="J22" i="25" s="1"/>
  <c r="N22" i="25" s="1"/>
  <c r="W43" i="12"/>
  <c r="P43" i="12" s="1"/>
  <c r="I43" i="12" s="1"/>
  <c r="J24" i="25" s="1"/>
  <c r="N24" i="25" s="1"/>
  <c r="W42" i="12"/>
  <c r="P42" i="12" s="1"/>
  <c r="I42" i="12" s="1"/>
  <c r="J23" i="25" s="1"/>
  <c r="N23" i="25" s="1"/>
  <c r="O8" i="25"/>
  <c r="O16" i="25"/>
  <c r="O9" i="25"/>
  <c r="O17" i="25"/>
  <c r="O10" i="25"/>
  <c r="O21" i="25"/>
  <c r="O11" i="25"/>
  <c r="O23" i="25"/>
  <c r="O20" i="25"/>
  <c r="O14" i="25"/>
  <c r="O18" i="25"/>
  <c r="O15" i="25"/>
  <c r="O12" i="25"/>
  <c r="O22" i="25"/>
  <c r="O24" i="25"/>
  <c r="O19" i="25"/>
  <c r="O13" i="25"/>
  <c r="P8" i="25" s="1"/>
  <c r="L4" i="12" l="1"/>
  <c r="J31" i="12"/>
  <c r="G31" i="12"/>
  <c r="K18" i="12"/>
  <c r="L3" i="12"/>
  <c r="L27" i="12"/>
  <c r="K9" i="12"/>
  <c r="O31" i="12"/>
  <c r="J32" i="12"/>
  <c r="L26" i="12"/>
  <c r="Q32" i="12"/>
  <c r="N32" i="12"/>
  <c r="G32" i="12"/>
  <c r="L9" i="12"/>
  <c r="O32" i="12"/>
  <c r="L18" i="12"/>
  <c r="P32" i="12"/>
  <c r="P15" i="25"/>
  <c r="Q35" i="12"/>
  <c r="J35" i="12" s="1"/>
  <c r="J26" i="25" s="1"/>
  <c r="N26" i="25" s="1"/>
  <c r="O26" i="25"/>
  <c r="Q36" i="12"/>
  <c r="J36" i="12"/>
  <c r="J27" i="25" s="1"/>
  <c r="N27" i="25" s="1"/>
  <c r="O27" i="25"/>
  <c r="Q39" i="12"/>
  <c r="J39" i="12"/>
  <c r="J30" i="25" s="1"/>
  <c r="N30" i="25" s="1"/>
  <c r="O30" i="25"/>
  <c r="Q44" i="12"/>
  <c r="J44" i="12"/>
  <c r="J35" i="25" s="1"/>
  <c r="N35" i="25" s="1"/>
  <c r="O35" i="25"/>
  <c r="Q45" i="12"/>
  <c r="J45" i="12"/>
  <c r="J36" i="25" s="1"/>
  <c r="N36" i="25" s="1"/>
  <c r="O36" i="25"/>
  <c r="Q42" i="12"/>
  <c r="J42" i="12"/>
  <c r="J33" i="25" s="1"/>
  <c r="N33" i="25" s="1"/>
  <c r="O33" i="25"/>
  <c r="Q38" i="12"/>
  <c r="J38" i="12"/>
  <c r="J29" i="25" s="1"/>
  <c r="N29" i="25" s="1"/>
  <c r="O29" i="25"/>
  <c r="Q37" i="12"/>
  <c r="J37" i="12"/>
  <c r="J28" i="25" s="1"/>
  <c r="N28" i="25" s="1"/>
  <c r="O28" i="25"/>
  <c r="N37" i="12"/>
  <c r="G37" i="12" s="1"/>
  <c r="J6" i="25" s="1"/>
  <c r="N6" i="25" s="1"/>
  <c r="O6" i="25"/>
  <c r="Q34" i="12"/>
  <c r="J34" i="12"/>
  <c r="J25" i="25" s="1"/>
  <c r="N25" i="25" s="1"/>
  <c r="O25" i="25"/>
  <c r="Q48" i="12"/>
  <c r="J48" i="12" s="1"/>
  <c r="J39" i="25" s="1"/>
  <c r="N39" i="25" s="1"/>
  <c r="O39" i="25"/>
  <c r="N36" i="12"/>
  <c r="G36" i="12" s="1"/>
  <c r="J5" i="25" s="1"/>
  <c r="N5" i="25" s="1"/>
  <c r="O5" i="25"/>
  <c r="Q46" i="12"/>
  <c r="J46" i="12"/>
  <c r="J37" i="25" s="1"/>
  <c r="N37" i="25" s="1"/>
  <c r="O37" i="25"/>
  <c r="Q41" i="12"/>
  <c r="J41" i="12"/>
  <c r="J32" i="25" s="1"/>
  <c r="N32" i="25" s="1"/>
  <c r="O32" i="25"/>
  <c r="N34" i="12"/>
  <c r="G34" i="12"/>
  <c r="J3" i="25" s="1"/>
  <c r="N3" i="25" s="1"/>
  <c r="O3" i="25"/>
  <c r="Q40" i="12"/>
  <c r="J40" i="12"/>
  <c r="J31" i="25" s="1"/>
  <c r="N31" i="25" s="1"/>
  <c r="O31" i="25"/>
  <c r="Q43" i="12"/>
  <c r="J43" i="12" s="1"/>
  <c r="J34" i="25" s="1"/>
  <c r="N34" i="25" s="1"/>
  <c r="O34" i="25"/>
  <c r="N38" i="12"/>
  <c r="G38" i="12"/>
  <c r="J7" i="25" s="1"/>
  <c r="N7" i="25" s="1"/>
  <c r="O7" i="25"/>
  <c r="Q49" i="12"/>
  <c r="J49" i="12" s="1"/>
  <c r="J40" i="25" s="1"/>
  <c r="N40" i="25" s="1"/>
  <c r="O40" i="25"/>
  <c r="Q47" i="12"/>
  <c r="J47" i="12" s="1"/>
  <c r="J38" i="25" s="1"/>
  <c r="N38" i="25" s="1"/>
  <c r="O38" i="25"/>
  <c r="N35" i="12"/>
  <c r="G35" i="12" s="1"/>
  <c r="J4" i="25" s="1"/>
  <c r="N4" i="25" s="1"/>
  <c r="O4" i="25"/>
  <c r="P25" i="25"/>
  <c r="P2" i="25"/>
</calcChain>
</file>

<file path=xl/sharedStrings.xml><?xml version="1.0" encoding="utf-8"?>
<sst xmlns="http://schemas.openxmlformats.org/spreadsheetml/2006/main" count="195" uniqueCount="95">
  <si>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</si>
  <si>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</si>
  <si>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</si>
  <si>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</si>
  <si>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</si>
  <si>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</si>
  <si>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</si>
  <si>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</si>
  <si>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</si>
  <si>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</si>
  <si>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</si>
  <si>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</si>
  <si>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</si>
  <si>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</si>
  <si>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</si>
  <si>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</si>
  <si>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</si>
  <si>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</si>
  <si>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</si>
  <si>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</si>
  <si>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</si>
  <si>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</si>
  <si>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</si>
  <si>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</si>
  <si>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</si>
  <si>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</si>
  <si>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</si>
  <si>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</si>
  <si>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</si>
  <si>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</si>
  <si>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</si>
  <si>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</si>
  <si>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</si>
  <si>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</si>
  <si>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</si>
  <si>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</si>
  <si>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</si>
  <si>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</si>
  <si>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</si>
  <si>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</si>
  <si>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</si>
  <si>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</si>
  <si>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</si>
  <si>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</si>
  <si>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</si>
  <si>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</si>
  <si>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</si>
  <si>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</si>
  <si>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</si>
  <si>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</si>
  <si>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</si>
  <si>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</si>
  <si>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</si>
  <si>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</si>
  <si>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</si>
  <si>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</si>
  <si>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</si>
  <si>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</si>
  <si>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</si>
  <si>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</si>
  <si>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</si>
  <si>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</si>
  <si>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</si>
  <si>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</si>
  <si>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</si>
  <si>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</si>
  <si>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</si>
  <si>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</si>
  <si>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</si>
  <si>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</si>
  <si>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</si>
  <si>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</si>
  <si>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</si>
  <si>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</si>
  <si>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</si>
  <si>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</si>
  <si>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</si>
  <si>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</si>
  <si>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</si>
  <si>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</si>
  <si>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</si>
  <si>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</si>
  <si>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</si>
  <si>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</si>
  <si>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JPY</t>
  </si>
  <si>
    <t>FamilyName</t>
  </si>
  <si>
    <t>Triggers</t>
  </si>
  <si>
    <t>Depo Settings</t>
  </si>
  <si>
    <t>Japan</t>
  </si>
  <si>
    <t>JpyTonar</t>
  </si>
  <si>
    <t>Calendar 1</t>
  </si>
  <si>
    <t>UnitedKingdom::Exchange</t>
  </si>
  <si>
    <t>Calendar 2</t>
  </si>
  <si>
    <t>CALENDAR SETTINGS</t>
  </si>
  <si>
    <t>HolidayCheck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</si>
</sst>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name val="Arial"/>
      <family val="2"/>
    </font>
    <font>
      <i/>
      <sz val="8"/>
      <name val="Courier New"/>
      <family val="3"/>
    </font>
    <font>
      <sz val="10"/>
      <name val="Arial"/>
      <family val="2"/>
    </font>
    <font>
      <sz val="8"/>
      <color indexed="12"/>
      <name val="Arial"/>
      <family val="2"/>
    </font>
    <font>
      <sz val="8"/>
      <color rgb="FFFF0000"/>
      <name val="Arial"/>
      <family val="2"/>
    </font>
    <font>
      <sz val="8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4" fillId="0" borderId="0"/>
    <xf numFmtId="0" fontId="3" fillId="0" borderId="0"/>
    <xf numFmtId="9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4" fillId="0" borderId="0" applyFont="0" applyFill="0" applyBorder="0" applyAlignment="0" applyProtection="0"/>
    <xf numFmtId="0" fontId="5" fillId="0" borderId="0"/>
    <xf numFmtId="0" fontId="3" fillId="0" borderId="0"/>
    <xf numFmtId="9" fontId="14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14" fillId="0" borderId="0"/>
    <xf numFmtId="9" fontId="16" fillId="0" borderId="0" applyFont="0" applyFill="0" applyBorder="0" applyAlignment="0" applyProtection="0"/>
    <xf numFmtId="0" fontId="16" fillId="0" borderId="0"/>
    <xf numFmtId="0" fontId="2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254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3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15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0" borderId="25" xfId="0" applyFont="1" applyBorder="1"/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165" fontId="9" fillId="0" borderId="46" xfId="7" applyNumberFormat="1" applyFont="1" applyFill="1" applyBorder="1" applyAlignment="1"/>
    <xf numFmtId="0" fontId="4" fillId="8" borderId="0" xfId="4" applyFont="1" applyFill="1"/>
    <xf numFmtId="0" fontId="4" fillId="4" borderId="19" xfId="4" applyFont="1" applyFill="1" applyBorder="1"/>
    <xf numFmtId="0" fontId="4" fillId="4" borderId="0" xfId="4" applyFont="1" applyFill="1" applyBorder="1"/>
    <xf numFmtId="0" fontId="4" fillId="4" borderId="20" xfId="4" applyFont="1" applyFill="1" applyBorder="1"/>
    <xf numFmtId="0" fontId="4" fillId="4" borderId="19" xfId="18" applyFont="1" applyFill="1" applyBorder="1"/>
    <xf numFmtId="0" fontId="4" fillId="4" borderId="0" xfId="18" applyFont="1" applyFill="1" applyBorder="1"/>
    <xf numFmtId="0" fontId="4" fillId="4" borderId="20" xfId="18" applyFont="1" applyFill="1" applyBorder="1"/>
    <xf numFmtId="0" fontId="4" fillId="5" borderId="15" xfId="4" applyFont="1" applyFill="1" applyBorder="1" applyAlignment="1">
      <alignment horizontal="right"/>
    </xf>
    <xf numFmtId="0" fontId="4" fillId="4" borderId="15" xfId="4" applyFont="1" applyFill="1" applyBorder="1" applyAlignment="1">
      <alignment horizontal="center"/>
    </xf>
    <xf numFmtId="0" fontId="4" fillId="5" borderId="15" xfId="18" applyNumberFormat="1" applyFont="1" applyFill="1" applyBorder="1"/>
    <xf numFmtId="175" fontId="4" fillId="9" borderId="13" xfId="18" applyNumberFormat="1" applyFont="1" applyFill="1" applyBorder="1" applyAlignment="1" applyProtection="1">
      <alignment horizontal="center"/>
    </xf>
    <xf numFmtId="15" fontId="4" fillId="4" borderId="20" xfId="18" applyNumberFormat="1" applyFont="1" applyFill="1" applyBorder="1"/>
    <xf numFmtId="168" fontId="4" fillId="4" borderId="15" xfId="4" applyNumberFormat="1" applyFont="1" applyFill="1" applyBorder="1" applyAlignment="1">
      <alignment horizontal="center"/>
    </xf>
    <xf numFmtId="0" fontId="4" fillId="8" borderId="0" xfId="5" applyFont="1" applyFill="1"/>
    <xf numFmtId="166" fontId="4" fillId="4" borderId="15" xfId="7" applyNumberFormat="1" applyFont="1" applyFill="1" applyBorder="1" applyAlignment="1">
      <alignment horizontal="center"/>
    </xf>
    <xf numFmtId="175" fontId="4" fillId="9" borderId="13" xfId="18" quotePrefix="1" applyNumberFormat="1" applyFont="1" applyFill="1" applyBorder="1" applyAlignment="1" applyProtection="1">
      <alignment horizontal="left"/>
    </xf>
    <xf numFmtId="168" fontId="4" fillId="4" borderId="0" xfId="4" applyNumberFormat="1" applyFont="1" applyFill="1" applyBorder="1" applyAlignment="1">
      <alignment horizontal="center"/>
    </xf>
    <xf numFmtId="175" fontId="4" fillId="9" borderId="13" xfId="18" quotePrefix="1" applyNumberFormat="1" applyFont="1" applyFill="1" applyBorder="1" applyAlignment="1" applyProtection="1">
      <alignment horizontal="center"/>
    </xf>
    <xf numFmtId="166" fontId="4" fillId="4" borderId="13" xfId="7" applyNumberFormat="1" applyFont="1" applyFill="1" applyBorder="1" applyAlignment="1">
      <alignment horizontal="center"/>
    </xf>
    <xf numFmtId="0" fontId="17" fillId="4" borderId="0" xfId="4" applyFont="1" applyFill="1" applyBorder="1" applyAlignment="1">
      <alignment horizontal="right"/>
    </xf>
    <xf numFmtId="167" fontId="18" fillId="4" borderId="0" xfId="4" applyNumberFormat="1" applyFont="1" applyFill="1" applyBorder="1" applyAlignment="1">
      <alignment horizontal="right" vertical="center"/>
    </xf>
    <xf numFmtId="165" fontId="4" fillId="9" borderId="13" xfId="18" quotePrefix="1" applyNumberFormat="1" applyFont="1" applyFill="1" applyBorder="1" applyAlignment="1" applyProtection="1">
      <alignment horizontal="center"/>
    </xf>
    <xf numFmtId="0" fontId="19" fillId="4" borderId="0" xfId="4" quotePrefix="1" applyFont="1" applyFill="1" applyBorder="1" applyAlignment="1">
      <alignment horizontal="center" vertical="center"/>
    </xf>
    <xf numFmtId="176" fontId="4" fillId="9" borderId="13" xfId="18" quotePrefix="1" applyNumberFormat="1" applyFont="1" applyFill="1" applyBorder="1" applyAlignment="1" applyProtection="1">
      <alignment horizontal="center"/>
    </xf>
    <xf numFmtId="0" fontId="4" fillId="4" borderId="21" xfId="4" applyFont="1" applyFill="1" applyBorder="1"/>
    <xf numFmtId="0" fontId="4" fillId="4" borderId="22" xfId="4" applyFont="1" applyFill="1" applyBorder="1"/>
    <xf numFmtId="0" fontId="4" fillId="4" borderId="23" xfId="4" applyFont="1" applyFill="1" applyBorder="1"/>
    <xf numFmtId="0" fontId="4" fillId="4" borderId="21" xfId="18" applyFont="1" applyFill="1" applyBorder="1"/>
    <xf numFmtId="0" fontId="4" fillId="4" borderId="22" xfId="18" applyFont="1" applyFill="1" applyBorder="1"/>
    <xf numFmtId="0" fontId="4" fillId="4" borderId="23" xfId="18" applyFont="1" applyFill="1" applyBorder="1"/>
    <xf numFmtId="0" fontId="4" fillId="4" borderId="26" xfId="4" applyFont="1" applyFill="1" applyBorder="1"/>
    <xf numFmtId="172" fontId="4" fillId="4" borderId="13" xfId="7" applyNumberFormat="1" applyFont="1" applyFill="1" applyBorder="1" applyAlignment="1">
      <alignment horizontal="center"/>
    </xf>
    <xf numFmtId="1" fontId="4" fillId="4" borderId="13" xfId="7" applyNumberFormat="1" applyFont="1" applyFill="1" applyBorder="1" applyAlignment="1">
      <alignment horizontal="center"/>
    </xf>
    <xf numFmtId="0" fontId="4" fillId="8" borderId="0" xfId="4" applyFont="1" applyFill="1" applyBorder="1"/>
    <xf numFmtId="0" fontId="5" fillId="4" borderId="19" xfId="11" applyFont="1" applyFill="1" applyBorder="1"/>
    <xf numFmtId="0" fontId="5" fillId="4" borderId="0" xfId="11" applyFont="1" applyFill="1" applyBorder="1"/>
    <xf numFmtId="0" fontId="5" fillId="4" borderId="20" xfId="11" applyFont="1" applyFill="1" applyBorder="1"/>
    <xf numFmtId="0" fontId="4" fillId="5" borderId="15" xfId="11" applyFont="1" applyFill="1" applyBorder="1"/>
    <xf numFmtId="175" fontId="4" fillId="9" borderId="13" xfId="11" quotePrefix="1" applyNumberFormat="1" applyFont="1" applyFill="1" applyBorder="1" applyAlignment="1" applyProtection="1">
      <alignment horizontal="center"/>
    </xf>
    <xf numFmtId="175" fontId="4" fillId="9" borderId="13" xfId="11" applyNumberFormat="1" applyFont="1" applyFill="1" applyBorder="1" applyAlignment="1" applyProtection="1">
      <alignment horizontal="center"/>
    </xf>
    <xf numFmtId="0" fontId="5" fillId="4" borderId="21" xfId="11" applyFont="1" applyFill="1" applyBorder="1"/>
    <xf numFmtId="0" fontId="5" fillId="4" borderId="22" xfId="11" applyFont="1" applyFill="1" applyBorder="1"/>
    <xf numFmtId="0" fontId="5" fillId="4" borderId="23" xfId="11" applyFont="1" applyFill="1" applyBorder="1"/>
    <xf numFmtId="0" fontId="12" fillId="4" borderId="0" xfId="4" applyFont="1" applyFill="1" applyBorder="1"/>
    <xf numFmtId="0" fontId="12" fillId="7" borderId="16" xfId="5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7" borderId="16" xfId="18" applyFont="1" applyFill="1" applyBorder="1" applyAlignment="1">
      <alignment horizontal="center"/>
    </xf>
    <xf numFmtId="0" fontId="12" fillId="7" borderId="17" xfId="18" applyFont="1" applyFill="1" applyBorder="1" applyAlignment="1">
      <alignment horizontal="center"/>
    </xf>
    <xf numFmtId="0" fontId="12" fillId="7" borderId="18" xfId="18" applyFont="1" applyFill="1" applyBorder="1" applyAlignment="1">
      <alignment horizontal="center"/>
    </xf>
    <xf numFmtId="0" fontId="12" fillId="7" borderId="16" xfId="25" applyFont="1" applyFill="1" applyBorder="1" applyAlignment="1">
      <alignment horizontal="center" vertical="center"/>
    </xf>
    <xf numFmtId="0" fontId="12" fillId="7" borderId="16" xfId="5" applyFont="1" applyFill="1" applyBorder="1" applyAlignment="1">
      <alignment horizontal="center"/>
    </xf>
    <xf numFmtId="0" fontId="12" fillId="7" borderId="17" xfId="5" applyFont="1" applyFill="1" applyBorder="1" applyAlignment="1">
      <alignment horizontal="center"/>
    </xf>
    <xf numFmtId="0" fontId="12" fillId="7" borderId="18" xfId="5" applyFont="1" applyFill="1" applyBorder="1" applyAlignment="1">
      <alignment horizont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</v>
          </cell>
        </row>
        <row r="8">
          <cell r="D8">
            <v>0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7">
        <row r="7">
          <cell r="D7" t="str">
            <v>3W</v>
          </cell>
        </row>
        <row r="8">
          <cell r="D8" t="str">
            <v>1M</v>
          </cell>
        </row>
      </sheetData>
      <sheetData sheetId="8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9">
        <row r="7">
          <cell r="D7" t="str">
            <v>U4</v>
          </cell>
        </row>
        <row r="8">
          <cell r="D8" t="str">
            <v>V4</v>
          </cell>
        </row>
      </sheetData>
      <sheetData sheetId="10">
        <row r="7">
          <cell r="D7" t="str">
            <v>U4</v>
          </cell>
        </row>
        <row r="8">
          <cell r="D8" t="str">
            <v>V4</v>
          </cell>
        </row>
      </sheetData>
      <sheetData sheetId="11"/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6L</v>
          </cell>
        </row>
        <row r="8">
          <cell r="D8" t="str">
            <v>6L</v>
          </cell>
        </row>
      </sheetData>
      <sheetData sheetId="14">
        <row r="7">
          <cell r="D7" t="str">
            <v>3T</v>
          </cell>
        </row>
        <row r="8">
          <cell r="D8" t="str">
            <v>3T</v>
          </cell>
        </row>
      </sheetData>
      <sheetData sheetId="15">
        <row r="7">
          <cell r="D7" t="str">
            <v>6L</v>
          </cell>
        </row>
        <row r="8">
          <cell r="D8" t="str">
            <v>6L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"/>
  <sheetViews>
    <sheetView tabSelected="1" workbookViewId="0">
      <selection activeCell="D48" sqref="D48"/>
    </sheetView>
  </sheetViews>
  <sheetFormatPr defaultColWidth="10.6640625" defaultRowHeight="11.25" x14ac:dyDescent="0.2"/>
  <cols>
    <col min="1" max="2" width="2.83203125" style="200" customWidth="1"/>
    <col min="3" max="3" width="24.33203125" style="200" customWidth="1"/>
    <col min="4" max="4" width="39.5" style="200" bestFit="1" customWidth="1"/>
    <col min="5" max="7" width="2.83203125" style="200" customWidth="1"/>
    <col min="8" max="8" width="27.5" style="200" bestFit="1" customWidth="1"/>
    <col min="9" max="9" width="39.33203125" style="200" customWidth="1"/>
    <col min="10" max="10" width="2.83203125" style="200" customWidth="1"/>
    <col min="11" max="16384" width="10.6640625" style="200"/>
  </cols>
  <sheetData>
    <row r="1" spans="1:35" ht="12" thickBot="1" x14ac:dyDescent="0.25">
      <c r="B1" s="200" t="str">
        <f>_xll.qlxlVersion(TRUE,EvaluationDate)</f>
        <v>QuantLibXL 1.5.0 - MS VC++ 9.0 - Multithreaded Dynamic Runtime library - Release Configuration - Jun 25 2014 10:33:09</v>
      </c>
    </row>
    <row r="2" spans="1:35" ht="18.75" thickBot="1" x14ac:dyDescent="0.3">
      <c r="B2" s="244" t="s">
        <v>34</v>
      </c>
      <c r="C2" s="245"/>
      <c r="D2" s="245"/>
      <c r="E2" s="246"/>
      <c r="G2" s="247" t="s">
        <v>59</v>
      </c>
      <c r="H2" s="248"/>
      <c r="I2" s="248"/>
      <c r="J2" s="249"/>
    </row>
    <row r="3" spans="1:35" ht="11.25" customHeight="1" x14ac:dyDescent="0.2">
      <c r="B3" s="201"/>
      <c r="C3" s="202"/>
      <c r="D3" s="202"/>
      <c r="E3" s="203"/>
      <c r="G3" s="204"/>
      <c r="H3" s="205"/>
      <c r="I3" s="205"/>
      <c r="J3" s="206"/>
    </row>
    <row r="4" spans="1:35" ht="11.25" customHeight="1" x14ac:dyDescent="0.2">
      <c r="B4" s="201"/>
      <c r="C4" s="207" t="s">
        <v>0</v>
      </c>
      <c r="D4" s="208" t="s">
        <v>84</v>
      </c>
      <c r="E4" s="203"/>
      <c r="G4" s="204"/>
      <c r="H4" s="209" t="s">
        <v>60</v>
      </c>
      <c r="I4" s="210" t="b">
        <v>1</v>
      </c>
      <c r="J4" s="211"/>
    </row>
    <row r="5" spans="1:35" s="213" customFormat="1" ht="11.25" customHeight="1" x14ac:dyDescent="0.2">
      <c r="A5" s="200"/>
      <c r="B5" s="201"/>
      <c r="C5" s="207" t="s">
        <v>16</v>
      </c>
      <c r="D5" s="212" t="s">
        <v>88</v>
      </c>
      <c r="E5" s="203"/>
      <c r="F5" s="200"/>
      <c r="G5" s="204"/>
      <c r="H5" s="209" t="s">
        <v>61</v>
      </c>
      <c r="I5" s="210" t="b">
        <v>0</v>
      </c>
      <c r="J5" s="211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</row>
    <row r="6" spans="1:35" s="213" customFormat="1" ht="11.25" customHeight="1" x14ac:dyDescent="0.2">
      <c r="A6" s="200"/>
      <c r="B6" s="201"/>
      <c r="C6" s="207" t="s">
        <v>85</v>
      </c>
      <c r="D6" s="212" t="str">
        <f>IF(UPPER(Currency)&lt;&gt;"EUR","L","")&amp;"ibor"</f>
        <v>Libor</v>
      </c>
      <c r="E6" s="203"/>
      <c r="F6" s="200"/>
      <c r="G6" s="204"/>
      <c r="H6" s="209" t="s">
        <v>62</v>
      </c>
      <c r="I6" s="210" t="b">
        <v>0</v>
      </c>
      <c r="J6" s="211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  <c r="AF6" s="200"/>
      <c r="AG6" s="200"/>
      <c r="AH6" s="200"/>
      <c r="AI6" s="200"/>
    </row>
    <row r="7" spans="1:35" ht="11.25" customHeight="1" x14ac:dyDescent="0.2">
      <c r="B7" s="201"/>
      <c r="C7" s="207" t="s">
        <v>27</v>
      </c>
      <c r="D7" s="214" t="s">
        <v>89</v>
      </c>
      <c r="E7" s="203"/>
      <c r="G7" s="204"/>
      <c r="H7" s="209" t="s">
        <v>63</v>
      </c>
      <c r="I7" s="215"/>
      <c r="J7" s="211"/>
    </row>
    <row r="8" spans="1:35" ht="11.25" customHeight="1" x14ac:dyDescent="0.2">
      <c r="B8" s="201"/>
      <c r="C8" s="202"/>
      <c r="D8" s="216"/>
      <c r="E8" s="203"/>
      <c r="G8" s="204"/>
      <c r="H8" s="209" t="s">
        <v>64</v>
      </c>
      <c r="I8" s="217" t="b">
        <v>1</v>
      </c>
      <c r="J8" s="211"/>
    </row>
    <row r="9" spans="1:35" ht="11.25" customHeight="1" x14ac:dyDescent="0.2">
      <c r="B9" s="201"/>
      <c r="C9" s="207" t="s">
        <v>33</v>
      </c>
      <c r="D9" s="218" t="str">
        <f>Currency&amp;"ON"</f>
        <v>JPYON</v>
      </c>
      <c r="E9" s="203"/>
      <c r="G9" s="204"/>
      <c r="H9" s="205"/>
      <c r="I9" s="205"/>
      <c r="J9" s="206"/>
    </row>
    <row r="10" spans="1:35" ht="11.25" customHeight="1" x14ac:dyDescent="0.2">
      <c r="B10" s="201"/>
      <c r="C10" s="202"/>
      <c r="D10" s="202"/>
      <c r="E10" s="203"/>
      <c r="G10" s="204"/>
      <c r="H10" s="209" t="s">
        <v>65</v>
      </c>
      <c r="I10" s="217" t="s">
        <v>66</v>
      </c>
      <c r="J10" s="211"/>
    </row>
    <row r="11" spans="1:35" ht="11.25" customHeight="1" x14ac:dyDescent="0.2">
      <c r="B11" s="201"/>
      <c r="C11" s="219" t="s">
        <v>1</v>
      </c>
      <c r="D11" s="220">
        <v>41858.74827546296</v>
      </c>
      <c r="E11" s="203"/>
      <c r="G11" s="204"/>
      <c r="H11" s="209" t="s">
        <v>67</v>
      </c>
      <c r="I11" s="221">
        <v>1E-4</v>
      </c>
      <c r="J11" s="211"/>
    </row>
    <row r="12" spans="1:35" ht="11.25" customHeight="1" x14ac:dyDescent="0.2">
      <c r="B12" s="201"/>
      <c r="C12" s="219" t="s">
        <v>2</v>
      </c>
      <c r="D12" s="222" t="b">
        <v>1</v>
      </c>
      <c r="E12" s="203"/>
      <c r="G12" s="204"/>
      <c r="H12" s="209" t="s">
        <v>68</v>
      </c>
      <c r="I12" s="223">
        <v>-0.01</v>
      </c>
      <c r="J12" s="211"/>
    </row>
    <row r="13" spans="1:35" ht="11.25" customHeight="1" thickBot="1" x14ac:dyDescent="0.25">
      <c r="B13" s="224"/>
      <c r="C13" s="225"/>
      <c r="D13" s="225"/>
      <c r="E13" s="226"/>
      <c r="G13" s="227"/>
      <c r="H13" s="228"/>
      <c r="I13" s="228"/>
      <c r="J13" s="229"/>
    </row>
    <row r="14" spans="1:35" ht="11.25" customHeight="1" thickBot="1" x14ac:dyDescent="0.25"/>
    <row r="15" spans="1:35" ht="18.75" thickBot="1" x14ac:dyDescent="0.25">
      <c r="B15" s="250" t="s">
        <v>87</v>
      </c>
      <c r="C15" s="245" t="s">
        <v>86</v>
      </c>
      <c r="D15" s="245"/>
      <c r="E15" s="246"/>
      <c r="G15" s="250" t="s">
        <v>86</v>
      </c>
      <c r="H15" s="245" t="s">
        <v>86</v>
      </c>
      <c r="I15" s="245"/>
      <c r="J15" s="246"/>
    </row>
    <row r="16" spans="1:35" ht="11.25" customHeight="1" x14ac:dyDescent="0.25">
      <c r="B16" s="201"/>
      <c r="C16" s="202"/>
      <c r="D16" s="202"/>
      <c r="E16" s="230"/>
      <c r="G16" s="201"/>
      <c r="H16" s="243"/>
      <c r="I16" s="202"/>
      <c r="J16" s="230"/>
    </row>
    <row r="17" spans="2:10" ht="11.25" customHeight="1" x14ac:dyDescent="0.2">
      <c r="B17" s="201"/>
      <c r="C17" s="207" t="s">
        <v>17</v>
      </c>
      <c r="D17" s="231">
        <f>_xll.qlCalendarAdvance(Calendar,EvaluationDate,"2D","f")</f>
        <v>41862</v>
      </c>
      <c r="E17" s="203"/>
      <c r="G17" s="201"/>
      <c r="H17" s="207" t="s">
        <v>53</v>
      </c>
      <c r="I17" s="231">
        <v>41858.746701388889</v>
      </c>
      <c r="J17" s="203"/>
    </row>
    <row r="18" spans="2:10" ht="11.25" customHeight="1" x14ac:dyDescent="0.2">
      <c r="B18" s="201"/>
      <c r="C18" s="207" t="s">
        <v>28</v>
      </c>
      <c r="D18" s="231" t="str">
        <f>_xll.qlDiscountingSwapEngine(,OisCurve,,,,,EvaluationDate)</f>
        <v>obj_0037f#0000</v>
      </c>
      <c r="E18" s="203"/>
      <c r="G18" s="201"/>
      <c r="H18" s="207" t="s">
        <v>29</v>
      </c>
      <c r="I18" s="231">
        <f>_xll.qlSettingsEvaluationDate(Trigger)</f>
        <v>41858</v>
      </c>
      <c r="J18" s="203"/>
    </row>
    <row r="19" spans="2:10" ht="11.25" customHeight="1" x14ac:dyDescent="0.2">
      <c r="B19" s="201"/>
      <c r="C19" s="207" t="s">
        <v>52</v>
      </c>
      <c r="D19" s="231">
        <f>_xll.qlCalendarAdjust(Calendar,DATE(YEAR(SettlementDate),12,31),"Preceding")</f>
        <v>42004</v>
      </c>
      <c r="E19" s="203"/>
      <c r="G19" s="201"/>
      <c r="H19" s="207" t="s">
        <v>30</v>
      </c>
      <c r="I19" s="232">
        <f>[1]!TriggerCounter</f>
        <v>3</v>
      </c>
      <c r="J19" s="203"/>
    </row>
    <row r="20" spans="2:10" ht="11.25" customHeight="1" x14ac:dyDescent="0.2">
      <c r="B20" s="201"/>
      <c r="C20" s="207" t="s">
        <v>51</v>
      </c>
      <c r="D20" s="231">
        <f>_xll.qlCalendarAdjust(Calendar,DATE(YEAR(SettlementDate)+1,12,31),"Preceding")</f>
        <v>42369</v>
      </c>
      <c r="E20" s="203"/>
      <c r="G20" s="201"/>
      <c r="H20" s="207" t="s">
        <v>35</v>
      </c>
      <c r="I20" s="232">
        <f>[1]!LastFixingsTrigger</f>
        <v>0</v>
      </c>
      <c r="J20" s="203"/>
    </row>
    <row r="21" spans="2:10" ht="11.25" customHeight="1" thickBot="1" x14ac:dyDescent="0.25">
      <c r="B21" s="224"/>
      <c r="C21" s="225"/>
      <c r="D21" s="225"/>
      <c r="E21" s="226"/>
      <c r="G21" s="224"/>
      <c r="H21" s="225"/>
      <c r="I21" s="225"/>
      <c r="J21" s="226"/>
    </row>
    <row r="22" spans="2:10" ht="11.25" customHeight="1" thickBot="1" x14ac:dyDescent="0.25">
      <c r="C22" s="233"/>
      <c r="D22" s="233"/>
      <c r="E22" s="233"/>
    </row>
    <row r="23" spans="2:10" ht="18.75" thickBot="1" x14ac:dyDescent="0.3">
      <c r="B23" s="251" t="s">
        <v>93</v>
      </c>
      <c r="C23" s="252"/>
      <c r="D23" s="252"/>
      <c r="E23" s="253"/>
    </row>
    <row r="24" spans="2:10" ht="11.25" customHeight="1" x14ac:dyDescent="0.2">
      <c r="B24" s="234"/>
      <c r="C24" s="235"/>
      <c r="D24" s="235"/>
      <c r="E24" s="236"/>
    </row>
    <row r="25" spans="2:10" ht="11.25" customHeight="1" x14ac:dyDescent="0.2">
      <c r="B25" s="234"/>
      <c r="C25" s="237" t="s">
        <v>90</v>
      </c>
      <c r="D25" s="238" t="s">
        <v>88</v>
      </c>
      <c r="E25" s="236"/>
    </row>
    <row r="26" spans="2:10" ht="11.25" customHeight="1" x14ac:dyDescent="0.2">
      <c r="B26" s="234"/>
      <c r="C26" s="237" t="s">
        <v>92</v>
      </c>
      <c r="D26" s="239" t="s">
        <v>91</v>
      </c>
      <c r="E26" s="236"/>
    </row>
    <row r="27" spans="2:10" ht="11.25" customHeight="1" x14ac:dyDescent="0.2">
      <c r="B27" s="234"/>
      <c r="C27" s="237" t="s">
        <v>94</v>
      </c>
      <c r="D27" s="239" t="b">
        <f>_xll.qlCalendarIsHoliday(LocalCalendar,_xll.qlCalendarAdvance(LiborCalendar,_xll.qlSettingsEvaluationDate(Trigger),"2D","f",FALSE,Trigger))</f>
        <v>0</v>
      </c>
      <c r="E27" s="236"/>
    </row>
    <row r="28" spans="2:10" ht="11.25" customHeight="1" x14ac:dyDescent="0.2">
      <c r="B28" s="234"/>
      <c r="C28" s="237" t="s">
        <v>16</v>
      </c>
      <c r="D28" s="239" t="str">
        <f>IF(D27,LocalCalendar,LiborCalendar)</f>
        <v>UnitedKingdom::Exchange</v>
      </c>
      <c r="E28" s="236"/>
    </row>
    <row r="29" spans="2:10" ht="11.25" customHeight="1" thickBot="1" x14ac:dyDescent="0.25">
      <c r="B29" s="240"/>
      <c r="C29" s="241"/>
      <c r="D29" s="241"/>
      <c r="E29" s="242"/>
    </row>
  </sheetData>
  <mergeCells count="5">
    <mergeCell ref="B2:E2"/>
    <mergeCell ref="G2:J2"/>
    <mergeCell ref="G15:J15"/>
    <mergeCell ref="B15:E15"/>
    <mergeCell ref="B23:E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4">
      <formula1>"EUR,USD,GBP,JPY,CHF"</formula1>
    </dataValidation>
    <dataValidation type="list" allowBlank="1" showInputMessage="1" showErrorMessage="1" sqref="D5 D25:D26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G4" sqref="G4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2" t="s">
        <v>45</v>
      </c>
      <c r="L1" s="52" t="s">
        <v>44</v>
      </c>
      <c r="M1" s="52"/>
      <c r="N1" s="40" t="s">
        <v>37</v>
      </c>
      <c r="O1" s="40" t="s">
        <v>38</v>
      </c>
      <c r="P1" s="40" t="s">
        <v>39</v>
      </c>
    </row>
    <row r="2" spans="1:34" x14ac:dyDescent="0.2">
      <c r="A2" s="40">
        <v>1</v>
      </c>
      <c r="B2" s="28" t="str">
        <f>_xll.qlMakeDatedOIS(,E2,F2,OvernightIndex,0,,,,EvaluationDate)</f>
        <v>obj_003bd#0002</v>
      </c>
      <c r="C2" s="8" t="b">
        <f>_xll.qlInstrumentSetPricingEngine(B2,OisEngine)</f>
        <v>1</v>
      </c>
      <c r="D2" s="96" t="str">
        <f>Currency&amp;A3&amp;"D_Quote"</f>
        <v>JPY1MD_Quote</v>
      </c>
      <c r="E2" s="97">
        <f>SettlementDate</f>
        <v>41862</v>
      </c>
      <c r="F2" s="98">
        <f>_xll.qlCalendarAdvance(Calendar,E2,A3,"mf")</f>
        <v>41893</v>
      </c>
      <c r="G2" s="99">
        <f>_xll.qlQuoteValue($D2,AllTriggers)</f>
        <v>9.2140000000000017E-4</v>
      </c>
      <c r="H2" s="100">
        <f>_xll.qlOvernightIndexedSwapFairRate(B2,_xll.ohTrigger(C2,InterestRatesTrigger))</f>
        <v>6.4109588928905998E-4</v>
      </c>
      <c r="I2" s="101">
        <f>G2-H2</f>
        <v>2.8030411071094019E-4</v>
      </c>
      <c r="J2" s="102" t="b">
        <v>0</v>
      </c>
      <c r="K2" s="102"/>
      <c r="L2" s="102"/>
      <c r="M2" s="103"/>
      <c r="N2" s="105">
        <f t="shared" ref="N2:O4" si="0">E2-SettlementDate</f>
        <v>0</v>
      </c>
      <c r="O2" s="105">
        <f t="shared" si="0"/>
        <v>31</v>
      </c>
      <c r="P2" s="105">
        <f>(O2^2-N2^2)/(O2-N2)</f>
        <v>31</v>
      </c>
      <c r="Q2" s="102"/>
      <c r="R2" s="116">
        <f>(O2^3-N2^3)/3/(O2-N2)</f>
        <v>320.33333333333337</v>
      </c>
      <c r="S2" s="116">
        <f>(O2+N2)/2</f>
        <v>15.5</v>
      </c>
      <c r="T2" s="116">
        <v>1</v>
      </c>
    </row>
    <row r="3" spans="1:34" x14ac:dyDescent="0.2">
      <c r="A3" s="182" t="str">
        <f>_xll.qlPeriodEquivalent(A2&amp;"M")</f>
        <v>1M</v>
      </c>
      <c r="B3" s="50" t="str">
        <f>_xll.qlMakeDatedOIS(,E3,F3,OvernightIndex,0,,,,EvaluationDate)</f>
        <v>obj_0037b#0007</v>
      </c>
      <c r="C3" s="12" t="b">
        <f>_xll.qlInstrumentSetPricingEngine(B3,OisEngine)</f>
        <v>1</v>
      </c>
      <c r="D3" s="89" t="str">
        <f>PROPER(Currency&amp;FamilyName)&amp;A3&amp;"LastFixing_Quote"</f>
        <v>Jpylibor1MLastFixing_Quote</v>
      </c>
      <c r="E3" s="90">
        <f>_xll.qlCalendarAdvance(Calendar,_xll.qlLastFixingQuoteReferenceDate(D3),_xll.qlInterestRateIndexFixingDays(A4)&amp;"D","f",,LastFixingsTrigger)</f>
        <v>41862</v>
      </c>
      <c r="F3" s="91">
        <f>F2</f>
        <v>41893</v>
      </c>
      <c r="G3" s="92">
        <f>_xll.qlQuoteValue(D3,AllTriggers)</f>
        <v>9.2140000000000017E-4</v>
      </c>
      <c r="H3" s="93">
        <f>_xll.qlOvernightIndexedSwapFairRate(B3,_xll.ohTrigger(C3,InterestRatesTrigger))</f>
        <v>6.4109588928905998E-4</v>
      </c>
      <c r="I3" s="94">
        <f t="shared" ref="I3:I27" si="1">G3-H3</f>
        <v>2.8030411071094019E-4</v>
      </c>
      <c r="J3" s="102" t="b">
        <f>NOT(ISERROR(I3))</f>
        <v>1</v>
      </c>
      <c r="K3" s="104" t="e">
        <f>K4</f>
        <v>#NUM!</v>
      </c>
      <c r="L3" s="93" t="e">
        <f>_xll.ohFilter($I$2:$I$3,$J$2:$J$3)-K3*_xll.ohFilter($P$2:$P$3,$J$2:$J$3)</f>
        <v>#NUM!</v>
      </c>
      <c r="M3" s="103"/>
      <c r="N3" s="105">
        <f t="shared" si="0"/>
        <v>0</v>
      </c>
      <c r="O3" s="105">
        <f t="shared" si="0"/>
        <v>31</v>
      </c>
      <c r="P3" s="105">
        <f>(O3^2-N3^2)/(O3-N3)</f>
        <v>31</v>
      </c>
      <c r="Q3" s="102"/>
      <c r="R3" s="116">
        <f>(O3^3-N3^3)/3/(O3-N3)</f>
        <v>320.33333333333337</v>
      </c>
      <c r="S3" s="116">
        <f>(O3+N3)/2</f>
        <v>15.5</v>
      </c>
      <c r="T3" s="116">
        <v>1</v>
      </c>
    </row>
    <row r="4" spans="1:34" x14ac:dyDescent="0.2">
      <c r="A4" s="40" t="str">
        <f>PROPER(Currency)&amp;FamilyName&amp;A3</f>
        <v>JpyLibor1M</v>
      </c>
      <c r="B4" s="50" t="str">
        <f>_xll.qlMakeDatedOIS(,E4,F4,OvernightIndex,0,,,,EvaluationDate)</f>
        <v>obj_003c4#0004</v>
      </c>
      <c r="C4" s="12" t="b">
        <f>_xll.qlInstrumentSetPricingEngine(B4,OisEngine)</f>
        <v>1</v>
      </c>
      <c r="D4" s="11" t="s">
        <v>42</v>
      </c>
      <c r="E4" s="48">
        <f>F3</f>
        <v>41893</v>
      </c>
      <c r="F4" s="49">
        <f>F5</f>
        <v>41925</v>
      </c>
      <c r="G4" s="27" t="e">
        <f>((1+G5*(F5-E5)/360)/(1+G3*(F3-E3)/360)-1)/(F4-E4)*360</f>
        <v>#NUM!</v>
      </c>
      <c r="H4" s="15">
        <f>_xll.qlOvernightIndexedSwapFairRate(B4,_xll.ohTrigger(C4,InterestRatesTrigger))</f>
        <v>6.4106050737387169E-4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06">
        <f t="shared" si="0"/>
        <v>31</v>
      </c>
      <c r="O4" s="106">
        <f t="shared" si="0"/>
        <v>63</v>
      </c>
      <c r="P4" s="106">
        <f>(O4^2-N4^2)/(O4-N4)</f>
        <v>94</v>
      </c>
      <c r="R4" s="85">
        <f>(O4^3-N4^3)/3/(O4-N4)</f>
        <v>2294.3333333333335</v>
      </c>
      <c r="S4" s="85">
        <f>(O4+N4)/2</f>
        <v>47</v>
      </c>
      <c r="T4" s="85">
        <v>1</v>
      </c>
    </row>
    <row r="5" spans="1:34" x14ac:dyDescent="0.2">
      <c r="A5" s="40"/>
      <c r="B5" s="50"/>
      <c r="C5" s="12"/>
      <c r="D5" s="9" t="str">
        <f>Currency&amp;"2X1S"&amp;QuoteSuffix</f>
        <v>JPY2X1S_Quote</v>
      </c>
      <c r="E5" s="48">
        <f>SettlementDate</f>
        <v>41862</v>
      </c>
      <c r="F5" s="49">
        <f>_xll.qlCalendarAdvance(Calendar,E5,"2M","mf")</f>
        <v>41925</v>
      </c>
      <c r="G5" s="45" t="e">
        <f>_xll.qlQuoteValue(D5,AllTriggers)</f>
        <v>#NUM!</v>
      </c>
      <c r="H5" s="15"/>
      <c r="I5" s="16"/>
      <c r="J5" s="1" t="b">
        <v>0</v>
      </c>
      <c r="K5" s="107"/>
      <c r="L5" s="107"/>
      <c r="M5" s="108"/>
      <c r="N5" s="115"/>
      <c r="O5" s="106"/>
      <c r="P5" s="106"/>
      <c r="R5" s="85"/>
      <c r="S5" s="85"/>
      <c r="T5" s="85"/>
    </row>
    <row r="6" spans="1:34" x14ac:dyDescent="0.2">
      <c r="A6" s="40">
        <v>3</v>
      </c>
      <c r="B6" s="28" t="str">
        <f>_xll.qlMakeDatedOIS(,E6,F6,OvernightIndex,0,,,,EvaluationDate)</f>
        <v>obj_003c1#0000</v>
      </c>
      <c r="C6" s="8" t="b">
        <f>_xll.qlInstrumentSetPricingEngine(B6,OisEngine)</f>
        <v>1</v>
      </c>
      <c r="D6" s="96" t="str">
        <f>Currency&amp;A7&amp;"D_Quote"</f>
        <v>JPY3MD_Quote</v>
      </c>
      <c r="E6" s="97">
        <f>SettlementDate</f>
        <v>41862</v>
      </c>
      <c r="F6" s="98">
        <f>_xll.qlCalendarAdvance(Calendar,E6,A7,"mf")</f>
        <v>41954</v>
      </c>
      <c r="G6" s="99">
        <f>_xll.qlQuoteValue(D6,AllTriggers)</f>
        <v>1.2999999999999999E-3</v>
      </c>
      <c r="H6" s="100">
        <f>_xll.qlOvernightIndexedSwapFairRate(B6,_xll.ohTrigger(C6,InterestRatesTrigger))</f>
        <v>6.1643835708468742E-4</v>
      </c>
      <c r="I6" s="101">
        <f t="shared" si="1"/>
        <v>6.8356164291531252E-4</v>
      </c>
      <c r="J6" s="102" t="b">
        <v>0</v>
      </c>
      <c r="K6" s="103"/>
      <c r="L6" s="103"/>
      <c r="M6" s="103"/>
      <c r="N6" s="105">
        <f t="shared" ref="N6:N27" si="2">E6-SettlementDate</f>
        <v>0</v>
      </c>
      <c r="O6" s="105">
        <f t="shared" ref="O6:O27" si="3">F6-SettlementDate</f>
        <v>92</v>
      </c>
      <c r="P6" s="105">
        <f>(O6^2-N6^2)/(O6-N6)</f>
        <v>92</v>
      </c>
      <c r="Q6" s="102"/>
      <c r="R6" s="116">
        <f t="shared" ref="R6:R14" si="4">(O6^3-N6^3)/3/(O6-N6)</f>
        <v>2821.333333333333</v>
      </c>
      <c r="S6" s="116">
        <f t="shared" ref="S6:S14" si="5">(O6+N6)/2</f>
        <v>46</v>
      </c>
      <c r="T6" s="116">
        <v>1</v>
      </c>
    </row>
    <row r="7" spans="1:34" x14ac:dyDescent="0.2">
      <c r="A7" s="182" t="str">
        <f>_xll.qlPeriodEquivalent(A6&amp;"M")</f>
        <v>3M</v>
      </c>
      <c r="B7" s="50" t="str">
        <f>_xll.qlMakeDatedOIS(,E7,F7,OvernightIndex,0,,,,EvaluationDate)</f>
        <v>obj_0037c#0003</v>
      </c>
      <c r="C7" s="12" t="b">
        <f>_xll.qlInstrumentSetPricingEngine(B7,OisEngine)</f>
        <v>1</v>
      </c>
      <c r="D7" s="89" t="str">
        <f>PROPER(Currency&amp;FamilyName)&amp;A7&amp;"LastFixing_Quote"</f>
        <v>Jpylibor3MLastFixing_Quote</v>
      </c>
      <c r="E7" s="90">
        <f>_xll.qlCalendarAdvance(Calendar,_xll.qlLastFixingQuoteReferenceDate(D7),_xll.qlInterestRateIndexFixingDays(A8)&amp;"D","f",,LastFixingsTrigger)</f>
        <v>41862</v>
      </c>
      <c r="F7" s="91">
        <f>F6</f>
        <v>41954</v>
      </c>
      <c r="G7" s="92">
        <f>_xll.qlQuoteValue(D7,AllTriggers)</f>
        <v>1.2999999999999999E-3</v>
      </c>
      <c r="H7" s="93">
        <f>_xll.qlOvernightIndexedSwapFairRate(B7,_xll.ohTrigger(C7,InterestRatesTrigger))</f>
        <v>6.1643835708468742E-4</v>
      </c>
      <c r="I7" s="94">
        <f t="shared" si="1"/>
        <v>6.8356164291531252E-4</v>
      </c>
      <c r="J7" s="102" t="b">
        <f>AND(ISERROR(I8),ISERROR(I9),NOT(ISERROR(I7)),E10&lt;&gt;SettlementDate)</f>
        <v>1</v>
      </c>
      <c r="K7" s="109"/>
      <c r="L7" s="103"/>
      <c r="M7" s="103"/>
      <c r="N7" s="105">
        <f t="shared" si="2"/>
        <v>0</v>
      </c>
      <c r="O7" s="105">
        <f t="shared" si="3"/>
        <v>92</v>
      </c>
      <c r="P7" s="105">
        <f t="shared" ref="P7:P14" si="6">(O7^2-N7^2)/(O7-N7)</f>
        <v>92</v>
      </c>
      <c r="Q7" s="102"/>
      <c r="R7" s="116">
        <f t="shared" si="4"/>
        <v>2821.333333333333</v>
      </c>
      <c r="S7" s="116">
        <f t="shared" si="5"/>
        <v>46</v>
      </c>
      <c r="T7" s="116">
        <v>1</v>
      </c>
    </row>
    <row r="8" spans="1:34" x14ac:dyDescent="0.2">
      <c r="A8" s="182" t="str">
        <f>PROPER(Currency)&amp;FamilyName&amp;A7</f>
        <v>JpyLibor3M</v>
      </c>
      <c r="B8" s="29"/>
      <c r="C8" s="12"/>
      <c r="D8" s="89"/>
      <c r="E8" s="90"/>
      <c r="F8" s="91"/>
      <c r="G8" s="95"/>
      <c r="H8" s="93"/>
      <c r="I8" s="94" t="e">
        <f>NA()</f>
        <v>#N/A</v>
      </c>
      <c r="J8" s="102" t="b">
        <f>AND(E8&gt;E7,NOT(ISERROR(I8)))</f>
        <v>0</v>
      </c>
      <c r="K8" s="102"/>
      <c r="L8" s="102"/>
      <c r="M8" s="103"/>
      <c r="N8" s="105">
        <f t="shared" si="2"/>
        <v>-41862</v>
      </c>
      <c r="O8" s="105">
        <f t="shared" si="3"/>
        <v>-41862</v>
      </c>
      <c r="P8" s="105" t="e">
        <f t="shared" si="6"/>
        <v>#DIV/0!</v>
      </c>
      <c r="Q8" s="102"/>
      <c r="R8" s="116" t="e">
        <f t="shared" si="4"/>
        <v>#DIV/0!</v>
      </c>
      <c r="S8" s="116">
        <f t="shared" si="5"/>
        <v>-41862</v>
      </c>
      <c r="T8" s="116">
        <v>1</v>
      </c>
      <c r="AD8" s="1" t="s">
        <v>50</v>
      </c>
      <c r="AH8" s="1" t="s">
        <v>49</v>
      </c>
    </row>
    <row r="9" spans="1:34" x14ac:dyDescent="0.2">
      <c r="A9" s="40"/>
      <c r="B9" s="29"/>
      <c r="C9" s="12"/>
      <c r="D9" s="89"/>
      <c r="E9" s="90"/>
      <c r="F9" s="91"/>
      <c r="G9" s="95"/>
      <c r="H9" s="93"/>
      <c r="I9" s="94" t="e">
        <f>NA()</f>
        <v>#N/A</v>
      </c>
      <c r="J9" s="102" t="b">
        <f>AND(NOT(J7),NOT(ISERROR(I9)))</f>
        <v>0</v>
      </c>
      <c r="K9" s="93">
        <f>AVERAGE(_xll.ohFilter(K10:K12,J10:J12))</f>
        <v>1.3825225877012632E-7</v>
      </c>
      <c r="L9" s="93">
        <f>_xll.ohFilter($I$6:$I$9,$J$6:$J$9)-K9*_xll.ohFilter($P$6:$P$9,$J$6:$J$9)</f>
        <v>6.7084243510846092E-4</v>
      </c>
      <c r="M9" s="103"/>
      <c r="N9" s="105">
        <f t="shared" si="2"/>
        <v>-41862</v>
      </c>
      <c r="O9" s="105">
        <f t="shared" si="3"/>
        <v>-41862</v>
      </c>
      <c r="P9" s="105" t="e">
        <f t="shared" si="6"/>
        <v>#DIV/0!</v>
      </c>
      <c r="Q9" s="102"/>
      <c r="R9" s="116" t="e">
        <f t="shared" si="4"/>
        <v>#DIV/0!</v>
      </c>
      <c r="S9" s="116">
        <f t="shared" si="5"/>
        <v>-41862</v>
      </c>
      <c r="T9" s="116">
        <v>1</v>
      </c>
      <c r="V9" s="76">
        <f t="array" ref="V9:V11">_xll.ohFilter(R6:R14,$J6:$J14)</f>
        <v>2821.333333333333</v>
      </c>
      <c r="W9" s="77">
        <f t="array" ref="W9:W11">_xll.ohFilter(S6:S14,$J6:$J14)</f>
        <v>46</v>
      </c>
      <c r="X9" s="78">
        <f t="array" ref="X9:X11">_xll.ohFilter(T6:T14,$J6:$J14)</f>
        <v>1</v>
      </c>
      <c r="Z9" s="61">
        <f t="array" ref="Z9:Z11">MMULT(AD9:AF11,AB9:AB11)</f>
        <v>2.01944989814254E-8</v>
      </c>
      <c r="AB9" s="61">
        <f t="array" ref="AB9:AB11">_xll.ohFilter(I6:I14,$J6:$J14)</f>
        <v>6.8356164291531252E-4</v>
      </c>
      <c r="AD9" s="67">
        <f t="array" ref="AD9:AF11">MINVERSE(V9:X11)</f>
        <v>5.1254149614805399E-4</v>
      </c>
      <c r="AE9" s="68">
        <v>-9.9354197714853496E-4</v>
      </c>
      <c r="AF9" s="69">
        <v>4.8100048100048113E-4</v>
      </c>
      <c r="AH9" s="64">
        <f t="array" ref="AH9:AH11">MMULT(V9:X11,Z9:Z11)-AB9:AB11</f>
        <v>-7.589415207398531E-19</v>
      </c>
    </row>
    <row r="10" spans="1:34" x14ac:dyDescent="0.2">
      <c r="A10" s="182" t="str">
        <f>_xll.qlIMMNextCode(SettlementDate-1,FALSE)</f>
        <v>Q4</v>
      </c>
      <c r="B10" s="29" t="str">
        <f>_xll.qlMakeDatedOIS(,E10,F10,OvernightIndex,0,,,,EvaluationDate)</f>
        <v>obj_003c5#0000</v>
      </c>
      <c r="C10" s="12" t="b">
        <f>_xll.qlInstrumentSetPricingEngine(B10,OisEngine)</f>
        <v>1</v>
      </c>
      <c r="D10" s="11" t="str">
        <f>Currency&amp;"FUT3M"&amp;A10&amp;QuoteSuffix</f>
        <v>JPYFUT3MQ4_Quote</v>
      </c>
      <c r="E10" s="48">
        <f>_xll.qlIMMdate(A10)</f>
        <v>41871</v>
      </c>
      <c r="F10" s="49">
        <f>_xll.qlCalendarAdvance(Calendar,E10,"3M","mf")</f>
        <v>41963</v>
      </c>
      <c r="G10" s="45" t="e">
        <f>1-_xll.qlQuoteValue($D10,AllTriggers)/100</f>
        <v>#NUM!</v>
      </c>
      <c r="H10" s="15">
        <f>_xll.qlOvernightIndexedSwapFairRate(B10,_xll.ohTrigger(C10,InterestRatesTrigger))</f>
        <v>6.148877272201766E-4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06">
        <f t="shared" si="2"/>
        <v>9</v>
      </c>
      <c r="O10" s="106">
        <f t="shared" si="3"/>
        <v>101</v>
      </c>
      <c r="P10" s="106">
        <f t="shared" si="6"/>
        <v>110</v>
      </c>
      <c r="R10" s="85">
        <f t="shared" si="4"/>
        <v>3730.3333333333335</v>
      </c>
      <c r="S10" s="85">
        <f t="shared" si="5"/>
        <v>55</v>
      </c>
      <c r="T10" s="85">
        <v>1</v>
      </c>
      <c r="V10" s="79">
        <v>6542.3333333333339</v>
      </c>
      <c r="W10" s="80">
        <v>76.5</v>
      </c>
      <c r="X10" s="81">
        <v>1</v>
      </c>
      <c r="Y10" s="52" t="s">
        <v>46</v>
      </c>
      <c r="Z10" s="62">
        <v>-2.1872243581936491E-6</v>
      </c>
      <c r="AA10" s="52" t="s">
        <v>47</v>
      </c>
      <c r="AB10" s="62">
        <v>6.9199503070029023E-4</v>
      </c>
      <c r="AD10" s="70">
        <v>-9.531694777596425E-2</v>
      </c>
      <c r="AE10" s="71">
        <v>0.15399900645802295</v>
      </c>
      <c r="AF10" s="72">
        <v>-5.8682058682058717E-2</v>
      </c>
      <c r="AH10" s="65">
        <v>-8.6736173798840355E-19</v>
      </c>
    </row>
    <row r="11" spans="1:34" x14ac:dyDescent="0.2">
      <c r="A11" s="182" t="str">
        <f>_xll.qlIMMNextCode(E10,IF(_xll.qlIMMIsIMMdate(E10,TRUE),FALSE,TRUE))</f>
        <v>U4</v>
      </c>
      <c r="B11" s="29" t="str">
        <f>_xll.qlMakeDatedOIS(,E11,F11,OvernightIndex,0,,,,EvaluationDate)</f>
        <v>obj_003c6#0000</v>
      </c>
      <c r="C11" s="12" t="b">
        <f>_xll.qlInstrumentSetPricingEngine(B11,OisEngine)</f>
        <v>1</v>
      </c>
      <c r="D11" s="11" t="str">
        <f>Currency&amp;"FUT3M"&amp;A11&amp;QuoteSuffix</f>
        <v>JPYFUT3MU4_Quote</v>
      </c>
      <c r="E11" s="48">
        <f>_xll.qlIMMdate(A11)</f>
        <v>41899</v>
      </c>
      <c r="F11" s="49">
        <f>_xll.qlCalendarAdvance(Calendar,E11,"3M","mf")</f>
        <v>41990</v>
      </c>
      <c r="G11" s="45" t="e">
        <f>1-_xll.qlQuoteValue($D11,AllTriggers)/100</f>
        <v>#NUM!</v>
      </c>
      <c r="H11" s="15">
        <f>_xll.qlOvernightIndexedSwapFairRate(B11,_xll.ohTrigger(C11,InterestRatesTrigger))</f>
        <v>5.9988489929606488E-4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06">
        <f t="shared" si="2"/>
        <v>37</v>
      </c>
      <c r="O11" s="106">
        <f t="shared" si="3"/>
        <v>128</v>
      </c>
      <c r="P11" s="106">
        <f t="shared" si="6"/>
        <v>165</v>
      </c>
      <c r="R11" s="85">
        <f t="shared" si="4"/>
        <v>7496.3333333333339</v>
      </c>
      <c r="S11" s="85">
        <f t="shared" si="5"/>
        <v>82.5</v>
      </c>
      <c r="T11" s="85">
        <v>1</v>
      </c>
      <c r="V11" s="82">
        <v>12586.333333333334</v>
      </c>
      <c r="W11" s="83">
        <v>109</v>
      </c>
      <c r="X11" s="84">
        <v>1</v>
      </c>
      <c r="Z11" s="63">
        <v>7.271985502659581E-4</v>
      </c>
      <c r="AB11" s="63">
        <v>7.4296579090273149E-4</v>
      </c>
      <c r="AD11" s="73">
        <v>3.9385291898953123</v>
      </c>
      <c r="AE11" s="74">
        <v>-4.280841198873989</v>
      </c>
      <c r="AF11" s="75">
        <v>1.3423120089786766</v>
      </c>
      <c r="AH11" s="66">
        <v>-5.4210108624275222E-19</v>
      </c>
    </row>
    <row r="12" spans="1:34" x14ac:dyDescent="0.2">
      <c r="A12" s="40">
        <v>1</v>
      </c>
      <c r="B12" s="29" t="str">
        <f>_xll.qlMakeDatedOIS(,E12,F12,OvernightIndex,0,,,,EvaluationDate)</f>
        <v>obj_003c0#0000</v>
      </c>
      <c r="C12" s="12" t="b">
        <f>_xll.qlInstrumentSetPricingEngine(B12,OisEngine)</f>
        <v>1</v>
      </c>
      <c r="D12" s="11" t="str">
        <f>Currency&amp;A12&amp;"x"&amp;A12+3&amp;"F"&amp;QuoteSuffix</f>
        <v>JPY1x4F_Quote</v>
      </c>
      <c r="E12" s="48">
        <f>_xll.qlCalendarAdvance(Calendar,SettlementDate,A12&amp;"M","mf")</f>
        <v>41893</v>
      </c>
      <c r="F12" s="49">
        <f>_xll.qlInterestRateIndexMaturity($A$8,E12)</f>
        <v>41984</v>
      </c>
      <c r="G12" s="45">
        <f>_xll.qlQuoteValue(D12,AllTriggers)</f>
        <v>1.2999999999999999E-3</v>
      </c>
      <c r="H12" s="15">
        <f>_xll.qlOvernightIndexedSwapFairRate(B12,_xll.ohTrigger(C12,InterestRatesTrigger))</f>
        <v>6.0800496929970971E-4</v>
      </c>
      <c r="I12" s="16">
        <f>G12-H12</f>
        <v>6.9199503070029023E-4</v>
      </c>
      <c r="J12" s="1" t="b">
        <f>AND(NOT(ISERROR(I12)),E12&lt;&gt;$E$11,E12&lt;&gt;$E$10)</f>
        <v>1</v>
      </c>
      <c r="K12" s="15">
        <f>(I12-_xll.ohFilter($I$6:$I$9,$J$6:$J$9))/(P12-_xll.ohFilter($P$6:$P$9,$J$6:$J$9))</f>
        <v>1.3825225877012632E-7</v>
      </c>
      <c r="L12" s="15">
        <f>_xll.ohFilter($I$6:$I$9,$J$6:$J$9)-K12*_xll.ohFilter($P$6:$P$9,$J$6:$J$9)</f>
        <v>6.7084243510846092E-4</v>
      </c>
      <c r="M12" s="5"/>
      <c r="N12" s="106">
        <f t="shared" si="2"/>
        <v>31</v>
      </c>
      <c r="O12" s="106">
        <f t="shared" si="3"/>
        <v>122</v>
      </c>
      <c r="P12" s="106">
        <f t="shared" si="6"/>
        <v>153</v>
      </c>
      <c r="R12" s="85">
        <f t="shared" si="4"/>
        <v>6542.3333333333339</v>
      </c>
      <c r="S12" s="85">
        <f t="shared" si="5"/>
        <v>76.5</v>
      </c>
      <c r="T12" s="85">
        <v>1</v>
      </c>
      <c r="V12" s="85"/>
      <c r="W12" s="85"/>
      <c r="X12" s="85"/>
    </row>
    <row r="13" spans="1:34" x14ac:dyDescent="0.2">
      <c r="A13" s="40">
        <v>2</v>
      </c>
      <c r="B13" s="29" t="str">
        <f>_xll.qlMakeDatedOIS(,E13,F13,OvernightIndex,0,,,,EvaluationDate)</f>
        <v>obj_003bb#0000</v>
      </c>
      <c r="C13" s="12" t="b">
        <f>_xll.qlInstrumentSetPricingEngine(B13,OisEngine)</f>
        <v>1</v>
      </c>
      <c r="D13" s="11" t="str">
        <f>Currency&amp;A13&amp;"x"&amp;A13+3&amp;"F"&amp;QuoteSuffix</f>
        <v>JPY2x5F_Quote</v>
      </c>
      <c r="E13" s="48">
        <f>_xll.qlCalendarAdvance(Calendar,SettlementDate,A13&amp;"M","mf")</f>
        <v>41925</v>
      </c>
      <c r="F13" s="49">
        <f>_xll.qlInterestRateIndexMaturity($A$8,E13)</f>
        <v>42017</v>
      </c>
      <c r="G13" s="45">
        <f>_xll.qlQuoteValue(D13,AllTriggers)</f>
        <v>1.2999999999999999E-3</v>
      </c>
      <c r="H13" s="15">
        <f>_xll.qlOvernightIndexedSwapFairRate(B13,_xll.ohTrigger(C13,InterestRatesTrigger))</f>
        <v>5.5703420909726845E-4</v>
      </c>
      <c r="I13" s="16">
        <f>G13-H13</f>
        <v>7.4296579090273149E-4</v>
      </c>
      <c r="J13" s="1" t="b">
        <f>AND(NOT(ISERROR(I13)),E13&lt;&gt;$E$11,E13&lt;&gt;$E$10)</f>
        <v>1</v>
      </c>
      <c r="K13" s="15">
        <f>(I13-_xll.ohFilter($I$6:$I$9,$J$6:$J$9))/(P13-_xll.ohFilter($P$6:$P$9,$J$6:$J$9))</f>
        <v>4.7146149196364257E-7</v>
      </c>
      <c r="L13" s="15">
        <f>_xll.ohFilter($I$6:$I$9,$J$6:$J$9)-K13*_xll.ohFilter($P$6:$P$9,$J$6:$J$9)</f>
        <v>6.4018718565465741E-4</v>
      </c>
      <c r="M13" s="5"/>
      <c r="N13" s="106">
        <f t="shared" si="2"/>
        <v>63</v>
      </c>
      <c r="O13" s="106">
        <f t="shared" si="3"/>
        <v>155</v>
      </c>
      <c r="P13" s="106">
        <f t="shared" si="6"/>
        <v>218</v>
      </c>
      <c r="R13" s="85">
        <f t="shared" si="4"/>
        <v>12586.333333333334</v>
      </c>
      <c r="S13" s="85">
        <f t="shared" si="5"/>
        <v>109</v>
      </c>
      <c r="T13" s="85">
        <v>1</v>
      </c>
      <c r="V13" s="85"/>
      <c r="W13" s="85"/>
      <c r="X13" s="85"/>
    </row>
    <row r="14" spans="1:34" x14ac:dyDescent="0.2">
      <c r="A14" s="40">
        <v>3</v>
      </c>
      <c r="B14" s="29" t="str">
        <f>_xll.qlMakeDatedOIS(,E14,F14,OvernightIndex,0,,,,EvaluationDate)</f>
        <v>obj_003b6#0000</v>
      </c>
      <c r="C14" s="12" t="b">
        <f>_xll.qlInstrumentSetPricingEngine(B14,OisEngine)</f>
        <v>1</v>
      </c>
      <c r="D14" s="9" t="str">
        <f>Currency&amp;A14&amp;"x"&amp;A14+3&amp;"F"&amp;QuoteSuffix</f>
        <v>JPY3x6F_Quote</v>
      </c>
      <c r="E14" s="48">
        <f>_xll.qlCalendarAdvance(Calendar,SettlementDate,A14&amp;"M","mf")</f>
        <v>41954</v>
      </c>
      <c r="F14" s="49">
        <f>_xll.qlInterestRateIndexMaturity($A$8,E14)</f>
        <v>42047</v>
      </c>
      <c r="G14" s="45">
        <f>_xll.qlQuoteValue(D14,AllTriggers)</f>
        <v>1.2999999999999999E-3</v>
      </c>
      <c r="H14" s="15">
        <f>_xll.qlOvernightIndexedSwapFairRate(B14,_xll.ohTrigger(C14,InterestRatesTrigger))</f>
        <v>5.672990535697843E-4</v>
      </c>
      <c r="I14" s="16">
        <f>G14-H14</f>
        <v>7.3270094643021564E-4</v>
      </c>
      <c r="J14" s="1" t="b">
        <f>AND(NOT(ISERROR(I14)),E14&lt;&gt;$E$11,E14&lt;&gt;$E$10)</f>
        <v>1</v>
      </c>
      <c r="K14" s="15">
        <f>(I14-_xll.ohFilter($I$6:$I$9,$J$6:$J$9))/(P14-_xll.ohFilter($P$6:$P$9,$J$6:$J$9))</f>
        <v>2.6561785683731417E-7</v>
      </c>
      <c r="L14" s="15">
        <f>_xll.ohFilter($I$6:$I$9,$J$6:$J$9)-K14*_xll.ohFilter($P$6:$P$9,$J$6:$J$9)</f>
        <v>6.5912480008627965E-4</v>
      </c>
      <c r="M14" s="5"/>
      <c r="N14" s="106">
        <f t="shared" si="2"/>
        <v>92</v>
      </c>
      <c r="O14" s="106">
        <f t="shared" si="3"/>
        <v>185</v>
      </c>
      <c r="P14" s="106">
        <f t="shared" si="6"/>
        <v>277</v>
      </c>
      <c r="R14" s="85">
        <f t="shared" si="4"/>
        <v>19903</v>
      </c>
      <c r="S14" s="85">
        <f t="shared" si="5"/>
        <v>138.5</v>
      </c>
      <c r="T14" s="85">
        <v>1</v>
      </c>
      <c r="V14" s="85"/>
      <c r="W14" s="85"/>
      <c r="X14" s="85"/>
    </row>
    <row r="15" spans="1:34" x14ac:dyDescent="0.2">
      <c r="A15" s="40">
        <v>6</v>
      </c>
      <c r="B15" s="28" t="str">
        <f>_xll.qlMakeDatedOIS(,E15,F15,OvernightIndex,0,,,,EvaluationDate)</f>
        <v>obj_003ba#0000</v>
      </c>
      <c r="C15" s="8" t="b">
        <f>_xll.qlInstrumentSetPricingEngine(B15,OisEngine)</f>
        <v>1</v>
      </c>
      <c r="D15" s="96" t="str">
        <f>Currency&amp;A16&amp;"D_Quote"</f>
        <v>JPY6MD_Quote</v>
      </c>
      <c r="E15" s="97">
        <f>SettlementDate</f>
        <v>41862</v>
      </c>
      <c r="F15" s="98">
        <f>_xll.qlCalendarAdvance(Calendar,E15,A16,"mf")</f>
        <v>42046</v>
      </c>
      <c r="G15" s="99">
        <f>_xll.qlQuoteValue($D15,AllTriggers)</f>
        <v>1.7786000000000002E-3</v>
      </c>
      <c r="H15" s="100">
        <f>_xll.qlOvernightIndexedSwapFairRate(B15,_xll.ohTrigger(C15,InterestRatesTrigger))</f>
        <v>5.9178082245131699E-4</v>
      </c>
      <c r="I15" s="101">
        <f t="shared" si="1"/>
        <v>1.1868191775486832E-3</v>
      </c>
      <c r="J15" s="102" t="b">
        <v>0</v>
      </c>
      <c r="K15" s="103"/>
      <c r="L15" s="103"/>
      <c r="M15" s="103"/>
      <c r="N15" s="105">
        <f t="shared" si="2"/>
        <v>0</v>
      </c>
      <c r="O15" s="105">
        <f t="shared" si="3"/>
        <v>184</v>
      </c>
      <c r="P15" s="105">
        <f t="shared" ref="P15:P27" si="7">(O15^2-N15^2)/(O15-N15)</f>
        <v>184</v>
      </c>
      <c r="Q15" s="102"/>
      <c r="R15" s="116">
        <f t="shared" ref="R15:R27" si="8">(O15^3-N15^3)/3/(O15-N15)</f>
        <v>11285.333333333332</v>
      </c>
      <c r="S15" s="116">
        <f t="shared" ref="S15:S27" si="9">(O15+N15)/2</f>
        <v>92</v>
      </c>
      <c r="T15" s="116">
        <v>1</v>
      </c>
    </row>
    <row r="16" spans="1:34" x14ac:dyDescent="0.2">
      <c r="A16" s="182" t="str">
        <f>_xll.qlPeriodEquivalent(A15&amp;"M")</f>
        <v>6M</v>
      </c>
      <c r="B16" s="50" t="str">
        <f>_xll.qlMakeDatedOIS(,E16,F16,OvernightIndex,0,,,,EvaluationDate)</f>
        <v>obj_0037d#0003</v>
      </c>
      <c r="C16" s="12" t="b">
        <f>_xll.qlInstrumentSetPricingEngine(B16,OisEngine)</f>
        <v>1</v>
      </c>
      <c r="D16" s="89" t="str">
        <f>PROPER(Currency&amp;FamilyName)&amp;A16&amp;"LastFixing_Quote"</f>
        <v>Jpylibor6MLastFixing_Quote</v>
      </c>
      <c r="E16" s="90">
        <f>_xll.qlCalendarAdvance(Calendar,_xll.qlLastFixingQuoteReferenceDate(D16),_xll.qlInterestRateIndexFixingDays(A17)&amp;"D","f",,LastFixingsTrigger)</f>
        <v>41862</v>
      </c>
      <c r="F16" s="91">
        <f>_xll.qlInterestRateIndexMaturity(A17,E16)</f>
        <v>42047</v>
      </c>
      <c r="G16" s="92">
        <f>_xll.qlQuoteValue(D16,AllTriggers)</f>
        <v>1.7786000000000002E-3</v>
      </c>
      <c r="H16" s="93">
        <f>_xll.qlOvernightIndexedSwapFairRate(B16,_xll.ohTrigger(C16,InterestRatesTrigger))</f>
        <v>5.9178082245131699E-4</v>
      </c>
      <c r="I16" s="94">
        <f t="shared" si="1"/>
        <v>1.1868191775486832E-3</v>
      </c>
      <c r="J16" s="102" t="b">
        <f>AND(NOT(ISERROR(I16)))</f>
        <v>1</v>
      </c>
      <c r="K16" s="103"/>
      <c r="L16" s="103"/>
      <c r="M16" s="103"/>
      <c r="N16" s="105">
        <f t="shared" si="2"/>
        <v>0</v>
      </c>
      <c r="O16" s="105">
        <f t="shared" si="3"/>
        <v>185</v>
      </c>
      <c r="P16" s="105">
        <f t="shared" si="7"/>
        <v>185</v>
      </c>
      <c r="Q16" s="102"/>
      <c r="R16" s="116">
        <f t="shared" si="8"/>
        <v>11408.333333333332</v>
      </c>
      <c r="S16" s="116">
        <f t="shared" si="9"/>
        <v>92.5</v>
      </c>
      <c r="T16" s="116">
        <v>1</v>
      </c>
    </row>
    <row r="17" spans="1:34" x14ac:dyDescent="0.2">
      <c r="A17" s="182" t="str">
        <f>PROPER(Currency)&amp;FamilyName&amp;A16</f>
        <v>JpyLibor6M</v>
      </c>
      <c r="B17" s="29"/>
      <c r="C17" s="12"/>
      <c r="D17" s="89"/>
      <c r="E17" s="90"/>
      <c r="F17" s="91"/>
      <c r="G17" s="92"/>
      <c r="H17" s="93"/>
      <c r="I17" s="94" t="e">
        <f>NA()</f>
        <v>#N/A</v>
      </c>
      <c r="J17" s="102" t="b">
        <f>AND(E17&gt;E16,NOT(ISERROR(I17)))</f>
        <v>0</v>
      </c>
      <c r="K17" s="102"/>
      <c r="L17" s="102"/>
      <c r="M17" s="103"/>
      <c r="N17" s="105">
        <f t="shared" si="2"/>
        <v>-41862</v>
      </c>
      <c r="O17" s="105">
        <f t="shared" si="3"/>
        <v>-41862</v>
      </c>
      <c r="P17" s="105" t="e">
        <f t="shared" si="7"/>
        <v>#DIV/0!</v>
      </c>
      <c r="Q17" s="102"/>
      <c r="R17" s="116" t="e">
        <f t="shared" si="8"/>
        <v>#DIV/0!</v>
      </c>
      <c r="S17" s="116">
        <f t="shared" si="9"/>
        <v>-41862</v>
      </c>
      <c r="T17" s="116">
        <v>1</v>
      </c>
      <c r="AD17" s="1" t="s">
        <v>50</v>
      </c>
      <c r="AH17" s="1" t="s">
        <v>49</v>
      </c>
    </row>
    <row r="18" spans="1:34" x14ac:dyDescent="0.2">
      <c r="A18" s="40"/>
      <c r="B18" s="29"/>
      <c r="C18" s="12"/>
      <c r="D18" s="89"/>
      <c r="E18" s="90"/>
      <c r="F18" s="91"/>
      <c r="G18" s="92"/>
      <c r="H18" s="93"/>
      <c r="I18" s="94" t="e">
        <f>NA()</f>
        <v>#N/A</v>
      </c>
      <c r="J18" s="102" t="b">
        <f>AND(NOT(J16),NOT(ISERROR(I18)))</f>
        <v>0</v>
      </c>
      <c r="K18" s="93">
        <f>AVERAGE(_xll.ohFilter(K19:K21,J19:J21))</f>
        <v>-2.1007247588197526E-7</v>
      </c>
      <c r="L18" s="93">
        <f>_xll.ohFilter($I$15:$I$18,$J$15:$J$18)-K18*_xll.ohFilter($P$15:$P$18,$J$15:$J$18)</f>
        <v>1.2256825855868486E-3</v>
      </c>
      <c r="M18" s="103"/>
      <c r="N18" s="105">
        <f t="shared" si="2"/>
        <v>-41862</v>
      </c>
      <c r="O18" s="105">
        <f t="shared" si="3"/>
        <v>-41862</v>
      </c>
      <c r="P18" s="105" t="e">
        <f t="shared" si="7"/>
        <v>#DIV/0!</v>
      </c>
      <c r="Q18" s="102"/>
      <c r="R18" s="116" t="e">
        <f t="shared" si="8"/>
        <v>#DIV/0!</v>
      </c>
      <c r="S18" s="116">
        <f t="shared" si="9"/>
        <v>-41862</v>
      </c>
      <c r="T18" s="116">
        <v>1</v>
      </c>
      <c r="V18" s="76">
        <f t="array" ref="V18:V20">_xll.ohFilter(R15:R24,$J15:$J24)</f>
        <v>11408.333333333332</v>
      </c>
      <c r="W18" s="77">
        <f t="array" ref="W18:W20">_xll.ohFilter(S15:S24,$J15:$J24)</f>
        <v>92.5</v>
      </c>
      <c r="X18" s="78">
        <f t="array" ref="X18:X20">_xll.ohFilter(T15:T24,$J15:$J24)</f>
        <v>1</v>
      </c>
      <c r="Z18" s="61">
        <f t="array" ref="Z18:Z20">MMULT(AD18:AF20,AB18:AB20)</f>
        <v>1.616818664150914E-8</v>
      </c>
      <c r="AB18" s="61">
        <f t="array" ref="AB18:AB20">_xll.ohFilter(I15:I24,$J15:$J24)</f>
        <v>1.1868191775486832E-3</v>
      </c>
      <c r="AD18" s="67">
        <f t="array" ref="AD18:AF20">MINVERSE(V18:X20)</f>
        <v>5.17466484093878E-4</v>
      </c>
      <c r="AE18" s="68">
        <v>-9.7920580836226095E-4</v>
      </c>
      <c r="AF18" s="69">
        <v>4.6173932426838316E-4</v>
      </c>
      <c r="AH18" s="64">
        <f t="array" ref="AH18:AH20">MMULT(V18:X20,Z18:Z20)-AB18:AB20</f>
        <v>4.1199682554449168E-18</v>
      </c>
    </row>
    <row r="19" spans="1:34" x14ac:dyDescent="0.2">
      <c r="A19" s="40">
        <v>1</v>
      </c>
      <c r="B19" s="29" t="str">
        <f>_xll.qlMakeDatedOIS(,E19,F19,OvernightIndex,0,,,,EvaluationDate)</f>
        <v>obj_003b7#0000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JPY1x7F_Quote</v>
      </c>
      <c r="E19" s="48">
        <f>_xll.qlCalendarAdvance(Calendar,SettlementDate,A19&amp;"M","mf")</f>
        <v>41893</v>
      </c>
      <c r="F19" s="49">
        <f>_xll.qlInterestRateIndexMaturity($A$17,E19)</f>
        <v>42074</v>
      </c>
      <c r="G19" s="27">
        <f>_xll.qlQuoteValue(D19,AllTriggers)</f>
        <v>1.7499999999999998E-3</v>
      </c>
      <c r="H19" s="15">
        <f>_xll.qlOvernightIndexedSwapFairRate(B19,_xll.ohTrigger(C19,InterestRatesTrigger))</f>
        <v>5.8713903821800079E-4</v>
      </c>
      <c r="I19" s="16">
        <f t="shared" ref="I19:I24" si="11">G19-H19</f>
        <v>1.162860961781999E-3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-4.1307268563248573E-7</v>
      </c>
      <c r="L19" s="15">
        <f>_xll.ohFilter($I$15:$I$18,$J$15:$J$18)-K19*_xll.ohFilter($P$15:$P$18,$J$15:$J$18)</f>
        <v>1.263237624390693E-3</v>
      </c>
      <c r="M19" s="5"/>
      <c r="N19" s="106">
        <f t="shared" si="2"/>
        <v>31</v>
      </c>
      <c r="O19" s="106">
        <f t="shared" si="3"/>
        <v>212</v>
      </c>
      <c r="P19" s="106">
        <f t="shared" si="7"/>
        <v>243</v>
      </c>
      <c r="R19" s="85">
        <f t="shared" si="8"/>
        <v>17492.333333333336</v>
      </c>
      <c r="S19" s="85">
        <f t="shared" si="9"/>
        <v>121.5</v>
      </c>
      <c r="T19" s="85">
        <v>1</v>
      </c>
      <c r="V19" s="79">
        <v>17492.333333333336</v>
      </c>
      <c r="W19" s="80">
        <v>121.5</v>
      </c>
      <c r="X19" s="81">
        <v>1</v>
      </c>
      <c r="Y19" s="52" t="s">
        <v>46</v>
      </c>
      <c r="Z19" s="62">
        <v>-4.2181194239180805E-6</v>
      </c>
      <c r="AA19" s="52" t="s">
        <v>47</v>
      </c>
      <c r="AB19" s="62">
        <v>1.162860961781999E-3</v>
      </c>
      <c r="AD19" s="70">
        <v>-0.14304365824921228</v>
      </c>
      <c r="AE19" s="71">
        <v>0.23991338407158624</v>
      </c>
      <c r="AF19" s="72">
        <v>-9.6869725822373978E-2</v>
      </c>
      <c r="AH19" s="65">
        <v>5.6378512969246231E-18</v>
      </c>
    </row>
    <row r="20" spans="1:34" x14ac:dyDescent="0.2">
      <c r="A20" s="40">
        <v>2</v>
      </c>
      <c r="B20" s="29" t="str">
        <f>_xll.qlMakeDatedOIS(,E20,F20,OvernightIndex,0,,,,EvaluationDate)</f>
        <v>obj_003be#0000</v>
      </c>
      <c r="C20" s="12" t="b">
        <f>_xll.qlInstrumentSetPricingEngine(B20,OisEngine)</f>
        <v>1</v>
      </c>
      <c r="D20" s="11" t="str">
        <f t="shared" si="10"/>
        <v>JPY2x8F_Quote</v>
      </c>
      <c r="E20" s="48">
        <f>_xll.qlCalendarAdvance(Calendar,SettlementDate,A20&amp;"M","mf")</f>
        <v>41925</v>
      </c>
      <c r="F20" s="49">
        <f>_xll.qlInterestRateIndexMaturity($A$17,E20)</f>
        <v>42107</v>
      </c>
      <c r="G20" s="27">
        <f>_xll.qlQuoteValue(D20,AllTriggers)</f>
        <v>1.7499999999999998E-3</v>
      </c>
      <c r="H20" s="15">
        <f>_xll.qlOvernightIndexedSwapFairRate(B20,_xll.ohTrigger(C20,InterestRatesTrigger))</f>
        <v>5.7897293070802245E-4</v>
      </c>
      <c r="I20" s="16">
        <f t="shared" si="11"/>
        <v>1.1710270692919774E-3</v>
      </c>
      <c r="J20" s="1" t="b">
        <f t="shared" si="12"/>
        <v>1</v>
      </c>
      <c r="K20" s="15">
        <f>(I20-_xll.ohFilter($I$15:$I$18,$J$15:$J$18))/(P20-_xll.ohFilter($P$15:$P$18,$J$15:$J$18))</f>
        <v>-1.2839112403825881E-7</v>
      </c>
      <c r="L20" s="15">
        <f>_xll.ohFilter($I$15:$I$18,$J$15:$J$18)-K20*_xll.ohFilter($P$15:$P$18,$J$15:$J$18)</f>
        <v>1.2105715354957611E-3</v>
      </c>
      <c r="M20" s="5"/>
      <c r="N20" s="106">
        <f t="shared" si="2"/>
        <v>63</v>
      </c>
      <c r="O20" s="106">
        <f t="shared" si="3"/>
        <v>245</v>
      </c>
      <c r="P20" s="106">
        <f t="shared" si="7"/>
        <v>308</v>
      </c>
      <c r="R20" s="85">
        <f t="shared" si="8"/>
        <v>26476.333333333336</v>
      </c>
      <c r="S20" s="85">
        <f t="shared" si="9"/>
        <v>154</v>
      </c>
      <c r="T20" s="85">
        <v>1</v>
      </c>
      <c r="V20" s="82">
        <v>26476.333333333336</v>
      </c>
      <c r="W20" s="83">
        <v>154</v>
      </c>
      <c r="X20" s="84">
        <v>1</v>
      </c>
      <c r="Z20" s="63">
        <v>1.3925431616592264E-3</v>
      </c>
      <c r="AB20" s="63">
        <v>1.1710270692919774E-3</v>
      </c>
      <c r="AD20" s="73">
        <v>8.3281082486811471</v>
      </c>
      <c r="AE20" s="74">
        <v>-11.020881762888937</v>
      </c>
      <c r="AF20" s="75">
        <v>3.6927735142077904</v>
      </c>
      <c r="AH20" s="66">
        <v>7.8062556418956319E-18</v>
      </c>
    </row>
    <row r="21" spans="1:34" x14ac:dyDescent="0.2">
      <c r="A21" s="40">
        <v>3</v>
      </c>
      <c r="B21" s="29" t="str">
        <f>_xll.qlMakeDatedOIS(,E21,F21,OvernightIndex,0,,,,EvaluationDate)</f>
        <v>obj_003bf#0000</v>
      </c>
      <c r="C21" s="12" t="b">
        <f>_xll.qlInstrumentSetPricingEngine(B21,OisEngine)</f>
        <v>1</v>
      </c>
      <c r="D21" s="11" t="str">
        <f t="shared" si="10"/>
        <v>JPY3x9F_Quote</v>
      </c>
      <c r="E21" s="48">
        <f>_xll.qlCalendarAdvance(Calendar,SettlementDate,A21&amp;"M","mf")</f>
        <v>41954</v>
      </c>
      <c r="F21" s="49">
        <f>_xll.qlInterestRateIndexMaturity($A$17,E21)</f>
        <v>42135</v>
      </c>
      <c r="G21" s="27">
        <f>_xll.qlQuoteValue(D21,AllTriggers)</f>
        <v>1.7499999999999998E-3</v>
      </c>
      <c r="H21" s="15">
        <f>_xll.qlOvernightIndexedSwapFairRate(B21,_xll.ohTrigger(C21,InterestRatesTrigger))</f>
        <v>5.7915647368684913E-4</v>
      </c>
      <c r="I21" s="16">
        <f t="shared" si="11"/>
        <v>1.1708435263131506E-3</v>
      </c>
      <c r="J21" s="1" t="b">
        <f t="shared" si="12"/>
        <v>1</v>
      </c>
      <c r="K21" s="15">
        <f>(I21-_xll.ohFilter($I$15:$I$18,$J$15:$J$18))/(P21-_xll.ohFilter($P$15:$P$18,$J$15:$J$18))</f>
        <v>-8.8753617975181213E-8</v>
      </c>
      <c r="L21" s="15">
        <f>_xll.ohFilter($I$15:$I$18,$J$15:$J$18)-K21*_xll.ohFilter($P$15:$P$18,$J$15:$J$18)</f>
        <v>1.2032385968740917E-3</v>
      </c>
      <c r="M21" s="5"/>
      <c r="N21" s="106">
        <f t="shared" si="2"/>
        <v>92</v>
      </c>
      <c r="O21" s="106">
        <f t="shared" si="3"/>
        <v>273</v>
      </c>
      <c r="P21" s="106">
        <f t="shared" si="7"/>
        <v>365</v>
      </c>
      <c r="R21" s="85">
        <f t="shared" si="8"/>
        <v>36036.333333333328</v>
      </c>
      <c r="S21" s="85">
        <f t="shared" si="9"/>
        <v>182.5</v>
      </c>
      <c r="T21" s="85">
        <v>1</v>
      </c>
      <c r="V21" s="85"/>
      <c r="W21" s="85"/>
      <c r="X21" s="85"/>
      <c r="AB21" s="51"/>
    </row>
    <row r="22" spans="1:34" x14ac:dyDescent="0.2">
      <c r="A22" s="40">
        <v>4</v>
      </c>
      <c r="B22" s="29" t="str">
        <f>_xll.qlMakeDatedOIS(,E22,F22,OvernightIndex,0,,,,EvaluationDate)</f>
        <v>obj_003c3#0000</v>
      </c>
      <c r="C22" s="12" t="b">
        <f>_xll.qlInstrumentSetPricingEngine(B22,OisEngine)</f>
        <v>1</v>
      </c>
      <c r="D22" s="11" t="str">
        <f t="shared" si="10"/>
        <v>JPY4x10F_Quote</v>
      </c>
      <c r="E22" s="48">
        <f>_xll.qlCalendarAdvance(Calendar,SettlementDate,A22&amp;"M","mf")</f>
        <v>41984</v>
      </c>
      <c r="F22" s="49">
        <f>_xll.qlInterestRateIndexMaturity($A$17,E22)</f>
        <v>42166</v>
      </c>
      <c r="G22" s="27">
        <f>_xll.qlQuoteValue(D22,AllTriggers)</f>
        <v>1.6999999999999999E-3</v>
      </c>
      <c r="H22" s="15">
        <f>_xll.qlOvernightIndexedSwapFairRate(B22,_xll.ohTrigger(C22,InterestRatesTrigger))</f>
        <v>5.627636131073935E-4</v>
      </c>
      <c r="I22" s="16">
        <f t="shared" si="11"/>
        <v>1.1372363868926063E-3</v>
      </c>
      <c r="J22" s="1" t="b">
        <f t="shared" si="12"/>
        <v>1</v>
      </c>
      <c r="K22" s="15">
        <f>(I22-_xll.ohFilter($I$15:$I$18,$J$15:$J$18))/(P22-_xll.ohFilter($P$15:$P$18,$J$15:$J$18))</f>
        <v>-2.0573772056463447E-7</v>
      </c>
      <c r="L22" s="15">
        <f>_xll.ohFilter($I$15:$I$18,$J$15:$J$18)-K22*_xll.ohFilter($P$15:$P$18,$J$15:$J$18)</f>
        <v>1.2248806558531405E-3</v>
      </c>
      <c r="M22" s="5"/>
      <c r="N22" s="106">
        <f t="shared" si="2"/>
        <v>122</v>
      </c>
      <c r="O22" s="106">
        <f t="shared" si="3"/>
        <v>304</v>
      </c>
      <c r="P22" s="106">
        <f t="shared" si="7"/>
        <v>426</v>
      </c>
      <c r="R22" s="85">
        <f t="shared" si="8"/>
        <v>48129.333333333328</v>
      </c>
      <c r="S22" s="85">
        <f t="shared" si="9"/>
        <v>213</v>
      </c>
      <c r="T22" s="85">
        <v>1</v>
      </c>
      <c r="V22" s="85"/>
      <c r="W22" s="85"/>
      <c r="X22" s="85"/>
      <c r="AB22" s="51"/>
    </row>
    <row r="23" spans="1:34" x14ac:dyDescent="0.2">
      <c r="A23" s="40">
        <v>5</v>
      </c>
      <c r="B23" s="29" t="str">
        <f>_xll.qlMakeDatedOIS(,E23,F23,OvernightIndex,0,,,,EvaluationDate)</f>
        <v>obj_003b8#0000</v>
      </c>
      <c r="C23" s="12" t="b">
        <f>_xll.qlInstrumentSetPricingEngine(B23,OisEngine)</f>
        <v>1</v>
      </c>
      <c r="D23" s="11" t="str">
        <f t="shared" si="10"/>
        <v>JPY5x11F_Quote</v>
      </c>
      <c r="E23" s="48">
        <f>_xll.qlCalendarAdvance(Calendar,SettlementDate,A23&amp;"M","mf")</f>
        <v>42016</v>
      </c>
      <c r="F23" s="49">
        <f>_xll.qlInterestRateIndexMaturity($A$17,E23)</f>
        <v>42198</v>
      </c>
      <c r="G23" s="27">
        <f>_xll.qlQuoteValue(D23,AllTriggers)</f>
        <v>1.6999999999999999E-3</v>
      </c>
      <c r="H23" s="15">
        <f>_xll.qlOvernightIndexedSwapFairRate(B23,_xll.ohTrigger(C23,InterestRatesTrigger))</f>
        <v>5.6073591423823604E-4</v>
      </c>
      <c r="I23" s="16">
        <f t="shared" si="11"/>
        <v>1.1392640857617639E-3</v>
      </c>
      <c r="J23" s="1" t="b">
        <f t="shared" si="12"/>
        <v>1</v>
      </c>
      <c r="K23" s="15">
        <f>(I23-_xll.ohFilter($I$15:$I$18,$J$15:$J$18))/(P23-_xll.ohFilter($P$15:$P$18,$J$15:$J$18))</f>
        <v>-1.5591833372760437E-7</v>
      </c>
      <c r="L23" s="15">
        <f>_xll.ohFilter($I$15:$I$18,$J$15:$J$18)-K23*_xll.ohFilter($P$15:$P$18,$J$15:$J$18)</f>
        <v>1.2156640692882899E-3</v>
      </c>
      <c r="M23" s="5"/>
      <c r="N23" s="106">
        <f t="shared" si="2"/>
        <v>154</v>
      </c>
      <c r="O23" s="106">
        <f t="shared" si="3"/>
        <v>336</v>
      </c>
      <c r="P23" s="106">
        <f t="shared" si="7"/>
        <v>490</v>
      </c>
      <c r="R23" s="85">
        <f t="shared" si="8"/>
        <v>62785.333333333328</v>
      </c>
      <c r="S23" s="85">
        <f t="shared" si="9"/>
        <v>245</v>
      </c>
      <c r="T23" s="85">
        <v>1</v>
      </c>
      <c r="V23" s="85"/>
      <c r="W23" s="85"/>
      <c r="X23" s="85"/>
      <c r="AB23" s="51"/>
    </row>
    <row r="24" spans="1:34" x14ac:dyDescent="0.2">
      <c r="A24" s="40">
        <v>6</v>
      </c>
      <c r="B24" s="29" t="str">
        <f>_xll.qlMakeDatedOIS(,E24,F24,OvernightIndex,0,,,,EvaluationDate)</f>
        <v>obj_003c2#0000</v>
      </c>
      <c r="C24" s="12" t="b">
        <f>_xll.qlInstrumentSetPricingEngine(B24,OisEngine)</f>
        <v>1</v>
      </c>
      <c r="D24" s="11" t="str">
        <f t="shared" si="10"/>
        <v>JPY6x12F_Quote</v>
      </c>
      <c r="E24" s="48">
        <f>_xll.qlCalendarAdvance(Calendar,SettlementDate,A24&amp;"M","mf")</f>
        <v>42046</v>
      </c>
      <c r="F24" s="49">
        <f>_xll.qlInterestRateIndexMaturity($A$17,E24)</f>
        <v>42227</v>
      </c>
      <c r="G24" s="27">
        <f>_xll.qlQuoteValue(D24,AllTriggers)</f>
        <v>1.6999999999999999E-3</v>
      </c>
      <c r="H24" s="15">
        <f>_xll.qlOvernightIndexedSwapFairRate(B24,_xll.ohTrigger(C24,InterestRatesTrigger))</f>
        <v>5.4161611126435361E-4</v>
      </c>
      <c r="I24" s="16">
        <f t="shared" si="11"/>
        <v>1.1583838887356463E-3</v>
      </c>
      <c r="J24" s="1" t="b">
        <f t="shared" si="12"/>
        <v>1</v>
      </c>
      <c r="K24" s="15">
        <f>(I24-_xll.ohFilter($I$15:$I$18,$J$15:$J$18))/(P24-_xll.ohFilter($P$15:$P$18,$J$15:$J$18))</f>
        <v>-7.8118925310540945E-8</v>
      </c>
      <c r="L24" s="15">
        <f>_xll.ohFilter($I$15:$I$18,$J$15:$J$18)-K24*_xll.ohFilter($P$15:$P$18,$J$15:$J$18)</f>
        <v>1.2012711787311333E-3</v>
      </c>
      <c r="M24" s="5"/>
      <c r="N24" s="106">
        <f t="shared" si="2"/>
        <v>184</v>
      </c>
      <c r="O24" s="106">
        <f t="shared" si="3"/>
        <v>365</v>
      </c>
      <c r="P24" s="106">
        <f t="shared" si="7"/>
        <v>549</v>
      </c>
      <c r="R24" s="85">
        <f t="shared" si="8"/>
        <v>78080.333333333343</v>
      </c>
      <c r="S24" s="85">
        <f t="shared" si="9"/>
        <v>274.5</v>
      </c>
      <c r="T24" s="85">
        <v>1</v>
      </c>
    </row>
    <row r="25" spans="1:34" x14ac:dyDescent="0.2">
      <c r="A25" s="40">
        <v>12</v>
      </c>
      <c r="B25" s="28" t="str">
        <f>_xll.qlMakeDatedOIS(,E25,F25,OvernightIndex,0,,,,EvaluationDate)</f>
        <v>obj_003b9#0000</v>
      </c>
      <c r="C25" s="8" t="b">
        <f>_xll.qlInstrumentSetPricingEngine(B25,OisEngine)</f>
        <v>1</v>
      </c>
      <c r="D25" s="96" t="str">
        <f>Currency&amp;A26&amp;"D_Quote"</f>
        <v>JPY1YD_Quote</v>
      </c>
      <c r="E25" s="97">
        <f>SettlementDate</f>
        <v>41862</v>
      </c>
      <c r="F25" s="98">
        <f>_xll.qlCalendarAdvance(Calendar,E25,A26,"mf")</f>
        <v>42227</v>
      </c>
      <c r="G25" s="99">
        <f>_xll.qlQuoteValue($D25,AllTriggers)</f>
        <v>3.3686000000000007E-3</v>
      </c>
      <c r="H25" s="100">
        <f>_xll.qlOvernightIndexedSwapFairRate(B25,_xll.ohTrigger(C25,InterestRatesTrigger))</f>
        <v>5.6712328794147481E-4</v>
      </c>
      <c r="I25" s="101">
        <f t="shared" si="1"/>
        <v>2.8014767120585257E-3</v>
      </c>
      <c r="J25" s="102" t="b">
        <v>0</v>
      </c>
      <c r="K25" s="102"/>
      <c r="L25" s="102"/>
      <c r="M25" s="103"/>
      <c r="N25" s="105">
        <f t="shared" si="2"/>
        <v>0</v>
      </c>
      <c r="O25" s="105">
        <f t="shared" si="3"/>
        <v>365</v>
      </c>
      <c r="P25" s="105">
        <f t="shared" si="7"/>
        <v>365</v>
      </c>
      <c r="Q25" s="102"/>
      <c r="R25" s="116">
        <f t="shared" si="8"/>
        <v>44408.333333333328</v>
      </c>
      <c r="S25" s="116">
        <f t="shared" si="9"/>
        <v>182.5</v>
      </c>
      <c r="T25" s="116">
        <v>1</v>
      </c>
    </row>
    <row r="26" spans="1:34" x14ac:dyDescent="0.2">
      <c r="A26" s="182" t="str">
        <f>_xll.qlPeriodEquivalent(A25&amp;"M")</f>
        <v>1Y</v>
      </c>
      <c r="B26" s="29" t="str">
        <f>_xll.qlMakeDatedOIS(,E26,F26,OvernightIndex,0,,,,EvaluationDate)</f>
        <v>obj_0037e#0003</v>
      </c>
      <c r="C26" s="12" t="b">
        <f>_xll.qlInstrumentSetPricingEngine(B26,OisEngine)</f>
        <v>1</v>
      </c>
      <c r="D26" s="89" t="str">
        <f>PROPER(Currency&amp;FamilyName)&amp;A26&amp;"LastFixing_Quote"</f>
        <v>Jpylibor1YLastFixing_Quote</v>
      </c>
      <c r="E26" s="90">
        <f>_xll.qlCalendarAdvance(Calendar,_xll.qlLastFixingQuoteReferenceDate(D26),_xll.qlInterestRateIndexFixingDays(A27)&amp;"D","f",,LastFixingsTrigger)</f>
        <v>41862</v>
      </c>
      <c r="F26" s="91">
        <f>_xll.qlInterestRateIndexMaturity(A27,E26)</f>
        <v>42227</v>
      </c>
      <c r="G26" s="92">
        <f>_xll.qlQuoteValue(D26,AllTriggers)</f>
        <v>3.3686000000000007E-3</v>
      </c>
      <c r="H26" s="93">
        <f>_xll.qlOvernightIndexedSwapFairRate(B26,_xll.ohTrigger(C26,InterestRatesTrigger))</f>
        <v>5.6712328794147481E-4</v>
      </c>
      <c r="I26" s="94">
        <f t="shared" si="1"/>
        <v>2.8014767120585257E-3</v>
      </c>
      <c r="J26" s="102" t="b">
        <f>NOT(ISERROR(I26))</f>
        <v>1</v>
      </c>
      <c r="K26" s="104" t="e">
        <f>K27</f>
        <v>#NUM!</v>
      </c>
      <c r="L26" s="93" t="e">
        <f>L27</f>
        <v>#NUM!</v>
      </c>
      <c r="M26" s="103"/>
      <c r="N26" s="105">
        <f t="shared" si="2"/>
        <v>0</v>
      </c>
      <c r="O26" s="105">
        <f t="shared" si="3"/>
        <v>365</v>
      </c>
      <c r="P26" s="105">
        <f t="shared" si="7"/>
        <v>365</v>
      </c>
      <c r="Q26" s="102"/>
      <c r="R26" s="116">
        <f t="shared" si="8"/>
        <v>44408.333333333328</v>
      </c>
      <c r="S26" s="116">
        <f t="shared" si="9"/>
        <v>182.5</v>
      </c>
      <c r="T26" s="116">
        <v>1</v>
      </c>
    </row>
    <row r="27" spans="1:34" x14ac:dyDescent="0.2">
      <c r="A27" s="182" t="str">
        <f>PROPER(Currency)&amp;FamilyName&amp;A26</f>
        <v>JpyLibor1Y</v>
      </c>
      <c r="B27" s="29" t="str">
        <f>_xll.qlMakeDatedOIS(,E27,F27,OvernightIndex,0,,,,EvaluationDate)</f>
        <v>obj_003bc#0000</v>
      </c>
      <c r="C27" s="12" t="b">
        <f>_xll.qlInstrumentSetPricingEngine(B27,OisEngine)</f>
        <v>1</v>
      </c>
      <c r="D27" s="11" t="str">
        <f>Currency&amp;"12x24F"&amp;QuoteSuffix</f>
        <v>JPY12x24F_Quote</v>
      </c>
      <c r="E27" s="48">
        <f>_xll.qlCalendarAdvance(Calendar,SettlementDate,"12M","mf")</f>
        <v>42227</v>
      </c>
      <c r="F27" s="49">
        <f>_xll.qlInterestRateIndexMaturity(A27,E27)</f>
        <v>42593</v>
      </c>
      <c r="G27" s="27" t="e">
        <f>_xll.qlQuoteValue(D27,AllTriggers)</f>
        <v>#NUM!</v>
      </c>
      <c r="H27" s="15">
        <f>_xll.qlOvernightIndexedSwapFairRate(B27,_xll.ohTrigger(C27,InterestRatesTrigger))</f>
        <v>5.178626429241485E-4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06">
        <f t="shared" si="2"/>
        <v>365</v>
      </c>
      <c r="O27" s="106">
        <f t="shared" si="3"/>
        <v>731</v>
      </c>
      <c r="P27" s="106">
        <f t="shared" si="7"/>
        <v>1096</v>
      </c>
      <c r="R27" s="85">
        <f t="shared" si="8"/>
        <v>311467</v>
      </c>
      <c r="S27" s="85">
        <f t="shared" si="9"/>
        <v>548</v>
      </c>
      <c r="T27" s="85">
        <v>1</v>
      </c>
      <c r="AA27" s="189"/>
    </row>
    <row r="28" spans="1:34" x14ac:dyDescent="0.2">
      <c r="B28" s="7"/>
      <c r="C28" s="7"/>
      <c r="D28" s="53"/>
      <c r="E28" s="53"/>
      <c r="F28" s="53"/>
      <c r="G28" s="53"/>
      <c r="H28" s="53"/>
      <c r="I28" s="54"/>
      <c r="O28" s="55"/>
      <c r="S28" s="55"/>
      <c r="T28" s="55"/>
      <c r="U28" s="55"/>
      <c r="V28" s="55"/>
      <c r="W28" s="55"/>
      <c r="X28" s="55"/>
      <c r="AA28" s="55"/>
    </row>
    <row r="29" spans="1:34" x14ac:dyDescent="0.2">
      <c r="G29" s="52" t="s">
        <v>40</v>
      </c>
      <c r="H29" s="52" t="s">
        <v>40</v>
      </c>
      <c r="I29" s="52" t="s">
        <v>40</v>
      </c>
      <c r="J29" s="52" t="s">
        <v>40</v>
      </c>
    </row>
    <row r="30" spans="1:34" x14ac:dyDescent="0.2">
      <c r="A30" s="6"/>
      <c r="B30" s="6"/>
      <c r="C30" s="6"/>
      <c r="D30" s="6"/>
      <c r="E30" s="6"/>
      <c r="F30" s="6"/>
      <c r="G30" s="52" t="b">
        <v>0</v>
      </c>
      <c r="H30" s="52" t="b">
        <v>0</v>
      </c>
      <c r="I30" s="52" t="b">
        <v>0</v>
      </c>
      <c r="J30" s="52" t="b">
        <v>0</v>
      </c>
      <c r="M30" s="88" t="s">
        <v>48</v>
      </c>
      <c r="O30" s="52" t="b">
        <v>1</v>
      </c>
      <c r="P30" s="52" t="b">
        <v>1</v>
      </c>
      <c r="U30" s="110" t="s">
        <v>48</v>
      </c>
      <c r="V30" s="111">
        <f>Z9</f>
        <v>2.01944989814254E-8</v>
      </c>
      <c r="W30" s="13">
        <f>Z18</f>
        <v>1.616818664150914E-8</v>
      </c>
    </row>
    <row r="31" spans="1:34" x14ac:dyDescent="0.2">
      <c r="F31" s="40" t="s">
        <v>32</v>
      </c>
      <c r="G31" s="37">
        <f>_xll.ohFilter(I2:I3,J2:J3)</f>
        <v>2.8030411071094019E-4</v>
      </c>
      <c r="H31" s="38">
        <f>_xll.ohFilter(I6:I9,J6:J9)</f>
        <v>6.8356164291531252E-4</v>
      </c>
      <c r="I31" s="38">
        <f>_xll.ohFilter(I15:I18,J15:J18)</f>
        <v>1.1868191775486832E-3</v>
      </c>
      <c r="J31" s="39">
        <f>_xll.ohFilter(I25:I26,J25:J26)</f>
        <v>2.8014767120585257E-3</v>
      </c>
      <c r="M31" s="52" t="s">
        <v>45</v>
      </c>
      <c r="N31" s="51" t="e">
        <f>K4</f>
        <v>#NUM!</v>
      </c>
      <c r="O31" s="51">
        <f>K9</f>
        <v>1.3825225877012632E-7</v>
      </c>
      <c r="P31" s="51">
        <f>AVERAGE(K19:K21)</f>
        <v>-2.1007247588197526E-7</v>
      </c>
      <c r="Q31" s="51" t="e">
        <f>K26</f>
        <v>#NUM!</v>
      </c>
      <c r="U31" s="112" t="s">
        <v>45</v>
      </c>
      <c r="V31" s="57">
        <f>Z10</f>
        <v>-2.1872243581936491E-6</v>
      </c>
      <c r="W31" s="16">
        <f>Z19</f>
        <v>-4.2181194239180805E-6</v>
      </c>
    </row>
    <row r="32" spans="1:34" x14ac:dyDescent="0.2">
      <c r="F32" s="40" t="s">
        <v>31</v>
      </c>
      <c r="G32" s="37">
        <f>IF(G31&lt;H31,G31,H31)</f>
        <v>2.8030411071094019E-4</v>
      </c>
      <c r="H32" s="38">
        <f>H31</f>
        <v>6.8356164291531252E-4</v>
      </c>
      <c r="I32" s="38">
        <f>IF(I31&lt;H31,H31,I31)</f>
        <v>1.1868191775486832E-3</v>
      </c>
      <c r="J32" s="39">
        <f>IF(J31&lt;I31,I31,J31)</f>
        <v>2.8014767120585257E-3</v>
      </c>
      <c r="M32" s="52" t="s">
        <v>44</v>
      </c>
      <c r="N32" s="51" t="e">
        <f>L4</f>
        <v>#NUM!</v>
      </c>
      <c r="O32" s="51">
        <f>L9</f>
        <v>6.7084243510846092E-4</v>
      </c>
      <c r="P32" s="51">
        <f>L18</f>
        <v>1.2256825855868486E-3</v>
      </c>
      <c r="Q32" s="51" t="e">
        <f>L26</f>
        <v>#NUM!</v>
      </c>
      <c r="U32" s="112" t="s">
        <v>44</v>
      </c>
      <c r="V32" s="57">
        <f>Z11</f>
        <v>7.271985502659581E-4</v>
      </c>
      <c r="W32" s="16">
        <f>Z20</f>
        <v>1.3925431616592264E-3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3"/>
      <c r="V33" s="18" t="s">
        <v>3</v>
      </c>
      <c r="W33" s="20" t="s">
        <v>15</v>
      </c>
    </row>
    <row r="34" spans="2:23" x14ac:dyDescent="0.2">
      <c r="B34" s="117" t="str">
        <f>_xll.qlMakeDatedOIS(,E34,F34,OvernightIndex,0,,,,EvaluationDate)</f>
        <v>obj_003ab#0000</v>
      </c>
      <c r="C34" s="7" t="b">
        <f>_xll.qlInstrumentSetPricingEngine(B34,OisEngine)</f>
        <v>1</v>
      </c>
      <c r="D34" s="21" t="s">
        <v>14</v>
      </c>
      <c r="E34" s="46">
        <f t="shared" ref="E34:E49" si="13">SettlementDate</f>
        <v>41862</v>
      </c>
      <c r="F34" s="22">
        <f>_xll.qlCalendarAdvance(Calendar,SettlementDate,D34,"Following")</f>
        <v>41863</v>
      </c>
      <c r="G34" s="32" t="e">
        <f t="shared" ref="G34:J38" si="14">$L34+IF(G$30,G$32,N34)</f>
        <v>#NUM!</v>
      </c>
      <c r="H34" s="32">
        <f t="shared" si="14"/>
        <v>1.3587349389335413E-3</v>
      </c>
      <c r="I34" s="32">
        <f t="shared" si="14"/>
        <v>2.023062760689834E-3</v>
      </c>
      <c r="J34" s="32" t="e">
        <f t="shared" si="14"/>
        <v>#NUM!</v>
      </c>
      <c r="K34" s="118">
        <f>F34-$E$6</f>
        <v>1</v>
      </c>
      <c r="L34" s="2">
        <f>L35</f>
        <v>6.3262326934701953E-4</v>
      </c>
      <c r="N34" s="56" t="e">
        <f>N$31*$K34+N$32</f>
        <v>#NUM!</v>
      </c>
      <c r="O34" s="57">
        <f t="shared" ref="O34:P40" si="15">IF(O$30,V34,O$31*$K34+O$32)</f>
        <v>7.2611166958652174E-4</v>
      </c>
      <c r="P34" s="57">
        <f t="shared" si="15"/>
        <v>1.3904394913428146E-3</v>
      </c>
      <c r="Q34" s="16" t="e">
        <f t="shared" ref="Q34:Q49" si="16">Q$31*$K34+Q$32</f>
        <v>#NUM!</v>
      </c>
      <c r="U34" s="21" t="s">
        <v>14</v>
      </c>
      <c r="V34" s="57">
        <f t="shared" ref="V34:W40" si="17">$K34*$K34/3*V$30+$K34/2*V$31+V$32</f>
        <v>7.2611166958652174E-4</v>
      </c>
      <c r="W34" s="16">
        <f t="shared" si="17"/>
        <v>1.3904394913428146E-3</v>
      </c>
    </row>
    <row r="35" spans="2:23" x14ac:dyDescent="0.2">
      <c r="B35" s="29" t="str">
        <f>_xll.qlMakeDatedOIS(,E35,F35,OvernightIndex,0,,,,EvaluationDate)</f>
        <v>obj_003a6#0000</v>
      </c>
      <c r="C35" s="5" t="b">
        <f>_xll.qlInstrumentSetPricingEngine(B35,OisEngine)</f>
        <v>1</v>
      </c>
      <c r="D35" s="23" t="s">
        <v>4</v>
      </c>
      <c r="E35" s="48">
        <f t="shared" si="13"/>
        <v>41862</v>
      </c>
      <c r="F35" s="24">
        <f>_xll.qlCalendarAdvance(Calendar,SettlementDate,D35,"Following")</f>
        <v>41869</v>
      </c>
      <c r="G35" s="32" t="e">
        <f t="shared" si="14"/>
        <v>#NUM!</v>
      </c>
      <c r="H35" s="32">
        <f t="shared" si="14"/>
        <v>1.3524963778426631E-3</v>
      </c>
      <c r="I35" s="32">
        <f t="shared" si="14"/>
        <v>2.010667093404344E-3</v>
      </c>
      <c r="J35" s="32" t="e">
        <f t="shared" si="14"/>
        <v>#NUM!</v>
      </c>
      <c r="K35" s="119">
        <f t="shared" ref="K35:K49" si="18">F35-$E$6</f>
        <v>7</v>
      </c>
      <c r="L35" s="3">
        <f>_xll.qlOvernightIndexedSwapFairRate(B35,_xll.ohTrigger(C35,InterestRatesTrigger))</f>
        <v>6.3262326934701953E-4</v>
      </c>
      <c r="N35" s="56" t="e">
        <f>N$31*$K35+N$32</f>
        <v>#NUM!</v>
      </c>
      <c r="O35" s="57">
        <f t="shared" si="15"/>
        <v>7.1987310849564356E-4</v>
      </c>
      <c r="P35" s="57">
        <f t="shared" si="15"/>
        <v>1.3780438240573244E-3</v>
      </c>
      <c r="Q35" s="16" t="e">
        <f t="shared" si="16"/>
        <v>#NUM!</v>
      </c>
      <c r="U35" s="23" t="s">
        <v>4</v>
      </c>
      <c r="V35" s="57">
        <f t="shared" si="17"/>
        <v>7.1987310849564356E-4</v>
      </c>
      <c r="W35" s="16">
        <f t="shared" si="17"/>
        <v>1.3780438240573244E-3</v>
      </c>
    </row>
    <row r="36" spans="2:23" x14ac:dyDescent="0.2">
      <c r="B36" s="29" t="str">
        <f>_xll.qlMakeDatedOIS(,E36,F36,OvernightIndex,0,,,,EvaluationDate)</f>
        <v>obj_003ad#0000</v>
      </c>
      <c r="C36" s="5" t="b">
        <f>_xll.qlInstrumentSetPricingEngine(B36,OisEngine)</f>
        <v>1</v>
      </c>
      <c r="D36" s="23" t="s">
        <v>5</v>
      </c>
      <c r="E36" s="48">
        <f t="shared" si="13"/>
        <v>41862</v>
      </c>
      <c r="F36" s="24">
        <f>_xll.qlCalendarAdvance(Calendar,SettlementDate,D36,"Following")</f>
        <v>41877</v>
      </c>
      <c r="G36" s="32" t="e">
        <f t="shared" si="14"/>
        <v>#NUM!</v>
      </c>
      <c r="H36" s="32">
        <f t="shared" si="14"/>
        <v>1.3468540532876462E-3</v>
      </c>
      <c r="I36" s="32">
        <f t="shared" si="14"/>
        <v>1.9966649782624875E-3</v>
      </c>
      <c r="J36" s="32" t="e">
        <f t="shared" si="14"/>
        <v>#NUM!</v>
      </c>
      <c r="K36" s="119">
        <f t="shared" si="18"/>
        <v>15</v>
      </c>
      <c r="L36" s="3">
        <f>_xll.qlOvernightIndexedSwapFairRate(B36,_xll.ohTrigger(C36,InterestRatesTrigger))</f>
        <v>6.3454509828453354E-4</v>
      </c>
      <c r="N36" s="56" t="e">
        <f>N$31*$K36+N$32</f>
        <v>#NUM!</v>
      </c>
      <c r="O36" s="57">
        <f t="shared" si="15"/>
        <v>7.1230895500311265E-4</v>
      </c>
      <c r="P36" s="57">
        <f t="shared" si="15"/>
        <v>1.362119879977954E-3</v>
      </c>
      <c r="Q36" s="16" t="e">
        <f t="shared" si="16"/>
        <v>#NUM!</v>
      </c>
      <c r="U36" s="23" t="s">
        <v>5</v>
      </c>
      <c r="V36" s="57">
        <f t="shared" si="17"/>
        <v>7.1230895500311265E-4</v>
      </c>
      <c r="W36" s="16">
        <f t="shared" si="17"/>
        <v>1.362119879977954E-3</v>
      </c>
    </row>
    <row r="37" spans="2:23" x14ac:dyDescent="0.2">
      <c r="B37" s="30" t="str">
        <f>_xll.qlMakeDatedOIS(,E37,F37,OvernightIndex,0,,,,EvaluationDate)</f>
        <v>obj_003aa#0000</v>
      </c>
      <c r="C37" s="10" t="b">
        <f>_xll.qlInstrumentSetPricingEngine(B37,OisEngine)</f>
        <v>1</v>
      </c>
      <c r="D37" s="31" t="s">
        <v>8</v>
      </c>
      <c r="E37" s="47">
        <f t="shared" si="13"/>
        <v>41862</v>
      </c>
      <c r="F37" s="26">
        <f>_xll.qlCalendarAdvance(Calendar,SettlementDate,D37,"Following")</f>
        <v>41883</v>
      </c>
      <c r="G37" s="35" t="e">
        <f t="shared" si="14"/>
        <v>#NUM!</v>
      </c>
      <c r="H37" s="35">
        <f>$L37+IF(H$30,H$32,O37)</f>
        <v>1.3437799305056927E-3</v>
      </c>
      <c r="I37" s="35">
        <f t="shared" si="14"/>
        <v>1.9872082757948868E-3</v>
      </c>
      <c r="J37" s="35" t="e">
        <f t="shared" si="14"/>
        <v>#NUM!</v>
      </c>
      <c r="K37" s="120">
        <f t="shared" si="18"/>
        <v>21</v>
      </c>
      <c r="L37" s="4">
        <f>_xll.qlOvernightIndexedSwapFairRate(B37,_xll.ohTrigger(C37,InterestRatesTrigger))</f>
        <v>6.365786446504984E-4</v>
      </c>
      <c r="N37" s="86" t="e">
        <f>N$31*$K37+N$32</f>
        <v>#NUM!</v>
      </c>
      <c r="O37" s="87">
        <f t="shared" si="15"/>
        <v>7.072012858551943E-4</v>
      </c>
      <c r="P37" s="87">
        <f t="shared" si="15"/>
        <v>1.3506296311443884E-3</v>
      </c>
      <c r="Q37" s="14" t="e">
        <f t="shared" si="16"/>
        <v>#NUM!</v>
      </c>
      <c r="U37" s="31" t="s">
        <v>8</v>
      </c>
      <c r="V37" s="87">
        <f t="shared" si="17"/>
        <v>7.072012858551943E-4</v>
      </c>
      <c r="W37" s="14">
        <f t="shared" si="17"/>
        <v>1.3506296311443884E-3</v>
      </c>
    </row>
    <row r="38" spans="2:23" x14ac:dyDescent="0.2">
      <c r="B38" s="29" t="str">
        <f>_xll.qlMakeDatedOIS(,E38,F38,OvernightIndex,0,,,,EvaluationDate)</f>
        <v>obj_003a8#0000</v>
      </c>
      <c r="C38" s="5" t="b">
        <f>_xll.qlInstrumentSetPricingEngine(B38,OisEngine)</f>
        <v>1</v>
      </c>
      <c r="D38" s="23" t="s">
        <v>9</v>
      </c>
      <c r="E38" s="48">
        <f t="shared" si="13"/>
        <v>41862</v>
      </c>
      <c r="F38" s="24">
        <f>_xll.qlCalendarAdvance(Calendar,SettlementDate,D38,"mf",TRUE)</f>
        <v>41893</v>
      </c>
      <c r="G38" s="34" t="e">
        <f t="shared" si="14"/>
        <v>#NUM!</v>
      </c>
      <c r="H38" s="34">
        <f t="shared" si="14"/>
        <v>1.3408614331767332E-3</v>
      </c>
      <c r="I38" s="34">
        <f t="shared" si="14"/>
        <v>1.9734374089983861E-3</v>
      </c>
      <c r="J38" s="34" t="e">
        <f t="shared" si="14"/>
        <v>#NUM!</v>
      </c>
      <c r="K38" s="118">
        <f t="shared" si="18"/>
        <v>31</v>
      </c>
      <c r="L38" s="3">
        <f>_xll.qlOvernightIndexedSwapFairRate(B38,_xll.ohTrigger(C38,InterestRatesTrigger))</f>
        <v>6.4109588928905998E-4</v>
      </c>
      <c r="N38" s="56" t="e">
        <f>N$31*$K38+N$32</f>
        <v>#NUM!</v>
      </c>
      <c r="O38" s="57">
        <f t="shared" si="15"/>
        <v>6.9976554388767316E-4</v>
      </c>
      <c r="P38" s="57">
        <f t="shared" si="15"/>
        <v>1.3323415197093263E-3</v>
      </c>
      <c r="Q38" s="16" t="e">
        <f t="shared" si="16"/>
        <v>#NUM!</v>
      </c>
      <c r="U38" s="23" t="s">
        <v>9</v>
      </c>
      <c r="V38" s="57">
        <f t="shared" si="17"/>
        <v>6.9976554388767316E-4</v>
      </c>
      <c r="W38" s="16">
        <f t="shared" si="17"/>
        <v>1.3323415197093263E-3</v>
      </c>
    </row>
    <row r="39" spans="2:23" x14ac:dyDescent="0.2">
      <c r="B39" s="29" t="str">
        <f>_xll.qlMakeDatedOIS(,E39,F39,OvernightIndex,0,,,,EvaluationDate)</f>
        <v>obj_003b1#0000</v>
      </c>
      <c r="C39" s="5" t="b">
        <f>_xll.qlInstrumentSetPricingEngine(B39,OisEngine)</f>
        <v>1</v>
      </c>
      <c r="D39" s="23" t="s">
        <v>10</v>
      </c>
      <c r="E39" s="48">
        <f t="shared" si="13"/>
        <v>41862</v>
      </c>
      <c r="F39" s="24">
        <f>_xll.qlCalendarAdvance(Calendar,SettlementDate,D39,"mf",TRUE)</f>
        <v>41925</v>
      </c>
      <c r="G39" s="44"/>
      <c r="H39" s="32">
        <f t="shared" ref="H39:J40" si="19">$L39+IF(H$30,H$32,O39)</f>
        <v>1.3261141986199397E-3</v>
      </c>
      <c r="I39" s="32">
        <f t="shared" si="19"/>
        <v>1.9221588042171792E-3</v>
      </c>
      <c r="J39" s="32" t="e">
        <f t="shared" si="19"/>
        <v>#NUM!</v>
      </c>
      <c r="K39" s="119">
        <f t="shared" si="18"/>
        <v>63</v>
      </c>
      <c r="L39" s="3">
        <f>_xll.qlOvernightIndexedSwapFairRate(B39,_xll.ohTrigger(C39,InterestRatesTrigger))</f>
        <v>6.4109589348465567E-4</v>
      </c>
      <c r="N39" s="44"/>
      <c r="O39" s="57">
        <f t="shared" si="15"/>
        <v>6.8501830513528392E-4</v>
      </c>
      <c r="P39" s="57">
        <f t="shared" si="15"/>
        <v>1.2810629107325234E-3</v>
      </c>
      <c r="Q39" s="16" t="e">
        <f t="shared" si="16"/>
        <v>#NUM!</v>
      </c>
      <c r="U39" s="23" t="s">
        <v>10</v>
      </c>
      <c r="V39" s="57">
        <f t="shared" si="17"/>
        <v>6.8501830513528392E-4</v>
      </c>
      <c r="W39" s="16">
        <f t="shared" si="17"/>
        <v>1.2810629107325234E-3</v>
      </c>
    </row>
    <row r="40" spans="2:23" x14ac:dyDescent="0.2">
      <c r="B40" s="29" t="str">
        <f>_xll.qlMakeDatedOIS(,E40,F40,OvernightIndex,0,,,,EvaluationDate)</f>
        <v>obj_003b0#0000</v>
      </c>
      <c r="C40" s="5" t="b">
        <f>_xll.qlInstrumentSetPricingEngine(B40,OisEngine)</f>
        <v>1</v>
      </c>
      <c r="D40" s="23" t="s">
        <v>3</v>
      </c>
      <c r="E40" s="48">
        <f t="shared" si="13"/>
        <v>41862</v>
      </c>
      <c r="F40" s="24">
        <f>_xll.qlCalendarAdvance(Calendar,SettlementDate,D40,"mf",TRUE)</f>
        <v>41954</v>
      </c>
      <c r="G40" s="42"/>
      <c r="H40" s="32">
        <f t="shared" si="19"/>
        <v>1.2999999999999991E-3</v>
      </c>
      <c r="I40" s="32">
        <f t="shared" si="19"/>
        <v>1.8605638691549264E-3</v>
      </c>
      <c r="J40" s="32" t="e">
        <f t="shared" si="19"/>
        <v>#NUM!</v>
      </c>
      <c r="K40" s="119">
        <f t="shared" si="18"/>
        <v>92</v>
      </c>
      <c r="L40" s="3">
        <f>_xll.qlOvernightIndexedSwapFairRate(B40,_xll.ohTrigger(C40,InterestRatesTrigger))</f>
        <v>6.1643835708468742E-4</v>
      </c>
      <c r="N40" s="42"/>
      <c r="O40" s="57">
        <f t="shared" si="15"/>
        <v>6.8356164291531176E-4</v>
      </c>
      <c r="P40" s="57">
        <f t="shared" si="15"/>
        <v>1.2441255120702391E-3</v>
      </c>
      <c r="Q40" s="16" t="e">
        <f t="shared" si="16"/>
        <v>#NUM!</v>
      </c>
      <c r="U40" s="23" t="s">
        <v>3</v>
      </c>
      <c r="V40" s="57">
        <f t="shared" si="17"/>
        <v>6.8356164291531176E-4</v>
      </c>
      <c r="W40" s="16">
        <f t="shared" si="17"/>
        <v>1.2441255120702391E-3</v>
      </c>
    </row>
    <row r="41" spans="2:23" x14ac:dyDescent="0.2">
      <c r="B41" s="29" t="str">
        <f>_xll.qlMakeDatedOIS(,E41,F41,OvernightIndex,0,,,,EvaluationDate)</f>
        <v>obj_003b3#0000</v>
      </c>
      <c r="C41" s="5" t="b">
        <f>_xll.qlInstrumentSetPricingEngine(B41,OisEngine)</f>
        <v>1</v>
      </c>
      <c r="D41" s="23" t="s">
        <v>12</v>
      </c>
      <c r="E41" s="48">
        <f t="shared" si="13"/>
        <v>41862</v>
      </c>
      <c r="F41" s="24">
        <f>_xll.qlCalendarAdvance(Calendar,SettlementDate,D41,"mf",TRUE)</f>
        <v>41984</v>
      </c>
      <c r="G41" s="36"/>
      <c r="H41" s="43"/>
      <c r="I41" s="32">
        <f t="shared" ref="I41:J43" si="20">$L41+IF(I$30,I$32,P41)</f>
        <v>1.8318919942874156E-3</v>
      </c>
      <c r="J41" s="32" t="e">
        <f t="shared" si="20"/>
        <v>#NUM!</v>
      </c>
      <c r="K41" s="119">
        <f t="shared" si="18"/>
        <v>122</v>
      </c>
      <c r="L41" s="3">
        <f>_xll.qlOvernightIndexedSwapFairRate(B41,_xll.ohTrigger(C41,InterestRatesTrigger))</f>
        <v>6.1643835416311829E-4</v>
      </c>
      <c r="N41" s="36"/>
      <c r="O41" s="43"/>
      <c r="P41" s="57">
        <f>IF(P$30,W41,P$31*$K41+P$32)</f>
        <v>1.2154536401242973E-3</v>
      </c>
      <c r="Q41" s="16" t="e">
        <f t="shared" si="16"/>
        <v>#NUM!</v>
      </c>
      <c r="U41" s="23" t="s">
        <v>12</v>
      </c>
      <c r="V41" s="57"/>
      <c r="W41" s="16">
        <f>$K41*$K41/3*W$30+$K41/2*W$31+W$32</f>
        <v>1.2154536401242973E-3</v>
      </c>
    </row>
    <row r="42" spans="2:23" x14ac:dyDescent="0.2">
      <c r="B42" s="29" t="str">
        <f>_xll.qlMakeDatedOIS(,E42,F42,OvernightIndex,0,,,,EvaluationDate)</f>
        <v>obj_003a7#0000</v>
      </c>
      <c r="C42" s="5" t="b">
        <f>_xll.qlInstrumentSetPricingEngine(B42,OisEngine)</f>
        <v>1</v>
      </c>
      <c r="D42" s="23" t="s">
        <v>13</v>
      </c>
      <c r="E42" s="48">
        <f t="shared" si="13"/>
        <v>41862</v>
      </c>
      <c r="F42" s="24">
        <f>_xll.qlCalendarAdvance(Calendar,SettlementDate,D42,"mf",TRUE)</f>
        <v>42016</v>
      </c>
      <c r="G42" s="36"/>
      <c r="H42" s="41"/>
      <c r="I42" s="32">
        <f t="shared" si="20"/>
        <v>1.7873436933628591E-3</v>
      </c>
      <c r="J42" s="32" t="e">
        <f t="shared" si="20"/>
        <v>#NUM!</v>
      </c>
      <c r="K42" s="119">
        <f t="shared" si="18"/>
        <v>154</v>
      </c>
      <c r="L42" s="3">
        <f>_xll.qlOvernightIndexedSwapFairRate(B42,_xll.ohTrigger(C42,InterestRatesTrigger))</f>
        <v>5.9178082254864788E-4</v>
      </c>
      <c r="N42" s="36"/>
      <c r="O42" s="41"/>
      <c r="P42" s="57">
        <f>IF(P$30,W42,P$31*$K42+P$32)</f>
        <v>1.1955628708142112E-3</v>
      </c>
      <c r="Q42" s="16" t="e">
        <f t="shared" si="16"/>
        <v>#NUM!</v>
      </c>
      <c r="U42" s="23" t="s">
        <v>13</v>
      </c>
      <c r="V42" s="57"/>
      <c r="W42" s="16">
        <f>$K42*$K42/3*W$30+$K42/2*W$31+W$32</f>
        <v>1.1955628708142112E-3</v>
      </c>
    </row>
    <row r="43" spans="2:23" x14ac:dyDescent="0.2">
      <c r="B43" s="29" t="str">
        <f>_xll.qlMakeDatedOIS(,E43,F43,OvernightIndex,0,,,,EvaluationDate)</f>
        <v>obj_003b2#0000</v>
      </c>
      <c r="C43" s="5" t="b">
        <f>_xll.qlInstrumentSetPricingEngine(B43,OisEngine)</f>
        <v>1</v>
      </c>
      <c r="D43" s="25" t="s">
        <v>15</v>
      </c>
      <c r="E43" s="48">
        <f t="shared" si="13"/>
        <v>41862</v>
      </c>
      <c r="F43" s="24">
        <f>_xll.qlCalendarAdvance(Calendar,SettlementDate,D43,"mf",TRUE)</f>
        <v>42046</v>
      </c>
      <c r="G43" s="36"/>
      <c r="H43" s="41"/>
      <c r="I43" s="32">
        <f t="shared" si="20"/>
        <v>1.7787203727550579E-3</v>
      </c>
      <c r="J43" s="32" t="e">
        <f t="shared" si="20"/>
        <v>#NUM!</v>
      </c>
      <c r="K43" s="119">
        <f t="shared" si="18"/>
        <v>184</v>
      </c>
      <c r="L43" s="3">
        <f>_xll.qlOvernightIndexedSwapFairRate(B43,_xll.ohTrigger(C43,InterestRatesTrigger))</f>
        <v>5.9178082245131699E-4</v>
      </c>
      <c r="N43" s="36"/>
      <c r="O43" s="41"/>
      <c r="P43" s="57">
        <f>IF(P$30,W43,P$31*$K43+P$32)</f>
        <v>1.1869395503037409E-3</v>
      </c>
      <c r="Q43" s="16" t="e">
        <f t="shared" si="16"/>
        <v>#NUM!</v>
      </c>
      <c r="U43" s="114" t="s">
        <v>15</v>
      </c>
      <c r="V43" s="87"/>
      <c r="W43" s="14">
        <f>$K43*$K43/3*W$30+$K43/2*W$31+W$32</f>
        <v>1.1869395503037409E-3</v>
      </c>
    </row>
    <row r="44" spans="2:23" x14ac:dyDescent="0.2">
      <c r="B44" s="29" t="str">
        <f>_xll.qlMakeDatedOIS(,E44,F44,OvernightIndex,0,,,,EvaluationDate)</f>
        <v>obj_003b4#0000</v>
      </c>
      <c r="C44" s="5" t="b">
        <f>_xll.qlInstrumentSetPricingEngine(B44,OisEngine)</f>
        <v>1</v>
      </c>
      <c r="D44" s="25" t="s">
        <v>18</v>
      </c>
      <c r="E44" s="48">
        <f t="shared" si="13"/>
        <v>41862</v>
      </c>
      <c r="F44" s="24">
        <f>_xll.qlCalendarAdvance(Calendar,SettlementDate,D44,"mf",TRUE)</f>
        <v>42074</v>
      </c>
      <c r="G44" s="36"/>
      <c r="H44" s="33"/>
      <c r="I44" s="43"/>
      <c r="J44" s="32" t="e">
        <f t="shared" ref="J44:J49" si="21">$L44+IF(J$30,J$32,Q44)</f>
        <v>#NUM!</v>
      </c>
      <c r="K44" s="119">
        <f t="shared" si="18"/>
        <v>212</v>
      </c>
      <c r="L44" s="3">
        <f>_xll.qlOvernightIndexedSwapFairRate(B44,_xll.ohTrigger(C44,InterestRatesTrigger))</f>
        <v>5.950566287323592E-4</v>
      </c>
      <c r="N44" s="36"/>
      <c r="O44" s="33"/>
      <c r="P44" s="43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obj_003a9#0000</v>
      </c>
      <c r="C45" s="5" t="b">
        <f>_xll.qlInstrumentSetPricingEngine(B45,OisEngine)</f>
        <v>1</v>
      </c>
      <c r="D45" s="25" t="s">
        <v>19</v>
      </c>
      <c r="E45" s="48">
        <f t="shared" si="13"/>
        <v>41862</v>
      </c>
      <c r="F45" s="24">
        <f>_xll.qlCalendarAdvance(Calendar,SettlementDate,D45,"mf",TRUE)</f>
        <v>42107</v>
      </c>
      <c r="G45" s="36"/>
      <c r="H45" s="33"/>
      <c r="I45" s="41"/>
      <c r="J45" s="32" t="e">
        <f t="shared" si="21"/>
        <v>#NUM!</v>
      </c>
      <c r="K45" s="119">
        <f t="shared" si="18"/>
        <v>245</v>
      </c>
      <c r="L45" s="3">
        <f>_xll.qlOvernightIndexedSwapFairRate(B45,_xll.ohTrigger(C45,InterestRatesTrigger))</f>
        <v>5.9524971958185271E-4</v>
      </c>
      <c r="N45" s="36"/>
      <c r="O45" s="33"/>
      <c r="P45" s="41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obj_003af#0000</v>
      </c>
      <c r="C46" s="5" t="b">
        <f>_xll.qlInstrumentSetPricingEngine(B46,OisEngine)</f>
        <v>1</v>
      </c>
      <c r="D46" s="25" t="s">
        <v>20</v>
      </c>
      <c r="E46" s="48">
        <f t="shared" si="13"/>
        <v>41862</v>
      </c>
      <c r="F46" s="24">
        <f>_xll.qlCalendarAdvance(Calendar,SettlementDate,D46,"mf",TRUE)</f>
        <v>42135</v>
      </c>
      <c r="G46" s="36"/>
      <c r="H46" s="33"/>
      <c r="I46" s="41"/>
      <c r="J46" s="32" t="e">
        <f t="shared" si="21"/>
        <v>#NUM!</v>
      </c>
      <c r="K46" s="119">
        <f t="shared" si="18"/>
        <v>273</v>
      </c>
      <c r="L46" s="3">
        <f>_xll.qlOvernightIndexedSwapFairRate(B46,_xll.ohTrigger(C46,InterestRatesTrigger))</f>
        <v>5.9178082227928153E-4</v>
      </c>
      <c r="N46" s="36"/>
      <c r="O46" s="33"/>
      <c r="P46" s="41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obj_003ac#0000</v>
      </c>
      <c r="C47" s="5" t="b">
        <f>_xll.qlInstrumentSetPricingEngine(B47,OisEngine)</f>
        <v>1</v>
      </c>
      <c r="D47" s="25" t="s">
        <v>21</v>
      </c>
      <c r="E47" s="48">
        <f t="shared" si="13"/>
        <v>41862</v>
      </c>
      <c r="F47" s="24">
        <f>_xll.qlCalendarAdvance(Calendar,SettlementDate,D47,"mf",TRUE)</f>
        <v>42166</v>
      </c>
      <c r="G47" s="36"/>
      <c r="H47" s="33"/>
      <c r="I47" s="41"/>
      <c r="J47" s="32" t="e">
        <f t="shared" si="21"/>
        <v>#NUM!</v>
      </c>
      <c r="K47" s="119">
        <f t="shared" si="18"/>
        <v>304</v>
      </c>
      <c r="L47" s="3">
        <f>_xll.qlOvernightIndexedSwapFairRate(B47,_xll.ohTrigger(C47,InterestRatesTrigger))</f>
        <v>5.8437451767853039E-4</v>
      </c>
      <c r="N47" s="36"/>
      <c r="O47" s="33"/>
      <c r="P47" s="41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obj_003ae#0000</v>
      </c>
      <c r="C48" s="5" t="b">
        <f>_xll.qlInstrumentSetPricingEngine(B48,OisEngine)</f>
        <v>1</v>
      </c>
      <c r="D48" s="25" t="s">
        <v>22</v>
      </c>
      <c r="E48" s="48">
        <f t="shared" si="13"/>
        <v>41862</v>
      </c>
      <c r="F48" s="24">
        <f>_xll.qlCalendarAdvance(Calendar,SettlementDate,D48,"mf",TRUE)</f>
        <v>42198</v>
      </c>
      <c r="G48" s="36"/>
      <c r="H48" s="33"/>
      <c r="I48" s="41"/>
      <c r="J48" s="32" t="e">
        <f t="shared" si="21"/>
        <v>#NUM!</v>
      </c>
      <c r="K48" s="119">
        <f t="shared" si="18"/>
        <v>336</v>
      </c>
      <c r="L48" s="3">
        <f>_xll.qlOvernightIndexedSwapFairRate(B48,_xll.ohTrigger(C48,InterestRatesTrigger))</f>
        <v>5.7513419012944478E-4</v>
      </c>
      <c r="N48" s="36"/>
      <c r="O48" s="33"/>
      <c r="P48" s="41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obj_003b5#0000</v>
      </c>
      <c r="C49" s="10" t="b">
        <f>_xll.qlInstrumentSetPricingEngine(B49,OisEngine)</f>
        <v>1</v>
      </c>
      <c r="D49" s="25" t="s">
        <v>23</v>
      </c>
      <c r="E49" s="48">
        <f t="shared" si="13"/>
        <v>41862</v>
      </c>
      <c r="F49" s="24">
        <f>_xll.qlCalendarAdvance(Calendar,SettlementDate,D49,"mf",TRUE)</f>
        <v>42227</v>
      </c>
      <c r="G49" s="36"/>
      <c r="H49" s="33"/>
      <c r="I49" s="41"/>
      <c r="J49" s="32" t="e">
        <f t="shared" si="21"/>
        <v>#NUM!</v>
      </c>
      <c r="K49" s="119">
        <f t="shared" si="18"/>
        <v>365</v>
      </c>
      <c r="L49" s="3">
        <f>_xll.qlOvernightIndexedSwapFairRate(B49,_xll.ohTrigger(C49,InterestRatesTrigger))</f>
        <v>5.6712328794147481E-4</v>
      </c>
      <c r="N49" s="58"/>
      <c r="O49" s="59"/>
      <c r="P49" s="60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1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43"/>
      <c r="B1" s="144"/>
      <c r="C1" s="145"/>
      <c r="D1" s="144"/>
      <c r="E1" s="144"/>
      <c r="F1" s="146"/>
      <c r="H1" s="122"/>
      <c r="I1" s="128"/>
      <c r="J1" s="128"/>
      <c r="K1" s="129"/>
      <c r="L1" s="129"/>
      <c r="M1" s="129"/>
      <c r="N1" s="128"/>
      <c r="O1" s="147"/>
      <c r="P1" s="130"/>
    </row>
    <row r="2" spans="1:16" ht="12.75" customHeight="1" x14ac:dyDescent="0.25">
      <c r="A2" s="148"/>
      <c r="B2" s="149"/>
      <c r="C2" s="150" t="str">
        <f>Currency&amp;"_015_SyntheticQuotes"&amp;".xml"</f>
        <v>JPY_015_SyntheticQuotes.xml</v>
      </c>
      <c r="D2" s="151" t="str">
        <f>IF(Serialize,_xll.ohObjectSave(D3:D7,SerializationPath&amp;C2,FileOverwrite,Serialize),"---")</f>
        <v>---</v>
      </c>
      <c r="E2" s="152"/>
      <c r="F2" s="153"/>
      <c r="H2" s="123"/>
      <c r="I2" s="126"/>
      <c r="J2" s="142" t="s">
        <v>69</v>
      </c>
      <c r="K2" s="125"/>
      <c r="L2" s="142" t="s">
        <v>70</v>
      </c>
      <c r="M2" s="125"/>
      <c r="N2" s="126" t="s">
        <v>71</v>
      </c>
      <c r="O2" s="127" t="s">
        <v>72</v>
      </c>
      <c r="P2" s="183">
        <f>_xll.ohTrigger(O3:O7)</f>
        <v>12</v>
      </c>
    </row>
    <row r="3" spans="1:16" x14ac:dyDescent="0.2">
      <c r="A3" s="169">
        <v>1</v>
      </c>
      <c r="B3" s="159" t="s">
        <v>54</v>
      </c>
      <c r="C3" s="154" t="str">
        <f t="shared" ref="C3:C7" si="0">Currency&amp;$B3&amp;"_SYNTH"&amp;Tenor1M&amp;QuoteSuffix</f>
        <v>JPYSND_SYNTH1M_Quote</v>
      </c>
      <c r="D3" s="155" t="str">
        <f>_xll.qlSimpleQuote(C3,,RateTickValue,Permanent,EvaluationDate,ObjectOverwrite)</f>
        <v>JPYSND_SYNTH1M_Quote#0000</v>
      </c>
      <c r="E3" s="156" t="str">
        <f>_xll.ohRangeRetrieveError(D3)</f>
        <v/>
      </c>
      <c r="F3" s="153"/>
      <c r="H3" s="157"/>
      <c r="I3" s="131" t="s">
        <v>54</v>
      </c>
      <c r="J3" s="186" t="e">
        <f>ROUND(Depo_Calculation!$G34,6)</f>
        <v>#NUM!</v>
      </c>
      <c r="K3" s="124"/>
      <c r="L3" s="134" t="e">
        <v>#NUM!</v>
      </c>
      <c r="M3" s="121"/>
      <c r="N3" s="137" t="e">
        <f t="array" ref="N3:N40">QuoteLive</f>
        <v>#NUM!</v>
      </c>
      <c r="O3" s="138" t="e">
        <f>_xll.qlSimpleQuoteSetValue(D3,ROUND(N3,6),EvaluationDate)</f>
        <v>#NUM!</v>
      </c>
      <c r="P3" s="158"/>
    </row>
    <row r="4" spans="1:16" ht="11.45" customHeight="1" x14ac:dyDescent="0.2">
      <c r="A4" s="169" t="str">
        <f>_xll.qlPeriodEquivalent(Months1M&amp;"M")</f>
        <v>1M</v>
      </c>
      <c r="B4" s="159" t="s">
        <v>55</v>
      </c>
      <c r="C4" s="154" t="str">
        <f t="shared" si="0"/>
        <v>JPYSWD_SYNTH1M_Quote</v>
      </c>
      <c r="D4" s="155" t="str">
        <f>_xll.qlSimpleQuote(C4,,RateTickValue,Permanent,EvaluationDate,ObjectOverwrite)</f>
        <v>JPYSWD_SYNTH1M_Quote#0000</v>
      </c>
      <c r="E4" s="156" t="str">
        <f>_xll.ohRangeRetrieveError(D4)</f>
        <v/>
      </c>
      <c r="F4" s="153"/>
      <c r="H4" s="157"/>
      <c r="I4" s="131" t="s">
        <v>55</v>
      </c>
      <c r="J4" s="186" t="e">
        <f>ROUND(Depo_Calculation!$G35,6)</f>
        <v>#NUM!</v>
      </c>
      <c r="K4" s="124"/>
      <c r="L4" s="134" t="e">
        <v>#NUM!</v>
      </c>
      <c r="M4" s="121"/>
      <c r="N4" s="137" t="e">
        <v>#NUM!</v>
      </c>
      <c r="O4" s="138" t="e">
        <f>_xll.qlSimpleQuoteSetValue(D4,ROUND(N4,6),EvaluationDate)</f>
        <v>#NUM!</v>
      </c>
      <c r="P4" s="158"/>
    </row>
    <row r="5" spans="1:16" x14ac:dyDescent="0.2">
      <c r="A5" s="170"/>
      <c r="B5" s="159" t="s">
        <v>56</v>
      </c>
      <c r="C5" s="154" t="str">
        <f t="shared" si="0"/>
        <v>JPY2WD_SYNTH1M_Quote</v>
      </c>
      <c r="D5" s="155" t="str">
        <f>_xll.qlSimpleQuote(C5,,RateTickValue,Permanent,EvaluationDate,ObjectOverwrite)</f>
        <v>JPY2WD_SYNTH1M_Quote#0000</v>
      </c>
      <c r="E5" s="156" t="str">
        <f>_xll.ohRangeRetrieveError(D5)</f>
        <v/>
      </c>
      <c r="F5" s="153"/>
      <c r="H5" s="157"/>
      <c r="I5" s="131" t="s">
        <v>56</v>
      </c>
      <c r="J5" s="186" t="e">
        <f>ROUND(Depo_Calculation!$G36,6)</f>
        <v>#NUM!</v>
      </c>
      <c r="K5" s="124"/>
      <c r="L5" s="134" t="e">
        <v>#NUM!</v>
      </c>
      <c r="M5" s="121"/>
      <c r="N5" s="137" t="e">
        <v>#NUM!</v>
      </c>
      <c r="O5" s="138" t="e">
        <f>_xll.qlSimpleQuoteSetValue(D5,ROUND(N5,6),EvaluationDate)</f>
        <v>#NUM!</v>
      </c>
      <c r="P5" s="158"/>
    </row>
    <row r="6" spans="1:16" x14ac:dyDescent="0.2">
      <c r="A6" s="170"/>
      <c r="B6" s="159" t="s">
        <v>57</v>
      </c>
      <c r="C6" s="154" t="str">
        <f t="shared" si="0"/>
        <v>JPY3WD_SYNTH1M_Quote</v>
      </c>
      <c r="D6" s="155" t="str">
        <f>_xll.qlSimpleQuote(C6,,RateTickValue,Permanent,EvaluationDate,ObjectOverwrite)</f>
        <v>JPY3WD_SYNTH1M_Quote#0000</v>
      </c>
      <c r="E6" s="156" t="str">
        <f>_xll.ohRangeRetrieveError(D6)</f>
        <v/>
      </c>
      <c r="F6" s="153"/>
      <c r="H6" s="157"/>
      <c r="I6" s="132" t="s">
        <v>57</v>
      </c>
      <c r="J6" s="188" t="e">
        <f>Depo_Calculation!$G37</f>
        <v>#NUM!</v>
      </c>
      <c r="K6" s="124"/>
      <c r="L6" s="135" t="e">
        <v>#NUM!</v>
      </c>
      <c r="M6" s="121"/>
      <c r="N6" s="139" t="e">
        <v>#NUM!</v>
      </c>
      <c r="O6" s="138" t="e">
        <f>_xll.qlSimpleQuoteSetValue(D6,ROUND(N6,6),EvaluationDate)</f>
        <v>#NUM!</v>
      </c>
      <c r="P6" s="158"/>
    </row>
    <row r="7" spans="1:16" ht="12" thickBot="1" x14ac:dyDescent="0.25">
      <c r="A7" s="170"/>
      <c r="B7" s="160" t="s">
        <v>58</v>
      </c>
      <c r="C7" s="161" t="str">
        <f t="shared" si="0"/>
        <v>JPY1MD_SYNTH1M_Quote</v>
      </c>
      <c r="D7" s="161" t="str">
        <f>_xll.qlSimpleQuote(C7,,RateTickValue,Permanent,EvaluationDate,ObjectOverwrite)</f>
        <v>JPY1MD_SYNTH1M_Quote#0000</v>
      </c>
      <c r="E7" s="162" t="str">
        <f>_xll.ohRangeRetrieveError(D7)</f>
        <v/>
      </c>
      <c r="F7" s="153"/>
      <c r="H7" s="157"/>
      <c r="I7" s="133" t="s">
        <v>58</v>
      </c>
      <c r="J7" s="187" t="e">
        <f>ROUND(Depo_Calculation!$G38,6)</f>
        <v>#NUM!</v>
      </c>
      <c r="K7" s="124"/>
      <c r="L7" s="136" t="e">
        <v>#NUM!</v>
      </c>
      <c r="M7" s="121"/>
      <c r="N7" s="140" t="e">
        <v>#NUM!</v>
      </c>
      <c r="O7" s="199" t="e">
        <f>_xll.qlSimpleQuoteSetValue(D7,ROUND(N7,6),EvaluationDate)</f>
        <v>#NUM!</v>
      </c>
      <c r="P7" s="158"/>
    </row>
    <row r="8" spans="1:16" x14ac:dyDescent="0.2">
      <c r="A8" s="171">
        <v>3</v>
      </c>
      <c r="B8" s="163" t="s">
        <v>54</v>
      </c>
      <c r="C8" s="154" t="str">
        <f t="shared" ref="C8:C14" si="1">Currency&amp;$B8&amp;"_SYNTH"&amp;Tenor3M&amp;QuoteSuffix</f>
        <v>JPYSND_SYNTH3M_Quote</v>
      </c>
      <c r="D8" s="164" t="str">
        <f>_xll.qlSimpleQuote(C8,,RateTickValue,Permanent,EvaluationDate,ObjectOverwrite)</f>
        <v>JPYSND_SYNTH3M_Quote#0000</v>
      </c>
      <c r="E8" s="165" t="str">
        <f>_xll.ohRangeRetrieveError(D8)</f>
        <v/>
      </c>
      <c r="F8" s="166"/>
      <c r="H8" s="157"/>
      <c r="I8" s="131" t="s">
        <v>54</v>
      </c>
      <c r="J8" s="185">
        <f>ROUND(Depo_Calculation!$H34,6)</f>
        <v>1.359E-3</v>
      </c>
      <c r="K8" s="124"/>
      <c r="L8" s="134">
        <v>1.359E-3</v>
      </c>
      <c r="M8" s="121"/>
      <c r="N8" s="137">
        <v>1.359E-3</v>
      </c>
      <c r="O8" s="198">
        <f>_xll.qlSimpleQuoteSetValue(D8,ROUND(N8,6),EvaluationDate)</f>
        <v>0</v>
      </c>
      <c r="P8" s="184">
        <f>_xll.ohTrigger(O8:O14)</f>
        <v>12</v>
      </c>
    </row>
    <row r="9" spans="1:16" x14ac:dyDescent="0.2">
      <c r="A9" s="169" t="str">
        <f>_xll.qlPeriodEquivalent(Months3M&amp;"M")</f>
        <v>3M</v>
      </c>
      <c r="B9" s="159" t="s">
        <v>55</v>
      </c>
      <c r="C9" s="154" t="str">
        <f t="shared" si="1"/>
        <v>JPYSWD_SYNTH3M_Quote</v>
      </c>
      <c r="D9" s="154" t="str">
        <f>_xll.qlSimpleQuote(C9,,RateTickValue,Permanent,EvaluationDate,ObjectOverwrite)</f>
        <v>JPYSWD_SYNTH3M_Quote#0000</v>
      </c>
      <c r="E9" s="167" t="str">
        <f>_xll.ohRangeRetrieveError(D9)</f>
        <v/>
      </c>
      <c r="F9" s="166"/>
      <c r="H9" s="157"/>
      <c r="I9" s="131" t="s">
        <v>55</v>
      </c>
      <c r="J9" s="186">
        <f>ROUND(Depo_Calculation!$H35,6)</f>
        <v>1.3519999999999999E-3</v>
      </c>
      <c r="K9" s="124"/>
      <c r="L9" s="134">
        <v>1.3519999999999999E-3</v>
      </c>
      <c r="M9" s="121"/>
      <c r="N9" s="137">
        <v>1.3519999999999999E-3</v>
      </c>
      <c r="O9" s="138">
        <f>_xll.qlSimpleQuoteSetValue(D9,ROUND(N9,6),EvaluationDate)</f>
        <v>0</v>
      </c>
      <c r="P9" s="158"/>
    </row>
    <row r="10" spans="1:16" x14ac:dyDescent="0.2">
      <c r="A10" s="172"/>
      <c r="B10" s="168" t="s">
        <v>56</v>
      </c>
      <c r="C10" s="154" t="str">
        <f t="shared" si="1"/>
        <v>JPY2WD_SYNTH3M_Quote</v>
      </c>
      <c r="D10" s="154" t="str">
        <f>_xll.qlSimpleQuote(C10,,RateTickValue,Permanent,EvaluationDate,ObjectOverwrite)</f>
        <v>JPY2WD_SYNTH3M_Quote#0000</v>
      </c>
      <c r="E10" s="167" t="str">
        <f>_xll.ohRangeRetrieveError(D10)</f>
        <v/>
      </c>
      <c r="F10" s="166"/>
      <c r="H10" s="157"/>
      <c r="I10" s="131" t="s">
        <v>56</v>
      </c>
      <c r="J10" s="186">
        <f>ROUND(Depo_Calculation!$H36,6)</f>
        <v>1.3470000000000001E-3</v>
      </c>
      <c r="K10" s="124"/>
      <c r="L10" s="134">
        <v>1.3470000000000001E-3</v>
      </c>
      <c r="M10" s="121"/>
      <c r="N10" s="137">
        <v>1.3470000000000001E-3</v>
      </c>
      <c r="O10" s="138">
        <f>_xll.qlSimpleQuoteSetValue(D10,ROUND(N10,6),EvaluationDate)</f>
        <v>0</v>
      </c>
      <c r="P10" s="158"/>
    </row>
    <row r="11" spans="1:16" x14ac:dyDescent="0.2">
      <c r="A11" s="173"/>
      <c r="B11" s="168" t="s">
        <v>57</v>
      </c>
      <c r="C11" s="154" t="str">
        <f t="shared" si="1"/>
        <v>JPY3WD_SYNTH3M_Quote</v>
      </c>
      <c r="D11" s="154" t="str">
        <f>_xll.qlSimpleQuote(C11,,RateTickValue,Permanent,EvaluationDate,ObjectOverwrite)</f>
        <v>JPY3WD_SYNTH3M_Quote#0000</v>
      </c>
      <c r="E11" s="167" t="str">
        <f>_xll.ohRangeRetrieveError(D11)</f>
        <v/>
      </c>
      <c r="F11" s="166"/>
      <c r="H11" s="157"/>
      <c r="I11" s="131" t="s">
        <v>57</v>
      </c>
      <c r="J11" s="186">
        <f>ROUND(Depo_Calculation!$H37,6)</f>
        <v>1.3439999999999999E-3</v>
      </c>
      <c r="K11" s="124"/>
      <c r="L11" s="134">
        <v>1.3439999999999999E-3</v>
      </c>
      <c r="M11" s="121"/>
      <c r="N11" s="137">
        <v>1.3439999999999999E-3</v>
      </c>
      <c r="O11" s="138">
        <f>_xll.qlSimpleQuoteSetValue(D11,ROUND(N11,6),EvaluationDate)</f>
        <v>0</v>
      </c>
      <c r="P11" s="158"/>
    </row>
    <row r="12" spans="1:16" x14ac:dyDescent="0.2">
      <c r="A12" s="173"/>
      <c r="B12" s="168" t="s">
        <v>58</v>
      </c>
      <c r="C12" s="154" t="str">
        <f t="shared" si="1"/>
        <v>JPY1MD_SYNTH3M_Quote</v>
      </c>
      <c r="D12" s="154" t="str">
        <f>_xll.qlSimpleQuote(C12,,RateTickValue,Permanent,EvaluationDate,ObjectOverwrite)</f>
        <v>JPY1MD_SYNTH3M_Quote#0000</v>
      </c>
      <c r="E12" s="167" t="str">
        <f>_xll.ohRangeRetrieveError(D12)</f>
        <v/>
      </c>
      <c r="F12" s="166"/>
      <c r="H12" s="157"/>
      <c r="I12" s="131" t="s">
        <v>58</v>
      </c>
      <c r="J12" s="186">
        <f>ROUND(Depo_Calculation!$H38,6)</f>
        <v>1.341E-3</v>
      </c>
      <c r="K12" s="124"/>
      <c r="L12" s="134">
        <v>1.341E-3</v>
      </c>
      <c r="M12" s="121"/>
      <c r="N12" s="137">
        <v>1.341E-3</v>
      </c>
      <c r="O12" s="138">
        <f>_xll.qlSimpleQuoteSetValue(D12,ROUND(N12,6),EvaluationDate)</f>
        <v>0</v>
      </c>
      <c r="P12" s="158"/>
    </row>
    <row r="13" spans="1:16" x14ac:dyDescent="0.2">
      <c r="A13" s="173"/>
      <c r="B13" s="168" t="s">
        <v>73</v>
      </c>
      <c r="C13" s="154" t="str">
        <f t="shared" si="1"/>
        <v>JPY2MD_SYNTH3M_Quote</v>
      </c>
      <c r="D13" s="154" t="str">
        <f>_xll.qlSimpleQuote(C13,,RateTickValue,Permanent,EvaluationDate,ObjectOverwrite)</f>
        <v>JPY2MD_SYNTH3M_Quote#0000</v>
      </c>
      <c r="E13" s="167" t="str">
        <f>_xll.ohRangeRetrieveError(D13)</f>
        <v/>
      </c>
      <c r="F13" s="166"/>
      <c r="H13" s="157"/>
      <c r="I13" s="131" t="s">
        <v>73</v>
      </c>
      <c r="J13" s="186">
        <f>ROUND(Depo_Calculation!$H39,6)</f>
        <v>1.3259999999999999E-3</v>
      </c>
      <c r="K13" s="124"/>
      <c r="L13" s="134">
        <v>1.3259999999999999E-3</v>
      </c>
      <c r="M13" s="121"/>
      <c r="N13" s="137">
        <v>1.3259999999999999E-3</v>
      </c>
      <c r="O13" s="138">
        <f>_xll.qlSimpleQuoteSetValue(D13,ROUND(N13,6),EvaluationDate)</f>
        <v>0</v>
      </c>
      <c r="P13" s="158"/>
    </row>
    <row r="14" spans="1:16" ht="12" thickBot="1" x14ac:dyDescent="0.25">
      <c r="A14" s="175"/>
      <c r="B14" s="160" t="s">
        <v>74</v>
      </c>
      <c r="C14" s="161" t="str">
        <f t="shared" si="1"/>
        <v>JPY3MD_SYNTH3M_Quote</v>
      </c>
      <c r="D14" s="161" t="str">
        <f>_xll.qlSimpleQuote(C14,,RateTickValue,Permanent,EvaluationDate,ObjectOverwrite)</f>
        <v>JPY3MD_SYNTH3M_Quote#0000</v>
      </c>
      <c r="E14" s="176" t="str">
        <f>_xll.ohRangeRetrieveError(D14)</f>
        <v/>
      </c>
      <c r="F14" s="166"/>
      <c r="H14" s="174"/>
      <c r="I14" s="133" t="s">
        <v>74</v>
      </c>
      <c r="J14" s="187">
        <f>ROUND(Depo_Calculation!$H40,6)</f>
        <v>1.2999999999999999E-3</v>
      </c>
      <c r="K14" s="174"/>
      <c r="L14" s="136">
        <v>1.2999999999999999E-3</v>
      </c>
      <c r="M14" s="174"/>
      <c r="N14" s="140">
        <v>1.2999999999999999E-3</v>
      </c>
      <c r="O14" s="141">
        <f>_xll.qlSimpleQuoteSetValue(D14,ROUND(N14,6),EvaluationDate)</f>
        <v>0</v>
      </c>
      <c r="P14" s="174"/>
    </row>
    <row r="15" spans="1:16" x14ac:dyDescent="0.2">
      <c r="A15" s="171">
        <v>6</v>
      </c>
      <c r="B15" s="163" t="s">
        <v>54</v>
      </c>
      <c r="C15" s="154" t="str">
        <f t="shared" ref="C15:C24" si="2">Currency&amp;$B15&amp;"_SYNTH"&amp;Tenor6M&amp;QuoteSuffix</f>
        <v>JPYSND_SYNTH6M_Quote</v>
      </c>
      <c r="D15" s="164" t="str">
        <f>_xll.qlSimpleQuote(C15,,RateTickValue,Permanent,EvaluationDate,ObjectOverwrite)</f>
        <v>JPYSND_SYNTH6M_Quote#0000</v>
      </c>
      <c r="E15" s="165" t="str">
        <f>_xll.ohRangeRetrieveError(D15)</f>
        <v/>
      </c>
      <c r="F15" s="166"/>
      <c r="H15" s="157"/>
      <c r="I15" s="131" t="s">
        <v>54</v>
      </c>
      <c r="J15" s="185">
        <f>ROUND(Depo_Calculation!$I34,6)</f>
        <v>2.0230000000000001E-3</v>
      </c>
      <c r="K15" s="124"/>
      <c r="L15" s="134">
        <v>2.0230000000000001E-3</v>
      </c>
      <c r="M15" s="121"/>
      <c r="N15" s="137">
        <v>2.0230000000000001E-3</v>
      </c>
      <c r="O15" s="138">
        <f>_xll.qlSimpleQuoteSetValue(D15,ROUND(N15,6),EvaluationDate)</f>
        <v>0</v>
      </c>
      <c r="P15" s="158">
        <f>_xll.ohTrigger(O15:O24)</f>
        <v>12</v>
      </c>
    </row>
    <row r="16" spans="1:16" x14ac:dyDescent="0.2">
      <c r="A16" s="169" t="str">
        <f>_xll.qlPeriodEquivalent(Months6M&amp;"M")</f>
        <v>6M</v>
      </c>
      <c r="B16" s="159" t="s">
        <v>55</v>
      </c>
      <c r="C16" s="154" t="str">
        <f t="shared" si="2"/>
        <v>JPYSWD_SYNTH6M_Quote</v>
      </c>
      <c r="D16" s="154" t="str">
        <f>_xll.qlSimpleQuote(C16,,RateTickValue,Permanent,EvaluationDate,ObjectOverwrite)</f>
        <v>JPYSWD_SYNTH6M_Quote#0000</v>
      </c>
      <c r="E16" s="167" t="str">
        <f>_xll.ohRangeRetrieveError(D16)</f>
        <v/>
      </c>
      <c r="F16" s="166"/>
      <c r="H16" s="157"/>
      <c r="I16" s="131" t="s">
        <v>55</v>
      </c>
      <c r="J16" s="186">
        <f>ROUND(Depo_Calculation!$I35,6)</f>
        <v>2.0110000000000002E-3</v>
      </c>
      <c r="K16" s="124"/>
      <c r="L16" s="134">
        <v>2.0110000000000002E-3</v>
      </c>
      <c r="M16" s="121"/>
      <c r="N16" s="137">
        <v>2.0110000000000002E-3</v>
      </c>
      <c r="O16" s="138">
        <f>_xll.qlSimpleQuoteSetValue(D16,ROUND(N16,6),EvaluationDate)</f>
        <v>0</v>
      </c>
      <c r="P16" s="158"/>
    </row>
    <row r="17" spans="1:16" x14ac:dyDescent="0.2">
      <c r="A17" s="172"/>
      <c r="B17" s="168" t="s">
        <v>56</v>
      </c>
      <c r="C17" s="154" t="str">
        <f t="shared" si="2"/>
        <v>JPY2WD_SYNTH6M_Quote</v>
      </c>
      <c r="D17" s="154" t="str">
        <f>_xll.qlSimpleQuote(C17,,RateTickValue,Permanent,EvaluationDate,ObjectOverwrite)</f>
        <v>JPY2WD_SYNTH6M_Quote#0000</v>
      </c>
      <c r="E17" s="167" t="str">
        <f>_xll.ohRangeRetrieveError(D17)</f>
        <v/>
      </c>
      <c r="F17" s="166"/>
      <c r="H17" s="157"/>
      <c r="I17" s="131" t="s">
        <v>56</v>
      </c>
      <c r="J17" s="186">
        <f>ROUND(Depo_Calculation!$I36,6)</f>
        <v>1.9970000000000001E-3</v>
      </c>
      <c r="K17" s="124"/>
      <c r="L17" s="134">
        <v>1.9970000000000001E-3</v>
      </c>
      <c r="M17" s="121"/>
      <c r="N17" s="137">
        <v>1.9970000000000001E-3</v>
      </c>
      <c r="O17" s="138">
        <f>_xll.qlSimpleQuoteSetValue(D17,ROUND(N17,6),EvaluationDate)</f>
        <v>0</v>
      </c>
      <c r="P17" s="158"/>
    </row>
    <row r="18" spans="1:16" x14ac:dyDescent="0.2">
      <c r="A18" s="173"/>
      <c r="B18" s="168" t="s">
        <v>57</v>
      </c>
      <c r="C18" s="154" t="str">
        <f t="shared" si="2"/>
        <v>JPY3WD_SYNTH6M_Quote</v>
      </c>
      <c r="D18" s="154" t="str">
        <f>_xll.qlSimpleQuote(C18,,RateTickValue,Permanent,EvaluationDate,ObjectOverwrite)</f>
        <v>JPY3WD_SYNTH6M_Quote#0000</v>
      </c>
      <c r="E18" s="167" t="str">
        <f>_xll.ohRangeRetrieveError(D18)</f>
        <v/>
      </c>
      <c r="F18" s="166"/>
      <c r="H18" s="157"/>
      <c r="I18" s="131" t="s">
        <v>57</v>
      </c>
      <c r="J18" s="186">
        <f>ROUND(Depo_Calculation!$I37,6)</f>
        <v>1.9870000000000001E-3</v>
      </c>
      <c r="K18" s="124"/>
      <c r="L18" s="134">
        <v>1.9870000000000001E-3</v>
      </c>
      <c r="M18" s="121"/>
      <c r="N18" s="137">
        <v>1.9870000000000001E-3</v>
      </c>
      <c r="O18" s="138">
        <f>_xll.qlSimpleQuoteSetValue(D18,ROUND(N18,6),EvaluationDate)</f>
        <v>0</v>
      </c>
      <c r="P18" s="158"/>
    </row>
    <row r="19" spans="1:16" x14ac:dyDescent="0.2">
      <c r="A19" s="173"/>
      <c r="B19" s="168" t="s">
        <v>58</v>
      </c>
      <c r="C19" s="154" t="str">
        <f t="shared" si="2"/>
        <v>JPY1MD_SYNTH6M_Quote</v>
      </c>
      <c r="D19" s="154" t="str">
        <f>_xll.qlSimpleQuote(C19,,RateTickValue,Permanent,EvaluationDate,ObjectOverwrite)</f>
        <v>JPY1MD_SYNTH6M_Quote#0000</v>
      </c>
      <c r="E19" s="167" t="str">
        <f>_xll.ohRangeRetrieveError(D19)</f>
        <v/>
      </c>
      <c r="F19" s="166"/>
      <c r="H19" s="157"/>
      <c r="I19" s="131" t="s">
        <v>58</v>
      </c>
      <c r="J19" s="186">
        <f>ROUND(Depo_Calculation!$I38,6)</f>
        <v>1.9729999999999999E-3</v>
      </c>
      <c r="K19" s="124"/>
      <c r="L19" s="134">
        <v>1.9729999999999999E-3</v>
      </c>
      <c r="M19" s="121"/>
      <c r="N19" s="137">
        <v>1.9729999999999999E-3</v>
      </c>
      <c r="O19" s="138">
        <f>_xll.qlSimpleQuoteSetValue(D19,ROUND(N19,6),EvaluationDate)</f>
        <v>0</v>
      </c>
      <c r="P19" s="158"/>
    </row>
    <row r="20" spans="1:16" x14ac:dyDescent="0.2">
      <c r="A20" s="173"/>
      <c r="B20" s="168" t="s">
        <v>73</v>
      </c>
      <c r="C20" s="154" t="str">
        <f t="shared" si="2"/>
        <v>JPY2MD_SYNTH6M_Quote</v>
      </c>
      <c r="D20" s="154" t="str">
        <f>_xll.qlSimpleQuote(C20,,RateTickValue,Permanent,EvaluationDate,ObjectOverwrite)</f>
        <v>JPY2MD_SYNTH6M_Quote#0000</v>
      </c>
      <c r="E20" s="167" t="str">
        <f>_xll.ohRangeRetrieveError(D20)</f>
        <v/>
      </c>
      <c r="F20" s="166"/>
      <c r="H20" s="157"/>
      <c r="I20" s="131" t="s">
        <v>73</v>
      </c>
      <c r="J20" s="186">
        <f>ROUND(Depo_Calculation!$I39,6)</f>
        <v>1.9220000000000001E-3</v>
      </c>
      <c r="K20" s="124"/>
      <c r="L20" s="134">
        <v>1.9220000000000001E-3</v>
      </c>
      <c r="M20" s="121"/>
      <c r="N20" s="137">
        <v>1.9220000000000001E-3</v>
      </c>
      <c r="O20" s="138">
        <f>_xll.qlSimpleQuoteSetValue(D20,ROUND(N20,6),EvaluationDate)</f>
        <v>0</v>
      </c>
      <c r="P20" s="158"/>
    </row>
    <row r="21" spans="1:16" x14ac:dyDescent="0.2">
      <c r="A21" s="173"/>
      <c r="B21" s="168" t="s">
        <v>74</v>
      </c>
      <c r="C21" s="154" t="str">
        <f t="shared" si="2"/>
        <v>JPY3MD_SYNTH6M_Quote</v>
      </c>
      <c r="D21" s="154" t="str">
        <f>_xll.qlSimpleQuote(C21,,RateTickValue,Permanent,EvaluationDate,ObjectOverwrite)</f>
        <v>JPY3MD_SYNTH6M_Quote#0000</v>
      </c>
      <c r="E21" s="167" t="str">
        <f>_xll.ohRangeRetrieveError(D21)</f>
        <v/>
      </c>
      <c r="F21" s="166"/>
      <c r="H21" s="157"/>
      <c r="I21" s="131" t="s">
        <v>74</v>
      </c>
      <c r="J21" s="186">
        <f>ROUND(Depo_Calculation!$I40,6)</f>
        <v>1.861E-3</v>
      </c>
      <c r="K21" s="124"/>
      <c r="L21" s="134">
        <v>1.861E-3</v>
      </c>
      <c r="M21" s="121"/>
      <c r="N21" s="137">
        <v>1.861E-3</v>
      </c>
      <c r="O21" s="138">
        <f>_xll.qlSimpleQuoteSetValue(D21,ROUND(N21,6),EvaluationDate)</f>
        <v>0</v>
      </c>
      <c r="P21" s="158"/>
    </row>
    <row r="22" spans="1:16" x14ac:dyDescent="0.2">
      <c r="A22" s="173"/>
      <c r="B22" s="168" t="s">
        <v>75</v>
      </c>
      <c r="C22" s="154" t="str">
        <f t="shared" si="2"/>
        <v>JPY4MD_SYNTH6M_Quote</v>
      </c>
      <c r="D22" s="154" t="str">
        <f>_xll.qlSimpleQuote(C22,,RateTickValue,Permanent,EvaluationDate,ObjectOverwrite)</f>
        <v>JPY4MD_SYNTH6M_Quote#0000</v>
      </c>
      <c r="E22" s="167" t="str">
        <f>_xll.ohRangeRetrieveError(D22)</f>
        <v/>
      </c>
      <c r="F22" s="166"/>
      <c r="H22" s="157"/>
      <c r="I22" s="131" t="s">
        <v>75</v>
      </c>
      <c r="J22" s="186">
        <f>ROUND(Depo_Calculation!$I41,6)</f>
        <v>1.8320000000000001E-3</v>
      </c>
      <c r="K22" s="124"/>
      <c r="L22" s="134">
        <v>1.8320000000000001E-3</v>
      </c>
      <c r="M22" s="121"/>
      <c r="N22" s="137">
        <v>1.8320000000000001E-3</v>
      </c>
      <c r="O22" s="138">
        <f>_xll.qlSimpleQuoteSetValue(D22,ROUND(N22,6),EvaluationDate)</f>
        <v>0</v>
      </c>
      <c r="P22" s="158"/>
    </row>
    <row r="23" spans="1:16" x14ac:dyDescent="0.2">
      <c r="A23" s="173"/>
      <c r="B23" s="168" t="s">
        <v>76</v>
      </c>
      <c r="C23" s="154" t="str">
        <f t="shared" si="2"/>
        <v>JPY5MD_SYNTH6M_Quote</v>
      </c>
      <c r="D23" s="154" t="str">
        <f>_xll.qlSimpleQuote(C23,,RateTickValue,Permanent,EvaluationDate,ObjectOverwrite)</f>
        <v>JPY5MD_SYNTH6M_Quote#0000</v>
      </c>
      <c r="E23" s="167" t="str">
        <f>_xll.ohRangeRetrieveError(D23)</f>
        <v/>
      </c>
      <c r="F23" s="166"/>
      <c r="H23" s="157"/>
      <c r="I23" s="131" t="s">
        <v>76</v>
      </c>
      <c r="J23" s="186">
        <f>ROUND(Depo_Calculation!$I42,6)</f>
        <v>1.787E-3</v>
      </c>
      <c r="K23" s="124"/>
      <c r="L23" s="134">
        <v>1.787E-3</v>
      </c>
      <c r="M23" s="121"/>
      <c r="N23" s="137">
        <v>1.787E-3</v>
      </c>
      <c r="O23" s="138">
        <f>_xll.qlSimpleQuoteSetValue(D23,ROUND(N23,6),EvaluationDate)</f>
        <v>0</v>
      </c>
      <c r="P23" s="158"/>
    </row>
    <row r="24" spans="1:16" ht="12" thickBot="1" x14ac:dyDescent="0.25">
      <c r="A24" s="175"/>
      <c r="B24" s="160" t="s">
        <v>77</v>
      </c>
      <c r="C24" s="161" t="str">
        <f t="shared" si="2"/>
        <v>JPY6MD_SYNTH6M_Quote</v>
      </c>
      <c r="D24" s="154" t="str">
        <f>_xll.qlSimpleQuote(C24,,RateTickValue,Permanent,EvaluationDate,ObjectOverwrite)</f>
        <v>JPY6MD_SYNTH6M_Quote#0000</v>
      </c>
      <c r="E24" s="176" t="str">
        <f>_xll.ohRangeRetrieveError(D24)</f>
        <v/>
      </c>
      <c r="F24" s="177"/>
      <c r="H24" s="174"/>
      <c r="I24" s="133" t="s">
        <v>77</v>
      </c>
      <c r="J24" s="187">
        <f>ROUND(Depo_Calculation!$I43,6)</f>
        <v>1.779E-3</v>
      </c>
      <c r="K24" s="179"/>
      <c r="L24" s="136">
        <v>1.779E-3</v>
      </c>
      <c r="M24" s="180"/>
      <c r="N24" s="140">
        <v>1.779E-3</v>
      </c>
      <c r="O24" s="138">
        <f>_xll.qlSimpleQuoteSetValue(D24,ROUND(N24,6),EvaluationDate)</f>
        <v>0</v>
      </c>
      <c r="P24" s="181"/>
    </row>
    <row r="25" spans="1:16" s="190" customFormat="1" x14ac:dyDescent="0.2">
      <c r="A25" s="171">
        <v>12</v>
      </c>
      <c r="B25" s="163" t="s">
        <v>54</v>
      </c>
      <c r="C25" s="154" t="str">
        <f t="shared" ref="C25:C40" si="3">Currency&amp;$B25&amp;"_SYNTH"&amp;Tenor12M&amp;QuoteSuffix</f>
        <v>JPYSND_SYNTH1Y_Quote</v>
      </c>
      <c r="D25" s="164" t="str">
        <f>_xll.qlSimpleQuote(C25,,RateTickValue,Permanent,EvaluationDate,ObjectOverwrite)</f>
        <v>JPYSND_SYNTH1Y_Quote#0000</v>
      </c>
      <c r="E25" s="165" t="str">
        <f>_xll.ohRangeRetrieveError(D25)</f>
        <v/>
      </c>
      <c r="F25" s="193"/>
      <c r="G25" s="1"/>
      <c r="H25" s="194"/>
      <c r="I25" s="195" t="s">
        <v>54</v>
      </c>
      <c r="J25" s="185" t="e">
        <f>ROUND(Depo_Calculation!$J34,6)</f>
        <v>#NUM!</v>
      </c>
      <c r="K25" s="124"/>
      <c r="L25" s="196" t="e">
        <v>#NUM!</v>
      </c>
      <c r="M25" s="121"/>
      <c r="N25" s="197" t="e">
        <v>#NUM!</v>
      </c>
      <c r="O25" s="198" t="e">
        <f>_xll.qlSimpleQuoteSetValue(D25,ROUND(N25,6),EvaluationDate)</f>
        <v>#NUM!</v>
      </c>
      <c r="P25" s="158">
        <f>_xll.ohTrigger(O25:O40)</f>
        <v>12</v>
      </c>
    </row>
    <row r="26" spans="1:16" s="190" customFormat="1" x14ac:dyDescent="0.2">
      <c r="A26" s="169" t="str">
        <f>_xll.qlPeriodEquivalent(Months12M&amp;"M")</f>
        <v>1Y</v>
      </c>
      <c r="B26" s="159" t="s">
        <v>55</v>
      </c>
      <c r="C26" s="154" t="str">
        <f t="shared" si="3"/>
        <v>JPYSWD_SYNTH1Y_Quote</v>
      </c>
      <c r="D26" s="154" t="str">
        <f>_xll.qlSimpleQuote(C26,,RateTickValue,Permanent,EvaluationDate,ObjectOverwrite)</f>
        <v>JPYSWD_SYNTH1Y_Quote#0000</v>
      </c>
      <c r="E26" s="167" t="str">
        <f>_xll.ohRangeRetrieveError(D26)</f>
        <v/>
      </c>
      <c r="F26" s="166"/>
      <c r="G26" s="1"/>
      <c r="H26" s="157"/>
      <c r="I26" s="131" t="s">
        <v>55</v>
      </c>
      <c r="J26" s="186" t="e">
        <f>ROUND(Depo_Calculation!$J35,6)</f>
        <v>#NUM!</v>
      </c>
      <c r="K26" s="124"/>
      <c r="L26" s="134" t="e">
        <v>#NUM!</v>
      </c>
      <c r="M26" s="121"/>
      <c r="N26" s="137" t="e">
        <v>#NUM!</v>
      </c>
      <c r="O26" s="138" t="e">
        <f>_xll.qlSimpleQuoteSetValue(D26,ROUND(N26,6),EvaluationDate)</f>
        <v>#NUM!</v>
      </c>
      <c r="P26" s="158"/>
    </row>
    <row r="27" spans="1:16" s="190" customFormat="1" x14ac:dyDescent="0.2">
      <c r="A27" s="173"/>
      <c r="B27" s="168" t="s">
        <v>56</v>
      </c>
      <c r="C27" s="154" t="str">
        <f t="shared" si="3"/>
        <v>JPY2WD_SYNTH1Y_Quote</v>
      </c>
      <c r="D27" s="154" t="str">
        <f>_xll.qlSimpleQuote(C27,,RateTickValue,Permanent,EvaluationDate,ObjectOverwrite)</f>
        <v>JPY2WD_SYNTH1Y_Quote#0000</v>
      </c>
      <c r="E27" s="167" t="str">
        <f>_xll.ohRangeRetrieveError(D27)</f>
        <v/>
      </c>
      <c r="F27" s="166"/>
      <c r="G27" s="1"/>
      <c r="H27" s="157"/>
      <c r="I27" s="131" t="s">
        <v>56</v>
      </c>
      <c r="J27" s="186" t="e">
        <f>ROUND(Depo_Calculation!$J36,6)</f>
        <v>#NUM!</v>
      </c>
      <c r="K27" s="124"/>
      <c r="L27" s="134" t="e">
        <v>#NUM!</v>
      </c>
      <c r="M27" s="121"/>
      <c r="N27" s="137" t="e">
        <v>#NUM!</v>
      </c>
      <c r="O27" s="138" t="e">
        <f>_xll.qlSimpleQuoteSetValue(D27,ROUND(N27,6),EvaluationDate)</f>
        <v>#NUM!</v>
      </c>
      <c r="P27" s="158"/>
    </row>
    <row r="28" spans="1:16" x14ac:dyDescent="0.2">
      <c r="A28" s="173"/>
      <c r="B28" s="168" t="s">
        <v>57</v>
      </c>
      <c r="C28" s="154" t="str">
        <f t="shared" si="3"/>
        <v>JPY3WD_SYNTH1Y_Quote</v>
      </c>
      <c r="D28" s="154" t="str">
        <f>_xll.qlSimpleQuote(C28,,RateTickValue,Permanent,EvaluationDate,ObjectOverwrite)</f>
        <v>JPY3WD_SYNTH1Y_Quote#0000</v>
      </c>
      <c r="E28" s="167" t="str">
        <f>_xll.ohRangeRetrieveError(D28)</f>
        <v/>
      </c>
      <c r="F28" s="166"/>
      <c r="H28" s="157"/>
      <c r="I28" s="131" t="s">
        <v>57</v>
      </c>
      <c r="J28" s="186" t="e">
        <f>ROUND(Depo_Calculation!$J37,6)</f>
        <v>#NUM!</v>
      </c>
      <c r="K28" s="124"/>
      <c r="L28" s="134" t="e">
        <v>#NUM!</v>
      </c>
      <c r="M28" s="121"/>
      <c r="N28" s="137" t="e">
        <v>#NUM!</v>
      </c>
      <c r="O28" s="138" t="e">
        <f>_xll.qlSimpleQuoteSetValue(D28,ROUND(N28,6),EvaluationDate)</f>
        <v>#NUM!</v>
      </c>
      <c r="P28" s="158"/>
    </row>
    <row r="29" spans="1:16" x14ac:dyDescent="0.2">
      <c r="A29" s="173"/>
      <c r="B29" s="168" t="s">
        <v>58</v>
      </c>
      <c r="C29" s="154" t="str">
        <f t="shared" si="3"/>
        <v>JPY1MD_SYNTH1Y_Quote</v>
      </c>
      <c r="D29" s="154" t="str">
        <f>_xll.qlSimpleQuote(C29,,RateTickValue,Permanent,EvaluationDate,ObjectOverwrite)</f>
        <v>JPY1MD_SYNTH1Y_Quote#0000</v>
      </c>
      <c r="E29" s="167" t="str">
        <f>_xll.ohRangeRetrieveError(D29)</f>
        <v/>
      </c>
      <c r="F29" s="166"/>
      <c r="H29" s="157"/>
      <c r="I29" s="131" t="s">
        <v>58</v>
      </c>
      <c r="J29" s="186" t="e">
        <f>ROUND(Depo_Calculation!$J38,6)</f>
        <v>#NUM!</v>
      </c>
      <c r="K29" s="124"/>
      <c r="L29" s="134" t="e">
        <v>#NUM!</v>
      </c>
      <c r="M29" s="121"/>
      <c r="N29" s="137" t="e">
        <v>#NUM!</v>
      </c>
      <c r="O29" s="138" t="e">
        <f>_xll.qlSimpleQuoteSetValue(D29,ROUND(N29,6),EvaluationDate)</f>
        <v>#NUM!</v>
      </c>
      <c r="P29" s="158"/>
    </row>
    <row r="30" spans="1:16" x14ac:dyDescent="0.2">
      <c r="A30" s="173"/>
      <c r="B30" s="168" t="s">
        <v>73</v>
      </c>
      <c r="C30" s="154" t="str">
        <f t="shared" si="3"/>
        <v>JPY2MD_SYNTH1Y_Quote</v>
      </c>
      <c r="D30" s="154" t="str">
        <f>_xll.qlSimpleQuote(C30,,RateTickValue,Permanent,EvaluationDate,ObjectOverwrite)</f>
        <v>JPY2MD_SYNTH1Y_Quote#0000</v>
      </c>
      <c r="E30" s="167" t="str">
        <f>_xll.ohRangeRetrieveError(D30)</f>
        <v/>
      </c>
      <c r="F30" s="166"/>
      <c r="H30" s="157"/>
      <c r="I30" s="131" t="s">
        <v>73</v>
      </c>
      <c r="J30" s="186" t="e">
        <f>ROUND(Depo_Calculation!$J39,6)</f>
        <v>#NUM!</v>
      </c>
      <c r="K30" s="124"/>
      <c r="L30" s="134" t="e">
        <v>#NUM!</v>
      </c>
      <c r="M30" s="121"/>
      <c r="N30" s="137" t="e">
        <v>#NUM!</v>
      </c>
      <c r="O30" s="138" t="e">
        <f>_xll.qlSimpleQuoteSetValue(D30,ROUND(N30,6),EvaluationDate)</f>
        <v>#NUM!</v>
      </c>
      <c r="P30" s="158"/>
    </row>
    <row r="31" spans="1:16" x14ac:dyDescent="0.2">
      <c r="A31" s="173"/>
      <c r="B31" s="168" t="s">
        <v>74</v>
      </c>
      <c r="C31" s="154" t="str">
        <f t="shared" si="3"/>
        <v>JPY3MD_SYNTH1Y_Quote</v>
      </c>
      <c r="D31" s="154" t="str">
        <f>_xll.qlSimpleQuote(C31,,RateTickValue,Permanent,EvaluationDate,ObjectOverwrite)</f>
        <v>JPY3MD_SYNTH1Y_Quote#0000</v>
      </c>
      <c r="E31" s="167" t="str">
        <f>_xll.ohRangeRetrieveError(D31)</f>
        <v/>
      </c>
      <c r="F31" s="166"/>
      <c r="H31" s="157"/>
      <c r="I31" s="131" t="s">
        <v>74</v>
      </c>
      <c r="J31" s="186" t="e">
        <f>ROUND(Depo_Calculation!$J40,6)</f>
        <v>#NUM!</v>
      </c>
      <c r="K31" s="124"/>
      <c r="L31" s="134" t="e">
        <v>#NUM!</v>
      </c>
      <c r="M31" s="121"/>
      <c r="N31" s="137" t="e">
        <v>#NUM!</v>
      </c>
      <c r="O31" s="138" t="e">
        <f>_xll.qlSimpleQuoteSetValue(D31,ROUND(N31,6),EvaluationDate)</f>
        <v>#NUM!</v>
      </c>
      <c r="P31" s="158"/>
    </row>
    <row r="32" spans="1:16" x14ac:dyDescent="0.2">
      <c r="A32" s="173"/>
      <c r="B32" s="168" t="s">
        <v>75</v>
      </c>
      <c r="C32" s="154" t="str">
        <f t="shared" si="3"/>
        <v>JPY4MD_SYNTH1Y_Quote</v>
      </c>
      <c r="D32" s="154" t="str">
        <f>_xll.qlSimpleQuote(C32,,RateTickValue,Permanent,EvaluationDate,ObjectOverwrite)</f>
        <v>JPY4MD_SYNTH1Y_Quote#0000</v>
      </c>
      <c r="E32" s="167" t="str">
        <f>_xll.ohRangeRetrieveError(D32)</f>
        <v/>
      </c>
      <c r="F32" s="166"/>
      <c r="H32" s="157"/>
      <c r="I32" s="131" t="s">
        <v>75</v>
      </c>
      <c r="J32" s="186" t="e">
        <f>ROUND(Depo_Calculation!$J41,6)</f>
        <v>#NUM!</v>
      </c>
      <c r="K32" s="124"/>
      <c r="L32" s="134" t="e">
        <v>#NUM!</v>
      </c>
      <c r="M32" s="121"/>
      <c r="N32" s="137" t="e">
        <v>#NUM!</v>
      </c>
      <c r="O32" s="138" t="e">
        <f>_xll.qlSimpleQuoteSetValue(D32,ROUND(N32,6),EvaluationDate)</f>
        <v>#NUM!</v>
      </c>
      <c r="P32" s="158"/>
    </row>
    <row r="33" spans="1:16" x14ac:dyDescent="0.2">
      <c r="A33" s="173"/>
      <c r="B33" s="168" t="s">
        <v>76</v>
      </c>
      <c r="C33" s="154" t="str">
        <f t="shared" si="3"/>
        <v>JPY5MD_SYNTH1Y_Quote</v>
      </c>
      <c r="D33" s="154" t="str">
        <f>_xll.qlSimpleQuote(C33,,RateTickValue,Permanent,EvaluationDate,ObjectOverwrite)</f>
        <v>JPY5MD_SYNTH1Y_Quote#0000</v>
      </c>
      <c r="E33" s="167" t="str">
        <f>_xll.ohRangeRetrieveError(D33)</f>
        <v/>
      </c>
      <c r="F33" s="166"/>
      <c r="H33" s="157"/>
      <c r="I33" s="131" t="s">
        <v>76</v>
      </c>
      <c r="J33" s="186" t="e">
        <f>ROUND(Depo_Calculation!$J42,6)</f>
        <v>#NUM!</v>
      </c>
      <c r="K33" s="124"/>
      <c r="L33" s="134" t="e">
        <v>#NUM!</v>
      </c>
      <c r="M33" s="121"/>
      <c r="N33" s="137" t="e">
        <v>#NUM!</v>
      </c>
      <c r="O33" s="138" t="e">
        <f>_xll.qlSimpleQuoteSetValue(D33,ROUND(N33,6),EvaluationDate)</f>
        <v>#NUM!</v>
      </c>
      <c r="P33" s="158"/>
    </row>
    <row r="34" spans="1:16" x14ac:dyDescent="0.2">
      <c r="A34" s="173"/>
      <c r="B34" s="168" t="s">
        <v>77</v>
      </c>
      <c r="C34" s="154" t="str">
        <f t="shared" si="3"/>
        <v>JPY6MD_SYNTH1Y_Quote</v>
      </c>
      <c r="D34" s="154" t="str">
        <f>_xll.qlSimpleQuote(C34,,RateTickValue,Permanent,EvaluationDate,ObjectOverwrite)</f>
        <v>JPY6MD_SYNTH1Y_Quote#0000</v>
      </c>
      <c r="E34" s="167" t="str">
        <f>_xll.ohRangeRetrieveError(D34)</f>
        <v/>
      </c>
      <c r="F34" s="166"/>
      <c r="H34" s="157"/>
      <c r="I34" s="131" t="s">
        <v>77</v>
      </c>
      <c r="J34" s="186" t="e">
        <f>ROUND(Depo_Calculation!$J43,6)</f>
        <v>#NUM!</v>
      </c>
      <c r="K34" s="124"/>
      <c r="L34" s="134" t="e">
        <v>#NUM!</v>
      </c>
      <c r="M34" s="121"/>
      <c r="N34" s="137" t="e">
        <v>#NUM!</v>
      </c>
      <c r="O34" s="138" t="e">
        <f>_xll.qlSimpleQuoteSetValue(D34,ROUND(N34,6),EvaluationDate)</f>
        <v>#NUM!</v>
      </c>
      <c r="P34" s="158"/>
    </row>
    <row r="35" spans="1:16" x14ac:dyDescent="0.2">
      <c r="A35" s="173"/>
      <c r="B35" s="168" t="s">
        <v>78</v>
      </c>
      <c r="C35" s="154" t="str">
        <f t="shared" si="3"/>
        <v>JPY7MD_SYNTH1Y_Quote</v>
      </c>
      <c r="D35" s="154" t="str">
        <f>_xll.qlSimpleQuote(C35,,RateTickValue,Permanent,EvaluationDate,ObjectOverwrite)</f>
        <v>JPY7MD_SYNTH1Y_Quote#0000</v>
      </c>
      <c r="E35" s="167" t="str">
        <f>_xll.ohRangeRetrieveError(D35)</f>
        <v/>
      </c>
      <c r="F35" s="166"/>
      <c r="H35" s="157"/>
      <c r="I35" s="131" t="s">
        <v>78</v>
      </c>
      <c r="J35" s="186" t="e">
        <f>ROUND(Depo_Calculation!$J44,6)</f>
        <v>#NUM!</v>
      </c>
      <c r="K35" s="124"/>
      <c r="L35" s="134" t="e">
        <v>#NUM!</v>
      </c>
      <c r="M35" s="121"/>
      <c r="N35" s="137" t="e">
        <v>#NUM!</v>
      </c>
      <c r="O35" s="138" t="e">
        <f>_xll.qlSimpleQuoteSetValue(D35,ROUND(N35,6),EvaluationDate)</f>
        <v>#NUM!</v>
      </c>
      <c r="P35" s="158"/>
    </row>
    <row r="36" spans="1:16" x14ac:dyDescent="0.2">
      <c r="A36" s="173"/>
      <c r="B36" s="168" t="s">
        <v>79</v>
      </c>
      <c r="C36" s="154" t="str">
        <f t="shared" si="3"/>
        <v>JPY8MD_SYNTH1Y_Quote</v>
      </c>
      <c r="D36" s="154" t="str">
        <f>_xll.qlSimpleQuote(C36,,RateTickValue,Permanent,EvaluationDate,ObjectOverwrite)</f>
        <v>JPY8MD_SYNTH1Y_Quote#0000</v>
      </c>
      <c r="E36" s="167" t="str">
        <f>_xll.ohRangeRetrieveError(D36)</f>
        <v/>
      </c>
      <c r="F36" s="166"/>
      <c r="H36" s="157"/>
      <c r="I36" s="131" t="s">
        <v>79</v>
      </c>
      <c r="J36" s="186" t="e">
        <f>ROUND(Depo_Calculation!$J45,6)</f>
        <v>#NUM!</v>
      </c>
      <c r="K36" s="124"/>
      <c r="L36" s="134" t="e">
        <v>#NUM!</v>
      </c>
      <c r="M36" s="121"/>
      <c r="N36" s="137" t="e">
        <v>#NUM!</v>
      </c>
      <c r="O36" s="138" t="e">
        <f>_xll.qlSimpleQuoteSetValue(D36,ROUND(N36,6),EvaluationDate)</f>
        <v>#NUM!</v>
      </c>
      <c r="P36" s="158"/>
    </row>
    <row r="37" spans="1:16" x14ac:dyDescent="0.2">
      <c r="A37" s="173"/>
      <c r="B37" s="168" t="s">
        <v>80</v>
      </c>
      <c r="C37" s="154" t="str">
        <f t="shared" si="3"/>
        <v>JPY9MD_SYNTH1Y_Quote</v>
      </c>
      <c r="D37" s="154" t="str">
        <f>_xll.qlSimpleQuote(C37,,RateTickValue,Permanent,EvaluationDate,ObjectOverwrite)</f>
        <v>JPY9MD_SYNTH1Y_Quote#0000</v>
      </c>
      <c r="E37" s="167" t="str">
        <f>_xll.ohRangeRetrieveError(D37)</f>
        <v/>
      </c>
      <c r="F37" s="166"/>
      <c r="H37" s="157"/>
      <c r="I37" s="131" t="s">
        <v>80</v>
      </c>
      <c r="J37" s="186" t="e">
        <f>ROUND(Depo_Calculation!$J46,6)</f>
        <v>#NUM!</v>
      </c>
      <c r="K37" s="124"/>
      <c r="L37" s="134" t="e">
        <v>#NUM!</v>
      </c>
      <c r="M37" s="121"/>
      <c r="N37" s="137" t="e">
        <v>#NUM!</v>
      </c>
      <c r="O37" s="138" t="e">
        <f>_xll.qlSimpleQuoteSetValue(D37,ROUND(N37,6),EvaluationDate)</f>
        <v>#NUM!</v>
      </c>
      <c r="P37" s="158"/>
    </row>
    <row r="38" spans="1:16" x14ac:dyDescent="0.2">
      <c r="A38" s="173"/>
      <c r="B38" s="168" t="s">
        <v>81</v>
      </c>
      <c r="C38" s="154" t="str">
        <f t="shared" si="3"/>
        <v>JPY10MD_SYNTH1Y_Quote</v>
      </c>
      <c r="D38" s="154" t="str">
        <f>_xll.qlSimpleQuote(C38,,RateTickValue,Permanent,EvaluationDate,ObjectOverwrite)</f>
        <v>JPY10MD_SYNTH1Y_Quote#0000</v>
      </c>
      <c r="E38" s="167" t="str">
        <f>_xll.ohRangeRetrieveError(D38)</f>
        <v/>
      </c>
      <c r="F38" s="166"/>
      <c r="H38" s="157"/>
      <c r="I38" s="131" t="s">
        <v>81</v>
      </c>
      <c r="J38" s="186" t="e">
        <f>ROUND(Depo_Calculation!$J47,6)</f>
        <v>#NUM!</v>
      </c>
      <c r="K38" s="124"/>
      <c r="L38" s="134" t="e">
        <v>#NUM!</v>
      </c>
      <c r="M38" s="121"/>
      <c r="N38" s="137" t="e">
        <v>#NUM!</v>
      </c>
      <c r="O38" s="138" t="e">
        <f>_xll.qlSimpleQuoteSetValue(D38,ROUND(N38,6),EvaluationDate)</f>
        <v>#NUM!</v>
      </c>
      <c r="P38" s="158"/>
    </row>
    <row r="39" spans="1:16" x14ac:dyDescent="0.2">
      <c r="A39" s="173"/>
      <c r="B39" s="168" t="s">
        <v>82</v>
      </c>
      <c r="C39" s="154" t="str">
        <f t="shared" si="3"/>
        <v>JPY11MD_SYNTH1Y_Quote</v>
      </c>
      <c r="D39" s="154" t="str">
        <f>_xll.qlSimpleQuote(C39,,RateTickValue,Permanent,EvaluationDate,ObjectOverwrite)</f>
        <v>JPY11MD_SYNTH1Y_Quote#0000</v>
      </c>
      <c r="E39" s="167" t="str">
        <f>_xll.ohRangeRetrieveError(D39)</f>
        <v/>
      </c>
      <c r="F39" s="166"/>
      <c r="H39" s="157"/>
      <c r="I39" s="131" t="s">
        <v>82</v>
      </c>
      <c r="J39" s="186" t="e">
        <f>ROUND(Depo_Calculation!$J48,6)</f>
        <v>#NUM!</v>
      </c>
      <c r="K39" s="124"/>
      <c r="L39" s="134" t="e">
        <v>#NUM!</v>
      </c>
      <c r="M39" s="121"/>
      <c r="N39" s="137" t="e">
        <v>#NUM!</v>
      </c>
      <c r="O39" s="138" t="e">
        <f>_xll.qlSimpleQuoteSetValue(D39,ROUND(N39,6),EvaluationDate)</f>
        <v>#NUM!</v>
      </c>
      <c r="P39" s="158"/>
    </row>
    <row r="40" spans="1:16" ht="12" thickBot="1" x14ac:dyDescent="0.25">
      <c r="A40" s="175"/>
      <c r="B40" s="160" t="s">
        <v>83</v>
      </c>
      <c r="C40" s="161" t="str">
        <f t="shared" si="3"/>
        <v>JPY1YD_SYNTH1Y_Quote</v>
      </c>
      <c r="D40" s="161" t="str">
        <f>_xll.qlSimpleQuote(C40,,RateTickValue,Permanent,EvaluationDate,ObjectOverwrite)</f>
        <v>JPY1YD_SYNTH1Y_Quote#0000</v>
      </c>
      <c r="E40" s="176" t="str">
        <f>_xll.ohRangeRetrieveError(D40)</f>
        <v/>
      </c>
      <c r="F40" s="177"/>
      <c r="H40" s="178"/>
      <c r="I40" s="133" t="s">
        <v>83</v>
      </c>
      <c r="J40" s="187" t="e">
        <f>ROUND(Depo_Calculation!$J49,6)</f>
        <v>#NUM!</v>
      </c>
      <c r="K40" s="179"/>
      <c r="L40" s="136" t="e">
        <v>#NUM!</v>
      </c>
      <c r="M40" s="180"/>
      <c r="N40" s="140" t="e">
        <v>#NUM!</v>
      </c>
      <c r="O40" s="138" t="e">
        <f>_xll.qlSimpleQuoteSetValue(D40,ROUND(N40,6),EvaluationDate)</f>
        <v>#NUM!</v>
      </c>
      <c r="P40" s="158"/>
    </row>
    <row r="41" spans="1:16" x14ac:dyDescent="0.2">
      <c r="A41" s="192"/>
      <c r="B41" s="192"/>
      <c r="C41" s="192"/>
      <c r="D41" s="192"/>
      <c r="E41" s="192"/>
      <c r="F41" s="192"/>
      <c r="G41" s="191"/>
      <c r="H41" s="192"/>
      <c r="I41" s="192"/>
      <c r="J41" s="192"/>
      <c r="K41" s="192"/>
      <c r="L41" s="192"/>
      <c r="M41" s="192"/>
      <c r="N41" s="192"/>
      <c r="O41" s="192"/>
      <c r="P41" s="1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General Settings</vt:lpstr>
      <vt:lpstr>Depo_Calculation</vt:lpstr>
      <vt:lpstr>Contribution</vt:lpstr>
      <vt:lpstr>AllTriggers</vt:lpstr>
      <vt:lpstr>Calendar</vt:lpstr>
      <vt:lpstr>Currency</vt:lpstr>
      <vt:lpstr>EvaluationDate</vt:lpstr>
      <vt:lpstr>FamilyName</vt:lpstr>
      <vt:lpstr>FileOverwrite</vt:lpstr>
      <vt:lpstr>InterestRatesTrigger</vt:lpstr>
      <vt:lpstr>LastDayInNextYear</vt:lpstr>
      <vt:lpstr>LastDayInYear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2008-10-02T09:42:40Z</cp:lastPrinted>
  <dcterms:created xsi:type="dcterms:W3CDTF">2007-10-30T15:41:10Z</dcterms:created>
  <dcterms:modified xsi:type="dcterms:W3CDTF">2014-08-07T15:57:47Z</dcterms:modified>
</cp:coreProperties>
</file>