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135" windowHeight="7500" tabRatio="826"/>
  </bookViews>
  <sheets>
    <sheet name="General Settings" sheetId="4" r:id="rId1"/>
    <sheet name="Depo_Calculation" sheetId="12" r:id="rId2"/>
    <sheet name="FRA_RateHelpers" sheetId="31" r:id="rId3"/>
    <sheet name="6M_FRA_Calculation" sheetId="30" r:id="rId4"/>
    <sheet name="1Y_FRA_Calculation" sheetId="28" r:id="rId5"/>
    <sheet name="Contribution" sheetId="25" r:id="rId6"/>
    <sheet name="6M_LiborSwapForBasisCalc" sheetId="29" r:id="rId7"/>
    <sheet name="1Y_LiborSwapForBasisCalc" sheetId="27" r:id="rId8"/>
  </sheets>
  <externalReferences>
    <externalReference r:id="rId9"/>
  </externalReferences>
  <definedNames>
    <definedName name="Accuracy">'General Settings'!$D$29</definedName>
    <definedName name="AllTriggers">'General Settings'!$I$19:$I$22</definedName>
    <definedName name="BasisInterpolation">'General Settings'!$D$34</definedName>
    <definedName name="BasisInterpolator1Y">'General Settings'!$D$36</definedName>
    <definedName name="BasisInterpolator6M">'General Settings'!$I$36</definedName>
    <definedName name="Calendar">'General Settings'!$D$8</definedName>
    <definedName name="Currency">'General Settings'!$D$4</definedName>
    <definedName name="DayCounter">'General Settings'!$D$35</definedName>
    <definedName name="EvaluationDate">'General Settings'!$I$20</definedName>
    <definedName name="FamilyName">'General Settings'!$I$10</definedName>
    <definedName name="FileOverwrite">'General Settings'!$I$9</definedName>
    <definedName name="HolidayCheck">'General Settings'!$D$7</definedName>
    <definedName name="IborIndex1Y">'General Settings'!$D$33</definedName>
    <definedName name="IborIndex6M">'General Settings'!$I$33</definedName>
    <definedName name="IborTenor1Y">'General Settings'!$D$27</definedName>
    <definedName name="IborTenor6M">'General Settings'!$I$27</definedName>
    <definedName name="InterestRatesTrigger">'General Settings'!$I$21</definedName>
    <definedName name="InterpolatorID">'General Settings'!$D$31</definedName>
    <definedName name="LastDayInNextYear">'General Settings'!$D$22</definedName>
    <definedName name="LastDayInYear">'General Settings'!$D$21</definedName>
    <definedName name="LastFixingsTrigger">'General Settings'!$I$22</definedName>
    <definedName name="LastUpdate">'General Settings'!$D$13</definedName>
    <definedName name="LiborCalendar">'General Settings'!$D$5</definedName>
    <definedName name="LiveDataFeed">'General Settings'!$D$14</definedName>
    <definedName name="LocalCalendar">'General Settings'!$D$6</definedName>
    <definedName name="Months12M" localSheetId="5">Contribution!$A$40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Settings'!$D$28</definedName>
    <definedName name="ObjectOverwrite">'General Settings'!$I$5</definedName>
    <definedName name="OisCurve">'General Settings'!$D$11</definedName>
    <definedName name="OisEngine">'General Settings'!$D$20</definedName>
    <definedName name="OvernightIndex">'General Settings'!$D$9</definedName>
    <definedName name="Permanent">'General Settings'!$I$4</definedName>
    <definedName name="PriceTickValue">'General Settings'!$I$14</definedName>
    <definedName name="Quote" localSheetId="5">Contribution!$N$3:$N$92</definedName>
    <definedName name="QuoteLive" localSheetId="5">Contribution!$J$3:$J$92</definedName>
    <definedName name="QuoteStatic" localSheetId="5">Contribution!$L$3:$L$92</definedName>
    <definedName name="QuoteSuffix">'General Settings'!$I$12</definedName>
    <definedName name="RateTickValue">'General Settings'!$I$13</definedName>
    <definedName name="SerializationPath">'General Settings'!$I$8</definedName>
    <definedName name="Serialize">'General Settings'!$I$7</definedName>
    <definedName name="SettlementDate">'General Settings'!$D$19</definedName>
    <definedName name="Tenor12M" localSheetId="5">Contribution!$A$41</definedName>
    <definedName name="Tenor1M" localSheetId="5">Contribution!$A$4</definedName>
    <definedName name="Tenor1Y">FRA_RateHelpers!$A$24</definedName>
    <definedName name="Tenor3M" localSheetId="5">Contribution!$A$9</definedName>
    <definedName name="Tenor6M" localSheetId="5">Contribution!$A$16</definedName>
    <definedName name="Tenor6M">FRA_RateHelpers!$A$2</definedName>
    <definedName name="TraitsID">'General Settings'!$D$30</definedName>
    <definedName name="Trigger">'General Settings'!$I$19</definedName>
    <definedName name="YieldCurve1Y">'General Settings'!$D$37</definedName>
    <definedName name="YieldCurve6M">'General Settings'!$I$37</definedName>
  </definedNames>
  <calcPr calcId="145621"/>
</workbook>
</file>

<file path=xl/calcChain.xml><?xml version="1.0" encoding="utf-8"?>
<calcChain xmlns="http://schemas.openxmlformats.org/spreadsheetml/2006/main">
  <c r="E25" i="31" l="1"/>
  <c r="E26" i="31"/>
  <c r="E27" i="31"/>
  <c r="E28" i="31"/>
  <c r="E29" i="31"/>
  <c r="E30" i="31"/>
  <c r="E31" i="31"/>
  <c r="E32" i="31"/>
  <c r="E33" i="31"/>
  <c r="E34" i="31"/>
  <c r="E35" i="31"/>
  <c r="E36" i="31"/>
  <c r="D7" i="4"/>
  <c r="D8" i="4" l="1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3" i="28"/>
  <c r="G4" i="28"/>
  <c r="G5" i="28"/>
  <c r="G6" i="28"/>
  <c r="G7" i="28"/>
  <c r="G8" i="28"/>
  <c r="G9" i="28"/>
  <c r="G10" i="28"/>
  <c r="G11" i="28"/>
  <c r="G12" i="28"/>
  <c r="G13" i="28"/>
  <c r="G19" i="28"/>
  <c r="G20" i="28"/>
  <c r="G21" i="28"/>
  <c r="G22" i="28"/>
  <c r="G23" i="28"/>
  <c r="G2" i="28"/>
  <c r="C12" i="31"/>
  <c r="E12" i="31" s="1"/>
  <c r="C13" i="31"/>
  <c r="E13" i="31" s="1"/>
  <c r="C14" i="31"/>
  <c r="E14" i="31" s="1"/>
  <c r="C15" i="31"/>
  <c r="E15" i="31" s="1"/>
  <c r="C16" i="31"/>
  <c r="E16" i="31" s="1"/>
  <c r="C17" i="31"/>
  <c r="E17" i="31" s="1"/>
  <c r="C18" i="31"/>
  <c r="E18" i="31" s="1"/>
  <c r="C19" i="31"/>
  <c r="E19" i="31" s="1"/>
  <c r="C20" i="31"/>
  <c r="E20" i="31" s="1"/>
  <c r="C25" i="31"/>
  <c r="C26" i="31"/>
  <c r="C27" i="31"/>
  <c r="C28" i="31"/>
  <c r="C29" i="31"/>
  <c r="C30" i="31"/>
  <c r="C31" i="31"/>
  <c r="C32" i="31"/>
  <c r="C33" i="31"/>
  <c r="C34" i="31"/>
  <c r="C35" i="31"/>
  <c r="C36" i="31"/>
  <c r="C8" i="31"/>
  <c r="C9" i="31"/>
  <c r="C10" i="31"/>
  <c r="C11" i="31"/>
  <c r="C24" i="31"/>
  <c r="C4" i="31"/>
  <c r="C5" i="31"/>
  <c r="C3" i="31"/>
  <c r="C6" i="31"/>
  <c r="C2" i="31"/>
  <c r="C7" i="31"/>
  <c r="G13" i="30" l="1"/>
  <c r="G14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12" i="30"/>
  <c r="G3" i="30"/>
  <c r="G4" i="30"/>
  <c r="G5" i="30"/>
  <c r="G6" i="30"/>
  <c r="G7" i="30"/>
  <c r="G8" i="30"/>
  <c r="G9" i="30"/>
  <c r="G10" i="30"/>
  <c r="G11" i="30"/>
  <c r="G2" i="30"/>
  <c r="C127" i="28" l="1"/>
  <c r="D127" i="28"/>
  <c r="D127" i="30"/>
  <c r="C127" i="30"/>
  <c r="H26" i="25" l="1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25" i="25"/>
  <c r="B26" i="25"/>
  <c r="I26" i="25" s="1"/>
  <c r="B27" i="25"/>
  <c r="B28" i="25"/>
  <c r="B29" i="25"/>
  <c r="B30" i="25"/>
  <c r="I30" i="25" s="1"/>
  <c r="B31" i="25"/>
  <c r="I31" i="25" s="1"/>
  <c r="B32" i="25"/>
  <c r="B33" i="25"/>
  <c r="I33" i="25" s="1"/>
  <c r="B34" i="25"/>
  <c r="I34" i="25" s="1"/>
  <c r="B35" i="25"/>
  <c r="I35" i="25" s="1"/>
  <c r="B36" i="25"/>
  <c r="B37" i="25"/>
  <c r="B38" i="25"/>
  <c r="B39" i="25"/>
  <c r="B25" i="25"/>
  <c r="A41" i="25"/>
  <c r="I27" i="25" l="1"/>
  <c r="I25" i="25"/>
  <c r="I39" i="25"/>
  <c r="I38" i="25"/>
  <c r="I29" i="25"/>
  <c r="I28" i="25"/>
  <c r="I37" i="25"/>
  <c r="I32" i="25"/>
  <c r="I36" i="25"/>
  <c r="G36" i="29"/>
  <c r="F36" i="29"/>
  <c r="H36" i="29" s="1"/>
  <c r="D36" i="29"/>
  <c r="C36" i="29"/>
  <c r="G35" i="29"/>
  <c r="F35" i="29"/>
  <c r="D35" i="29"/>
  <c r="C35" i="29"/>
  <c r="G34" i="29"/>
  <c r="F34" i="29"/>
  <c r="D34" i="29"/>
  <c r="C34" i="29"/>
  <c r="G33" i="29"/>
  <c r="F33" i="29"/>
  <c r="D33" i="29"/>
  <c r="C33" i="29"/>
  <c r="G32" i="29"/>
  <c r="F32" i="29"/>
  <c r="D32" i="29"/>
  <c r="C32" i="29"/>
  <c r="G31" i="29"/>
  <c r="F31" i="29"/>
  <c r="D31" i="29"/>
  <c r="C31" i="29"/>
  <c r="G30" i="29"/>
  <c r="F30" i="29"/>
  <c r="D30" i="29"/>
  <c r="C30" i="29"/>
  <c r="G29" i="29"/>
  <c r="F29" i="29"/>
  <c r="D29" i="29"/>
  <c r="C29" i="29"/>
  <c r="G28" i="29"/>
  <c r="F28" i="29"/>
  <c r="D28" i="29"/>
  <c r="C28" i="29"/>
  <c r="G27" i="29"/>
  <c r="F27" i="29"/>
  <c r="D27" i="29"/>
  <c r="C27" i="29"/>
  <c r="G26" i="29"/>
  <c r="F26" i="29"/>
  <c r="D26" i="29"/>
  <c r="C26" i="29"/>
  <c r="G25" i="29"/>
  <c r="F25" i="29"/>
  <c r="H25" i="29" s="1"/>
  <c r="D25" i="29"/>
  <c r="C25" i="29"/>
  <c r="G24" i="29"/>
  <c r="F24" i="29"/>
  <c r="D24" i="29"/>
  <c r="C24" i="29"/>
  <c r="G23" i="29"/>
  <c r="F23" i="29"/>
  <c r="D23" i="29"/>
  <c r="C23" i="29"/>
  <c r="G22" i="29"/>
  <c r="F22" i="29"/>
  <c r="D22" i="29"/>
  <c r="C22" i="29"/>
  <c r="G21" i="29"/>
  <c r="F21" i="29"/>
  <c r="H21" i="29" s="1"/>
  <c r="D21" i="29"/>
  <c r="C21" i="29"/>
  <c r="G20" i="29"/>
  <c r="F20" i="29"/>
  <c r="D20" i="29"/>
  <c r="C20" i="29"/>
  <c r="G19" i="29"/>
  <c r="F19" i="29"/>
  <c r="D19" i="29"/>
  <c r="C19" i="29"/>
  <c r="G18" i="29"/>
  <c r="F18" i="29"/>
  <c r="D18" i="29"/>
  <c r="C18" i="29"/>
  <c r="G17" i="29"/>
  <c r="F17" i="29"/>
  <c r="D17" i="29"/>
  <c r="C17" i="29"/>
  <c r="G16" i="29"/>
  <c r="F16" i="29"/>
  <c r="D16" i="29"/>
  <c r="C16" i="29"/>
  <c r="G15" i="29"/>
  <c r="F15" i="29"/>
  <c r="D15" i="29"/>
  <c r="C15" i="29"/>
  <c r="G14" i="29"/>
  <c r="F14" i="29"/>
  <c r="D14" i="29"/>
  <c r="C14" i="29"/>
  <c r="G13" i="29"/>
  <c r="F13" i="29"/>
  <c r="H13" i="29" s="1"/>
  <c r="D13" i="29"/>
  <c r="C13" i="29"/>
  <c r="G12" i="29"/>
  <c r="F12" i="29"/>
  <c r="D12" i="29"/>
  <c r="C12" i="29"/>
  <c r="G11" i="29"/>
  <c r="F11" i="29"/>
  <c r="D11" i="29"/>
  <c r="C11" i="29"/>
  <c r="G10" i="29"/>
  <c r="F10" i="29"/>
  <c r="D10" i="29"/>
  <c r="C10" i="29"/>
  <c r="G9" i="29"/>
  <c r="F9" i="29"/>
  <c r="D9" i="29"/>
  <c r="C9" i="29"/>
  <c r="G8" i="29"/>
  <c r="F8" i="29"/>
  <c r="D8" i="29"/>
  <c r="C8" i="29"/>
  <c r="G7" i="29"/>
  <c r="F7" i="29"/>
  <c r="D7" i="29"/>
  <c r="C7" i="29"/>
  <c r="G6" i="29"/>
  <c r="F6" i="29"/>
  <c r="D6" i="29"/>
  <c r="C6" i="29"/>
  <c r="G5" i="29"/>
  <c r="F5" i="29"/>
  <c r="H5" i="29" s="1"/>
  <c r="E5" i="29"/>
  <c r="E6" i="29" s="1"/>
  <c r="E7" i="29" s="1"/>
  <c r="E8" i="29" s="1"/>
  <c r="E9" i="29" s="1"/>
  <c r="E10" i="29" s="1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E34" i="29" s="1"/>
  <c r="E35" i="29" s="1"/>
  <c r="E36" i="29" s="1"/>
  <c r="D5" i="29"/>
  <c r="C5" i="29"/>
  <c r="G4" i="29"/>
  <c r="F4" i="29"/>
  <c r="E4" i="29"/>
  <c r="D4" i="29"/>
  <c r="C4" i="29"/>
  <c r="G3" i="29"/>
  <c r="F3" i="29"/>
  <c r="D3" i="29"/>
  <c r="C3" i="29"/>
  <c r="K2" i="29"/>
  <c r="L2" i="29"/>
  <c r="H9" i="29" l="1"/>
  <c r="H17" i="29"/>
  <c r="H33" i="29"/>
  <c r="H8" i="29"/>
  <c r="J8" i="29" s="1"/>
  <c r="H12" i="29"/>
  <c r="J12" i="29" s="1"/>
  <c r="H16" i="29"/>
  <c r="H18" i="29"/>
  <c r="J18" i="29" s="1"/>
  <c r="H20" i="29"/>
  <c r="H22" i="29"/>
  <c r="H24" i="29"/>
  <c r="H26" i="29"/>
  <c r="H28" i="29"/>
  <c r="J28" i="29" s="1"/>
  <c r="H32" i="29"/>
  <c r="J32" i="29" s="1"/>
  <c r="J26" i="29"/>
  <c r="H34" i="29"/>
  <c r="J34" i="29" s="1"/>
  <c r="J9" i="29"/>
  <c r="J13" i="29"/>
  <c r="J21" i="29"/>
  <c r="H15" i="29"/>
  <c r="J15" i="29" s="1"/>
  <c r="J25" i="29"/>
  <c r="H31" i="29"/>
  <c r="J31" i="29" s="1"/>
  <c r="H11" i="29"/>
  <c r="J11" i="29" s="1"/>
  <c r="H19" i="29"/>
  <c r="J19" i="29" s="1"/>
  <c r="H35" i="29"/>
  <c r="J35" i="29" s="1"/>
  <c r="J24" i="29"/>
  <c r="H29" i="29"/>
  <c r="J29" i="29" s="1"/>
  <c r="J22" i="29"/>
  <c r="H6" i="29"/>
  <c r="J6" i="29" s="1"/>
  <c r="J16" i="29"/>
  <c r="H10" i="29"/>
  <c r="J10" i="29" s="1"/>
  <c r="J20" i="29"/>
  <c r="H27" i="29"/>
  <c r="J27" i="29" s="1"/>
  <c r="H3" i="29"/>
  <c r="J3" i="29" s="1"/>
  <c r="H4" i="29"/>
  <c r="J4" i="29" s="1"/>
  <c r="H7" i="29"/>
  <c r="J7" i="29" s="1"/>
  <c r="H23" i="29"/>
  <c r="J23" i="29" s="1"/>
  <c r="H14" i="29"/>
  <c r="J14" i="29" s="1"/>
  <c r="H30" i="29"/>
  <c r="J30" i="29" s="1"/>
  <c r="J36" i="29"/>
  <c r="J17" i="29"/>
  <c r="J33" i="29"/>
  <c r="J5" i="29"/>
  <c r="J2" i="29" l="1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I8" i="12" l="1"/>
  <c r="I9" i="12"/>
  <c r="I22" i="4" l="1"/>
  <c r="G36" i="27" l="1"/>
  <c r="F36" i="27"/>
  <c r="D36" i="27"/>
  <c r="C36" i="27"/>
  <c r="G35" i="27"/>
  <c r="F35" i="27"/>
  <c r="D35" i="27"/>
  <c r="C35" i="27"/>
  <c r="G34" i="27"/>
  <c r="F34" i="27"/>
  <c r="D34" i="27"/>
  <c r="C34" i="27"/>
  <c r="G33" i="27"/>
  <c r="F33" i="27"/>
  <c r="D33" i="27"/>
  <c r="C33" i="27"/>
  <c r="G32" i="27"/>
  <c r="F32" i="27"/>
  <c r="D32" i="27"/>
  <c r="C32" i="27"/>
  <c r="G31" i="27"/>
  <c r="F31" i="27"/>
  <c r="D31" i="27"/>
  <c r="C31" i="27"/>
  <c r="G30" i="27"/>
  <c r="F30" i="27"/>
  <c r="D30" i="27"/>
  <c r="C30" i="27"/>
  <c r="G29" i="27"/>
  <c r="F29" i="27"/>
  <c r="D29" i="27"/>
  <c r="C29" i="27"/>
  <c r="G28" i="27"/>
  <c r="F28" i="27"/>
  <c r="D28" i="27"/>
  <c r="C28" i="27"/>
  <c r="G27" i="27"/>
  <c r="F27" i="27"/>
  <c r="D27" i="27"/>
  <c r="C27" i="27"/>
  <c r="G26" i="27"/>
  <c r="F26" i="27"/>
  <c r="D26" i="27"/>
  <c r="C26" i="27"/>
  <c r="G25" i="27"/>
  <c r="F25" i="27"/>
  <c r="D25" i="27"/>
  <c r="C25" i="27"/>
  <c r="G24" i="27"/>
  <c r="F24" i="27"/>
  <c r="D24" i="27"/>
  <c r="C24" i="27"/>
  <c r="G23" i="27"/>
  <c r="F23" i="27"/>
  <c r="D23" i="27"/>
  <c r="C23" i="27"/>
  <c r="G22" i="27"/>
  <c r="F22" i="27"/>
  <c r="D22" i="27"/>
  <c r="C22" i="27"/>
  <c r="G21" i="27"/>
  <c r="F21" i="27"/>
  <c r="D21" i="27"/>
  <c r="C21" i="27"/>
  <c r="G20" i="27"/>
  <c r="F20" i="27"/>
  <c r="D20" i="27"/>
  <c r="C20" i="27"/>
  <c r="G19" i="27"/>
  <c r="F19" i="27"/>
  <c r="D19" i="27"/>
  <c r="C19" i="27"/>
  <c r="G18" i="27"/>
  <c r="F18" i="27"/>
  <c r="D18" i="27"/>
  <c r="C18" i="27"/>
  <c r="G17" i="27"/>
  <c r="F17" i="27"/>
  <c r="D17" i="27"/>
  <c r="C17" i="27"/>
  <c r="G16" i="27"/>
  <c r="F16" i="27"/>
  <c r="D16" i="27"/>
  <c r="C16" i="27"/>
  <c r="G15" i="27"/>
  <c r="F15" i="27"/>
  <c r="D15" i="27"/>
  <c r="C15" i="27"/>
  <c r="G14" i="27"/>
  <c r="F14" i="27"/>
  <c r="D14" i="27"/>
  <c r="C14" i="27"/>
  <c r="G13" i="27"/>
  <c r="F13" i="27"/>
  <c r="D13" i="27"/>
  <c r="C13" i="27"/>
  <c r="G12" i="27"/>
  <c r="F12" i="27"/>
  <c r="D12" i="27"/>
  <c r="C12" i="27"/>
  <c r="G11" i="27"/>
  <c r="F11" i="27"/>
  <c r="D11" i="27"/>
  <c r="C11" i="27"/>
  <c r="G10" i="27"/>
  <c r="F10" i="27"/>
  <c r="D10" i="27"/>
  <c r="C10" i="27"/>
  <c r="G9" i="27"/>
  <c r="F9" i="27"/>
  <c r="D9" i="27"/>
  <c r="C9" i="27"/>
  <c r="G8" i="27"/>
  <c r="F8" i="27"/>
  <c r="D8" i="27"/>
  <c r="C8" i="27"/>
  <c r="G7" i="27"/>
  <c r="F7" i="27"/>
  <c r="D7" i="27"/>
  <c r="C7" i="27"/>
  <c r="G6" i="27"/>
  <c r="F6" i="27"/>
  <c r="D6" i="27"/>
  <c r="C6" i="27"/>
  <c r="G5" i="27"/>
  <c r="F5" i="27"/>
  <c r="E5" i="27"/>
  <c r="E6" i="27" s="1"/>
  <c r="E7" i="27" s="1"/>
  <c r="E8" i="27" s="1"/>
  <c r="E9" i="27" s="1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D5" i="27"/>
  <c r="C5" i="27"/>
  <c r="G4" i="27"/>
  <c r="F4" i="27"/>
  <c r="E4" i="27"/>
  <c r="D4" i="27"/>
  <c r="C4" i="27"/>
  <c r="G3" i="27"/>
  <c r="F3" i="27"/>
  <c r="D3" i="27"/>
  <c r="C3" i="27"/>
  <c r="K2" i="27"/>
  <c r="F14" i="31"/>
  <c r="F35" i="31"/>
  <c r="F18" i="31"/>
  <c r="K18" i="31"/>
  <c r="F34" i="31"/>
  <c r="F31" i="31"/>
  <c r="L31" i="31"/>
  <c r="I20" i="4"/>
  <c r="F17" i="31"/>
  <c r="F16" i="31"/>
  <c r="F20" i="31"/>
  <c r="L20" i="31" s="1"/>
  <c r="L34" i="31"/>
  <c r="F32" i="31"/>
  <c r="F36" i="31"/>
  <c r="F19" i="31"/>
  <c r="L18" i="31"/>
  <c r="K31" i="31"/>
  <c r="K35" i="31"/>
  <c r="L2" i="27"/>
  <c r="F13" i="31"/>
  <c r="L19" i="31"/>
  <c r="F26" i="31"/>
  <c r="L14" i="31"/>
  <c r="L16" i="31"/>
  <c r="F25" i="31"/>
  <c r="K26" i="31"/>
  <c r="L32" i="31"/>
  <c r="K25" i="31"/>
  <c r="L13" i="31"/>
  <c r="K32" i="31"/>
  <c r="K20" i="31"/>
  <c r="F29" i="31"/>
  <c r="F15" i="31"/>
  <c r="K15" i="31" s="1"/>
  <c r="K19" i="31"/>
  <c r="F33" i="31"/>
  <c r="L35" i="31"/>
  <c r="F12" i="31"/>
  <c r="L26" i="31"/>
  <c r="L15" i="31"/>
  <c r="F27" i="31"/>
  <c r="K14" i="31"/>
  <c r="K16" i="31"/>
  <c r="F28" i="31"/>
  <c r="K34" i="31"/>
  <c r="F30" i="31"/>
  <c r="L25" i="31"/>
  <c r="K13" i="31"/>
  <c r="L36" i="31"/>
  <c r="K36" i="31"/>
  <c r="L29" i="31"/>
  <c r="K29" i="31"/>
  <c r="L33" i="31"/>
  <c r="K33" i="31"/>
  <c r="L12" i="31"/>
  <c r="K12" i="31"/>
  <c r="L27" i="31"/>
  <c r="K27" i="31"/>
  <c r="L28" i="31"/>
  <c r="K28" i="31"/>
  <c r="H5" i="27" l="1"/>
  <c r="H9" i="27"/>
  <c r="H21" i="27"/>
  <c r="H25" i="27"/>
  <c r="H34" i="27"/>
  <c r="J34" i="27" s="1"/>
  <c r="H4" i="27"/>
  <c r="J4" i="27" s="1"/>
  <c r="H3" i="27"/>
  <c r="H7" i="27"/>
  <c r="J7" i="27" s="1"/>
  <c r="H31" i="27"/>
  <c r="J31" i="27" s="1"/>
  <c r="H10" i="27"/>
  <c r="J10" i="27" s="1"/>
  <c r="H11" i="27"/>
  <c r="J11" i="27" s="1"/>
  <c r="H13" i="27"/>
  <c r="J13" i="27" s="1"/>
  <c r="H29" i="27"/>
  <c r="J29" i="27" s="1"/>
  <c r="H14" i="27"/>
  <c r="J14" i="27" s="1"/>
  <c r="H22" i="27"/>
  <c r="J22" i="27" s="1"/>
  <c r="J21" i="27"/>
  <c r="H27" i="27"/>
  <c r="J27" i="27" s="1"/>
  <c r="H8" i="27"/>
  <c r="J8" i="27" s="1"/>
  <c r="J9" i="27"/>
  <c r="H19" i="27"/>
  <c r="J19" i="27" s="1"/>
  <c r="H16" i="27"/>
  <c r="J16" i="27" s="1"/>
  <c r="H17" i="27"/>
  <c r="J17" i="27" s="1"/>
  <c r="H33" i="27"/>
  <c r="J33" i="27" s="1"/>
  <c r="H35" i="27"/>
  <c r="J35" i="27" s="1"/>
  <c r="H15" i="27"/>
  <c r="J15" i="27" s="1"/>
  <c r="H28" i="27"/>
  <c r="J28" i="27" s="1"/>
  <c r="H6" i="27"/>
  <c r="J6" i="27" s="1"/>
  <c r="H23" i="27"/>
  <c r="J23" i="27" s="1"/>
  <c r="H36" i="27"/>
  <c r="J36" i="27" s="1"/>
  <c r="H30" i="27"/>
  <c r="J30" i="27" s="1"/>
  <c r="J25" i="27"/>
  <c r="J5" i="27"/>
  <c r="H20" i="27"/>
  <c r="J20" i="27" s="1"/>
  <c r="H26" i="27"/>
  <c r="J26" i="27" s="1"/>
  <c r="H32" i="27"/>
  <c r="J32" i="27" s="1"/>
  <c r="H12" i="27"/>
  <c r="J12" i="27" s="1"/>
  <c r="H18" i="27"/>
  <c r="J18" i="27" s="1"/>
  <c r="H24" i="27"/>
  <c r="J24" i="27" s="1"/>
  <c r="J2" i="27"/>
  <c r="J3" i="27"/>
  <c r="L17" i="31"/>
  <c r="D19" i="4"/>
  <c r="L30" i="31"/>
  <c r="K17" i="31"/>
  <c r="K30" i="31"/>
  <c r="D2" i="30" l="1"/>
  <c r="N8" i="12"/>
  <c r="N9" i="12"/>
  <c r="O9" i="12"/>
  <c r="O8" i="12"/>
  <c r="J9" i="30"/>
  <c r="A10" i="12"/>
  <c r="J5" i="30"/>
  <c r="J37" i="30"/>
  <c r="J30" i="30"/>
  <c r="J7" i="30"/>
  <c r="J25" i="30"/>
  <c r="J8" i="30"/>
  <c r="J32" i="30"/>
  <c r="J24" i="30"/>
  <c r="J31" i="30"/>
  <c r="J14" i="30"/>
  <c r="J13" i="30"/>
  <c r="J10" i="30"/>
  <c r="J11" i="30"/>
  <c r="J34" i="30"/>
  <c r="J33" i="30"/>
  <c r="D21" i="4"/>
  <c r="J12" i="30"/>
  <c r="J2" i="30"/>
  <c r="J29" i="30"/>
  <c r="D22" i="4"/>
  <c r="J27" i="30"/>
  <c r="J28" i="30"/>
  <c r="J3" i="30"/>
  <c r="J4" i="30"/>
  <c r="J35" i="30"/>
  <c r="J38" i="30"/>
  <c r="J26" i="30"/>
  <c r="J6" i="30"/>
  <c r="J36" i="30"/>
  <c r="C56" i="25" l="1"/>
  <c r="C62" i="25"/>
  <c r="C59" i="25"/>
  <c r="C70" i="25"/>
  <c r="C57" i="25"/>
  <c r="C58" i="25"/>
  <c r="C60" i="25"/>
  <c r="C64" i="25"/>
  <c r="C72" i="25"/>
  <c r="C76" i="25"/>
  <c r="C77" i="25"/>
  <c r="C91" i="25"/>
  <c r="C65" i="25"/>
  <c r="C73" i="25"/>
  <c r="C75" i="25"/>
  <c r="C88" i="25"/>
  <c r="C92" i="25"/>
  <c r="C71" i="25"/>
  <c r="C86" i="25"/>
  <c r="C67" i="25"/>
  <c r="C68" i="25"/>
  <c r="C78" i="25"/>
  <c r="C83" i="25"/>
  <c r="C80" i="25"/>
  <c r="C89" i="25"/>
  <c r="C84" i="25"/>
  <c r="C69" i="25"/>
  <c r="C82" i="25"/>
  <c r="C61" i="25"/>
  <c r="C90" i="25"/>
  <c r="C85" i="25"/>
  <c r="C63" i="25"/>
  <c r="C66" i="25"/>
  <c r="C81" i="25"/>
  <c r="C79" i="25"/>
  <c r="C87" i="25"/>
  <c r="C74" i="25"/>
  <c r="S8" i="12"/>
  <c r="R8" i="12"/>
  <c r="P8" i="12"/>
  <c r="R9" i="12"/>
  <c r="P9" i="12"/>
  <c r="S9" i="12"/>
  <c r="C41" i="25"/>
  <c r="C42" i="25"/>
  <c r="C43" i="25"/>
  <c r="C44" i="25"/>
  <c r="C51" i="25"/>
  <c r="C54" i="25"/>
  <c r="C45" i="25"/>
  <c r="C49" i="25"/>
  <c r="C53" i="25"/>
  <c r="C55" i="25"/>
  <c r="C46" i="25"/>
  <c r="C50" i="25"/>
  <c r="C52" i="25"/>
  <c r="C47" i="25"/>
  <c r="C48" i="25"/>
  <c r="C40" i="25"/>
  <c r="D63" i="25"/>
  <c r="D86" i="25"/>
  <c r="D61" i="25"/>
  <c r="D89" i="25"/>
  <c r="D83" i="25"/>
  <c r="D56" i="25"/>
  <c r="D62" i="25"/>
  <c r="D79" i="25"/>
  <c r="D66" i="25"/>
  <c r="D84" i="25"/>
  <c r="D64" i="25"/>
  <c r="D68" i="25"/>
  <c r="D91" i="25"/>
  <c r="D67" i="25"/>
  <c r="D90" i="25"/>
  <c r="D69" i="25"/>
  <c r="D59" i="25"/>
  <c r="E10" i="12"/>
  <c r="D81" i="25"/>
  <c r="D75" i="25"/>
  <c r="D76" i="25"/>
  <c r="D80" i="25"/>
  <c r="D73" i="25"/>
  <c r="D77" i="25"/>
  <c r="D85" i="25"/>
  <c r="D58" i="25"/>
  <c r="D82" i="25"/>
  <c r="D87" i="25"/>
  <c r="D92" i="25"/>
  <c r="D78" i="25"/>
  <c r="D72" i="25"/>
  <c r="D74" i="25"/>
  <c r="D70" i="25"/>
  <c r="D65" i="25"/>
  <c r="D71" i="25"/>
  <c r="D60" i="25"/>
  <c r="D57" i="25"/>
  <c r="D88" i="25"/>
  <c r="D27" i="12" l="1"/>
  <c r="D20" i="12"/>
  <c r="D21" i="12"/>
  <c r="D22" i="12"/>
  <c r="D23" i="12"/>
  <c r="D24" i="12"/>
  <c r="D19" i="12"/>
  <c r="I18" i="12"/>
  <c r="I17" i="12"/>
  <c r="D13" i="12"/>
  <c r="D14" i="12"/>
  <c r="D12" i="12"/>
  <c r="A11" i="12"/>
  <c r="E69" i="25"/>
  <c r="E91" i="25"/>
  <c r="E66" i="25"/>
  <c r="E82" i="25"/>
  <c r="E84" i="25"/>
  <c r="E60" i="25"/>
  <c r="E59" i="25"/>
  <c r="E58" i="25"/>
  <c r="E90" i="25"/>
  <c r="E73" i="25"/>
  <c r="E86" i="25"/>
  <c r="E65" i="25"/>
  <c r="E88" i="25"/>
  <c r="E57" i="25"/>
  <c r="E80" i="25"/>
  <c r="E74" i="25"/>
  <c r="E87" i="25"/>
  <c r="E62" i="25"/>
  <c r="E78" i="25"/>
  <c r="E63" i="25"/>
  <c r="E89" i="25"/>
  <c r="E83" i="25"/>
  <c r="E75" i="25"/>
  <c r="E76" i="25"/>
  <c r="E77" i="25"/>
  <c r="E92" i="25"/>
  <c r="E71" i="25"/>
  <c r="E64" i="25"/>
  <c r="E81" i="25"/>
  <c r="E68" i="25"/>
  <c r="E67" i="25"/>
  <c r="E61" i="25"/>
  <c r="E72" i="25"/>
  <c r="E56" i="25"/>
  <c r="E70" i="25"/>
  <c r="E79" i="25"/>
  <c r="E85" i="25"/>
  <c r="D5" i="12" l="1"/>
  <c r="D11" i="4"/>
  <c r="D20" i="4"/>
  <c r="D2" i="25" l="1"/>
  <c r="C2" i="25"/>
  <c r="A9" i="25"/>
  <c r="A4" i="25"/>
  <c r="A16" i="25"/>
  <c r="C31" i="25" l="1"/>
  <c r="C27" i="25"/>
  <c r="C38" i="25"/>
  <c r="C36" i="25"/>
  <c r="C32" i="25"/>
  <c r="C29" i="25"/>
  <c r="C37" i="25"/>
  <c r="C34" i="25"/>
  <c r="C25" i="25"/>
  <c r="C35" i="25"/>
  <c r="C26" i="25"/>
  <c r="C28" i="25"/>
  <c r="C30" i="25"/>
  <c r="C33" i="25"/>
  <c r="C39" i="25"/>
  <c r="C9" i="25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22" i="25"/>
  <c r="D41" i="25"/>
  <c r="D51" i="25"/>
  <c r="D48" i="25"/>
  <c r="D26" i="25"/>
  <c r="D17" i="25"/>
  <c r="D38" i="25"/>
  <c r="D13" i="25"/>
  <c r="D42" i="25"/>
  <c r="D6" i="25"/>
  <c r="D7" i="25"/>
  <c r="D37" i="25"/>
  <c r="D5" i="25"/>
  <c r="D10" i="25"/>
  <c r="D43" i="25"/>
  <c r="D11" i="25"/>
  <c r="D4" i="25"/>
  <c r="D47" i="25"/>
  <c r="D35" i="25"/>
  <c r="D29" i="25"/>
  <c r="D8" i="25"/>
  <c r="D39" i="25"/>
  <c r="D16" i="25"/>
  <c r="D27" i="25"/>
  <c r="D46" i="25"/>
  <c r="D20" i="25"/>
  <c r="D14" i="25"/>
  <c r="D18" i="25"/>
  <c r="D34" i="25"/>
  <c r="D36" i="25"/>
  <c r="D28" i="25"/>
  <c r="D30" i="25"/>
  <c r="D3" i="25"/>
  <c r="D33" i="25"/>
  <c r="D12" i="25"/>
  <c r="D55" i="25"/>
  <c r="D19" i="25"/>
  <c r="D25" i="25"/>
  <c r="D49" i="25"/>
  <c r="D45" i="25"/>
  <c r="D24" i="25"/>
  <c r="D54" i="25"/>
  <c r="D31" i="25"/>
  <c r="D40" i="25"/>
  <c r="D15" i="25"/>
  <c r="D23" i="25"/>
  <c r="D32" i="25"/>
  <c r="D9" i="25"/>
  <c r="D21" i="25"/>
  <c r="D52" i="25"/>
  <c r="D50" i="25"/>
  <c r="D44" i="25"/>
  <c r="D53" i="25"/>
  <c r="E24" i="31" l="1"/>
  <c r="E2" i="31"/>
  <c r="E3" i="31"/>
  <c r="E4" i="31"/>
  <c r="E8" i="31"/>
  <c r="E11" i="31"/>
  <c r="E5" i="31"/>
  <c r="E6" i="31"/>
  <c r="E9" i="31"/>
  <c r="E7" i="31"/>
  <c r="E10" i="31"/>
  <c r="D10" i="12"/>
  <c r="I10" i="4"/>
  <c r="A16" i="12"/>
  <c r="A7" i="12"/>
  <c r="A26" i="12"/>
  <c r="A3" i="12"/>
  <c r="E6" i="25"/>
  <c r="F11" i="31"/>
  <c r="E41" i="25"/>
  <c r="F7" i="31"/>
  <c r="E48" i="25"/>
  <c r="F37" i="12"/>
  <c r="E55" i="25"/>
  <c r="F40" i="12"/>
  <c r="E23" i="25"/>
  <c r="E51" i="25"/>
  <c r="F42" i="12"/>
  <c r="F49" i="12"/>
  <c r="E19" i="25"/>
  <c r="F45" i="12"/>
  <c r="E52" i="25"/>
  <c r="E4" i="25"/>
  <c r="E35" i="25"/>
  <c r="E8" i="25"/>
  <c r="F39" i="12"/>
  <c r="F24" i="31"/>
  <c r="F48" i="12"/>
  <c r="E27" i="12"/>
  <c r="F8" i="31"/>
  <c r="E14" i="12"/>
  <c r="E54" i="25"/>
  <c r="E20" i="12"/>
  <c r="E24" i="25"/>
  <c r="E34" i="25"/>
  <c r="E39" i="25"/>
  <c r="E36" i="25"/>
  <c r="F47" i="12"/>
  <c r="E40" i="25"/>
  <c r="E21" i="12"/>
  <c r="E13" i="25"/>
  <c r="F5" i="31"/>
  <c r="F34" i="12"/>
  <c r="E30" i="25"/>
  <c r="E47" i="25"/>
  <c r="F46" i="12"/>
  <c r="E13" i="12"/>
  <c r="E5" i="25"/>
  <c r="E37" i="25"/>
  <c r="F2" i="31"/>
  <c r="F43" i="12"/>
  <c r="F38" i="12"/>
  <c r="E12" i="12"/>
  <c r="F4" i="31"/>
  <c r="F3" i="31"/>
  <c r="E22" i="25"/>
  <c r="E27" i="25"/>
  <c r="F44" i="12"/>
  <c r="E26" i="25"/>
  <c r="E49" i="25"/>
  <c r="E46" i="25"/>
  <c r="E21" i="25"/>
  <c r="E20" i="25"/>
  <c r="E15" i="25"/>
  <c r="F9" i="31"/>
  <c r="F10" i="31"/>
  <c r="E29" i="25"/>
  <c r="F6" i="31"/>
  <c r="E33" i="25"/>
  <c r="E24" i="12"/>
  <c r="E31" i="25"/>
  <c r="E19" i="12"/>
  <c r="E50" i="25"/>
  <c r="E28" i="25"/>
  <c r="L5" i="31"/>
  <c r="E53" i="25"/>
  <c r="E3" i="25"/>
  <c r="E22" i="12"/>
  <c r="E42" i="25"/>
  <c r="E23" i="12"/>
  <c r="E12" i="25"/>
  <c r="E9" i="25"/>
  <c r="E44" i="25"/>
  <c r="E38" i="25"/>
  <c r="B1" i="4"/>
  <c r="E18" i="25"/>
  <c r="E11" i="25"/>
  <c r="E25" i="25"/>
  <c r="F36" i="12"/>
  <c r="E14" i="25"/>
  <c r="E7" i="25"/>
  <c r="E43" i="25"/>
  <c r="F41" i="12"/>
  <c r="F35" i="12"/>
  <c r="E17" i="25"/>
  <c r="E32" i="25"/>
  <c r="E16" i="25"/>
  <c r="E10" i="25"/>
  <c r="E45" i="25"/>
  <c r="L4" i="31"/>
  <c r="K6" i="31"/>
  <c r="I36" i="29" l="1"/>
  <c r="I20" i="29"/>
  <c r="I7" i="29"/>
  <c r="I27" i="29"/>
  <c r="I14" i="29"/>
  <c r="I17" i="29"/>
  <c r="I23" i="29"/>
  <c r="I4" i="29"/>
  <c r="I24" i="29"/>
  <c r="I26" i="29"/>
  <c r="I10" i="29"/>
  <c r="I34" i="29"/>
  <c r="I29" i="29"/>
  <c r="I13" i="29"/>
  <c r="I25" i="29"/>
  <c r="I3" i="29"/>
  <c r="I28" i="29"/>
  <c r="I12" i="29"/>
  <c r="I8" i="29"/>
  <c r="I11" i="29"/>
  <c r="I32" i="29"/>
  <c r="I16" i="29"/>
  <c r="I5" i="29"/>
  <c r="I35" i="29"/>
  <c r="I19" i="29"/>
  <c r="I6" i="29"/>
  <c r="I31" i="29"/>
  <c r="I15" i="29"/>
  <c r="I18" i="29"/>
  <c r="I33" i="29"/>
  <c r="I22" i="29"/>
  <c r="I9" i="29"/>
  <c r="I30" i="29"/>
  <c r="I21" i="29"/>
  <c r="D2" i="12"/>
  <c r="D6" i="12"/>
  <c r="D26" i="12"/>
  <c r="D16" i="12"/>
  <c r="D3" i="12"/>
  <c r="A17" i="12"/>
  <c r="A4" i="12"/>
  <c r="D7" i="12"/>
  <c r="A8" i="12"/>
  <c r="A27" i="12"/>
  <c r="I30" i="27"/>
  <c r="I14" i="27"/>
  <c r="I13" i="27"/>
  <c r="I35" i="27"/>
  <c r="I19" i="27"/>
  <c r="I12" i="27"/>
  <c r="I34" i="27"/>
  <c r="I8" i="27"/>
  <c r="I11" i="27"/>
  <c r="I33" i="27"/>
  <c r="I17" i="27"/>
  <c r="I23" i="27"/>
  <c r="I7" i="27"/>
  <c r="I4" i="27"/>
  <c r="I26" i="27"/>
  <c r="I32" i="27"/>
  <c r="I28" i="27"/>
  <c r="I15" i="27"/>
  <c r="I36" i="27"/>
  <c r="I20" i="27"/>
  <c r="I10" i="27"/>
  <c r="I3" i="27"/>
  <c r="I18" i="27"/>
  <c r="I5" i="27"/>
  <c r="I16" i="27"/>
  <c r="I27" i="27"/>
  <c r="I31" i="27"/>
  <c r="I21" i="27"/>
  <c r="I24" i="27"/>
  <c r="I29" i="27"/>
  <c r="I22" i="27"/>
  <c r="I6" i="27"/>
  <c r="I25" i="27"/>
  <c r="I9" i="27"/>
  <c r="D2" i="28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L6" i="31"/>
  <c r="K23" i="27"/>
  <c r="K23" i="29"/>
  <c r="K10" i="27"/>
  <c r="K36" i="27"/>
  <c r="K8" i="31"/>
  <c r="B41" i="12"/>
  <c r="B36" i="12"/>
  <c r="L9" i="31"/>
  <c r="J24" i="28"/>
  <c r="F23" i="12"/>
  <c r="K29" i="29"/>
  <c r="K32" i="27"/>
  <c r="B38" i="12"/>
  <c r="K17" i="27"/>
  <c r="F2" i="12"/>
  <c r="K22" i="29"/>
  <c r="F6" i="12"/>
  <c r="K13" i="29"/>
  <c r="F21" i="12"/>
  <c r="J42" i="28"/>
  <c r="K3" i="31"/>
  <c r="F12" i="12"/>
  <c r="J12" i="28"/>
  <c r="K5" i="27"/>
  <c r="J41" i="28"/>
  <c r="K18" i="27"/>
  <c r="K25" i="29"/>
  <c r="J25" i="28"/>
  <c r="K11" i="29"/>
  <c r="B49" i="12"/>
  <c r="J4" i="28"/>
  <c r="B42" i="12"/>
  <c r="K31" i="27"/>
  <c r="K12" i="29"/>
  <c r="K30" i="29"/>
  <c r="K13" i="27"/>
  <c r="K34" i="29"/>
  <c r="F27" i="12"/>
  <c r="K34" i="27"/>
  <c r="J3" i="28"/>
  <c r="J55" i="28"/>
  <c r="K4" i="31"/>
  <c r="K24" i="31"/>
  <c r="J45" i="28"/>
  <c r="J5" i="28"/>
  <c r="K3" i="27"/>
  <c r="B37" i="12"/>
  <c r="K7" i="27"/>
  <c r="F5" i="12"/>
  <c r="J28" i="28"/>
  <c r="J10" i="28"/>
  <c r="J38" i="28"/>
  <c r="B40" i="12"/>
  <c r="J33" i="28"/>
  <c r="K24" i="29"/>
  <c r="J40" i="28"/>
  <c r="J51" i="28"/>
  <c r="B46" i="12"/>
  <c r="K33" i="27"/>
  <c r="J50" i="28"/>
  <c r="J6" i="28"/>
  <c r="J7" i="28"/>
  <c r="K9" i="29"/>
  <c r="K2" i="31"/>
  <c r="L8" i="31"/>
  <c r="K24" i="27"/>
  <c r="K30" i="27"/>
  <c r="K5" i="29"/>
  <c r="K15" i="27"/>
  <c r="J27" i="28"/>
  <c r="F22" i="12"/>
  <c r="B47" i="12"/>
  <c r="K21" i="27"/>
  <c r="J2" i="28"/>
  <c r="K28" i="29"/>
  <c r="K4" i="29"/>
  <c r="J30" i="28"/>
  <c r="K22" i="27"/>
  <c r="K16" i="27"/>
  <c r="J39" i="28"/>
  <c r="J54" i="28"/>
  <c r="F15" i="12"/>
  <c r="L24" i="31"/>
  <c r="K11" i="31"/>
  <c r="K5" i="31"/>
  <c r="J20" i="28"/>
  <c r="J35" i="28"/>
  <c r="F14" i="12"/>
  <c r="B48" i="12"/>
  <c r="L3" i="31"/>
  <c r="J47" i="28"/>
  <c r="J53" i="28"/>
  <c r="J52" i="28"/>
  <c r="J43" i="28"/>
  <c r="B43" i="12"/>
  <c r="K4" i="27"/>
  <c r="K19" i="27"/>
  <c r="K26" i="27"/>
  <c r="J49" i="28"/>
  <c r="K12" i="27"/>
  <c r="K25" i="27"/>
  <c r="K28" i="27"/>
  <c r="J44" i="28"/>
  <c r="F25" i="12"/>
  <c r="J26" i="28"/>
  <c r="K9" i="31"/>
  <c r="J48" i="28"/>
  <c r="L7" i="31"/>
  <c r="K35" i="27"/>
  <c r="K14" i="29"/>
  <c r="L2" i="31"/>
  <c r="J11" i="28"/>
  <c r="J19" i="28"/>
  <c r="K9" i="27"/>
  <c r="K21" i="29"/>
  <c r="K8" i="27"/>
  <c r="F13" i="12"/>
  <c r="K7" i="31"/>
  <c r="K19" i="29"/>
  <c r="B39" i="12"/>
  <c r="F20" i="12"/>
  <c r="J22" i="28"/>
  <c r="K20" i="27"/>
  <c r="J23" i="28"/>
  <c r="K27" i="29"/>
  <c r="K36" i="29"/>
  <c r="K14" i="27"/>
  <c r="K32" i="29"/>
  <c r="L11" i="31"/>
  <c r="J13" i="28"/>
  <c r="K33" i="29"/>
  <c r="K10" i="29"/>
  <c r="K3" i="29"/>
  <c r="K8" i="29"/>
  <c r="K7" i="29"/>
  <c r="K17" i="29"/>
  <c r="K11" i="27"/>
  <c r="K15" i="29"/>
  <c r="F19" i="12"/>
  <c r="L10" i="31"/>
  <c r="J31" i="28"/>
  <c r="J46" i="28"/>
  <c r="K29" i="27"/>
  <c r="J8" i="28"/>
  <c r="J32" i="28"/>
  <c r="K27" i="27"/>
  <c r="J9" i="28"/>
  <c r="K26" i="29"/>
  <c r="K6" i="27"/>
  <c r="B35" i="12"/>
  <c r="J37" i="28"/>
  <c r="K6" i="29"/>
  <c r="K18" i="29"/>
  <c r="F24" i="12"/>
  <c r="J36" i="28"/>
  <c r="K10" i="31"/>
  <c r="J21" i="28"/>
  <c r="K31" i="29"/>
  <c r="J34" i="28"/>
  <c r="B44" i="12"/>
  <c r="K16" i="29"/>
  <c r="B34" i="12"/>
  <c r="J29" i="28"/>
  <c r="K20" i="29"/>
  <c r="B45" i="12"/>
  <c r="K35" i="29"/>
  <c r="E3" i="12"/>
  <c r="E7" i="12"/>
  <c r="E16" i="12"/>
  <c r="E26" i="12"/>
  <c r="E39" i="31" l="1"/>
  <c r="E23" i="31"/>
  <c r="E37" i="31"/>
  <c r="E22" i="31"/>
  <c r="E38" i="31"/>
  <c r="E21" i="31"/>
  <c r="J8" i="12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C34" i="12"/>
  <c r="L34" i="29"/>
  <c r="C44" i="12"/>
  <c r="L20" i="27"/>
  <c r="L23" i="27"/>
  <c r="C46" i="12"/>
  <c r="L22" i="29"/>
  <c r="B27" i="12"/>
  <c r="F23" i="31"/>
  <c r="F22" i="31"/>
  <c r="L36" i="29"/>
  <c r="L25" i="27"/>
  <c r="L11" i="29"/>
  <c r="L35" i="27"/>
  <c r="C43" i="12"/>
  <c r="L7" i="27"/>
  <c r="L30" i="27"/>
  <c r="L32" i="29"/>
  <c r="L5" i="29"/>
  <c r="B12" i="12"/>
  <c r="L25" i="29"/>
  <c r="C38" i="12"/>
  <c r="C45" i="12"/>
  <c r="F38" i="31"/>
  <c r="F21" i="31"/>
  <c r="L23" i="29"/>
  <c r="B24" i="12"/>
  <c r="L15" i="27"/>
  <c r="L26" i="27"/>
  <c r="L18" i="29"/>
  <c r="L32" i="27"/>
  <c r="L21" i="29"/>
  <c r="C41" i="12"/>
  <c r="B22" i="12"/>
  <c r="L18" i="27"/>
  <c r="L23" i="31"/>
  <c r="L20" i="29"/>
  <c r="F37" i="31"/>
  <c r="B25" i="12"/>
  <c r="B2" i="12"/>
  <c r="L29" i="29"/>
  <c r="B15" i="12"/>
  <c r="L14" i="27"/>
  <c r="L31" i="27"/>
  <c r="C37" i="12"/>
  <c r="L21" i="27"/>
  <c r="L33" i="29"/>
  <c r="L3" i="27"/>
  <c r="C36" i="12"/>
  <c r="C35" i="12"/>
  <c r="C39" i="12"/>
  <c r="B19" i="12"/>
  <c r="L24" i="29"/>
  <c r="B14" i="12"/>
  <c r="L5" i="27"/>
  <c r="L19" i="29"/>
  <c r="L28" i="27"/>
  <c r="L19" i="27"/>
  <c r="L12" i="29"/>
  <c r="L4" i="27"/>
  <c r="L29" i="27"/>
  <c r="L9" i="29"/>
  <c r="L30" i="29"/>
  <c r="L36" i="27"/>
  <c r="L28" i="29"/>
  <c r="K22" i="31"/>
  <c r="L37" i="31"/>
  <c r="L11" i="27"/>
  <c r="L34" i="27"/>
  <c r="B6" i="12"/>
  <c r="L31" i="29"/>
  <c r="L27" i="29"/>
  <c r="L27" i="27"/>
  <c r="L24" i="27"/>
  <c r="L3" i="29"/>
  <c r="L6" i="29"/>
  <c r="L10" i="27"/>
  <c r="L9" i="27"/>
  <c r="L35" i="29"/>
  <c r="L15" i="29"/>
  <c r="L16" i="27"/>
  <c r="L7" i="29"/>
  <c r="L26" i="29"/>
  <c r="C40" i="12"/>
  <c r="L17" i="27"/>
  <c r="L8" i="27"/>
  <c r="F39" i="31"/>
  <c r="C48" i="12"/>
  <c r="L8" i="29"/>
  <c r="C49" i="12"/>
  <c r="L6" i="27"/>
  <c r="L17" i="29"/>
  <c r="L16" i="29"/>
  <c r="L12" i="27"/>
  <c r="L13" i="29"/>
  <c r="L13" i="27"/>
  <c r="B23" i="12"/>
  <c r="L14" i="29"/>
  <c r="L10" i="29"/>
  <c r="C47" i="12"/>
  <c r="C42" i="12"/>
  <c r="B13" i="12"/>
  <c r="L4" i="29"/>
  <c r="L22" i="27"/>
  <c r="B21" i="12"/>
  <c r="B20" i="12"/>
  <c r="L33" i="27"/>
  <c r="F26" i="12"/>
  <c r="F16" i="12"/>
  <c r="B3" i="12"/>
  <c r="B7" i="12"/>
  <c r="K39" i="31"/>
  <c r="L39" i="31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L21" i="31"/>
  <c r="C21" i="12"/>
  <c r="B4" i="12"/>
  <c r="L22" i="31"/>
  <c r="L38" i="31"/>
  <c r="K38" i="31"/>
  <c r="K21" i="31"/>
  <c r="C6" i="12"/>
  <c r="C14" i="12"/>
  <c r="K37" i="31"/>
  <c r="C24" i="12"/>
  <c r="C12" i="12"/>
  <c r="K23" i="31"/>
  <c r="C27" i="12"/>
  <c r="C19" i="12"/>
  <c r="C25" i="12"/>
  <c r="C23" i="12"/>
  <c r="C2" i="12"/>
  <c r="C20" i="12"/>
  <c r="C22" i="12"/>
  <c r="C15" i="12"/>
  <c r="C13" i="12"/>
  <c r="B26" i="12"/>
  <c r="C3" i="12"/>
  <c r="C7" i="12"/>
  <c r="B1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26" i="12"/>
  <c r="C16" i="12"/>
  <c r="J17" i="12" l="1"/>
  <c r="N10" i="12" l="1"/>
  <c r="F10" i="12"/>
  <c r="O10" i="12" l="1"/>
  <c r="R10" i="12" s="1"/>
  <c r="B10" i="12"/>
  <c r="P10" i="12" l="1"/>
  <c r="S10" i="12"/>
  <c r="E11" i="12"/>
  <c r="C10" i="12"/>
  <c r="N11" i="12" l="1"/>
  <c r="D11" i="12"/>
  <c r="F11" i="12"/>
  <c r="O11" i="12" l="1"/>
  <c r="P11" i="12" s="1"/>
  <c r="B11" i="12"/>
  <c r="R11" i="12" l="1"/>
  <c r="S11" i="12"/>
  <c r="C11" i="12"/>
  <c r="A3" i="28" a="1"/>
  <c r="A82" i="28" l="1"/>
  <c r="A68" i="28"/>
  <c r="A85" i="28"/>
  <c r="A11" i="28"/>
  <c r="A55" i="28"/>
  <c r="A73" i="28"/>
  <c r="A110" i="28"/>
  <c r="A14" i="28"/>
  <c r="A47" i="28"/>
  <c r="A111" i="28"/>
  <c r="A61" i="28"/>
  <c r="A16" i="28"/>
  <c r="A72" i="28"/>
  <c r="A88" i="28"/>
  <c r="A98" i="28"/>
  <c r="A84" i="28"/>
  <c r="A101" i="28"/>
  <c r="A75" i="28"/>
  <c r="A71" i="28"/>
  <c r="A105" i="28"/>
  <c r="A126" i="28"/>
  <c r="A121" i="28"/>
  <c r="A119" i="28"/>
  <c r="A115" i="28"/>
  <c r="A118" i="28"/>
  <c r="A99" i="28"/>
  <c r="A114" i="28"/>
  <c r="A100" i="28"/>
  <c r="A117" i="28"/>
  <c r="A123" i="28"/>
  <c r="A87" i="28"/>
  <c r="A31" i="28"/>
  <c r="A112" i="28"/>
  <c r="A43" i="28"/>
  <c r="A65" i="28"/>
  <c r="A60" i="28"/>
  <c r="A25" i="28"/>
  <c r="A3" i="28"/>
  <c r="A116" i="28"/>
  <c r="A6" i="28"/>
  <c r="A13" i="28"/>
  <c r="A103" i="28"/>
  <c r="A26" i="28"/>
  <c r="A64" i="28"/>
  <c r="A95" i="28"/>
  <c r="A45" i="28"/>
  <c r="A32" i="28"/>
  <c r="A97" i="28"/>
  <c r="A19" i="28"/>
  <c r="A22" i="28"/>
  <c r="A42" i="28"/>
  <c r="A44" i="28"/>
  <c r="A59" i="28"/>
  <c r="A5" i="28"/>
  <c r="A91" i="28"/>
  <c r="A35" i="28"/>
  <c r="A46" i="28"/>
  <c r="A38" i="28"/>
  <c r="A77" i="28"/>
  <c r="A8" i="28"/>
  <c r="A58" i="28"/>
  <c r="A17" i="28"/>
  <c r="A80" i="28"/>
  <c r="A33" i="28"/>
  <c r="A102" i="28"/>
  <c r="A48" i="28"/>
  <c r="A51" i="28"/>
  <c r="A94" i="28"/>
  <c r="A54" i="28"/>
  <c r="A125" i="28"/>
  <c r="A24" i="28"/>
  <c r="A90" i="28"/>
  <c r="A81" i="28"/>
  <c r="A96" i="28"/>
  <c r="A67" i="28"/>
  <c r="A15" i="28"/>
  <c r="A70" i="28"/>
  <c r="A30" i="28"/>
  <c r="A40" i="28"/>
  <c r="A122" i="28"/>
  <c r="A12" i="28"/>
  <c r="A113" i="28"/>
  <c r="A83" i="28"/>
  <c r="A79" i="28"/>
  <c r="A86" i="28"/>
  <c r="A78" i="28"/>
  <c r="A56" i="28"/>
  <c r="A27" i="28"/>
  <c r="A28" i="28"/>
  <c r="A63" i="28"/>
  <c r="A4" i="28"/>
  <c r="A104" i="28"/>
  <c r="A74" i="28"/>
  <c r="A20" i="28"/>
  <c r="A120" i="28"/>
  <c r="A124" i="28"/>
  <c r="A109" i="28"/>
  <c r="A50" i="28"/>
  <c r="A36" i="28"/>
  <c r="A9" i="28"/>
  <c r="A92" i="28"/>
  <c r="A52" i="28"/>
  <c r="A41" i="28"/>
  <c r="A18" i="28"/>
  <c r="A66" i="28"/>
  <c r="A21" i="28"/>
  <c r="A57" i="28"/>
  <c r="A39" i="28"/>
  <c r="A37" i="28"/>
  <c r="A107" i="28"/>
  <c r="A53" i="28"/>
  <c r="A29" i="28"/>
  <c r="A89" i="28"/>
  <c r="A62" i="28"/>
  <c r="A76" i="28"/>
  <c r="A106" i="28"/>
  <c r="A7" i="28"/>
  <c r="A23" i="28"/>
  <c r="A34" i="28"/>
  <c r="A69" i="28"/>
  <c r="A93" i="28"/>
  <c r="A10" i="28"/>
  <c r="A108" i="28"/>
  <c r="A49" i="28"/>
  <c r="D41" i="28"/>
  <c r="C115" i="28"/>
  <c r="D74" i="28"/>
  <c r="D23" i="28"/>
  <c r="D116" i="28"/>
  <c r="C112" i="28"/>
  <c r="C12" i="28"/>
  <c r="C32" i="28"/>
  <c r="D86" i="28"/>
  <c r="D111" i="28"/>
  <c r="D10" i="28"/>
  <c r="D83" i="28"/>
  <c r="C33" i="28"/>
  <c r="D99" i="28"/>
  <c r="C48" i="28"/>
  <c r="D37" i="4"/>
  <c r="D92" i="28"/>
  <c r="D13" i="28"/>
  <c r="D44" i="28"/>
  <c r="D50" i="28"/>
  <c r="D8" i="28"/>
  <c r="D14" i="28"/>
  <c r="D37" i="28"/>
  <c r="D104" i="28"/>
  <c r="D11" i="28"/>
  <c r="C69" i="28"/>
  <c r="D113" i="28"/>
  <c r="D121" i="28"/>
  <c r="D9" i="28"/>
  <c r="D4" i="28"/>
  <c r="D117" i="28"/>
  <c r="C114" i="28"/>
  <c r="C13" i="28"/>
  <c r="D70" i="28"/>
  <c r="D125" i="28"/>
  <c r="D7" i="28"/>
  <c r="C39" i="28"/>
  <c r="C94" i="28"/>
  <c r="C15" i="28"/>
  <c r="C65" i="28"/>
  <c r="A3" i="30" a="1"/>
  <c r="D58" i="28"/>
  <c r="D95" i="28"/>
  <c r="D12" i="28"/>
  <c r="D22" i="28"/>
  <c r="C85" i="28"/>
  <c r="C4" i="28"/>
  <c r="D85" i="28"/>
  <c r="D67" i="28"/>
  <c r="D69" i="28"/>
  <c r="D87" i="28"/>
  <c r="D19" i="28"/>
  <c r="D35" i="28"/>
  <c r="C21" i="28"/>
  <c r="D101" i="28"/>
  <c r="C31" i="28"/>
  <c r="C6" i="28"/>
  <c r="D112" i="28"/>
  <c r="D24" i="28"/>
  <c r="C73" i="28"/>
  <c r="C59" i="28"/>
  <c r="D38" i="28"/>
  <c r="C93" i="28"/>
  <c r="C37" i="28"/>
  <c r="C20" i="28"/>
  <c r="C84" i="28"/>
  <c r="D109" i="28"/>
  <c r="C9" i="28"/>
  <c r="C49" i="28"/>
  <c r="D75" i="28"/>
  <c r="C35" i="28"/>
  <c r="D93" i="28"/>
  <c r="C66" i="28"/>
  <c r="D34" i="28"/>
  <c r="D126" i="28"/>
  <c r="C87" i="28"/>
  <c r="C121" i="28"/>
  <c r="C107" i="28"/>
  <c r="C63" i="28"/>
  <c r="C38" i="28"/>
  <c r="C55" i="28"/>
  <c r="D32" i="28"/>
  <c r="D3" i="28"/>
  <c r="C10" i="28"/>
  <c r="C83" i="28"/>
  <c r="C50" i="28"/>
  <c r="C86" i="28"/>
  <c r="C110" i="28"/>
  <c r="C3" i="28"/>
  <c r="D25" i="28"/>
  <c r="D18" i="28"/>
  <c r="D51" i="28"/>
  <c r="C125" i="28"/>
  <c r="D49" i="28"/>
  <c r="D124" i="28"/>
  <c r="C67" i="28"/>
  <c r="D114" i="28"/>
  <c r="C118" i="28"/>
  <c r="C70" i="28"/>
  <c r="D43" i="28"/>
  <c r="D68" i="28"/>
  <c r="C74" i="28"/>
  <c r="D40" i="28"/>
  <c r="D89" i="28"/>
  <c r="C88" i="28"/>
  <c r="D80" i="28"/>
  <c r="C72" i="28"/>
  <c r="C100" i="28"/>
  <c r="D42" i="28"/>
  <c r="D123" i="28"/>
  <c r="C16" i="28"/>
  <c r="C29" i="28"/>
  <c r="D94" i="28"/>
  <c r="D54" i="28"/>
  <c r="C122" i="28"/>
  <c r="C123" i="28"/>
  <c r="C77" i="28"/>
  <c r="D102" i="28"/>
  <c r="D115" i="28"/>
  <c r="C42" i="28"/>
  <c r="C8" i="28"/>
  <c r="D60" i="28"/>
  <c r="D119" i="28"/>
  <c r="C34" i="28"/>
  <c r="C76" i="28"/>
  <c r="D33" i="28"/>
  <c r="C11" i="28"/>
  <c r="C89" i="28"/>
  <c r="C54" i="28"/>
  <c r="C45" i="28"/>
  <c r="C17" i="28"/>
  <c r="D61" i="28"/>
  <c r="D88" i="28"/>
  <c r="C25" i="28"/>
  <c r="D57" i="28"/>
  <c r="D110" i="28"/>
  <c r="D5" i="28"/>
  <c r="D103" i="28"/>
  <c r="C18" i="28"/>
  <c r="C7" i="28"/>
  <c r="D98" i="28"/>
  <c r="C96" i="28"/>
  <c r="C44" i="28"/>
  <c r="D63" i="28"/>
  <c r="D45" i="28"/>
  <c r="D107" i="28"/>
  <c r="C111" i="28"/>
  <c r="C126" i="28"/>
  <c r="D20" i="28"/>
  <c r="D15" i="28"/>
  <c r="C68" i="28"/>
  <c r="C113" i="28"/>
  <c r="C75" i="28"/>
  <c r="C43" i="28"/>
  <c r="C95" i="28"/>
  <c r="D27" i="28"/>
  <c r="D26" i="28"/>
  <c r="C27" i="28"/>
  <c r="D72" i="28"/>
  <c r="D122" i="28"/>
  <c r="D64" i="28"/>
  <c r="C60" i="28"/>
  <c r="C97" i="28"/>
  <c r="C117" i="28"/>
  <c r="C47" i="28"/>
  <c r="D118" i="28"/>
  <c r="D65" i="28"/>
  <c r="C80" i="28"/>
  <c r="D39" i="28"/>
  <c r="C102" i="28"/>
  <c r="D36" i="28"/>
  <c r="C46" i="28"/>
  <c r="D108" i="28"/>
  <c r="C30" i="28"/>
  <c r="C58" i="28"/>
  <c r="D73" i="28"/>
  <c r="D76" i="28"/>
  <c r="C36" i="28"/>
  <c r="C71" i="28"/>
  <c r="D56" i="28"/>
  <c r="C109" i="28"/>
  <c r="D55" i="28"/>
  <c r="D52" i="28"/>
  <c r="D120" i="28"/>
  <c r="D96" i="28"/>
  <c r="D21" i="28"/>
  <c r="C14" i="28"/>
  <c r="D82" i="28"/>
  <c r="C28" i="28"/>
  <c r="D97" i="28"/>
  <c r="C81" i="28"/>
  <c r="D28" i="28"/>
  <c r="C103" i="28"/>
  <c r="D79" i="28"/>
  <c r="C98" i="28"/>
  <c r="C53" i="28"/>
  <c r="C99" i="28"/>
  <c r="C108" i="28"/>
  <c r="D84" i="28"/>
  <c r="C64" i="28"/>
  <c r="C57" i="28"/>
  <c r="D100" i="28"/>
  <c r="D62" i="28"/>
  <c r="C90" i="28"/>
  <c r="D81" i="28"/>
  <c r="C82" i="28"/>
  <c r="C92" i="28"/>
  <c r="D31" i="28"/>
  <c r="C41" i="28"/>
  <c r="D78" i="28"/>
  <c r="C23" i="28"/>
  <c r="C119" i="28"/>
  <c r="C79" i="28"/>
  <c r="D17" i="28"/>
  <c r="D59" i="28"/>
  <c r="D6" i="28"/>
  <c r="C56" i="28"/>
  <c r="C101" i="28"/>
  <c r="D77" i="28"/>
  <c r="C22" i="28"/>
  <c r="D47" i="28"/>
  <c r="D66" i="28"/>
  <c r="C62" i="28"/>
  <c r="D105" i="28"/>
  <c r="C105" i="28"/>
  <c r="C61" i="28"/>
  <c r="D106" i="28"/>
  <c r="D29" i="28"/>
  <c r="D71" i="28"/>
  <c r="C24" i="28"/>
  <c r="D30" i="28"/>
  <c r="C52" i="28"/>
  <c r="C78" i="28"/>
  <c r="C104" i="28"/>
  <c r="D91" i="28"/>
  <c r="C5" i="28"/>
  <c r="C19" i="28"/>
  <c r="D46" i="28"/>
  <c r="C26" i="28"/>
  <c r="D16" i="28"/>
  <c r="C124" i="28"/>
  <c r="C40" i="28"/>
  <c r="D90" i="28"/>
  <c r="C116" i="28"/>
  <c r="C51" i="28"/>
  <c r="C120" i="28"/>
  <c r="D53" i="28"/>
  <c r="D48" i="28"/>
  <c r="C106" i="28"/>
  <c r="C91" i="28"/>
  <c r="B118" i="28"/>
  <c r="B102" i="28"/>
  <c r="B117" i="28"/>
  <c r="B81" i="28"/>
  <c r="B94" i="28"/>
  <c r="B87" i="28"/>
  <c r="B55" i="28"/>
  <c r="B42" i="28"/>
  <c r="B28" i="28"/>
  <c r="B16" i="28"/>
  <c r="B76" i="28"/>
  <c r="B14" i="28"/>
  <c r="B109" i="28"/>
  <c r="B70" i="28"/>
  <c r="B56" i="28"/>
  <c r="B66" i="28"/>
  <c r="B77" i="28"/>
  <c r="B120" i="28"/>
  <c r="B83" i="28"/>
  <c r="B26" i="28"/>
  <c r="B15" i="28"/>
  <c r="B18" i="28"/>
  <c r="B113" i="28"/>
  <c r="B111" i="28"/>
  <c r="B116" i="28"/>
  <c r="B33" i="28"/>
  <c r="B58" i="28"/>
  <c r="B73" i="28"/>
  <c r="B88" i="28"/>
  <c r="B108" i="28"/>
  <c r="B99" i="28"/>
  <c r="B98" i="28"/>
  <c r="B53" i="28"/>
  <c r="B38" i="28"/>
  <c r="B67" i="28"/>
  <c r="B31" i="28"/>
  <c r="B103" i="28"/>
  <c r="B36" i="28"/>
  <c r="B84" i="28"/>
  <c r="B24" i="28"/>
  <c r="B60" i="28"/>
  <c r="B71" i="28"/>
  <c r="B106" i="28"/>
  <c r="B85" i="28"/>
  <c r="B68" i="28"/>
  <c r="B90" i="28"/>
  <c r="B104" i="28"/>
  <c r="B69" i="28"/>
  <c r="B82" i="28"/>
  <c r="B80" i="28"/>
  <c r="B114" i="28"/>
  <c r="B57" i="28"/>
  <c r="B17" i="28"/>
  <c r="B49" i="28"/>
  <c r="B43" i="28"/>
  <c r="B32" i="28"/>
  <c r="B59" i="28"/>
  <c r="B62" i="28"/>
  <c r="B39" i="28"/>
  <c r="B65" i="28"/>
  <c r="B25" i="28"/>
  <c r="B72" i="28"/>
  <c r="B64" i="28"/>
  <c r="B34" i="28"/>
  <c r="B96" i="28"/>
  <c r="B54" i="28"/>
  <c r="B121" i="28"/>
  <c r="B110" i="28"/>
  <c r="B40" i="28"/>
  <c r="B75" i="28"/>
  <c r="B21" i="28"/>
  <c r="B27" i="28"/>
  <c r="B47" i="28"/>
  <c r="B79" i="28"/>
  <c r="B23" i="28"/>
  <c r="B50" i="28"/>
  <c r="B51" i="28"/>
  <c r="B52" i="28"/>
  <c r="B74" i="28"/>
  <c r="B105" i="28"/>
  <c r="B100" i="28"/>
  <c r="B89" i="28"/>
  <c r="B95" i="28"/>
  <c r="B92" i="28"/>
  <c r="B119" i="28"/>
  <c r="B91" i="28"/>
  <c r="B37" i="28"/>
  <c r="B44" i="28"/>
  <c r="B115" i="28"/>
  <c r="B86" i="28"/>
  <c r="B97" i="28"/>
  <c r="B124" i="28"/>
  <c r="B107" i="28"/>
  <c r="B125" i="28"/>
  <c r="B101" i="28"/>
  <c r="B22" i="28"/>
  <c r="B61" i="28"/>
  <c r="B20" i="28"/>
  <c r="B29" i="28"/>
  <c r="B35" i="28"/>
  <c r="B45" i="28"/>
  <c r="B112" i="28"/>
  <c r="B48" i="28"/>
  <c r="B123" i="28"/>
  <c r="B41" i="28"/>
  <c r="B93" i="28"/>
  <c r="B19" i="28"/>
  <c r="B122" i="28"/>
  <c r="B63" i="28"/>
  <c r="B30" i="28"/>
  <c r="B46" i="28"/>
  <c r="B78" i="28"/>
  <c r="B126" i="28"/>
  <c r="A92" i="30" l="1"/>
  <c r="A4" i="30"/>
  <c r="A46" i="30"/>
  <c r="A91" i="30"/>
  <c r="A120" i="30"/>
  <c r="A43" i="30"/>
  <c r="A58" i="30"/>
  <c r="A18" i="30"/>
  <c r="A59" i="30"/>
  <c r="A51" i="30"/>
  <c r="A52" i="30"/>
  <c r="A119" i="30"/>
  <c r="A39" i="30"/>
  <c r="A82" i="30"/>
  <c r="A72" i="30"/>
  <c r="A3" i="30"/>
  <c r="A29" i="30"/>
  <c r="A107" i="30"/>
  <c r="A8" i="30"/>
  <c r="A22" i="30"/>
  <c r="A124" i="30"/>
  <c r="A34" i="30"/>
  <c r="A5" i="30"/>
  <c r="A86" i="30"/>
  <c r="A98" i="30"/>
  <c r="A14" i="30"/>
  <c r="A48" i="30"/>
  <c r="A57" i="30"/>
  <c r="A60" i="30"/>
  <c r="A42" i="30"/>
  <c r="A80" i="30"/>
  <c r="A54" i="30"/>
  <c r="A77" i="30"/>
  <c r="A63" i="30"/>
  <c r="A11" i="30"/>
  <c r="A30" i="30"/>
  <c r="A111" i="30"/>
  <c r="A24" i="30"/>
  <c r="A13" i="30"/>
  <c r="A112" i="30"/>
  <c r="A109" i="30"/>
  <c r="A19" i="30"/>
  <c r="A78" i="30"/>
  <c r="A10" i="30"/>
  <c r="A20" i="30"/>
  <c r="A114" i="30"/>
  <c r="A104" i="30"/>
  <c r="A55" i="30"/>
  <c r="A118" i="30"/>
  <c r="A126" i="30"/>
  <c r="A15" i="30"/>
  <c r="A27" i="30"/>
  <c r="A76" i="30"/>
  <c r="A70" i="30"/>
  <c r="A89" i="30"/>
  <c r="A40" i="30"/>
  <c r="A113" i="30"/>
  <c r="A123" i="30"/>
  <c r="A115" i="30"/>
  <c r="A6" i="30"/>
  <c r="A108" i="30"/>
  <c r="A101" i="30"/>
  <c r="A67" i="30"/>
  <c r="A44" i="30"/>
  <c r="A68" i="30"/>
  <c r="A94" i="30"/>
  <c r="A41" i="30"/>
  <c r="A12" i="30"/>
  <c r="A73" i="30"/>
  <c r="A97" i="30"/>
  <c r="A47" i="30"/>
  <c r="A16" i="30"/>
  <c r="A35" i="30"/>
  <c r="A96" i="30"/>
  <c r="A53" i="30"/>
  <c r="A65" i="30"/>
  <c r="A32" i="30"/>
  <c r="A122" i="30"/>
  <c r="A117" i="30"/>
  <c r="A33" i="30"/>
  <c r="A116" i="30"/>
  <c r="A49" i="30"/>
  <c r="A75" i="30"/>
  <c r="A125" i="30"/>
  <c r="A105" i="30"/>
  <c r="A61" i="30"/>
  <c r="A50" i="30"/>
  <c r="A26" i="30"/>
  <c r="A81" i="30"/>
  <c r="A88" i="30"/>
  <c r="A100" i="30"/>
  <c r="A36" i="30"/>
  <c r="A23" i="30"/>
  <c r="A21" i="30"/>
  <c r="A102" i="30"/>
  <c r="A103" i="30"/>
  <c r="A9" i="30"/>
  <c r="A31" i="30"/>
  <c r="A71" i="30"/>
  <c r="A121" i="30"/>
  <c r="A69" i="30"/>
  <c r="A83" i="30"/>
  <c r="A95" i="30"/>
  <c r="A56" i="30"/>
  <c r="A64" i="30"/>
  <c r="A25" i="30"/>
  <c r="A85" i="30"/>
  <c r="A74" i="30"/>
  <c r="A79" i="30"/>
  <c r="A99" i="30"/>
  <c r="A7" i="30"/>
  <c r="A90" i="30"/>
  <c r="A37" i="30"/>
  <c r="A93" i="30"/>
  <c r="A106" i="30"/>
  <c r="A110" i="30"/>
  <c r="A66" i="30"/>
  <c r="A87" i="30"/>
  <c r="A28" i="30"/>
  <c r="A38" i="30"/>
  <c r="A62" i="30"/>
  <c r="A84" i="30"/>
  <c r="A45" i="30"/>
  <c r="A17" i="30"/>
  <c r="D106" i="30"/>
  <c r="C14" i="30"/>
  <c r="C63" i="30"/>
  <c r="C75" i="30"/>
  <c r="D98" i="30"/>
  <c r="D85" i="30"/>
  <c r="C84" i="30"/>
  <c r="D48" i="30"/>
  <c r="D104" i="30"/>
  <c r="C13" i="30"/>
  <c r="D4" i="30"/>
  <c r="C69" i="30"/>
  <c r="D120" i="30"/>
  <c r="C93" i="30"/>
  <c r="C86" i="30"/>
  <c r="D20" i="30"/>
  <c r="D31" i="30"/>
  <c r="D44" i="30"/>
  <c r="D102" i="30"/>
  <c r="C42" i="30"/>
  <c r="C37" i="30"/>
  <c r="D82" i="30"/>
  <c r="D109" i="30"/>
  <c r="C85" i="30"/>
  <c r="C72" i="30"/>
  <c r="D115" i="30"/>
  <c r="D65" i="30"/>
  <c r="C16" i="30"/>
  <c r="D50" i="30"/>
  <c r="C3" i="30"/>
  <c r="C35" i="30"/>
  <c r="D11" i="30"/>
  <c r="C52" i="30"/>
  <c r="C11" i="30"/>
  <c r="C83" i="30"/>
  <c r="C98" i="30"/>
  <c r="C38" i="30"/>
  <c r="D8" i="30"/>
  <c r="C121" i="30"/>
  <c r="D100" i="30"/>
  <c r="C33" i="30"/>
  <c r="C40" i="30"/>
  <c r="D125" i="30"/>
  <c r="D18" i="30"/>
  <c r="C81" i="30"/>
  <c r="D36" i="30"/>
  <c r="D52" i="30"/>
  <c r="C22" i="30"/>
  <c r="D22" i="30"/>
  <c r="D105" i="30"/>
  <c r="C60" i="30"/>
  <c r="C62" i="30"/>
  <c r="D24" i="30"/>
  <c r="C32" i="30"/>
  <c r="C70" i="30"/>
  <c r="D63" i="30"/>
  <c r="C74" i="30"/>
  <c r="C89" i="30"/>
  <c r="C99" i="30"/>
  <c r="C119" i="30"/>
  <c r="D43" i="30"/>
  <c r="C6" i="30"/>
  <c r="C115" i="30"/>
  <c r="C48" i="30"/>
  <c r="D71" i="30"/>
  <c r="D21" i="30"/>
  <c r="D86" i="30"/>
  <c r="C56" i="30"/>
  <c r="C101" i="30"/>
  <c r="D37" i="30"/>
  <c r="C19" i="30"/>
  <c r="C23" i="30"/>
  <c r="C64" i="30"/>
  <c r="D33" i="4"/>
  <c r="C67" i="30"/>
  <c r="H11" i="28"/>
  <c r="C88" i="30"/>
  <c r="D61" i="30"/>
  <c r="K49" i="28"/>
  <c r="K45" i="28"/>
  <c r="I49" i="28"/>
  <c r="C28" i="30"/>
  <c r="H9" i="28"/>
  <c r="C49" i="30"/>
  <c r="C18" i="30"/>
  <c r="D108" i="30"/>
  <c r="K4" i="28"/>
  <c r="K21" i="28"/>
  <c r="H36" i="28"/>
  <c r="D114" i="30"/>
  <c r="D107" i="30"/>
  <c r="D30" i="30"/>
  <c r="D116" i="30"/>
  <c r="D121" i="30"/>
  <c r="K37" i="28"/>
  <c r="D93" i="30"/>
  <c r="C82" i="30"/>
  <c r="D124" i="30"/>
  <c r="C41" i="30"/>
  <c r="H4" i="28"/>
  <c r="H51" i="28"/>
  <c r="H10" i="28"/>
  <c r="K25" i="28"/>
  <c r="C124" i="30"/>
  <c r="K35" i="28"/>
  <c r="D46" i="30"/>
  <c r="C36" i="30"/>
  <c r="D72" i="30"/>
  <c r="C44" i="30"/>
  <c r="K12" i="28"/>
  <c r="D5" i="30"/>
  <c r="D122" i="30"/>
  <c r="C26" i="30"/>
  <c r="D35" i="30"/>
  <c r="I37" i="28"/>
  <c r="D117" i="30"/>
  <c r="D70" i="30"/>
  <c r="D56" i="30"/>
  <c r="D64" i="30"/>
  <c r="K20" i="28"/>
  <c r="C105" i="30"/>
  <c r="C112" i="30"/>
  <c r="C73" i="30"/>
  <c r="C43" i="30"/>
  <c r="K51" i="28"/>
  <c r="C106" i="30"/>
  <c r="D10" i="30"/>
  <c r="K23" i="28"/>
  <c r="C80" i="30"/>
  <c r="H31" i="28"/>
  <c r="D34" i="30"/>
  <c r="D27" i="30"/>
  <c r="C123" i="30"/>
  <c r="D19" i="30"/>
  <c r="K13" i="28"/>
  <c r="D41" i="30"/>
  <c r="D55" i="30"/>
  <c r="C51" i="30"/>
  <c r="D25" i="30"/>
  <c r="D73" i="30"/>
  <c r="H13" i="28"/>
  <c r="C111" i="30"/>
  <c r="D78" i="30"/>
  <c r="K31" i="28"/>
  <c r="C108" i="30"/>
  <c r="D68" i="30"/>
  <c r="C110" i="30"/>
  <c r="D14" i="30"/>
  <c r="C113" i="30"/>
  <c r="H45" i="28"/>
  <c r="C102" i="30"/>
  <c r="C20" i="30"/>
  <c r="C114" i="30"/>
  <c r="D89" i="30"/>
  <c r="K2" i="28"/>
  <c r="C76" i="30"/>
  <c r="C91" i="30"/>
  <c r="H42" i="28"/>
  <c r="H52" i="28"/>
  <c r="H55" i="28"/>
  <c r="C94" i="30"/>
  <c r="C29" i="30"/>
  <c r="C46" i="30"/>
  <c r="D38" i="30"/>
  <c r="C116" i="30"/>
  <c r="D95" i="30"/>
  <c r="D6" i="30"/>
  <c r="K47" i="28"/>
  <c r="D42" i="30"/>
  <c r="K30" i="28"/>
  <c r="I30" i="28" s="1"/>
  <c r="D76" i="30"/>
  <c r="I51" i="28"/>
  <c r="K52" i="28"/>
  <c r="I52" i="28" s="1"/>
  <c r="C66" i="30"/>
  <c r="C107" i="30"/>
  <c r="D90" i="30"/>
  <c r="K34" i="28"/>
  <c r="H29" i="28"/>
  <c r="K22" i="28"/>
  <c r="D74" i="30"/>
  <c r="C31" i="30"/>
  <c r="D26" i="30"/>
  <c r="D112" i="30"/>
  <c r="D126" i="30"/>
  <c r="D118" i="30"/>
  <c r="D103" i="30"/>
  <c r="K28" i="28"/>
  <c r="D97" i="30"/>
  <c r="D110" i="30"/>
  <c r="I12" i="28"/>
  <c r="D9" i="30"/>
  <c r="D59" i="30"/>
  <c r="H5" i="28"/>
  <c r="C39" i="30"/>
  <c r="K7" i="28"/>
  <c r="D38" i="4"/>
  <c r="I7" i="28"/>
  <c r="D87" i="30"/>
  <c r="C65" i="30"/>
  <c r="H23" i="28"/>
  <c r="H49" i="28"/>
  <c r="D51" i="30"/>
  <c r="D54" i="30"/>
  <c r="C17" i="30"/>
  <c r="K46" i="28"/>
  <c r="I46" i="28" s="1"/>
  <c r="C34" i="30"/>
  <c r="C12" i="30"/>
  <c r="H26" i="28"/>
  <c r="K41" i="28"/>
  <c r="H46" i="28"/>
  <c r="D49" i="30"/>
  <c r="C109" i="30"/>
  <c r="C100" i="30"/>
  <c r="D39" i="30"/>
  <c r="K10" i="28"/>
  <c r="H35" i="28"/>
  <c r="D13" i="30"/>
  <c r="D83" i="30"/>
  <c r="D91" i="30"/>
  <c r="C27" i="30"/>
  <c r="H50" i="28"/>
  <c r="D29" i="30"/>
  <c r="D94" i="30"/>
  <c r="D17" i="30"/>
  <c r="K55" i="28"/>
  <c r="I47" i="28"/>
  <c r="C68" i="30"/>
  <c r="H21" i="28"/>
  <c r="I31" i="28"/>
  <c r="H7" i="28"/>
  <c r="D15" i="30"/>
  <c r="D12" i="30"/>
  <c r="C55" i="30"/>
  <c r="C122" i="30"/>
  <c r="H3" i="28"/>
  <c r="C103" i="30"/>
  <c r="H24" i="28"/>
  <c r="C9" i="30"/>
  <c r="D3" i="30"/>
  <c r="K48" i="28"/>
  <c r="D111" i="30"/>
  <c r="C54" i="30"/>
  <c r="K26" i="28"/>
  <c r="D60" i="30"/>
  <c r="D123" i="30"/>
  <c r="C5" i="30"/>
  <c r="H25" i="28"/>
  <c r="C21" i="30"/>
  <c r="C30" i="30"/>
  <c r="D23" i="30"/>
  <c r="D119" i="30"/>
  <c r="H8" i="28"/>
  <c r="C90" i="30"/>
  <c r="K53" i="28"/>
  <c r="I53" i="28" s="1"/>
  <c r="H27" i="28"/>
  <c r="I55" i="28"/>
  <c r="C45" i="30"/>
  <c r="C87" i="30"/>
  <c r="D28" i="30"/>
  <c r="C59" i="30"/>
  <c r="C24" i="30"/>
  <c r="D58" i="30"/>
  <c r="I28" i="28"/>
  <c r="C10" i="30"/>
  <c r="I37" i="4"/>
  <c r="C120" i="30"/>
  <c r="C47" i="30"/>
  <c r="C77" i="30"/>
  <c r="I48" i="28"/>
  <c r="K6" i="28"/>
  <c r="D77" i="30"/>
  <c r="C117" i="30"/>
  <c r="C78" i="30"/>
  <c r="H33" i="28"/>
  <c r="D32" i="30"/>
  <c r="D113" i="30"/>
  <c r="D84" i="30"/>
  <c r="C118" i="30"/>
  <c r="D62" i="30"/>
  <c r="C125" i="30"/>
  <c r="D101" i="30"/>
  <c r="C50" i="30"/>
  <c r="C104" i="30"/>
  <c r="C58" i="30"/>
  <c r="I10" i="28"/>
  <c r="H48" i="28"/>
  <c r="D45" i="30"/>
  <c r="D47" i="30"/>
  <c r="C71" i="30"/>
  <c r="D66" i="30"/>
  <c r="D57" i="30"/>
  <c r="D92" i="30"/>
  <c r="C7" i="30"/>
  <c r="D88" i="30"/>
  <c r="D7" i="30"/>
  <c r="C79" i="30"/>
  <c r="C97" i="30"/>
  <c r="C96" i="30"/>
  <c r="D81" i="30"/>
  <c r="D79" i="30"/>
  <c r="C126" i="30"/>
  <c r="H19" i="28"/>
  <c r="C92" i="30"/>
  <c r="D80" i="30"/>
  <c r="C8" i="30"/>
  <c r="D53" i="30"/>
  <c r="K29" i="28"/>
  <c r="I29" i="28" s="1"/>
  <c r="C15" i="30"/>
  <c r="D99" i="30"/>
  <c r="C61" i="30"/>
  <c r="D16" i="30"/>
  <c r="C53" i="30"/>
  <c r="C25" i="30"/>
  <c r="D40" i="30"/>
  <c r="D33" i="30"/>
  <c r="C95" i="30"/>
  <c r="K24" i="28"/>
  <c r="I24" i="28" s="1"/>
  <c r="C57" i="30"/>
  <c r="D69" i="30"/>
  <c r="D96" i="30"/>
  <c r="K9" i="28"/>
  <c r="H53" i="28"/>
  <c r="H20" i="28"/>
  <c r="H12" i="28"/>
  <c r="D67" i="30"/>
  <c r="H43" i="28"/>
  <c r="C4" i="30"/>
  <c r="H37" i="28"/>
  <c r="D75" i="30"/>
  <c r="B55" i="30"/>
  <c r="B54" i="30"/>
  <c r="B71" i="30"/>
  <c r="B76" i="30"/>
  <c r="B81" i="30"/>
  <c r="B93" i="30"/>
  <c r="B105" i="30"/>
  <c r="B47" i="30"/>
  <c r="B120" i="30"/>
  <c r="B44" i="30"/>
  <c r="B64" i="30"/>
  <c r="B42" i="30"/>
  <c r="B86" i="30"/>
  <c r="B103" i="30"/>
  <c r="B68" i="30"/>
  <c r="B60" i="30"/>
  <c r="B28" i="30"/>
  <c r="B38" i="30"/>
  <c r="B48" i="30"/>
  <c r="B70" i="30"/>
  <c r="B58" i="30"/>
  <c r="B83" i="30"/>
  <c r="B67" i="30"/>
  <c r="B92" i="30"/>
  <c r="B51" i="30"/>
  <c r="B69" i="30"/>
  <c r="B78" i="30"/>
  <c r="B99" i="30"/>
  <c r="B98" i="30"/>
  <c r="B34" i="30"/>
  <c r="B33" i="30"/>
  <c r="B41" i="30"/>
  <c r="B100" i="30"/>
  <c r="B65" i="30"/>
  <c r="B87" i="30"/>
  <c r="B118" i="30"/>
  <c r="B85" i="30"/>
  <c r="B77" i="30"/>
  <c r="B84" i="30"/>
  <c r="B52" i="30"/>
  <c r="B56" i="30"/>
  <c r="B102" i="30"/>
  <c r="B45" i="30"/>
  <c r="B106" i="30"/>
  <c r="B79" i="30"/>
  <c r="B95" i="30"/>
  <c r="B107" i="30"/>
  <c r="B32" i="30"/>
  <c r="B111" i="30"/>
  <c r="B113" i="30"/>
  <c r="B109" i="30"/>
  <c r="B59" i="30"/>
  <c r="B37" i="30"/>
  <c r="B72" i="30"/>
  <c r="B80" i="30"/>
  <c r="B25" i="30"/>
  <c r="B89" i="30"/>
  <c r="B30" i="30"/>
  <c r="B117" i="30"/>
  <c r="B29" i="30"/>
  <c r="B116" i="30"/>
  <c r="B40" i="30"/>
  <c r="B35" i="30"/>
  <c r="B115" i="30"/>
  <c r="B31" i="30"/>
  <c r="B75" i="30"/>
  <c r="B50" i="30"/>
  <c r="B112" i="30"/>
  <c r="B96" i="30"/>
  <c r="B66" i="30"/>
  <c r="B26" i="30"/>
  <c r="B53" i="30"/>
  <c r="B74" i="30"/>
  <c r="B108" i="30"/>
  <c r="B104" i="30"/>
  <c r="B43" i="30"/>
  <c r="B124" i="30"/>
  <c r="B94" i="30"/>
  <c r="B97" i="30"/>
  <c r="B27" i="30"/>
  <c r="B57" i="30"/>
  <c r="B62" i="30"/>
  <c r="B101" i="30"/>
  <c r="B73" i="30"/>
  <c r="B91" i="30"/>
  <c r="B63" i="30"/>
  <c r="B61" i="30"/>
  <c r="B39" i="30"/>
  <c r="B36" i="30"/>
  <c r="B119" i="30"/>
  <c r="B122" i="30"/>
  <c r="B46" i="30"/>
  <c r="B126" i="30"/>
  <c r="B114" i="30"/>
  <c r="B82" i="30"/>
  <c r="B110" i="30"/>
  <c r="B123" i="30"/>
  <c r="B121" i="30"/>
  <c r="B90" i="30"/>
  <c r="B88" i="30"/>
  <c r="B49" i="30"/>
  <c r="B125" i="30"/>
  <c r="K11" i="28"/>
  <c r="K38" i="28"/>
  <c r="H54" i="28"/>
  <c r="K19" i="28"/>
  <c r="K39" i="28"/>
  <c r="H41" i="28"/>
  <c r="K5" i="28"/>
  <c r="I5" i="28" s="1"/>
  <c r="K36" i="28"/>
  <c r="K42" i="28"/>
  <c r="K27" i="28"/>
  <c r="H44" i="28"/>
  <c r="K8" i="28"/>
  <c r="H38" i="28"/>
  <c r="K33" i="28"/>
  <c r="H40" i="28"/>
  <c r="H2" i="28"/>
  <c r="K3" i="28"/>
  <c r="K43" i="28"/>
  <c r="K54" i="28"/>
  <c r="K40" i="28"/>
  <c r="H47" i="28"/>
  <c r="K44" i="28"/>
  <c r="K32" i="28"/>
  <c r="H34" i="28"/>
  <c r="H6" i="28"/>
  <c r="H39" i="28"/>
  <c r="H22" i="28"/>
  <c r="K50" i="28"/>
  <c r="H28" i="28"/>
  <c r="H30" i="28"/>
  <c r="H32" i="28"/>
  <c r="I33" i="4"/>
  <c r="I38" i="4"/>
  <c r="K11" i="30"/>
  <c r="K5" i="30"/>
  <c r="H36" i="30"/>
  <c r="K3" i="30"/>
  <c r="H35" i="30"/>
  <c r="H3" i="30"/>
  <c r="H25" i="30"/>
  <c r="H32" i="30"/>
  <c r="H2" i="30"/>
  <c r="K26" i="30"/>
  <c r="I26" i="30" s="1"/>
  <c r="K2" i="30"/>
  <c r="H14" i="30"/>
  <c r="H9" i="30"/>
  <c r="H5" i="30"/>
  <c r="K13" i="30"/>
  <c r="K29" i="30"/>
  <c r="H37" i="30"/>
  <c r="K37" i="30"/>
  <c r="H38" i="30"/>
  <c r="H33" i="30"/>
  <c r="K32" i="30"/>
  <c r="H11" i="30"/>
  <c r="K35" i="30"/>
  <c r="H30" i="30"/>
  <c r="K30" i="30"/>
  <c r="H26" i="30"/>
  <c r="K36" i="30"/>
  <c r="K9" i="30"/>
  <c r="K24" i="30"/>
  <c r="K8" i="30"/>
  <c r="H27" i="30"/>
  <c r="K6" i="30"/>
  <c r="K34" i="30"/>
  <c r="H28" i="30"/>
  <c r="H7" i="30"/>
  <c r="H29" i="30"/>
  <c r="K31" i="30"/>
  <c r="H8" i="30"/>
  <c r="K4" i="30"/>
  <c r="K7" i="30"/>
  <c r="H34" i="30"/>
  <c r="K12" i="30"/>
  <c r="H4" i="30"/>
  <c r="H31" i="30"/>
  <c r="H6" i="30"/>
  <c r="H13" i="30"/>
  <c r="K14" i="30"/>
  <c r="K33" i="30"/>
  <c r="H10" i="30"/>
  <c r="K10" i="30"/>
  <c r="H12" i="30"/>
  <c r="H24" i="30"/>
  <c r="K27" i="30"/>
  <c r="K38" i="30"/>
  <c r="K28" i="30"/>
  <c r="K25" i="30"/>
  <c r="I25" i="30"/>
  <c r="I7" i="30"/>
  <c r="I36" i="30"/>
  <c r="I3" i="30"/>
  <c r="I43" i="28"/>
  <c r="I19" i="28"/>
  <c r="I34" i="28"/>
  <c r="I4" i="28"/>
  <c r="I28" i="30"/>
  <c r="I4" i="30"/>
  <c r="I30" i="30"/>
  <c r="I5" i="30"/>
  <c r="I3" i="28"/>
  <c r="I38" i="28"/>
  <c r="I2" i="28"/>
  <c r="I45" i="28"/>
  <c r="I38" i="30"/>
  <c r="I31" i="30"/>
  <c r="I35" i="30"/>
  <c r="I11" i="30"/>
  <c r="I33" i="28"/>
  <c r="I11" i="28"/>
  <c r="I13" i="28"/>
  <c r="I27" i="30"/>
  <c r="I34" i="30"/>
  <c r="I32" i="30"/>
  <c r="I50" i="28"/>
  <c r="I8" i="28"/>
  <c r="I9" i="28"/>
  <c r="I23" i="28"/>
  <c r="I10" i="30"/>
  <c r="I6" i="30"/>
  <c r="I37" i="30"/>
  <c r="I32" i="28"/>
  <c r="I27" i="28"/>
  <c r="I6" i="28"/>
  <c r="I20" i="28"/>
  <c r="I33" i="30"/>
  <c r="I8" i="30"/>
  <c r="I29" i="30"/>
  <c r="I44" i="28"/>
  <c r="I42" i="28"/>
  <c r="I26" i="28"/>
  <c r="I35" i="28"/>
  <c r="I14" i="30"/>
  <c r="I24" i="30"/>
  <c r="I13" i="30"/>
  <c r="I40" i="28"/>
  <c r="I36" i="28"/>
  <c r="I41" i="28"/>
  <c r="I25" i="28"/>
  <c r="I12" i="30"/>
  <c r="I9" i="30"/>
  <c r="I2" i="30"/>
  <c r="I54" i="28"/>
  <c r="I39" i="28"/>
  <c r="I22" i="28"/>
  <c r="I21" i="28"/>
  <c r="I21" i="4" l="1"/>
  <c r="N3" i="25" a="1"/>
  <c r="H19" i="12"/>
  <c r="G5" i="12"/>
  <c r="G4" i="31"/>
  <c r="B7" i="30"/>
  <c r="G27" i="12"/>
  <c r="L37" i="12"/>
  <c r="H12" i="12"/>
  <c r="G37" i="31"/>
  <c r="G3" i="12"/>
  <c r="H13" i="12"/>
  <c r="B15" i="30"/>
  <c r="G30" i="31"/>
  <c r="G24" i="12"/>
  <c r="B6" i="30"/>
  <c r="L6" i="30"/>
  <c r="L43" i="12"/>
  <c r="B8" i="28"/>
  <c r="B16" i="30"/>
  <c r="H6" i="12"/>
  <c r="L46" i="12"/>
  <c r="H23" i="12"/>
  <c r="G33" i="31"/>
  <c r="L3" i="28"/>
  <c r="G10" i="31"/>
  <c r="G34" i="31"/>
  <c r="G29" i="31"/>
  <c r="L8" i="30"/>
  <c r="B11" i="30"/>
  <c r="H2" i="12"/>
  <c r="L13" i="28"/>
  <c r="H20" i="12"/>
  <c r="G5" i="31"/>
  <c r="L5" i="28"/>
  <c r="B13" i="30"/>
  <c r="G32" i="31"/>
  <c r="G11" i="12"/>
  <c r="H27" i="12"/>
  <c r="G11" i="31"/>
  <c r="B4" i="30"/>
  <c r="G7" i="31"/>
  <c r="G16" i="12"/>
  <c r="G35" i="31"/>
  <c r="G7" i="12"/>
  <c r="G3" i="31"/>
  <c r="G19" i="31"/>
  <c r="B4" i="28"/>
  <c r="B18" i="30"/>
  <c r="L49" i="12"/>
  <c r="L45" i="12"/>
  <c r="G25" i="12"/>
  <c r="H14" i="12"/>
  <c r="B8" i="30"/>
  <c r="L44" i="12"/>
  <c r="G2" i="31"/>
  <c r="L11" i="28"/>
  <c r="H4" i="12"/>
  <c r="H15" i="12"/>
  <c r="H22" i="12"/>
  <c r="H11" i="12"/>
  <c r="L7" i="28"/>
  <c r="G36" i="31"/>
  <c r="L8" i="28"/>
  <c r="B9" i="30"/>
  <c r="B13" i="28"/>
  <c r="L7" i="30"/>
  <c r="G39" i="31"/>
  <c r="G26" i="12"/>
  <c r="L40" i="12"/>
  <c r="G14" i="12"/>
  <c r="G8" i="31"/>
  <c r="B5" i="28"/>
  <c r="L38" i="12"/>
  <c r="G2" i="12"/>
  <c r="E2" i="30" a="1"/>
  <c r="L39" i="12"/>
  <c r="L42" i="12"/>
  <c r="B3" i="28"/>
  <c r="L12" i="30"/>
  <c r="H16" i="12"/>
  <c r="L36" i="12"/>
  <c r="G12" i="31"/>
  <c r="G14" i="31"/>
  <c r="H25" i="12"/>
  <c r="B12" i="30"/>
  <c r="H26" i="12"/>
  <c r="G23" i="31"/>
  <c r="B22" i="30"/>
  <c r="E2" i="28" a="1"/>
  <c r="L10" i="30"/>
  <c r="G26" i="31"/>
  <c r="G27" i="31"/>
  <c r="G20" i="12"/>
  <c r="L14" i="30"/>
  <c r="H3" i="12"/>
  <c r="G21" i="31"/>
  <c r="L12" i="28"/>
  <c r="B127" i="28"/>
  <c r="H7" i="12"/>
  <c r="L9" i="30"/>
  <c r="L5" i="30"/>
  <c r="L4" i="28"/>
  <c r="G12" i="12"/>
  <c r="G28" i="31"/>
  <c r="B20" i="30"/>
  <c r="B14" i="30"/>
  <c r="B9" i="28"/>
  <c r="B23" i="30"/>
  <c r="B19" i="30"/>
  <c r="B24" i="30"/>
  <c r="B12" i="28"/>
  <c r="B3" i="30"/>
  <c r="G38" i="31"/>
  <c r="G15" i="12"/>
  <c r="B6" i="28"/>
  <c r="G20" i="31"/>
  <c r="B21" i="30"/>
  <c r="B7" i="28"/>
  <c r="L13" i="30"/>
  <c r="G22" i="31"/>
  <c r="G10" i="12"/>
  <c r="G19" i="12"/>
  <c r="L2" i="28"/>
  <c r="G17" i="31"/>
  <c r="L48" i="12"/>
  <c r="G31" i="31"/>
  <c r="L47" i="12"/>
  <c r="L10" i="28"/>
  <c r="L6" i="28"/>
  <c r="H21" i="12"/>
  <c r="G15" i="31"/>
  <c r="G13" i="31"/>
  <c r="L41" i="12"/>
  <c r="G18" i="31"/>
  <c r="L11" i="30"/>
  <c r="G23" i="12"/>
  <c r="H10" i="12"/>
  <c r="G24" i="31"/>
  <c r="L3" i="30"/>
  <c r="B17" i="30"/>
  <c r="G22" i="12"/>
  <c r="G6" i="12"/>
  <c r="B11" i="28"/>
  <c r="L35" i="12"/>
  <c r="L2" i="30"/>
  <c r="G21" i="12"/>
  <c r="B5" i="30"/>
  <c r="G13" i="12"/>
  <c r="B127" i="30"/>
  <c r="G25" i="31"/>
  <c r="G16" i="31"/>
  <c r="G6" i="31"/>
  <c r="B10" i="30"/>
  <c r="L9" i="28"/>
  <c r="G9" i="31"/>
  <c r="H24" i="12"/>
  <c r="B10" i="28"/>
  <c r="L4" i="30"/>
  <c r="I13" i="12" l="1"/>
  <c r="I21" i="12"/>
  <c r="L34" i="12"/>
  <c r="I6" i="12"/>
  <c r="I22" i="12"/>
  <c r="I23" i="12"/>
  <c r="I19" i="12"/>
  <c r="I10" i="12"/>
  <c r="I15" i="12"/>
  <c r="I12" i="12"/>
  <c r="I20" i="12"/>
  <c r="E120" i="28"/>
  <c r="E17" i="28"/>
  <c r="E29" i="28"/>
  <c r="E108" i="28"/>
  <c r="E46" i="28"/>
  <c r="E96" i="28"/>
  <c r="E107" i="28"/>
  <c r="E78" i="28"/>
  <c r="E14" i="28"/>
  <c r="E109" i="28"/>
  <c r="E8" i="28"/>
  <c r="E106" i="28"/>
  <c r="E94" i="28"/>
  <c r="E45" i="28"/>
  <c r="E99" i="28"/>
  <c r="E67" i="28"/>
  <c r="E20" i="28"/>
  <c r="E73" i="28"/>
  <c r="E38" i="28"/>
  <c r="E81" i="28"/>
  <c r="E16" i="28"/>
  <c r="E95" i="28"/>
  <c r="E116" i="28"/>
  <c r="E79" i="28"/>
  <c r="E118" i="28"/>
  <c r="E33" i="28"/>
  <c r="E26" i="28"/>
  <c r="E4" i="28"/>
  <c r="E30" i="28"/>
  <c r="E111" i="28"/>
  <c r="E59" i="28"/>
  <c r="E34" i="28"/>
  <c r="E125" i="28"/>
  <c r="E89" i="28"/>
  <c r="E37" i="28"/>
  <c r="E75" i="28"/>
  <c r="E101" i="28"/>
  <c r="E66" i="28"/>
  <c r="E55" i="28"/>
  <c r="E58" i="28"/>
  <c r="E82" i="28"/>
  <c r="E42" i="28"/>
  <c r="E77" i="28"/>
  <c r="E22" i="28"/>
  <c r="E49" i="28"/>
  <c r="E52" i="28"/>
  <c r="E56" i="28"/>
  <c r="E53" i="28"/>
  <c r="E76" i="28"/>
  <c r="E21" i="28"/>
  <c r="E74" i="28"/>
  <c r="E115" i="28"/>
  <c r="E80" i="28"/>
  <c r="E121" i="28"/>
  <c r="E41" i="28"/>
  <c r="E105" i="28"/>
  <c r="E25" i="28"/>
  <c r="E15" i="28"/>
  <c r="E97" i="28"/>
  <c r="E122" i="28"/>
  <c r="E28" i="28"/>
  <c r="E57" i="28"/>
  <c r="E70" i="28"/>
  <c r="E7" i="28"/>
  <c r="E85" i="28"/>
  <c r="E13" i="28"/>
  <c r="E110" i="28"/>
  <c r="E102" i="28"/>
  <c r="E117" i="28"/>
  <c r="E124" i="28"/>
  <c r="E5" i="28"/>
  <c r="E84" i="28"/>
  <c r="E91" i="28"/>
  <c r="E23" i="28"/>
  <c r="E93" i="28"/>
  <c r="E90" i="28"/>
  <c r="E9" i="28"/>
  <c r="E18" i="28"/>
  <c r="E43" i="28"/>
  <c r="E32" i="28"/>
  <c r="E31" i="28"/>
  <c r="E88" i="28"/>
  <c r="E114" i="28"/>
  <c r="E36" i="28"/>
  <c r="E48" i="28"/>
  <c r="E50" i="28"/>
  <c r="E64" i="28"/>
  <c r="E86" i="28"/>
  <c r="E113" i="28"/>
  <c r="E40" i="28"/>
  <c r="E68" i="28"/>
  <c r="E10" i="28"/>
  <c r="E119" i="28"/>
  <c r="E103" i="28"/>
  <c r="E35" i="28"/>
  <c r="E100" i="28"/>
  <c r="E126" i="28"/>
  <c r="E65" i="28"/>
  <c r="E2" i="28"/>
  <c r="E27" i="28"/>
  <c r="E123" i="28"/>
  <c r="E3" i="28"/>
  <c r="E19" i="28"/>
  <c r="E24" i="28"/>
  <c r="E60" i="28"/>
  <c r="E98" i="28"/>
  <c r="E54" i="28"/>
  <c r="E104" i="28"/>
  <c r="E69" i="28"/>
  <c r="E62" i="28"/>
  <c r="E83" i="28"/>
  <c r="E72" i="28"/>
  <c r="E6" i="28"/>
  <c r="E63" i="28"/>
  <c r="E39" i="28"/>
  <c r="E112" i="28"/>
  <c r="E44" i="28"/>
  <c r="E87" i="28"/>
  <c r="E92" i="28"/>
  <c r="E61" i="28"/>
  <c r="E12" i="28"/>
  <c r="E11" i="28"/>
  <c r="E47" i="28"/>
  <c r="E71" i="28"/>
  <c r="E127" i="28"/>
  <c r="E51" i="28"/>
  <c r="E99" i="30"/>
  <c r="E49" i="30"/>
  <c r="E101" i="30"/>
  <c r="E36" i="30"/>
  <c r="E92" i="30"/>
  <c r="E94" i="30"/>
  <c r="E59" i="30"/>
  <c r="E56" i="30"/>
  <c r="E38" i="30"/>
  <c r="E100" i="30"/>
  <c r="E61" i="30"/>
  <c r="E110" i="30"/>
  <c r="E112" i="30"/>
  <c r="E113" i="30"/>
  <c r="E124" i="30"/>
  <c r="E107" i="30"/>
  <c r="E35" i="30"/>
  <c r="E77" i="30"/>
  <c r="E98" i="30"/>
  <c r="E60" i="30"/>
  <c r="E21" i="30"/>
  <c r="E34" i="30"/>
  <c r="E30" i="30"/>
  <c r="E17" i="30"/>
  <c r="E25" i="30"/>
  <c r="E67" i="30"/>
  <c r="E127" i="30"/>
  <c r="E75" i="30"/>
  <c r="E51" i="30"/>
  <c r="E52" i="30"/>
  <c r="E64" i="30"/>
  <c r="E89" i="30"/>
  <c r="E81" i="30"/>
  <c r="E2" i="30"/>
  <c r="E73" i="30"/>
  <c r="E32" i="30"/>
  <c r="E3" i="30"/>
  <c r="E123" i="30"/>
  <c r="E126" i="30"/>
  <c r="E83" i="30"/>
  <c r="E47" i="30"/>
  <c r="E19" i="30"/>
  <c r="E50" i="30"/>
  <c r="E125" i="30"/>
  <c r="E41" i="30"/>
  <c r="E72" i="30"/>
  <c r="E48" i="30"/>
  <c r="E121" i="30"/>
  <c r="E31" i="30"/>
  <c r="E109" i="30"/>
  <c r="E62" i="30"/>
  <c r="E13" i="30"/>
  <c r="E87" i="30"/>
  <c r="E39" i="30"/>
  <c r="E122" i="30"/>
  <c r="E102" i="30"/>
  <c r="E70" i="30"/>
  <c r="E104" i="30"/>
  <c r="E103" i="30"/>
  <c r="E23" i="30"/>
  <c r="E58" i="30"/>
  <c r="E20" i="30"/>
  <c r="E97" i="30"/>
  <c r="E18" i="30"/>
  <c r="E45" i="30"/>
  <c r="E57" i="30"/>
  <c r="E24" i="30"/>
  <c r="E15" i="30"/>
  <c r="E85" i="30"/>
  <c r="E88" i="30"/>
  <c r="E105" i="30"/>
  <c r="E71" i="30"/>
  <c r="E78" i="30"/>
  <c r="E10" i="30"/>
  <c r="E11" i="30"/>
  <c r="E114" i="30"/>
  <c r="E37" i="30"/>
  <c r="E28" i="30"/>
  <c r="E14" i="30"/>
  <c r="E111" i="30"/>
  <c r="E69" i="30"/>
  <c r="E117" i="30"/>
  <c r="E12" i="30"/>
  <c r="E86" i="30"/>
  <c r="E43" i="30"/>
  <c r="E33" i="30"/>
  <c r="E54" i="30"/>
  <c r="E65" i="30"/>
  <c r="E46" i="30"/>
  <c r="E84" i="30"/>
  <c r="E116" i="30"/>
  <c r="E66" i="30"/>
  <c r="E16" i="30"/>
  <c r="E5" i="30"/>
  <c r="E8" i="30"/>
  <c r="E7" i="30"/>
  <c r="E42" i="30"/>
  <c r="E9" i="30"/>
  <c r="E79" i="30"/>
  <c r="E106" i="30"/>
  <c r="E26" i="30"/>
  <c r="E80" i="30"/>
  <c r="E6" i="30"/>
  <c r="E55" i="30"/>
  <c r="E95" i="30"/>
  <c r="E44" i="30"/>
  <c r="E22" i="30"/>
  <c r="E74" i="30"/>
  <c r="E118" i="30"/>
  <c r="E53" i="30"/>
  <c r="E108" i="30"/>
  <c r="E115" i="30"/>
  <c r="E91" i="30"/>
  <c r="E120" i="30"/>
  <c r="E40" i="30"/>
  <c r="E96" i="30"/>
  <c r="E63" i="30"/>
  <c r="E27" i="30"/>
  <c r="E4" i="30"/>
  <c r="E29" i="30"/>
  <c r="E76" i="30"/>
  <c r="E68" i="30"/>
  <c r="E119" i="30"/>
  <c r="E90" i="30"/>
  <c r="E93" i="30"/>
  <c r="E82" i="30"/>
  <c r="I2" i="12"/>
  <c r="I14" i="12"/>
  <c r="I26" i="12"/>
  <c r="J26" i="12" s="1"/>
  <c r="I25" i="12"/>
  <c r="I7" i="12"/>
  <c r="J7" i="12" s="1"/>
  <c r="I16" i="12"/>
  <c r="J16" i="12" s="1"/>
  <c r="I11" i="12"/>
  <c r="I24" i="12"/>
  <c r="I3" i="12"/>
  <c r="J3" i="12" s="1"/>
  <c r="I27" i="12"/>
  <c r="G4" i="12"/>
  <c r="I4" i="12" s="1"/>
  <c r="K27" i="12"/>
  <c r="K4" i="12"/>
  <c r="K3" i="12" l="1"/>
  <c r="N31" i="12"/>
  <c r="K26" i="12"/>
  <c r="Q31" i="12" s="1"/>
  <c r="J9" i="12"/>
  <c r="J20" i="12"/>
  <c r="J23" i="12"/>
  <c r="J12" i="12"/>
  <c r="J22" i="12"/>
  <c r="J24" i="12"/>
  <c r="J10" i="12"/>
  <c r="J19" i="12"/>
  <c r="J4" i="12"/>
  <c r="J11" i="12"/>
  <c r="J14" i="12"/>
  <c r="J21" i="12"/>
  <c r="J27" i="12"/>
  <c r="J18" i="12"/>
  <c r="J13" i="12"/>
  <c r="K20" i="12"/>
  <c r="K23" i="12"/>
  <c r="K22" i="12"/>
  <c r="K24" i="12"/>
  <c r="AB18" i="12" a="1"/>
  <c r="I31" i="12"/>
  <c r="L22" i="12"/>
  <c r="L23" i="12"/>
  <c r="L24" i="12"/>
  <c r="L20" i="12"/>
  <c r="K19" i="12"/>
  <c r="K21" i="12"/>
  <c r="L21" i="12" s="1"/>
  <c r="X18" i="12" a="1"/>
  <c r="V18" i="12" a="1"/>
  <c r="W18" i="12" a="1"/>
  <c r="W9" i="12" a="1"/>
  <c r="X9" i="12" a="1"/>
  <c r="V9" i="12" a="1"/>
  <c r="K12" i="12"/>
  <c r="H31" i="12"/>
  <c r="AB9" i="12" a="1"/>
  <c r="L12" i="12"/>
  <c r="K10" i="12"/>
  <c r="L10" i="12" s="1"/>
  <c r="K11" i="12"/>
  <c r="L11" i="12" s="1"/>
  <c r="K14" i="12"/>
  <c r="L14" i="12" s="1"/>
  <c r="K13" i="12"/>
  <c r="L13" i="12" s="1"/>
  <c r="L19" i="12"/>
  <c r="AB9" i="12" l="1"/>
  <c r="AB10" i="12"/>
  <c r="AB11" i="12"/>
  <c r="H32" i="12"/>
  <c r="V11" i="12"/>
  <c r="V9" i="12"/>
  <c r="V10" i="12"/>
  <c r="X11" i="12"/>
  <c r="X10" i="12"/>
  <c r="X9" i="12"/>
  <c r="W11" i="12"/>
  <c r="W9" i="12"/>
  <c r="W10" i="12"/>
  <c r="W18" i="12"/>
  <c r="W20" i="12"/>
  <c r="W19" i="12"/>
  <c r="V20" i="12"/>
  <c r="V19" i="12"/>
  <c r="V18" i="12"/>
  <c r="X19" i="12"/>
  <c r="X20" i="12"/>
  <c r="X18" i="12"/>
  <c r="P31" i="12"/>
  <c r="I32" i="12"/>
  <c r="AB19" i="12"/>
  <c r="AB20" i="12"/>
  <c r="AB18" i="12"/>
  <c r="AD9" i="12" l="1" a="1"/>
  <c r="AD18" i="12" a="1"/>
  <c r="AF18" i="12" l="1"/>
  <c r="AD20" i="12"/>
  <c r="AD18" i="12"/>
  <c r="AF19" i="12"/>
  <c r="AE19" i="12"/>
  <c r="AF20" i="12"/>
  <c r="AE20" i="12"/>
  <c r="AD19" i="12"/>
  <c r="AE18" i="12"/>
  <c r="AD10" i="12"/>
  <c r="AE11" i="12"/>
  <c r="AF11" i="12"/>
  <c r="AF9" i="12"/>
  <c r="AF10" i="12"/>
  <c r="AE9" i="12"/>
  <c r="AE10" i="12"/>
  <c r="AD11" i="12"/>
  <c r="AD9" i="12"/>
  <c r="Z18" i="12" l="1" a="1"/>
  <c r="Z9" i="12" a="1"/>
  <c r="Z10" i="12" l="1"/>
  <c r="V31" i="12" s="1"/>
  <c r="Z9" i="12"/>
  <c r="Z11" i="12"/>
  <c r="V32" i="12" s="1"/>
  <c r="Z20" i="12"/>
  <c r="W32" i="12" s="1"/>
  <c r="Z19" i="12"/>
  <c r="W31" i="12" s="1"/>
  <c r="Z18" i="12"/>
  <c r="V30" i="12" l="1"/>
  <c r="AH9" i="12" a="1"/>
  <c r="W30" i="12"/>
  <c r="AH18" i="12" a="1"/>
  <c r="AH20" i="12" l="1"/>
  <c r="AH18" i="12"/>
  <c r="AH19" i="12"/>
  <c r="W36" i="12"/>
  <c r="P36" i="12" s="1"/>
  <c r="I36" i="12" s="1"/>
  <c r="J17" i="25" s="1"/>
  <c r="N17" i="25" s="1"/>
  <c r="W41" i="12"/>
  <c r="P41" i="12" s="1"/>
  <c r="I41" i="12" s="1"/>
  <c r="J22" i="25" s="1"/>
  <c r="N22" i="25" s="1"/>
  <c r="W34" i="12"/>
  <c r="P34" i="12" s="1"/>
  <c r="I34" i="12" s="1"/>
  <c r="J15" i="25" s="1"/>
  <c r="N15" i="25" s="1"/>
  <c r="W37" i="12"/>
  <c r="P37" i="12" s="1"/>
  <c r="I37" i="12" s="1"/>
  <c r="J18" i="25" s="1"/>
  <c r="N18" i="25" s="1"/>
  <c r="W35" i="12"/>
  <c r="P35" i="12" s="1"/>
  <c r="I35" i="12" s="1"/>
  <c r="J16" i="25" s="1"/>
  <c r="N16" i="25" s="1"/>
  <c r="W38" i="12"/>
  <c r="P38" i="12" s="1"/>
  <c r="I38" i="12" s="1"/>
  <c r="J19" i="25" s="1"/>
  <c r="N19" i="25" s="1"/>
  <c r="W40" i="12"/>
  <c r="P40" i="12" s="1"/>
  <c r="I40" i="12" s="1"/>
  <c r="J21" i="25" s="1"/>
  <c r="N21" i="25" s="1"/>
  <c r="W43" i="12"/>
  <c r="P43" i="12" s="1"/>
  <c r="I43" i="12" s="1"/>
  <c r="J24" i="25" s="1"/>
  <c r="N24" i="25" s="1"/>
  <c r="W42" i="12"/>
  <c r="P42" i="12" s="1"/>
  <c r="I42" i="12" s="1"/>
  <c r="J23" i="25" s="1"/>
  <c r="N23" i="25" s="1"/>
  <c r="W39" i="12"/>
  <c r="P39" i="12" s="1"/>
  <c r="I39" i="12" s="1"/>
  <c r="J20" i="25" s="1"/>
  <c r="N20" i="25" s="1"/>
  <c r="AH11" i="12"/>
  <c r="AH9" i="12"/>
  <c r="AH10" i="12"/>
  <c r="V40" i="12"/>
  <c r="O40" i="12" s="1"/>
  <c r="H40" i="12" s="1"/>
  <c r="J14" i="25" s="1"/>
  <c r="N14" i="25" s="1"/>
  <c r="V34" i="12"/>
  <c r="O34" i="12" s="1"/>
  <c r="H34" i="12" s="1"/>
  <c r="J8" i="25" s="1"/>
  <c r="N8" i="25" s="1"/>
  <c r="V36" i="12"/>
  <c r="O36" i="12" s="1"/>
  <c r="H36" i="12" s="1"/>
  <c r="J10" i="25" s="1"/>
  <c r="N10" i="25" s="1"/>
  <c r="V37" i="12"/>
  <c r="O37" i="12" s="1"/>
  <c r="H37" i="12" s="1"/>
  <c r="J11" i="25" s="1"/>
  <c r="N11" i="25" s="1"/>
  <c r="V39" i="12"/>
  <c r="O39" i="12" s="1"/>
  <c r="H39" i="12" s="1"/>
  <c r="J13" i="25" s="1"/>
  <c r="N13" i="25" s="1"/>
  <c r="V38" i="12"/>
  <c r="O38" i="12" s="1"/>
  <c r="H38" i="12" s="1"/>
  <c r="J12" i="25" s="1"/>
  <c r="N12" i="25" s="1"/>
  <c r="V35" i="12"/>
  <c r="O35" i="12" s="1"/>
  <c r="H35" i="12" s="1"/>
  <c r="J9" i="25" s="1"/>
  <c r="N9" i="25" s="1"/>
  <c r="O19" i="25"/>
  <c r="O14" i="25"/>
  <c r="O17" i="25"/>
  <c r="O22" i="25"/>
  <c r="O15" i="25"/>
  <c r="O9" i="25"/>
  <c r="O21" i="25"/>
  <c r="O8" i="25"/>
  <c r="O23" i="25"/>
  <c r="O13" i="25"/>
  <c r="O18" i="25"/>
  <c r="O16" i="25"/>
  <c r="O24" i="25"/>
  <c r="O10" i="25"/>
  <c r="O11" i="25"/>
  <c r="O20" i="25"/>
  <c r="O12" i="25"/>
  <c r="P8" i="25" s="1"/>
  <c r="P15" i="25"/>
  <c r="G31" i="12" l="1"/>
  <c r="K9" i="12"/>
  <c r="J31" i="12"/>
  <c r="L27" i="12"/>
  <c r="L4" i="12"/>
  <c r="L3" i="12"/>
  <c r="I40" i="4"/>
  <c r="D41" i="4"/>
  <c r="D40" i="4"/>
  <c r="I41" i="4"/>
  <c r="K18" i="12"/>
  <c r="N32" i="12"/>
  <c r="N34" i="12"/>
  <c r="G34" i="12"/>
  <c r="J3" i="25" s="1"/>
  <c r="N3" i="25" s="1"/>
  <c r="J32" i="12"/>
  <c r="J44" i="12" s="1"/>
  <c r="J50" i="25" s="1"/>
  <c r="N50" i="25" s="1"/>
  <c r="O31" i="12"/>
  <c r="G32" i="12"/>
  <c r="L26" i="12"/>
  <c r="Q32" i="12" s="1"/>
  <c r="Q44" i="12" s="1"/>
  <c r="O50" i="25"/>
  <c r="O3" i="25"/>
  <c r="J34" i="12"/>
  <c r="J40" i="25"/>
  <c r="N40" i="25" s="1"/>
  <c r="O40" i="25"/>
  <c r="J35" i="12"/>
  <c r="J41" i="25" s="1"/>
  <c r="N41" i="25" s="1"/>
  <c r="O41" i="25"/>
  <c r="J36" i="12"/>
  <c r="J42" i="25" s="1"/>
  <c r="N42" i="25" s="1"/>
  <c r="O42" i="25"/>
  <c r="J37" i="12"/>
  <c r="J43" i="25" s="1"/>
  <c r="N43" i="25" s="1"/>
  <c r="O43" i="25"/>
  <c r="J38" i="12"/>
  <c r="J44" i="25"/>
  <c r="N44" i="25" s="1"/>
  <c r="O44" i="25"/>
  <c r="J39" i="12"/>
  <c r="J45" i="25" s="1"/>
  <c r="N45" i="25" s="1"/>
  <c r="O45" i="25"/>
  <c r="J40" i="12"/>
  <c r="J46" i="25" s="1"/>
  <c r="N46" i="25" s="1"/>
  <c r="O46" i="25"/>
  <c r="J41" i="12"/>
  <c r="J47" i="25" s="1"/>
  <c r="N47" i="25" s="1"/>
  <c r="O47" i="25"/>
  <c r="J42" i="12"/>
  <c r="J48" i="25" s="1"/>
  <c r="N48" i="25" s="1"/>
  <c r="O48" i="25"/>
  <c r="J43" i="12"/>
  <c r="J49" i="25" s="1"/>
  <c r="N49" i="25" s="1"/>
  <c r="O49" i="25"/>
  <c r="J45" i="12"/>
  <c r="J51" i="25" s="1"/>
  <c r="N51" i="25" s="1"/>
  <c r="O51" i="25"/>
  <c r="J46" i="12"/>
  <c r="J52" i="25" s="1"/>
  <c r="N52" i="25" s="1"/>
  <c r="O52" i="25"/>
  <c r="J47" i="12"/>
  <c r="J53" i="25" s="1"/>
  <c r="N53" i="25" s="1"/>
  <c r="O53" i="25"/>
  <c r="J48" i="12"/>
  <c r="J54" i="25" s="1"/>
  <c r="N54" i="25" s="1"/>
  <c r="O54" i="25"/>
  <c r="J49" i="12"/>
  <c r="J55" i="25" s="1"/>
  <c r="N55" i="25" s="1"/>
  <c r="O55" i="25"/>
  <c r="P40" i="25"/>
  <c r="M25" i="30"/>
  <c r="M33" i="30"/>
  <c r="M21" i="28"/>
  <c r="M29" i="28"/>
  <c r="M37" i="28"/>
  <c r="M45" i="28"/>
  <c r="M53" i="28"/>
  <c r="M26" i="30"/>
  <c r="M34" i="30"/>
  <c r="M22" i="28"/>
  <c r="M30" i="28"/>
  <c r="M38" i="28"/>
  <c r="M46" i="28"/>
  <c r="M54" i="28"/>
  <c r="M27" i="30"/>
  <c r="M35" i="30"/>
  <c r="M23" i="28"/>
  <c r="M31" i="28"/>
  <c r="M39" i="28"/>
  <c r="M47" i="28"/>
  <c r="M55" i="28"/>
  <c r="M28" i="30"/>
  <c r="M36" i="30"/>
  <c r="M24" i="28"/>
  <c r="M32" i="28"/>
  <c r="M40" i="28"/>
  <c r="M48" i="28"/>
  <c r="M29" i="30"/>
  <c r="M37" i="30"/>
  <c r="M25" i="28"/>
  <c r="M33" i="28"/>
  <c r="M41" i="28"/>
  <c r="M49" i="28"/>
  <c r="M30" i="30"/>
  <c r="M38" i="30"/>
  <c r="M26" i="28"/>
  <c r="M34" i="28"/>
  <c r="M42" i="28"/>
  <c r="M50" i="28"/>
  <c r="M31" i="30"/>
  <c r="M19" i="28"/>
  <c r="M27" i="28"/>
  <c r="M35" i="28"/>
  <c r="M43" i="28"/>
  <c r="M51" i="28"/>
  <c r="M24" i="30"/>
  <c r="M32" i="30"/>
  <c r="M20" i="28"/>
  <c r="M28" i="28"/>
  <c r="M36" i="28"/>
  <c r="M44" i="28"/>
  <c r="M52" i="28"/>
  <c r="M13" i="28"/>
  <c r="N13" i="28"/>
  <c r="M6" i="28"/>
  <c r="N6" i="28"/>
  <c r="L18" i="12"/>
  <c r="P32" i="12"/>
  <c r="L9" i="12"/>
  <c r="O32" i="12"/>
  <c r="M3" i="30"/>
  <c r="Q38" i="12"/>
  <c r="Q46" i="12"/>
  <c r="Q49" i="12"/>
  <c r="Q41" i="12"/>
  <c r="Q40" i="12"/>
  <c r="N36" i="12"/>
  <c r="G36" i="12" s="1"/>
  <c r="J5" i="25" s="1"/>
  <c r="N5" i="25" s="1"/>
  <c r="O5" i="25"/>
  <c r="Q39" i="12"/>
  <c r="Q42" i="12"/>
  <c r="N37" i="12"/>
  <c r="G37" i="12" s="1"/>
  <c r="J6" i="25" s="1"/>
  <c r="N6" i="25" s="1"/>
  <c r="O6" i="25"/>
  <c r="Q36" i="12"/>
  <c r="Q47" i="12"/>
  <c r="N38" i="12"/>
  <c r="G38" i="12" s="1"/>
  <c r="J7" i="25" s="1"/>
  <c r="N7" i="25" s="1"/>
  <c r="O7" i="25"/>
  <c r="Q35" i="12"/>
  <c r="Q37" i="12"/>
  <c r="N35" i="12"/>
  <c r="G35" i="12" s="1"/>
  <c r="J4" i="25" s="1"/>
  <c r="N4" i="25" s="1"/>
  <c r="O4" i="25"/>
  <c r="Q34" i="12"/>
  <c r="Q48" i="12"/>
  <c r="N3" i="30"/>
  <c r="Q45" i="12"/>
  <c r="Q43" i="12"/>
  <c r="M4" i="30"/>
  <c r="N4" i="30"/>
  <c r="M8" i="30"/>
  <c r="N8" i="30"/>
  <c r="M9" i="30"/>
  <c r="N9" i="30"/>
  <c r="M2" i="30"/>
  <c r="N2" i="30"/>
  <c r="M4" i="28"/>
  <c r="N4" i="28"/>
  <c r="M12" i="30"/>
  <c r="N12" i="30"/>
  <c r="P2" i="25"/>
  <c r="M10" i="28"/>
  <c r="N10" i="28"/>
  <c r="M11" i="30"/>
  <c r="N11" i="30"/>
  <c r="M12" i="28"/>
  <c r="N12" i="28"/>
  <c r="M3" i="28"/>
  <c r="N3" i="28"/>
  <c r="M9" i="28"/>
  <c r="N9" i="28"/>
  <c r="M5" i="30"/>
  <c r="N5" i="30"/>
  <c r="M7" i="30"/>
  <c r="N7" i="30"/>
  <c r="M7" i="28"/>
  <c r="N7" i="28"/>
  <c r="M11" i="28"/>
  <c r="N11" i="28"/>
  <c r="M6" i="30"/>
  <c r="N6" i="30"/>
  <c r="M13" i="30"/>
  <c r="N13" i="30"/>
  <c r="M14" i="30"/>
  <c r="N14" i="30"/>
  <c r="M10" i="30"/>
  <c r="N10" i="30"/>
  <c r="M2" i="28"/>
  <c r="N2" i="28"/>
  <c r="M5" i="28"/>
  <c r="N5" i="28"/>
  <c r="M8" i="28"/>
  <c r="N8" i="28"/>
  <c r="D36" i="4"/>
  <c r="N52" i="28"/>
  <c r="O52" i="28"/>
  <c r="J89" i="25" s="1"/>
  <c r="N89" i="25" s="1"/>
  <c r="O89" i="25"/>
  <c r="N44" i="28"/>
  <c r="O44" i="28"/>
  <c r="J81" i="25" s="1"/>
  <c r="N81" i="25" s="1"/>
  <c r="O81" i="25"/>
  <c r="N36" i="28"/>
  <c r="O36" i="28"/>
  <c r="J73" i="25" s="1"/>
  <c r="N73" i="25" s="1"/>
  <c r="O73" i="25"/>
  <c r="N28" i="28"/>
  <c r="O28" i="28"/>
  <c r="J65" i="25"/>
  <c r="N65" i="25" s="1"/>
  <c r="O65" i="25"/>
  <c r="N20" i="28"/>
  <c r="O20" i="28"/>
  <c r="J57" i="25"/>
  <c r="N57" i="25" s="1"/>
  <c r="O57" i="25"/>
  <c r="I36" i="4"/>
  <c r="N32" i="30"/>
  <c r="O32" i="30"/>
  <c r="J33" i="25" s="1"/>
  <c r="N33" i="25" s="1"/>
  <c r="O33" i="25"/>
  <c r="N24" i="30"/>
  <c r="O24" i="30"/>
  <c r="J25" i="25" s="1"/>
  <c r="N25" i="25" s="1"/>
  <c r="O25" i="25"/>
  <c r="N51" i="28"/>
  <c r="O51" i="28"/>
  <c r="J88" i="25" s="1"/>
  <c r="N88" i="25" s="1"/>
  <c r="O88" i="25"/>
  <c r="N43" i="28"/>
  <c r="O43" i="28"/>
  <c r="J80" i="25" s="1"/>
  <c r="N80" i="25" s="1"/>
  <c r="O80" i="25"/>
  <c r="N35" i="28"/>
  <c r="O35" i="28"/>
  <c r="J72" i="25" s="1"/>
  <c r="N72" i="25" s="1"/>
  <c r="O72" i="25"/>
  <c r="N27" i="28"/>
  <c r="O27" i="28"/>
  <c r="J64" i="25" s="1"/>
  <c r="N64" i="25" s="1"/>
  <c r="O64" i="25"/>
  <c r="N19" i="28"/>
  <c r="O19" i="28"/>
  <c r="J56" i="25" s="1"/>
  <c r="N56" i="25" s="1"/>
  <c r="O56" i="25"/>
  <c r="N31" i="30"/>
  <c r="O31" i="30"/>
  <c r="J32" i="25" s="1"/>
  <c r="N32" i="25" s="1"/>
  <c r="O32" i="25"/>
  <c r="N50" i="28"/>
  <c r="O50" i="28"/>
  <c r="J87" i="25" s="1"/>
  <c r="N87" i="25" s="1"/>
  <c r="O87" i="25"/>
  <c r="N42" i="28"/>
  <c r="O42" i="28"/>
  <c r="J79" i="25" s="1"/>
  <c r="N79" i="25" s="1"/>
  <c r="O79" i="25"/>
  <c r="N34" i="28"/>
  <c r="O34" i="28"/>
  <c r="J71" i="25" s="1"/>
  <c r="N71" i="25" s="1"/>
  <c r="O71" i="25"/>
  <c r="N26" i="28"/>
  <c r="O26" i="28"/>
  <c r="J63" i="25" s="1"/>
  <c r="N63" i="25" s="1"/>
  <c r="O63" i="25"/>
  <c r="N38" i="30"/>
  <c r="O38" i="30"/>
  <c r="J39" i="25" s="1"/>
  <c r="N39" i="25" s="1"/>
  <c r="O39" i="25"/>
  <c r="N30" i="30"/>
  <c r="O30" i="30"/>
  <c r="J31" i="25" s="1"/>
  <c r="N31" i="25" s="1"/>
  <c r="O31" i="25"/>
  <c r="N49" i="28"/>
  <c r="O49" i="28"/>
  <c r="J86" i="25" s="1"/>
  <c r="N86" i="25" s="1"/>
  <c r="O86" i="25"/>
  <c r="N41" i="28"/>
  <c r="O41" i="28"/>
  <c r="J78" i="25" s="1"/>
  <c r="N78" i="25" s="1"/>
  <c r="O78" i="25"/>
  <c r="N33" i="28"/>
  <c r="O33" i="28"/>
  <c r="J70" i="25" s="1"/>
  <c r="N70" i="25" s="1"/>
  <c r="O70" i="25"/>
  <c r="N25" i="28"/>
  <c r="O25" i="28"/>
  <c r="J62" i="25" s="1"/>
  <c r="N62" i="25" s="1"/>
  <c r="O62" i="25"/>
  <c r="N37" i="30"/>
  <c r="O37" i="30"/>
  <c r="J38" i="25" s="1"/>
  <c r="N38" i="25" s="1"/>
  <c r="O38" i="25"/>
  <c r="N29" i="30"/>
  <c r="O29" i="30"/>
  <c r="J30" i="25" s="1"/>
  <c r="N30" i="25" s="1"/>
  <c r="O30" i="25"/>
  <c r="N48" i="28"/>
  <c r="O48" i="28"/>
  <c r="J85" i="25" s="1"/>
  <c r="N85" i="25" s="1"/>
  <c r="O85" i="25"/>
  <c r="N40" i="28"/>
  <c r="O40" i="28"/>
  <c r="J77" i="25" s="1"/>
  <c r="N77" i="25" s="1"/>
  <c r="O77" i="25"/>
  <c r="N32" i="28"/>
  <c r="O32" i="28"/>
  <c r="J69" i="25" s="1"/>
  <c r="N69" i="25" s="1"/>
  <c r="O69" i="25"/>
  <c r="N24" i="28"/>
  <c r="O24" i="28"/>
  <c r="J61" i="25" s="1"/>
  <c r="N61" i="25" s="1"/>
  <c r="O61" i="25"/>
  <c r="N36" i="30"/>
  <c r="O36" i="30"/>
  <c r="J37" i="25" s="1"/>
  <c r="N37" i="25" s="1"/>
  <c r="O37" i="25"/>
  <c r="N28" i="30"/>
  <c r="O28" i="30"/>
  <c r="J29" i="25" s="1"/>
  <c r="N29" i="25" s="1"/>
  <c r="O29" i="25"/>
  <c r="N55" i="28"/>
  <c r="O55" i="28"/>
  <c r="J92" i="25" s="1"/>
  <c r="N92" i="25" s="1"/>
  <c r="O92" i="25"/>
  <c r="N47" i="28"/>
  <c r="O47" i="28"/>
  <c r="J84" i="25" s="1"/>
  <c r="N84" i="25" s="1"/>
  <c r="O84" i="25"/>
  <c r="N39" i="28"/>
  <c r="O39" i="28"/>
  <c r="J76" i="25" s="1"/>
  <c r="N76" i="25" s="1"/>
  <c r="O76" i="25"/>
  <c r="N31" i="28"/>
  <c r="O31" i="28"/>
  <c r="J68" i="25" s="1"/>
  <c r="N68" i="25" s="1"/>
  <c r="O68" i="25"/>
  <c r="N23" i="28"/>
  <c r="O23" i="28"/>
  <c r="J60" i="25" s="1"/>
  <c r="N60" i="25" s="1"/>
  <c r="O60" i="25"/>
  <c r="N35" i="30"/>
  <c r="O35" i="30"/>
  <c r="J36" i="25" s="1"/>
  <c r="N36" i="25" s="1"/>
  <c r="O36" i="25"/>
  <c r="N27" i="30"/>
  <c r="O27" i="30"/>
  <c r="J28" i="25" s="1"/>
  <c r="N28" i="25" s="1"/>
  <c r="O28" i="25"/>
  <c r="N54" i="28"/>
  <c r="O54" i="28"/>
  <c r="J91" i="25" s="1"/>
  <c r="N91" i="25" s="1"/>
  <c r="O91" i="25"/>
  <c r="N46" i="28"/>
  <c r="O46" i="28"/>
  <c r="J83" i="25"/>
  <c r="N83" i="25" s="1"/>
  <c r="O83" i="25"/>
  <c r="N38" i="28"/>
  <c r="O38" i="28"/>
  <c r="J75" i="25" s="1"/>
  <c r="N75" i="25" s="1"/>
  <c r="O75" i="25"/>
  <c r="N30" i="28"/>
  <c r="O30" i="28"/>
  <c r="J67" i="25" s="1"/>
  <c r="N67" i="25" s="1"/>
  <c r="O67" i="25"/>
  <c r="N22" i="28"/>
  <c r="O22" i="28"/>
  <c r="J59" i="25" s="1"/>
  <c r="N59" i="25" s="1"/>
  <c r="O59" i="25"/>
  <c r="N34" i="30"/>
  <c r="O34" i="30"/>
  <c r="J35" i="25"/>
  <c r="N35" i="25" s="1"/>
  <c r="O35" i="25"/>
  <c r="N26" i="30"/>
  <c r="O26" i="30"/>
  <c r="J27" i="25"/>
  <c r="N27" i="25"/>
  <c r="O27" i="25"/>
  <c r="N53" i="28"/>
  <c r="O53" i="28"/>
  <c r="J90" i="25"/>
  <c r="N90" i="25" s="1"/>
  <c r="O90" i="25"/>
  <c r="N45" i="28"/>
  <c r="O45" i="28"/>
  <c r="J82" i="25"/>
  <c r="N82" i="25" s="1"/>
  <c r="O82" i="25"/>
  <c r="N37" i="28"/>
  <c r="O37" i="28"/>
  <c r="J74" i="25" s="1"/>
  <c r="N74" i="25" s="1"/>
  <c r="O74" i="25"/>
  <c r="N29" i="28"/>
  <c r="O29" i="28"/>
  <c r="J66" i="25" s="1"/>
  <c r="N66" i="25" s="1"/>
  <c r="O66" i="25"/>
  <c r="N21" i="28"/>
  <c r="O21" i="28"/>
  <c r="J58" i="25" s="1"/>
  <c r="N58" i="25" s="1"/>
  <c r="O58" i="25"/>
  <c r="N33" i="30"/>
  <c r="O33" i="30"/>
  <c r="J34" i="25" s="1"/>
  <c r="N34" i="25" s="1"/>
  <c r="O34" i="25"/>
  <c r="N25" i="30"/>
  <c r="O25" i="30"/>
  <c r="J26" i="25" s="1"/>
  <c r="N26" i="25" s="1"/>
  <c r="O26" i="25"/>
</calcChain>
</file>

<file path=xl/sharedStrings.xml><?xml version="1.0" encoding="utf-8"?>
<sst xmlns="http://schemas.openxmlformats.org/spreadsheetml/2006/main" count="483" uniqueCount="221">
  <si>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</si>
  <si>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</si>
  <si>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</si>
  <si>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</si>
  <si>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</si>
  <si>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</si>
  <si>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</si>
  <si>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</si>
  <si>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</si>
  <si>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</si>
  <si>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</si>
  <si>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</si>
  <si>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</si>
  <si>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</si>
  <si>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</si>
  <si>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</si>
  <si>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</si>
  <si>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</si>
  <si>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</si>
  <si>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</si>
  <si>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</si>
  <si>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</si>
  <si>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</si>
  <si>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</si>
  <si>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</si>
  <si>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</si>
  <si>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</si>
  <si>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</si>
  <si>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</si>
  <si>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</si>
  <si>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</si>
  <si>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</si>
  <si>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</si>
  <si>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</si>
  <si>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</si>
  <si>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</si>
  <si>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</si>
  <si>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</si>
  <si>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</si>
  <si>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</si>
  <si>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</si>
  <si>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</si>
  <si>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</si>
  <si>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</si>
  <si>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</si>
  <si>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</si>
  <si>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</si>
  <si>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</si>
  <si>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</si>
  <si>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</si>
  <si>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</si>
  <si>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USD</t>
  </si>
  <si>
    <t>UnitedKingdom::Exchange</t>
  </si>
  <si>
    <t>DayCounter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</si>
  <si>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</si>
  <si>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</si>
  <si>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</si>
  <si>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</si>
  <si>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</si>
  <si>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</si>
  <si>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</si>
  <si>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</si>
  <si>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</si>
  <si>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</si>
  <si>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</si>
  <si>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</si>
  <si>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</si>
  <si>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</si>
  <si>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</si>
  <si>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</si>
  <si>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</si>
  <si>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</si>
  <si>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</si>
  <si>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</si>
  <si>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</si>
  <si>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</si>
  <si>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</si>
  <si>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</si>
  <si>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</si>
  <si>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</si>
  <si>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</si>
  <si>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USDFedFunds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</si>
  <si>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</si>
  <si>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</si>
  <si>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</si>
  <si>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</si>
  <si>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</si>
  <si>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</si>
  <si>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</si>
  <si>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</si>
  <si>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</si>
  <si>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</si>
  <si>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</si>
  <si>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</si>
  <si>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</si>
  <si>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</si>
  <si>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</si>
  <si>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</si>
  <si>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F</t>
  </si>
  <si>
    <t>USD_020_ForwardSwapQuotes</t>
  </si>
  <si>
    <t>Fwd start</t>
  </si>
  <si>
    <t>Spread</t>
  </si>
  <si>
    <t>Swap index</t>
  </si>
  <si>
    <t>0D</t>
  </si>
  <si>
    <t>CHF</t>
  </si>
  <si>
    <t>AB</t>
  </si>
  <si>
    <t>6L</t>
  </si>
  <si>
    <t>1w</t>
  </si>
  <si>
    <t>12L</t>
  </si>
  <si>
    <t>2Y</t>
  </si>
  <si>
    <t>EUR</t>
  </si>
  <si>
    <t>6E</t>
  </si>
  <si>
    <t>12E</t>
  </si>
  <si>
    <t>3Y</t>
  </si>
  <si>
    <t>GBP</t>
  </si>
  <si>
    <t>SB</t>
  </si>
  <si>
    <t>4Y</t>
  </si>
  <si>
    <t>JPY</t>
  </si>
  <si>
    <t>5Y</t>
  </si>
  <si>
    <t>AM</t>
  </si>
  <si>
    <t>3L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</si>
  <si>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</si>
  <si>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</si>
  <si>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</si>
  <si>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</si>
  <si>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</si>
  <si>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</si>
  <si>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</si>
  <si>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</si>
  <si>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</si>
  <si>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</si>
  <si>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</si>
  <si>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</si>
  <si>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</si>
  <si>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</si>
  <si>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</si>
  <si>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</si>
  <si>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</si>
  <si>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</si>
  <si>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</si>
  <si>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</si>
  <si>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</si>
  <si>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</si>
  <si>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</si>
  <si>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</si>
  <si>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</si>
  <si>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</si>
  <si>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</si>
  <si>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</si>
  <si>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</si>
  <si>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IborTenor</t>
  </si>
  <si>
    <t>NDays</t>
  </si>
  <si>
    <t>Accuracy</t>
  </si>
  <si>
    <t>TraitsID</t>
  </si>
  <si>
    <t>Discount</t>
  </si>
  <si>
    <t>InterpolatorID</t>
  </si>
  <si>
    <t>MonotonicLogCubicNaturalSpline</t>
  </si>
  <si>
    <t>IborIndex</t>
  </si>
  <si>
    <t>BasisInterpolation</t>
  </si>
  <si>
    <t>BasisInterpolator</t>
  </si>
  <si>
    <t>PiecewiseYieldCurve</t>
  </si>
  <si>
    <t>Error</t>
  </si>
  <si>
    <t>Actual/365 (Fixed)</t>
  </si>
  <si>
    <t>FamilyName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</si>
  <si>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</si>
  <si>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</si>
  <si>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</si>
  <si>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</si>
  <si>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</si>
  <si>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</si>
  <si>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</si>
  <si>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</si>
  <si>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Triggers</t>
  </si>
  <si>
    <t>Depo Settings</t>
  </si>
  <si>
    <t>7x19F</t>
  </si>
  <si>
    <t>8x20F</t>
  </si>
  <si>
    <t>10x22F</t>
  </si>
  <si>
    <t>11x23F</t>
  </si>
  <si>
    <t>13x25F</t>
  </si>
  <si>
    <t>14x26F</t>
  </si>
  <si>
    <t>15x27F</t>
  </si>
  <si>
    <t>16x28F</t>
  </si>
  <si>
    <t>17x29F</t>
  </si>
  <si>
    <t>18x30F</t>
  </si>
  <si>
    <t>19x31F</t>
  </si>
  <si>
    <t>20x32F</t>
  </si>
  <si>
    <t>21x33F</t>
  </si>
  <si>
    <t>22x34F</t>
  </si>
  <si>
    <t>23x35F</t>
  </si>
  <si>
    <t>25x37F</t>
  </si>
  <si>
    <t>26x38F</t>
  </si>
  <si>
    <t>27x39F</t>
  </si>
  <si>
    <t>28x40F</t>
  </si>
  <si>
    <t>29x41F</t>
  </si>
  <si>
    <t>30x42F</t>
  </si>
  <si>
    <t>31x43F</t>
  </si>
  <si>
    <t>32x44F</t>
  </si>
  <si>
    <t>33x45F</t>
  </si>
  <si>
    <t>34x46F</t>
  </si>
  <si>
    <t>35x47F</t>
  </si>
  <si>
    <t>37x49F</t>
  </si>
  <si>
    <t>38x50F</t>
  </si>
  <si>
    <t>39x51F</t>
  </si>
  <si>
    <t>40x52F</t>
  </si>
  <si>
    <t>41x53F</t>
  </si>
  <si>
    <t>42x54F</t>
  </si>
  <si>
    <t>43x55F</t>
  </si>
  <si>
    <t>44x56F</t>
  </si>
  <si>
    <t>45x57F</t>
  </si>
  <si>
    <t>46x58F</t>
  </si>
  <si>
    <t>47x59F</t>
  </si>
  <si>
    <t>3E</t>
  </si>
  <si>
    <t>1Y FRA Settings</t>
  </si>
  <si>
    <t>6M FRA Settings</t>
  </si>
  <si>
    <t>SN</t>
  </si>
  <si>
    <t>SW</t>
  </si>
  <si>
    <t>S</t>
  </si>
  <si>
    <t xml:space="preserve"> GB Calendar</t>
  </si>
  <si>
    <t>US Calendar</t>
  </si>
  <si>
    <t>HolidayCheck</t>
  </si>
  <si>
    <t>UnitedStates::Settlement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</si>
</sst>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  <numFmt numFmtId="177" formatCode="ddd\,\ d\-mmm\-yy"/>
    <numFmt numFmtId="178" formatCode="0.000000000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375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9" borderId="15" xfId="27" applyNumberFormat="1" applyFont="1" applyFill="1" applyBorder="1" applyAlignment="1" applyProtection="1">
      <alignment vertical="center"/>
    </xf>
    <xf numFmtId="0" fontId="9" fillId="4" borderId="20" xfId="27" applyFont="1" applyFill="1" applyBorder="1"/>
    <xf numFmtId="0" fontId="9" fillId="0" borderId="28" xfId="27" applyFont="1" applyBorder="1" applyAlignment="1">
      <alignment horizontal="center" vertical="center"/>
    </xf>
    <xf numFmtId="0" fontId="9" fillId="9" borderId="15" xfId="27" applyNumberFormat="1" applyFont="1" applyFill="1" applyBorder="1" applyAlignment="1" applyProtection="1">
      <alignment horizontal="center" vertical="center"/>
    </xf>
    <xf numFmtId="0" fontId="20" fillId="4" borderId="1" xfId="27" applyFont="1" applyFill="1" applyBorder="1" applyAlignment="1">
      <alignment vertical="center"/>
    </xf>
    <xf numFmtId="0" fontId="11" fillId="4" borderId="15" xfId="27" applyFont="1" applyFill="1" applyBorder="1" applyAlignment="1">
      <alignment horizontal="center" vertical="center" wrapText="1"/>
    </xf>
    <xf numFmtId="0" fontId="9" fillId="4" borderId="19" xfId="27" applyFont="1" applyFill="1" applyBorder="1" applyAlignment="1">
      <alignment horizontal="center"/>
    </xf>
    <xf numFmtId="0" fontId="9" fillId="0" borderId="0" xfId="27" applyFont="1"/>
    <xf numFmtId="0" fontId="9" fillId="4" borderId="26" xfId="27" applyFont="1" applyFill="1" applyBorder="1"/>
    <xf numFmtId="0" fontId="9" fillId="0" borderId="25" xfId="27" applyFont="1" applyBorder="1"/>
    <xf numFmtId="0" fontId="9" fillId="4" borderId="25" xfId="27" applyFont="1" applyFill="1" applyBorder="1"/>
    <xf numFmtId="0" fontId="9" fillId="4" borderId="24" xfId="27" applyFont="1" applyFill="1" applyBorder="1" applyAlignment="1">
      <alignment horizontal="left"/>
    </xf>
    <xf numFmtId="0" fontId="9" fillId="0" borderId="46" xfId="27" applyFont="1" applyBorder="1" applyAlignment="1">
      <alignment horizontal="center" vertical="center"/>
    </xf>
    <xf numFmtId="0" fontId="9" fillId="0" borderId="29" xfId="27" applyFont="1" applyBorder="1" applyAlignment="1">
      <alignment horizontal="center" vertical="center"/>
    </xf>
    <xf numFmtId="49" fontId="9" fillId="0" borderId="15" xfId="15" applyNumberFormat="1" applyFont="1" applyFill="1" applyBorder="1" applyAlignment="1">
      <alignment horizontal="center"/>
    </xf>
    <xf numFmtId="0" fontId="9" fillId="4" borderId="15" xfId="27" applyNumberFormat="1" applyFont="1" applyFill="1" applyBorder="1" applyAlignment="1">
      <alignment horizontal="center"/>
    </xf>
    <xf numFmtId="0" fontId="9" fillId="6" borderId="15" xfId="27" applyNumberFormat="1" applyFont="1" applyFill="1" applyBorder="1" applyAlignment="1">
      <alignment horizontal="center"/>
    </xf>
    <xf numFmtId="165" fontId="9" fillId="4" borderId="15" xfId="15" applyNumberFormat="1" applyFont="1" applyFill="1" applyBorder="1" applyAlignment="1">
      <alignment horizontal="left"/>
    </xf>
    <xf numFmtId="0" fontId="10" fillId="4" borderId="15" xfId="27" applyNumberFormat="1" applyFont="1" applyFill="1" applyBorder="1" applyAlignment="1"/>
    <xf numFmtId="0" fontId="9" fillId="4" borderId="15" xfId="27" applyNumberFormat="1" applyFont="1" applyFill="1" applyBorder="1" applyAlignment="1">
      <alignment horizontal="left"/>
    </xf>
    <xf numFmtId="0" fontId="10" fillId="9" borderId="15" xfId="27" applyNumberFormat="1" applyFont="1" applyFill="1" applyBorder="1" applyAlignment="1" applyProtection="1"/>
    <xf numFmtId="0" fontId="9" fillId="0" borderId="19" xfId="27" applyFont="1" applyBorder="1" applyAlignment="1">
      <alignment horizontal="center"/>
    </xf>
    <xf numFmtId="0" fontId="9" fillId="0" borderId="0" xfId="27" applyFont="1" applyBorder="1" applyAlignment="1">
      <alignment horizontal="center"/>
    </xf>
    <xf numFmtId="0" fontId="9" fillId="0" borderId="20" xfId="27" applyFont="1" applyBorder="1" applyAlignment="1">
      <alignment horizontal="center"/>
    </xf>
    <xf numFmtId="0" fontId="9" fillId="4" borderId="15" xfId="27" applyNumberFormat="1" applyFont="1" applyFill="1" applyBorder="1" applyAlignment="1"/>
    <xf numFmtId="0" fontId="9" fillId="0" borderId="21" xfId="27" applyFont="1" applyBorder="1" applyAlignment="1">
      <alignment horizontal="center"/>
    </xf>
    <xf numFmtId="0" fontId="9" fillId="0" borderId="22" xfId="27" applyFont="1" applyBorder="1" applyAlignment="1">
      <alignment horizontal="center"/>
    </xf>
    <xf numFmtId="0" fontId="9" fillId="0" borderId="23" xfId="27" applyFont="1" applyBorder="1" applyAlignment="1">
      <alignment horizontal="center"/>
    </xf>
    <xf numFmtId="0" fontId="9" fillId="4" borderId="21" xfId="27" applyFont="1" applyFill="1" applyBorder="1"/>
    <xf numFmtId="0" fontId="9" fillId="4" borderId="22" xfId="27" applyFont="1" applyFill="1" applyBorder="1"/>
    <xf numFmtId="0" fontId="9" fillId="4" borderId="22" xfId="27" applyFont="1" applyFill="1" applyBorder="1" applyAlignment="1">
      <alignment horizontal="left"/>
    </xf>
    <xf numFmtId="0" fontId="9" fillId="4" borderId="23" xfId="27" applyFont="1" applyFill="1" applyBorder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19" applyNumberFormat="1" applyFont="1" applyFill="1" applyBorder="1" applyAlignment="1">
      <alignment horizontal="center"/>
    </xf>
    <xf numFmtId="166" fontId="9" fillId="4" borderId="13" xfId="19" applyNumberFormat="1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5" xfId="4" applyNumberFormat="1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5" borderId="15" xfId="4" applyFont="1" applyFill="1" applyBorder="1" applyAlignment="1">
      <alignment horizontal="right" vertical="center"/>
    </xf>
    <xf numFmtId="166" fontId="9" fillId="12" borderId="15" xfId="3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right"/>
    </xf>
    <xf numFmtId="178" fontId="9" fillId="4" borderId="5" xfId="0" applyNumberFormat="1" applyFont="1" applyFill="1" applyBorder="1" applyAlignment="1">
      <alignment horizontal="center"/>
    </xf>
    <xf numFmtId="166" fontId="9" fillId="4" borderId="3" xfId="0" applyNumberFormat="1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right"/>
    </xf>
    <xf numFmtId="177" fontId="9" fillId="9" borderId="5" xfId="0" quotePrefix="1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right"/>
    </xf>
    <xf numFmtId="1" fontId="10" fillId="9" borderId="10" xfId="0" applyNumberFormat="1" applyFont="1" applyFill="1" applyBorder="1" applyAlignment="1">
      <alignment horizontal="left"/>
    </xf>
    <xf numFmtId="0" fontId="5" fillId="0" borderId="0" xfId="11"/>
    <xf numFmtId="0" fontId="11" fillId="11" borderId="11" xfId="11" applyFont="1" applyFill="1" applyBorder="1" applyAlignment="1">
      <alignment horizontal="center" vertical="center" wrapText="1"/>
    </xf>
    <xf numFmtId="0" fontId="11" fillId="11" borderId="13" xfId="11" applyFont="1" applyFill="1" applyBorder="1" applyAlignment="1">
      <alignment horizontal="center" vertical="center" wrapText="1"/>
    </xf>
    <xf numFmtId="0" fontId="9" fillId="0" borderId="0" xfId="11" applyFont="1"/>
    <xf numFmtId="0" fontId="9" fillId="4" borderId="8" xfId="11" applyFont="1" applyFill="1" applyBorder="1" applyAlignment="1"/>
    <xf numFmtId="165" fontId="9" fillId="4" borderId="0" xfId="11" applyNumberFormat="1" applyFont="1" applyFill="1" applyBorder="1" applyAlignment="1"/>
    <xf numFmtId="165" fontId="9" fillId="0" borderId="0" xfId="15" applyNumberFormat="1" applyFont="1"/>
    <xf numFmtId="0" fontId="9" fillId="4" borderId="6" xfId="11" applyFont="1" applyFill="1" applyBorder="1" applyAlignment="1"/>
    <xf numFmtId="172" fontId="9" fillId="4" borderId="0" xfId="11" applyNumberFormat="1" applyFont="1" applyFill="1" applyBorder="1" applyAlignment="1"/>
    <xf numFmtId="172" fontId="9" fillId="4" borderId="9" xfId="11" applyNumberFormat="1" applyFont="1" applyFill="1" applyBorder="1" applyAlignment="1"/>
    <xf numFmtId="0" fontId="11" fillId="11" borderId="12" xfId="11" applyFont="1" applyFill="1" applyBorder="1" applyAlignment="1">
      <alignment horizontal="center" vertical="center" wrapText="1"/>
    </xf>
    <xf numFmtId="0" fontId="9" fillId="3" borderId="11" xfId="11" applyFont="1" applyFill="1" applyBorder="1"/>
    <xf numFmtId="0" fontId="9" fillId="3" borderId="12" xfId="11" applyFont="1" applyFill="1" applyBorder="1"/>
    <xf numFmtId="172" fontId="9" fillId="3" borderId="13" xfId="11" applyNumberFormat="1" applyFont="1" applyFill="1" applyBorder="1"/>
    <xf numFmtId="165" fontId="9" fillId="0" borderId="0" xfId="11" applyNumberFormat="1" applyFont="1"/>
    <xf numFmtId="172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0" fontId="5" fillId="0" borderId="0" xfId="11"/>
    <xf numFmtId="165" fontId="9" fillId="0" borderId="0" xfId="15" applyNumberFormat="1" applyFont="1"/>
    <xf numFmtId="165" fontId="9" fillId="0" borderId="0" xfId="11" applyNumberFormat="1" applyFont="1"/>
    <xf numFmtId="0" fontId="9" fillId="0" borderId="0" xfId="11" applyFont="1" applyAlignment="1">
      <alignment horizontal="center" vertical="center" wrapText="1"/>
    </xf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4" borderId="0" xfId="0" quotePrefix="1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9" fillId="0" borderId="25" xfId="0" applyFont="1" applyBorder="1"/>
    <xf numFmtId="49" fontId="9" fillId="0" borderId="15" xfId="35" applyNumberFormat="1" applyFont="1" applyFill="1" applyBorder="1" applyAlignment="1">
      <alignment horizontal="center"/>
    </xf>
    <xf numFmtId="165" fontId="9" fillId="4" borderId="15" xfId="35" applyNumberFormat="1" applyFont="1" applyFill="1" applyBorder="1" applyAlignment="1">
      <alignment horizontal="left"/>
    </xf>
    <xf numFmtId="0" fontId="10" fillId="0" borderId="0" xfId="27" applyFont="1" applyBorder="1" applyAlignment="1">
      <alignment horizontal="center"/>
    </xf>
    <xf numFmtId="174" fontId="9" fillId="9" borderId="48" xfId="11" applyNumberFormat="1" applyFont="1" applyFill="1" applyBorder="1" applyAlignment="1" applyProtection="1">
      <alignment horizontal="left"/>
    </xf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0" fontId="9" fillId="0" borderId="0" xfId="11" applyFont="1" applyFill="1"/>
    <xf numFmtId="0" fontId="9" fillId="0" borderId="0" xfId="12" applyFont="1"/>
    <xf numFmtId="0" fontId="9" fillId="0" borderId="25" xfId="12" applyFont="1" applyBorder="1"/>
    <xf numFmtId="0" fontId="9" fillId="10" borderId="23" xfId="12" applyFont="1" applyFill="1" applyBorder="1"/>
    <xf numFmtId="0" fontId="9" fillId="10" borderId="22" xfId="12" applyFont="1" applyFill="1" applyBorder="1"/>
    <xf numFmtId="0" fontId="9" fillId="10" borderId="47" xfId="12" applyFont="1" applyFill="1" applyBorder="1"/>
    <xf numFmtId="0" fontId="9" fillId="10" borderId="0" xfId="12" applyFont="1" applyFill="1"/>
    <xf numFmtId="0" fontId="9" fillId="10" borderId="20" xfId="12" applyFont="1" applyFill="1" applyBorder="1"/>
    <xf numFmtId="172" fontId="9" fillId="10" borderId="10" xfId="12" applyNumberFormat="1" applyFont="1" applyFill="1" applyBorder="1"/>
    <xf numFmtId="172" fontId="9" fillId="10" borderId="3" xfId="12" applyNumberFormat="1" applyFont="1" applyFill="1" applyBorder="1"/>
    <xf numFmtId="0" fontId="9" fillId="10" borderId="3" xfId="12" applyFont="1" applyFill="1" applyBorder="1" applyAlignment="1">
      <alignment horizontal="center"/>
    </xf>
    <xf numFmtId="0" fontId="9" fillId="10" borderId="3" xfId="12" applyFont="1" applyFill="1" applyBorder="1"/>
    <xf numFmtId="165" fontId="9" fillId="10" borderId="3" xfId="12" applyNumberFormat="1" applyFont="1" applyFill="1" applyBorder="1"/>
    <xf numFmtId="0" fontId="9" fillId="10" borderId="10" xfId="12" applyFont="1" applyFill="1" applyBorder="1"/>
    <xf numFmtId="0" fontId="9" fillId="10" borderId="6" xfId="12" applyFont="1" applyFill="1" applyBorder="1"/>
    <xf numFmtId="172" fontId="9" fillId="10" borderId="9" xfId="12" applyNumberFormat="1" applyFont="1" applyFill="1" applyBorder="1"/>
    <xf numFmtId="172" fontId="9" fillId="10" borderId="2" xfId="12" applyNumberFormat="1" applyFont="1" applyFill="1" applyBorder="1"/>
    <xf numFmtId="0" fontId="9" fillId="10" borderId="2" xfId="12" applyFont="1" applyFill="1" applyBorder="1" applyAlignment="1">
      <alignment horizontal="center"/>
    </xf>
    <xf numFmtId="0" fontId="9" fillId="10" borderId="2" xfId="12" applyFont="1" applyFill="1" applyBorder="1"/>
    <xf numFmtId="165" fontId="9" fillId="10" borderId="2" xfId="12" applyNumberFormat="1" applyFont="1" applyFill="1" applyBorder="1"/>
    <xf numFmtId="0" fontId="9" fillId="10" borderId="9" xfId="12" applyFont="1" applyFill="1" applyBorder="1"/>
    <xf numFmtId="0" fontId="9" fillId="10" borderId="8" xfId="12" applyFont="1" applyFill="1" applyBorder="1"/>
    <xf numFmtId="0" fontId="11" fillId="10" borderId="0" xfId="12" applyFont="1" applyFill="1" applyBorder="1"/>
    <xf numFmtId="172" fontId="9" fillId="10" borderId="1" xfId="12" applyNumberFormat="1" applyFont="1" applyFill="1" applyBorder="1"/>
    <xf numFmtId="0" fontId="9" fillId="10" borderId="1" xfId="12" applyFont="1" applyFill="1" applyBorder="1" applyAlignment="1">
      <alignment horizontal="center"/>
    </xf>
    <xf numFmtId="0" fontId="9" fillId="10" borderId="1" xfId="12" applyFont="1" applyFill="1" applyBorder="1"/>
    <xf numFmtId="165" fontId="9" fillId="10" borderId="1" xfId="12" applyNumberFormat="1" applyFont="1" applyFill="1" applyBorder="1"/>
    <xf numFmtId="0" fontId="9" fillId="10" borderId="5" xfId="12" applyFont="1" applyFill="1" applyBorder="1"/>
    <xf numFmtId="0" fontId="9" fillId="10" borderId="14" xfId="12" applyFont="1" applyFill="1" applyBorder="1"/>
    <xf numFmtId="172" fontId="9" fillId="10" borderId="41" xfId="12" applyNumberFormat="1" applyFont="1" applyFill="1" applyBorder="1"/>
    <xf numFmtId="0" fontId="9" fillId="10" borderId="41" xfId="12" applyFont="1" applyFill="1" applyBorder="1" applyAlignment="1">
      <alignment horizontal="center"/>
    </xf>
    <xf numFmtId="0" fontId="9" fillId="10" borderId="41" xfId="12" applyFont="1" applyFill="1" applyBorder="1"/>
    <xf numFmtId="165" fontId="9" fillId="10" borderId="41" xfId="12" applyNumberFormat="1" applyFont="1" applyFill="1" applyBorder="1"/>
    <xf numFmtId="0" fontId="9" fillId="10" borderId="50" xfId="12" applyFont="1" applyFill="1" applyBorder="1"/>
    <xf numFmtId="0" fontId="9" fillId="10" borderId="40" xfId="12" applyFont="1" applyFill="1" applyBorder="1"/>
    <xf numFmtId="0" fontId="11" fillId="10" borderId="49" xfId="12" applyFont="1" applyFill="1" applyBorder="1"/>
    <xf numFmtId="0" fontId="9" fillId="0" borderId="0" xfId="12" applyFont="1" applyBorder="1"/>
    <xf numFmtId="172" fontId="9" fillId="10" borderId="5" xfId="12" applyNumberFormat="1" applyFont="1" applyFill="1" applyBorder="1"/>
    <xf numFmtId="0" fontId="11" fillId="10" borderId="9" xfId="12" applyFont="1" applyFill="1" applyBorder="1"/>
    <xf numFmtId="0" fontId="11" fillId="10" borderId="14" xfId="12" applyFont="1" applyFill="1" applyBorder="1"/>
    <xf numFmtId="0" fontId="11" fillId="11" borderId="13" xfId="36" applyFont="1" applyFill="1" applyBorder="1" applyAlignment="1">
      <alignment horizontal="center" vertical="center" wrapText="1"/>
    </xf>
    <xf numFmtId="0" fontId="11" fillId="11" borderId="15" xfId="36" applyFont="1" applyFill="1" applyBorder="1" applyAlignment="1">
      <alignment horizontal="center" vertical="center" wrapText="1"/>
    </xf>
    <xf numFmtId="0" fontId="11" fillId="11" borderId="4" xfId="36" applyFont="1" applyFill="1" applyBorder="1" applyAlignment="1">
      <alignment horizontal="center" vertical="center" wrapText="1"/>
    </xf>
    <xf numFmtId="165" fontId="9" fillId="0" borderId="51" xfId="7" applyNumberFormat="1" applyFont="1" applyFill="1" applyBorder="1" applyAlignment="1"/>
    <xf numFmtId="0" fontId="18" fillId="5" borderId="3" xfId="18" applyNumberFormat="1" applyFont="1" applyFill="1" applyBorder="1"/>
    <xf numFmtId="175" fontId="18" fillId="9" borderId="10" xfId="18" quotePrefix="1" applyNumberFormat="1" applyFont="1" applyFill="1" applyBorder="1" applyAlignment="1" applyProtection="1">
      <alignment horizontal="center"/>
    </xf>
    <xf numFmtId="0" fontId="18" fillId="4" borderId="12" xfId="18" applyFont="1" applyFill="1" applyBorder="1"/>
    <xf numFmtId="0" fontId="13" fillId="7" borderId="16" xfId="25" applyFont="1" applyFill="1" applyBorder="1" applyAlignment="1">
      <alignment horizontal="centerContinuous" vertical="center"/>
    </xf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3" fillId="7" borderId="17" xfId="25" applyFont="1" applyFill="1" applyBorder="1" applyAlignment="1">
      <alignment horizontal="center" vertical="center"/>
    </xf>
    <xf numFmtId="0" fontId="13" fillId="7" borderId="18" xfId="25" applyFont="1" applyFill="1" applyBorder="1" applyAlignment="1">
      <alignment horizontal="center" vertic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98</v>
          </cell>
        </row>
        <row r="8">
          <cell r="D8">
            <v>0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8">
          <cell r="D8" t="str">
            <v>Fwd Curve</v>
          </cell>
        </row>
      </sheetData>
      <sheetData sheetId="4">
        <row r="7">
          <cell r="D7" t="str">
            <v>3M</v>
          </cell>
        </row>
        <row r="8">
          <cell r="D8" t="str">
            <v>3M</v>
          </cell>
        </row>
      </sheetData>
      <sheetData sheetId="5">
        <row r="7">
          <cell r="D7" t="str">
            <v>1L</v>
          </cell>
        </row>
        <row r="8">
          <cell r="D8" t="str">
            <v>1L</v>
          </cell>
        </row>
      </sheetData>
      <sheetData sheetId="6">
        <row r="7">
          <cell r="D7" t="str">
            <v>3L</v>
          </cell>
        </row>
        <row r="8">
          <cell r="D8" t="str">
            <v>3L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 t="str">
            <v>USDSND_Quote#0000</v>
          </cell>
        </row>
        <row r="8">
          <cell r="D8" t="str">
            <v>USDSWD_Quote#0000</v>
          </cell>
        </row>
      </sheetData>
      <sheetData sheetId="9">
        <row r="7">
          <cell r="D7" t="str">
            <v>USD1x4F_Quote</v>
          </cell>
        </row>
        <row r="8">
          <cell r="D8" t="str">
            <v>USD2x5F_Quote</v>
          </cell>
        </row>
      </sheetData>
      <sheetData sheetId="10">
        <row r="7">
          <cell r="D7" t="str">
            <v>U4</v>
          </cell>
        </row>
        <row r="8">
          <cell r="D8" t="str">
            <v>V4</v>
          </cell>
        </row>
      </sheetData>
      <sheetData sheetId="11">
        <row r="7">
          <cell r="D7" t="str">
            <v>U4</v>
          </cell>
        </row>
        <row r="8">
          <cell r="D8" t="str">
            <v>V4</v>
          </cell>
        </row>
      </sheetData>
      <sheetData sheetId="12">
        <row r="7">
          <cell r="D7" t="str">
            <v>Z4</v>
          </cell>
        </row>
        <row r="8">
          <cell r="D8" t="str">
            <v>F5</v>
          </cell>
        </row>
      </sheetData>
      <sheetData sheetId="13"/>
      <sheetData sheetId="14">
        <row r="7">
          <cell r="D7" t="str">
            <v>3W</v>
          </cell>
        </row>
        <row r="8">
          <cell r="D8" t="str">
            <v>1M</v>
          </cell>
        </row>
      </sheetData>
      <sheetData sheetId="15">
        <row r="7">
          <cell r="D7" t="str">
            <v>X1S</v>
          </cell>
        </row>
        <row r="8">
          <cell r="D8" t="str">
            <v>X1S</v>
          </cell>
        </row>
      </sheetData>
      <sheetData sheetId="16">
        <row r="7">
          <cell r="D7">
            <v>12</v>
          </cell>
        </row>
        <row r="8">
          <cell r="D8">
            <v>12</v>
          </cell>
        </row>
      </sheetData>
      <sheetData sheetId="17">
        <row r="7">
          <cell r="D7" t="str">
            <v>3L</v>
          </cell>
        </row>
        <row r="8">
          <cell r="D8" t="str">
            <v>3L</v>
          </cell>
        </row>
      </sheetData>
      <sheetData sheetId="18">
        <row r="7">
          <cell r="D7" t="str">
            <v>6L</v>
          </cell>
        </row>
        <row r="8">
          <cell r="D8" t="str">
            <v>6L</v>
          </cell>
        </row>
      </sheetData>
      <sheetData sheetId="19"/>
      <sheetData sheetId="20">
        <row r="7">
          <cell r="D7" t="str">
            <v>3L</v>
          </cell>
        </row>
        <row r="8">
          <cell r="D8" t="str">
            <v>3L</v>
          </cell>
        </row>
      </sheetData>
      <sheetData sheetId="21">
        <row r="7">
          <cell r="D7" t="str">
            <v>6L</v>
          </cell>
        </row>
        <row r="8">
          <cell r="D8" t="str">
            <v>6L</v>
          </cell>
        </row>
      </sheetData>
      <sheetData sheetId="22">
        <row r="7">
          <cell r="D7" t="str">
            <v>2X</v>
          </cell>
        </row>
        <row r="8">
          <cell r="D8" t="str">
            <v>2X</v>
          </cell>
        </row>
      </sheetData>
      <sheetData sheetId="23">
        <row r="7">
          <cell r="D7" t="str">
            <v>USD-4Y=</v>
          </cell>
        </row>
        <row r="8">
          <cell r="D8" t="str">
            <v>USD-5Y=</v>
          </cell>
        </row>
      </sheetData>
      <sheetData sheetId="24">
        <row r="7">
          <cell r="D7" t="str">
            <v>USD-SWD=</v>
          </cell>
        </row>
        <row r="8">
          <cell r="D8" t="str">
            <v>USD-2WD=</v>
          </cell>
        </row>
      </sheetData>
      <sheetData sheetId="25">
        <row r="7">
          <cell r="D7" t="str">
            <v>USD-SWD=</v>
          </cell>
        </row>
        <row r="8">
          <cell r="D8" t="str">
            <v>USD-2WD=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2"/>
  <sheetViews>
    <sheetView tabSelected="1" workbookViewId="0">
      <selection activeCell="I19" sqref="I19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7.164062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1.5.0 - MS VC++ 9.0 - Multithreaded Dynamic Runtime library - Release Configuration - Jun 25 2014 10:33:09</v>
      </c>
    </row>
    <row r="2" spans="1:35" ht="19.5" thickBot="1" x14ac:dyDescent="0.3">
      <c r="B2" s="366" t="s">
        <v>34</v>
      </c>
      <c r="C2" s="367"/>
      <c r="D2" s="367"/>
      <c r="E2" s="368"/>
      <c r="G2" s="369" t="s">
        <v>62</v>
      </c>
      <c r="H2" s="370"/>
      <c r="I2" s="370"/>
      <c r="J2" s="371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51</v>
      </c>
      <c r="E4" s="134"/>
      <c r="G4" s="142"/>
      <c r="H4" s="145" t="s">
        <v>63</v>
      </c>
      <c r="I4" s="146" t="b">
        <v>1</v>
      </c>
      <c r="J4" s="147"/>
    </row>
    <row r="5" spans="1:35" s="132" customFormat="1" x14ac:dyDescent="0.2">
      <c r="A5" s="130"/>
      <c r="B5" s="253"/>
      <c r="C5" s="48" t="s">
        <v>217</v>
      </c>
      <c r="D5" s="128" t="s">
        <v>52</v>
      </c>
      <c r="E5" s="134"/>
      <c r="F5" s="130"/>
      <c r="G5" s="142"/>
      <c r="H5" s="145" t="s">
        <v>64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253"/>
      <c r="C6" s="256" t="s">
        <v>218</v>
      </c>
      <c r="D6" s="258" t="s">
        <v>220</v>
      </c>
      <c r="E6" s="255"/>
      <c r="F6" s="130"/>
      <c r="G6" s="142"/>
      <c r="H6" s="143"/>
      <c r="I6" s="143"/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253"/>
      <c r="C7" s="256" t="s">
        <v>219</v>
      </c>
      <c r="D7" s="258" t="b">
        <f>_xll.qlCalendarIsHoliday(LocalCalendar,_xll.qlCalendarAdvance(LiborCalendar,_xll.qlSettingsEvaluationDate(Trigger),Ndays&amp;"D","f",FALSE,Trigger))</f>
        <v>0</v>
      </c>
      <c r="E7" s="255"/>
      <c r="G7" s="142"/>
      <c r="H7" s="145" t="s">
        <v>65</v>
      </c>
      <c r="I7" s="146" t="b">
        <v>0</v>
      </c>
      <c r="J7" s="147"/>
    </row>
    <row r="8" spans="1:35" x14ac:dyDescent="0.2">
      <c r="B8" s="253"/>
      <c r="C8" s="256" t="s">
        <v>16</v>
      </c>
      <c r="D8" s="258" t="str">
        <f>IF(HolidayCheck,LocalCalendar,LiborCalendar)</f>
        <v>UnitedKingdom::Exchange</v>
      </c>
      <c r="E8" s="255"/>
      <c r="G8" s="142"/>
      <c r="H8" s="145" t="s">
        <v>66</v>
      </c>
      <c r="I8" s="148"/>
      <c r="J8" s="147"/>
    </row>
    <row r="9" spans="1:35" x14ac:dyDescent="0.2">
      <c r="B9" s="253"/>
      <c r="C9" s="256" t="s">
        <v>27</v>
      </c>
      <c r="D9" s="258" t="s">
        <v>81</v>
      </c>
      <c r="E9" s="255"/>
      <c r="G9" s="142"/>
      <c r="H9" s="145" t="s">
        <v>67</v>
      </c>
      <c r="I9" s="149" t="b">
        <v>1</v>
      </c>
      <c r="J9" s="147"/>
    </row>
    <row r="10" spans="1:35" x14ac:dyDescent="0.2">
      <c r="B10" s="133"/>
      <c r="C10" s="40"/>
      <c r="D10" s="41"/>
      <c r="E10" s="134"/>
      <c r="G10" s="133"/>
      <c r="H10" s="145" t="s">
        <v>163</v>
      </c>
      <c r="I10" s="149" t="str">
        <f>IF(UPPER(Currency)&lt;&gt;"EUR","L","")&amp;"ibor"</f>
        <v>Libor</v>
      </c>
      <c r="J10" s="134"/>
    </row>
    <row r="11" spans="1:35" x14ac:dyDescent="0.2">
      <c r="B11" s="133"/>
      <c r="C11" s="48" t="s">
        <v>33</v>
      </c>
      <c r="D11" s="49" t="str">
        <f>Currency&amp;"ON"</f>
        <v>USDON</v>
      </c>
      <c r="E11" s="134"/>
      <c r="G11" s="253"/>
      <c r="H11" s="364"/>
      <c r="I11" s="364"/>
      <c r="J11" s="255"/>
    </row>
    <row r="12" spans="1:35" x14ac:dyDescent="0.2">
      <c r="B12" s="133"/>
      <c r="C12" s="40"/>
      <c r="D12" s="40"/>
      <c r="E12" s="134"/>
      <c r="G12" s="142"/>
      <c r="H12" s="362" t="s">
        <v>68</v>
      </c>
      <c r="I12" s="363" t="s">
        <v>69</v>
      </c>
      <c r="J12" s="147"/>
    </row>
    <row r="13" spans="1:35" x14ac:dyDescent="0.2">
      <c r="B13" s="133"/>
      <c r="C13" s="42" t="s">
        <v>1</v>
      </c>
      <c r="D13" s="138">
        <v>41858.737650462965</v>
      </c>
      <c r="E13" s="134"/>
      <c r="G13" s="142"/>
      <c r="H13" s="145" t="s">
        <v>70</v>
      </c>
      <c r="I13" s="150">
        <v>1E-4</v>
      </c>
      <c r="J13" s="147"/>
    </row>
    <row r="14" spans="1:35" x14ac:dyDescent="0.2">
      <c r="B14" s="133"/>
      <c r="C14" s="42" t="s">
        <v>2</v>
      </c>
      <c r="D14" s="139" t="b">
        <v>1</v>
      </c>
      <c r="E14" s="134"/>
      <c r="G14" s="142"/>
      <c r="H14" s="145" t="s">
        <v>71</v>
      </c>
      <c r="I14" s="151">
        <v>-0.01</v>
      </c>
      <c r="J14" s="147"/>
    </row>
    <row r="15" spans="1:35" ht="12" thickBot="1" x14ac:dyDescent="0.25">
      <c r="B15" s="135"/>
      <c r="C15" s="136"/>
      <c r="D15" s="136"/>
      <c r="E15" s="137"/>
      <c r="G15" s="152"/>
      <c r="H15" s="153"/>
      <c r="I15" s="153"/>
      <c r="J15" s="154"/>
    </row>
    <row r="16" spans="1:35" ht="12" thickBot="1" x14ac:dyDescent="0.25"/>
    <row r="17" spans="2:10" ht="19.5" thickBot="1" x14ac:dyDescent="0.25">
      <c r="B17" s="365" t="s">
        <v>173</v>
      </c>
      <c r="C17" s="365"/>
      <c r="D17" s="365"/>
      <c r="E17" s="365"/>
      <c r="G17" s="372" t="s">
        <v>172</v>
      </c>
      <c r="H17" s="367" t="s">
        <v>172</v>
      </c>
      <c r="I17" s="367"/>
      <c r="J17" s="368"/>
    </row>
    <row r="18" spans="2:10" x14ac:dyDescent="0.2">
      <c r="B18" s="253"/>
      <c r="C18" s="254"/>
      <c r="D18" s="254"/>
      <c r="E18" s="301"/>
      <c r="G18" s="253"/>
      <c r="H18" s="254"/>
      <c r="I18" s="254"/>
      <c r="J18" s="301"/>
    </row>
    <row r="19" spans="2:10" x14ac:dyDescent="0.2">
      <c r="B19" s="253"/>
      <c r="C19" s="256" t="s">
        <v>17</v>
      </c>
      <c r="D19" s="55">
        <f>_xll.qlCalendarAdvance(Calendar,EvaluationDate,"2D","f")</f>
        <v>41862</v>
      </c>
      <c r="E19" s="255"/>
      <c r="G19" s="253"/>
      <c r="H19" s="256" t="s">
        <v>56</v>
      </c>
      <c r="I19" s="55">
        <v>41858.735706018517</v>
      </c>
      <c r="J19" s="255"/>
    </row>
    <row r="20" spans="2:10" x14ac:dyDescent="0.2">
      <c r="B20" s="253"/>
      <c r="C20" s="256" t="s">
        <v>28</v>
      </c>
      <c r="D20" s="55" t="str">
        <f>_xll.qlDiscountingSwapEngine(,OisCurve,,,,,EvaluationDate)</f>
        <v>obj_00397#0000</v>
      </c>
      <c r="E20" s="255"/>
      <c r="G20" s="253"/>
      <c r="H20" s="256" t="s">
        <v>29</v>
      </c>
      <c r="I20" s="55">
        <f>_xll.qlSettingsEvaluationDate(Trigger)</f>
        <v>41858</v>
      </c>
      <c r="J20" s="255"/>
    </row>
    <row r="21" spans="2:10" x14ac:dyDescent="0.2">
      <c r="B21" s="253"/>
      <c r="C21" s="256" t="s">
        <v>55</v>
      </c>
      <c r="D21" s="55">
        <f>_xll.qlCalendarAdjust(Calendar,DATE(YEAR(SettlementDate),12,31),"Preceding")</f>
        <v>42004</v>
      </c>
      <c r="E21" s="255"/>
      <c r="G21" s="253"/>
      <c r="H21" s="256" t="s">
        <v>30</v>
      </c>
      <c r="I21" s="300">
        <f>[1]!TriggerCounter</f>
        <v>98</v>
      </c>
      <c r="J21" s="255"/>
    </row>
    <row r="22" spans="2:10" x14ac:dyDescent="0.2">
      <c r="B22" s="253"/>
      <c r="C22" s="256" t="s">
        <v>54</v>
      </c>
      <c r="D22" s="55">
        <f>_xll.qlCalendarAdjust(Calendar,DATE(YEAR(SettlementDate)+1,12,31),"Preceding")</f>
        <v>42369</v>
      </c>
      <c r="E22" s="255"/>
      <c r="G22" s="253"/>
      <c r="H22" s="256" t="s">
        <v>35</v>
      </c>
      <c r="I22" s="300">
        <f>[1]!LastFixingsTrigger</f>
        <v>0</v>
      </c>
      <c r="J22" s="255"/>
    </row>
    <row r="23" spans="2:10" ht="12" thickBot="1" x14ac:dyDescent="0.25">
      <c r="B23" s="263"/>
      <c r="C23" s="264"/>
      <c r="D23" s="264"/>
      <c r="E23" s="265"/>
      <c r="G23" s="263"/>
      <c r="H23" s="264"/>
      <c r="I23" s="264"/>
      <c r="J23" s="265"/>
    </row>
    <row r="24" spans="2:10" ht="12" thickBot="1" x14ac:dyDescent="0.25">
      <c r="C24" s="131"/>
      <c r="D24" s="131"/>
      <c r="E24" s="131"/>
    </row>
    <row r="25" spans="2:10" ht="19.5" thickBot="1" x14ac:dyDescent="0.25">
      <c r="B25" s="372" t="s">
        <v>212</v>
      </c>
      <c r="C25" s="373"/>
      <c r="D25" s="373"/>
      <c r="E25" s="374"/>
      <c r="G25" s="372" t="s">
        <v>213</v>
      </c>
      <c r="H25" s="373"/>
      <c r="I25" s="373"/>
      <c r="J25" s="374"/>
    </row>
    <row r="26" spans="2:10" x14ac:dyDescent="0.2">
      <c r="B26" s="253"/>
      <c r="C26" s="254"/>
      <c r="D26" s="254"/>
      <c r="E26" s="255"/>
      <c r="G26" s="253"/>
      <c r="H26" s="254"/>
      <c r="I26" s="254"/>
      <c r="J26" s="255"/>
    </row>
    <row r="27" spans="2:10" x14ac:dyDescent="0.2">
      <c r="B27" s="253"/>
      <c r="C27" s="268" t="s">
        <v>150</v>
      </c>
      <c r="D27" s="257" t="s">
        <v>24</v>
      </c>
      <c r="E27" s="255"/>
      <c r="G27" s="253"/>
      <c r="H27" s="268" t="s">
        <v>150</v>
      </c>
      <c r="I27" s="257" t="s">
        <v>15</v>
      </c>
      <c r="J27" s="255"/>
    </row>
    <row r="28" spans="2:10" x14ac:dyDescent="0.2">
      <c r="B28" s="253"/>
      <c r="C28" s="268" t="s">
        <v>151</v>
      </c>
      <c r="D28" s="266">
        <v>2</v>
      </c>
      <c r="E28" s="255"/>
      <c r="G28" s="253"/>
      <c r="H28" s="268" t="s">
        <v>151</v>
      </c>
      <c r="I28" s="266">
        <v>2</v>
      </c>
      <c r="J28" s="255"/>
    </row>
    <row r="29" spans="2:10" x14ac:dyDescent="0.2">
      <c r="B29" s="253"/>
      <c r="C29" s="268" t="s">
        <v>152</v>
      </c>
      <c r="D29" s="258" t="e">
        <v>#N/A</v>
      </c>
      <c r="E29" s="255"/>
      <c r="G29" s="253"/>
      <c r="H29" s="268" t="s">
        <v>152</v>
      </c>
      <c r="I29" s="258" t="e">
        <v>#N/A</v>
      </c>
      <c r="J29" s="255"/>
    </row>
    <row r="30" spans="2:10" x14ac:dyDescent="0.2">
      <c r="B30" s="253"/>
      <c r="C30" s="268" t="s">
        <v>153</v>
      </c>
      <c r="D30" s="259" t="s">
        <v>154</v>
      </c>
      <c r="E30" s="255"/>
      <c r="G30" s="253"/>
      <c r="H30" s="268" t="s">
        <v>153</v>
      </c>
      <c r="I30" s="259" t="s">
        <v>154</v>
      </c>
      <c r="J30" s="255"/>
    </row>
    <row r="31" spans="2:10" x14ac:dyDescent="0.2">
      <c r="B31" s="253"/>
      <c r="C31" s="268" t="s">
        <v>155</v>
      </c>
      <c r="D31" s="260" t="s">
        <v>156</v>
      </c>
      <c r="E31" s="255"/>
      <c r="G31" s="253"/>
      <c r="H31" s="268" t="s">
        <v>155</v>
      </c>
      <c r="I31" s="260" t="s">
        <v>156</v>
      </c>
      <c r="J31" s="255"/>
    </row>
    <row r="32" spans="2:10" x14ac:dyDescent="0.2">
      <c r="B32" s="253"/>
      <c r="C32" s="261"/>
      <c r="D32" s="261"/>
      <c r="E32" s="255"/>
      <c r="G32" s="253"/>
      <c r="H32" s="261"/>
      <c r="I32" s="261"/>
      <c r="J32" s="255"/>
    </row>
    <row r="33" spans="2:10" x14ac:dyDescent="0.2">
      <c r="B33" s="253"/>
      <c r="C33" s="256" t="s">
        <v>157</v>
      </c>
      <c r="D33" s="269" t="str">
        <f>_xll.qlLibor(,Currency,IborTenor1Y,YieldCurve1Y,,Trigger)</f>
        <v>obj_00444#0000</v>
      </c>
      <c r="E33" s="255"/>
      <c r="G33" s="253"/>
      <c r="H33" s="256" t="s">
        <v>157</v>
      </c>
      <c r="I33" s="269" t="str">
        <f>_xll.qlLibor(,Currency,IborTenor6M,YieldCurve6M,,Trigger)</f>
        <v>obj_00458#0000</v>
      </c>
      <c r="J33" s="255"/>
    </row>
    <row r="34" spans="2:10" x14ac:dyDescent="0.2">
      <c r="B34" s="253"/>
      <c r="C34" s="256" t="s">
        <v>158</v>
      </c>
      <c r="D34" s="267" t="s">
        <v>156</v>
      </c>
      <c r="E34" s="255"/>
      <c r="G34" s="253"/>
      <c r="H34" s="256" t="s">
        <v>158</v>
      </c>
      <c r="I34" s="267" t="s">
        <v>156</v>
      </c>
      <c r="J34" s="255"/>
    </row>
    <row r="35" spans="2:10" x14ac:dyDescent="0.2">
      <c r="B35" s="253"/>
      <c r="C35" s="256" t="s">
        <v>53</v>
      </c>
      <c r="D35" s="129" t="s">
        <v>162</v>
      </c>
      <c r="E35" s="255"/>
      <c r="G35" s="253"/>
      <c r="H35" s="256" t="s">
        <v>53</v>
      </c>
      <c r="I35" s="129" t="s">
        <v>162</v>
      </c>
      <c r="J35" s="255"/>
    </row>
    <row r="36" spans="2:10" x14ac:dyDescent="0.2">
      <c r="B36" s="253"/>
      <c r="C36" s="256" t="s">
        <v>159</v>
      </c>
      <c r="D36" s="270" t="e">
        <f>_xll.qlInterpolation(,BasisInterpolation,'1Y_FRA_Calculation'!J2:J13,'1Y_FRA_Calculation'!N2:N13)</f>
        <v>#NUM!</v>
      </c>
      <c r="E36" s="255"/>
      <c r="G36" s="253"/>
      <c r="H36" s="256" t="s">
        <v>159</v>
      </c>
      <c r="I36" s="270" t="str">
        <f>_xll.qlInterpolation(,BasisInterpolation,'6M_FRA_Calculation'!J2:J14,'6M_FRA_Calculation'!N2:N14)</f>
        <v>obj_00695#0100</v>
      </c>
      <c r="J36" s="255"/>
    </row>
    <row r="37" spans="2:10" x14ac:dyDescent="0.2">
      <c r="B37" s="253"/>
      <c r="C37" s="275" t="s">
        <v>160</v>
      </c>
      <c r="D37" s="276" t="str">
        <f>_xll.qlPiecewiseYieldCurve(,Ndays,Calendar,_xll.ohPack('1Y_FRA_Calculation'!A3:A127),DayCounter,,,,TraitsID,InterpolatorID)</f>
        <v>obj_00443#0000</v>
      </c>
      <c r="E37" s="255"/>
      <c r="G37" s="253"/>
      <c r="H37" s="275" t="s">
        <v>160</v>
      </c>
      <c r="I37" s="276" t="str">
        <f>_xll.qlPiecewiseYieldCurve(,Ndays,Calendar,_xll.ohPack('6M_FRA_Calculation'!A2:A127),DayCounter,,,,TraitsID,InterpolatorID)</f>
        <v>obj_00452#0000</v>
      </c>
      <c r="J37" s="255"/>
    </row>
    <row r="38" spans="2:10" x14ac:dyDescent="0.2">
      <c r="B38" s="253"/>
      <c r="C38" s="277" t="s">
        <v>161</v>
      </c>
      <c r="D38" s="278" t="str">
        <f>_xll.ohRangeRetrieveError(YieldCurve1Y)</f>
        <v/>
      </c>
      <c r="E38" s="255"/>
      <c r="G38" s="253"/>
      <c r="H38" s="277" t="s">
        <v>161</v>
      </c>
      <c r="I38" s="278" t="str">
        <f>_xll.ohRangeRetrieveError(YieldCurve6M)</f>
        <v/>
      </c>
      <c r="J38" s="255"/>
    </row>
    <row r="39" spans="2:10" x14ac:dyDescent="0.2">
      <c r="B39" s="253"/>
      <c r="C39" s="261"/>
      <c r="D39" s="262"/>
      <c r="E39" s="255"/>
      <c r="G39" s="253"/>
      <c r="H39" s="261"/>
      <c r="I39" s="262"/>
      <c r="J39" s="255"/>
    </row>
    <row r="40" spans="2:10" x14ac:dyDescent="0.2">
      <c r="B40" s="253"/>
      <c r="C40" s="271">
        <v>41779</v>
      </c>
      <c r="D40" s="272">
        <f>MAX(_xll.ohPack('1Y_FRA_Calculation'!E2:E127))</f>
        <v>1</v>
      </c>
      <c r="E40" s="255"/>
      <c r="G40" s="253"/>
      <c r="H40" s="271">
        <v>41779</v>
      </c>
      <c r="I40" s="272">
        <f>MAX(_xll.ohPack('6M_FRA_Calculation'!E2:E127))</f>
        <v>1</v>
      </c>
      <c r="J40" s="255"/>
    </row>
    <row r="41" spans="2:10" x14ac:dyDescent="0.2">
      <c r="B41" s="253"/>
      <c r="C41" s="273">
        <v>43605</v>
      </c>
      <c r="D41" s="274">
        <f>MIN(_xll.ohPack('1Y_FRA_Calculation'!E2:E127))</f>
        <v>0.9047260490380451</v>
      </c>
      <c r="E41" s="255"/>
      <c r="G41" s="253"/>
      <c r="H41" s="273">
        <v>43605</v>
      </c>
      <c r="I41" s="274">
        <f>MIN(_xll.ohPack('6M_FRA_Calculation'!E2:E127))</f>
        <v>0.91135527966750585</v>
      </c>
      <c r="J41" s="255"/>
    </row>
    <row r="42" spans="2:10" ht="12" thickBot="1" x14ac:dyDescent="0.25">
      <c r="B42" s="263"/>
      <c r="C42" s="264"/>
      <c r="D42" s="264"/>
      <c r="E42" s="265"/>
      <c r="G42" s="263"/>
      <c r="H42" s="264"/>
      <c r="I42" s="264"/>
      <c r="J42" s="265"/>
    </row>
  </sheetData>
  <mergeCells count="5">
    <mergeCell ref="B2:E2"/>
    <mergeCell ref="G2:J2"/>
    <mergeCell ref="B25:E25"/>
    <mergeCell ref="G17:J17"/>
    <mergeCell ref="G25:J25"/>
  </mergeCells>
  <phoneticPr fontId="4" type="noConversion"/>
  <conditionalFormatting sqref="D14">
    <cfRule type="cellIs" dxfId="0" priority="1" stopIfTrue="1" operator="equal">
      <formula>TRUE</formula>
    </cfRule>
  </conditionalFormatting>
  <dataValidations count="2">
    <dataValidation type="list" allowBlank="1" showInputMessage="1" showErrorMessage="1" sqref="D35 I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 D6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obj_00436#0000</v>
      </c>
      <c r="C2" s="8" t="b">
        <f>_xll.qlInstrumentSetPricingEngine(B2,OisEngine)</f>
        <v>1</v>
      </c>
      <c r="D2" s="102" t="str">
        <f>Currency&amp;A3&amp;"D_Quote"</f>
        <v>USD1MD_Quote</v>
      </c>
      <c r="E2" s="103">
        <f>SettlementDate</f>
        <v>41862</v>
      </c>
      <c r="F2" s="104">
        <f>_xll.qlCalendarAdvance(Calendar,E2,A3,"mf")</f>
        <v>41893</v>
      </c>
      <c r="G2" s="105">
        <f>_xll.qlQuoteValue($D2,AllTriggers)</f>
        <v>1.57E-3</v>
      </c>
      <c r="H2" s="106">
        <f>_xll.qlOvernightIndexedSwapFairRate(B2,_xll.ohTrigger(C2,InterestRatesTrigger))</f>
        <v>8.9999999989114922E-4</v>
      </c>
      <c r="I2" s="107">
        <f>G2-H2</f>
        <v>6.7000000010885078E-4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31</v>
      </c>
      <c r="P2" s="111">
        <f>(O2^2-N2^2)/(O2-N2)</f>
        <v>31</v>
      </c>
      <c r="Q2" s="108"/>
      <c r="R2" s="122">
        <f>(O2^3-N2^3)/3/(O2-N2)</f>
        <v>320.33333333333337</v>
      </c>
      <c r="S2" s="122">
        <f>(O2+N2)/2</f>
        <v>15.5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obj_0034e#0003</v>
      </c>
      <c r="C3" s="12" t="b">
        <f>_xll.qlInstrumentSetPricingEngine(B3,OisEngine)</f>
        <v>1</v>
      </c>
      <c r="D3" s="95" t="str">
        <f>PROPER(Currency&amp;FamilyName)&amp;A3&amp;"LastFixing_Quote"</f>
        <v>Usdlibor1MLastFixing_Quote</v>
      </c>
      <c r="E3" s="96">
        <f>_xll.qlCalendarAdvance(Calendar,_xll.qlLastFixingQuoteReferenceDate(D3),_xll.qlInterestRateIndexFixingDays(A4)&amp;"D","f",,LastFixingsTrigger)</f>
        <v>41862</v>
      </c>
      <c r="F3" s="97">
        <f>F2</f>
        <v>41893</v>
      </c>
      <c r="G3" s="98">
        <f>_xll.qlQuoteValue(D3,AllTriggers)</f>
        <v>1.57E-3</v>
      </c>
      <c r="H3" s="99">
        <f>_xll.qlOvernightIndexedSwapFairRate(B3,_xll.ohTrigger(C3,InterestRatesTrigger))</f>
        <v>8.9999999989114922E-4</v>
      </c>
      <c r="I3" s="100">
        <f t="shared" ref="I3:I27" si="1">G3-H3</f>
        <v>6.7000000010885078E-4</v>
      </c>
      <c r="J3" s="108" t="b">
        <f>NOT(ISERROR(I3))</f>
        <v>1</v>
      </c>
      <c r="K3" s="110">
        <f>K4</f>
        <v>-9.3035227655496075E-7</v>
      </c>
      <c r="L3" s="99">
        <f>_xll.ohFilter($I$2:$I$3,$J$2:$J$3)-K3*_xll.ohFilter($P$2:$P$3,$J$2:$J$3)</f>
        <v>6.9884092068205452E-4</v>
      </c>
      <c r="M3" s="109"/>
      <c r="N3" s="111">
        <f t="shared" si="0"/>
        <v>0</v>
      </c>
      <c r="O3" s="111">
        <f t="shared" si="0"/>
        <v>31</v>
      </c>
      <c r="P3" s="111">
        <f>(O3^2-N3^2)/(O3-N3)</f>
        <v>31</v>
      </c>
      <c r="Q3" s="108"/>
      <c r="R3" s="122">
        <f>(O3^3-N3^3)/3/(O3-N3)</f>
        <v>320.33333333333337</v>
      </c>
      <c r="S3" s="122">
        <f>(O3+N3)/2</f>
        <v>15.5</v>
      </c>
      <c r="T3" s="122">
        <v>1</v>
      </c>
    </row>
    <row r="4" spans="1:34" x14ac:dyDescent="0.2">
      <c r="A4" s="43" t="str">
        <f>PROPER(Currency)&amp;FamilyName&amp;A3</f>
        <v>UsdLibor1M</v>
      </c>
      <c r="B4" s="56" t="str">
        <f>_xll.qlMakeDatedOIS(,E4,F4,OvernightIndex,0,,,,EvaluationDate)</f>
        <v>obj_00440#0000</v>
      </c>
      <c r="C4" s="12" t="b">
        <f>_xll.qlInstrumentSetPricingEngine(B4,OisEngine)</f>
        <v>1</v>
      </c>
      <c r="D4" s="11" t="s">
        <v>42</v>
      </c>
      <c r="E4" s="53">
        <f>F3</f>
        <v>41893</v>
      </c>
      <c r="F4" s="54">
        <f>F5</f>
        <v>41925</v>
      </c>
      <c r="G4" s="27">
        <f>((1+G5*(F5-E5)/360)/(1+G3*(F3-E3)/360)-1)/(F4-E4)*360</f>
        <v>1.5501029346934314E-3</v>
      </c>
      <c r="H4" s="15">
        <f>_xll.qlOvernightIndexedSwapFairRate(B4,_xll.ohTrigger(C4,InterestRatesTrigger))</f>
        <v>9.3871512800754316E-4</v>
      </c>
      <c r="I4" s="16">
        <f>G4-H4</f>
        <v>6.1138780668588825E-4</v>
      </c>
      <c r="J4" s="1" t="b">
        <f>NOT(ISERROR(I4))</f>
        <v>1</v>
      </c>
      <c r="K4" s="15">
        <f>(I4-_xll.ohFilter($I$2:$I$3,$J$2:$J$3))/(P4-_xll.ohFilter($P$2:$P$3,$J$2:$J$3))</f>
        <v>-9.3035227655496075E-7</v>
      </c>
      <c r="L4" s="15">
        <f>_xll.ohFilter($I$2:$I$3,$J$2:$J$3)-K4*_xll.ohFilter($P$2:$P$3,$J$2:$J$3)</f>
        <v>6.9884092068205452E-4</v>
      </c>
      <c r="M4" s="5"/>
      <c r="N4" s="112">
        <f t="shared" si="0"/>
        <v>31</v>
      </c>
      <c r="O4" s="112">
        <f t="shared" si="0"/>
        <v>63</v>
      </c>
      <c r="P4" s="112">
        <f>(O4^2-N4^2)/(O4-N4)</f>
        <v>94</v>
      </c>
      <c r="R4" s="91">
        <f>(O4^3-N4^3)/3/(O4-N4)</f>
        <v>2294.3333333333335</v>
      </c>
      <c r="S4" s="91">
        <f>(O4+N4)/2</f>
        <v>47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USD2X1S_Quote</v>
      </c>
      <c r="E5" s="53">
        <f>SettlementDate</f>
        <v>41862</v>
      </c>
      <c r="F5" s="54">
        <f>_xll.qlCalendarAdvance(Calendar,E5,"2M","mf")</f>
        <v>41925</v>
      </c>
      <c r="G5" s="50">
        <f>_xll.qlQuoteValue(D5,AllTriggers)</f>
        <v>1.56E-3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obj_0043a#0000</v>
      </c>
      <c r="C6" s="8" t="b">
        <f>_xll.qlInstrumentSetPricingEngine(B6,OisEngine)</f>
        <v>1</v>
      </c>
      <c r="D6" s="102" t="str">
        <f>Currency&amp;A7&amp;"D_Quote"</f>
        <v>USD3MD_Quote</v>
      </c>
      <c r="E6" s="103">
        <f>SettlementDate</f>
        <v>41862</v>
      </c>
      <c r="F6" s="104">
        <f>_xll.qlCalendarAdvance(Calendar,E6,A7,"mf")</f>
        <v>41954</v>
      </c>
      <c r="G6" s="105">
        <f>_xll.qlQuoteValue(D6,AllTriggers)</f>
        <v>2.3310000000000002E-3</v>
      </c>
      <c r="H6" s="106">
        <f>_xll.qlOvernightIndexedSwapFairRate(B6,_xll.ohTrigger(C6,InterestRatesTrigger))</f>
        <v>9.2999999999934541E-4</v>
      </c>
      <c r="I6" s="107">
        <f t="shared" si="1"/>
        <v>1.4010000000006548E-3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obj_0034f#0003</v>
      </c>
      <c r="C7" s="12" t="b">
        <f>_xll.qlInstrumentSetPricingEngine(B7,OisEngine)</f>
        <v>1</v>
      </c>
      <c r="D7" s="95" t="str">
        <f>PROPER(Currency&amp;FamilyName)&amp;A7&amp;"LastFixing_Quote"</f>
        <v>Usdlibor3MLastFixing_Quote</v>
      </c>
      <c r="E7" s="96">
        <f>_xll.qlCalendarAdvance(Calendar,_xll.qlLastFixingQuoteReferenceDate(D7),_xll.qlInterestRateIndexFixingDays(A8)&amp;"D","f",,LastFixingsTrigger)</f>
        <v>41862</v>
      </c>
      <c r="F7" s="97">
        <f>F6</f>
        <v>41954</v>
      </c>
      <c r="G7" s="98">
        <f>_xll.qlQuoteValue(D7,AllTriggers)</f>
        <v>2.3310000000000002E-3</v>
      </c>
      <c r="H7" s="99">
        <f>_xll.qlOvernightIndexedSwapFairRate(B7,_xll.ohTrigger(C7,InterestRatesTrigger))</f>
        <v>9.2999999999934541E-4</v>
      </c>
      <c r="I7" s="100">
        <f t="shared" si="1"/>
        <v>1.4010000000006548E-3</v>
      </c>
      <c r="J7" s="108" t="b">
        <f>AND(ISERROR(I8),ISERROR(I9),NOT(ISERROR(I7)),E10&lt;&gt;SettlementDate)</f>
        <v>1</v>
      </c>
      <c r="K7" s="115"/>
      <c r="L7" s="109"/>
      <c r="M7" s="109"/>
      <c r="N7" s="111">
        <f t="shared" si="2"/>
        <v>0</v>
      </c>
      <c r="O7" s="111">
        <f t="shared" si="3"/>
        <v>92</v>
      </c>
      <c r="P7" s="111">
        <f t="shared" ref="P7:P14" si="6">(O7^2-N7^2)/(O7-N7)</f>
        <v>92</v>
      </c>
      <c r="Q7" s="108"/>
      <c r="R7" s="122">
        <f t="shared" si="4"/>
        <v>2821.333333333333</v>
      </c>
      <c r="S7" s="122">
        <f t="shared" si="5"/>
        <v>46</v>
      </c>
      <c r="T7" s="122">
        <v>1</v>
      </c>
    </row>
    <row r="8" spans="1:34" x14ac:dyDescent="0.2">
      <c r="A8" s="214" t="str">
        <f>PROPER(Currency)&amp;FamilyName&amp;A7</f>
        <v>UsdLibor3M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-41862</v>
      </c>
      <c r="O8" s="111">
        <f t="shared" si="3"/>
        <v>-41862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-41862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-1.1360266709537104E-7</v>
      </c>
      <c r="L9" s="99">
        <f>_xll.ohFilter($I$6:$I$9,$J$6:$J$9)-K9*_xll.ohFilter($P$6:$P$9,$J$6:$J$9)</f>
        <v>1.4114514453734289E-3</v>
      </c>
      <c r="M9" s="109"/>
      <c r="N9" s="111">
        <f t="shared" si="2"/>
        <v>-41862</v>
      </c>
      <c r="O9" s="111">
        <f t="shared" si="3"/>
        <v>-41862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-41862</v>
      </c>
      <c r="T9" s="122">
        <v>1</v>
      </c>
      <c r="V9" s="82">
        <f t="array" ref="V9:V11">_xll.ohFilter(R6:R14,$J6:$J14)</f>
        <v>2821.333333333333</v>
      </c>
      <c r="W9" s="83">
        <f t="array" ref="W9:W11">_xll.ohFilter(S6:S14,$J6:$J14)</f>
        <v>46</v>
      </c>
      <c r="X9" s="84">
        <f t="array" ref="X9:X11">_xll.ohFilter(T6:T14,$J6:$J14)</f>
        <v>1</v>
      </c>
      <c r="Z9" s="67">
        <f t="array" ref="Z9:Z11">MMULT(AD9:AF11,AB9:AB11)</f>
        <v>6.9735931037849612E-9</v>
      </c>
      <c r="AB9" s="67">
        <f t="array" ref="AB9:AB11">_xll.ohFilter(I6:I14,$J6:$J14)</f>
        <v>1.4010000000006548E-3</v>
      </c>
      <c r="AD9" s="73">
        <f t="array" ref="AD9:AF11">MINVERSE(V9:X11)</f>
        <v>3.0911032428483222E-3</v>
      </c>
      <c r="AE9" s="74">
        <v>-4.1027370314168626E-3</v>
      </c>
      <c r="AF9" s="75">
        <v>1.011633788568541E-3</v>
      </c>
      <c r="AH9" s="70">
        <f t="array" ref="AH9:AH11">MMULT(V9:X11,Z9:Z11)-AB9:AB11</f>
        <v>1.951563910473908E-18</v>
      </c>
    </row>
    <row r="10" spans="1:34" x14ac:dyDescent="0.2">
      <c r="A10" s="214" t="str">
        <f>_xll.qlIMMNextCode(SettlementDate-1,FALSE)</f>
        <v>Q4</v>
      </c>
      <c r="B10" s="29" t="str">
        <f>_xll.qlMakeDatedOIS(,E10,F10,OvernightIndex,0,,,,EvaluationDate)</f>
        <v>obj_00441#0000</v>
      </c>
      <c r="C10" s="12" t="b">
        <f>_xll.qlInstrumentSetPricingEngine(B10,OisEngine)</f>
        <v>1</v>
      </c>
      <c r="D10" s="11" t="str">
        <f>Currency&amp;"FUT3M"&amp;A10&amp;QuoteSuffix</f>
        <v>USDFUT3MQ4_Quote</v>
      </c>
      <c r="E10" s="53">
        <f>_xll.qlIMMdate(A10)</f>
        <v>41871</v>
      </c>
      <c r="F10" s="54">
        <f>_xll.qlCalendarAdvance(Calendar,E10,"3M","mf")</f>
        <v>41963</v>
      </c>
      <c r="G10" s="50">
        <f>1-_xll.qlQuoteValue($D10,AllTriggers)/100</f>
        <v>2.3374999999999924E-3</v>
      </c>
      <c r="H10" s="15">
        <f>_xll.qlOvernightIndexedSwapFairRate(B10,_xll.ohTrigger(C10,InterestRatesTrigger))</f>
        <v>9.3924300759462077E-4</v>
      </c>
      <c r="I10" s="16">
        <f t="shared" si="1"/>
        <v>1.3982569924053715E-3</v>
      </c>
      <c r="J10" s="1" t="b">
        <f>AND(NOT(ISERROR(I10)))</f>
        <v>1</v>
      </c>
      <c r="K10" s="15">
        <f>(I10-_xll.ohFilter($I$6:$I$9,$J$6:$J$9))/(P10-_xll.ohFilter($P$6:$P$9,$J$6:$J$9))</f>
        <v>-1.5238931084907071E-7</v>
      </c>
      <c r="L10" s="15">
        <f>_xll.ohFilter($I$6:$I$9,$J$6:$J$9)-K10*_xll.ohFilter($P$6:$P$9,$J$6:$J$9)</f>
        <v>1.4150198165987693E-3</v>
      </c>
      <c r="M10" s="5"/>
      <c r="N10" s="112">
        <f t="shared" si="2"/>
        <v>9</v>
      </c>
      <c r="O10" s="112">
        <f t="shared" si="3"/>
        <v>101</v>
      </c>
      <c r="P10" s="112">
        <f t="shared" si="6"/>
        <v>110</v>
      </c>
      <c r="R10" s="91">
        <f t="shared" si="4"/>
        <v>3730.3333333333335</v>
      </c>
      <c r="S10" s="91">
        <f t="shared" si="5"/>
        <v>55</v>
      </c>
      <c r="T10" s="91">
        <v>1</v>
      </c>
      <c r="V10" s="85">
        <v>3730.3333333333335</v>
      </c>
      <c r="W10" s="86">
        <v>55</v>
      </c>
      <c r="X10" s="87">
        <v>1</v>
      </c>
      <c r="Y10" s="58" t="s">
        <v>46</v>
      </c>
      <c r="Z10" s="68">
        <v>-1.0091115251803701E-6</v>
      </c>
      <c r="AA10" s="58" t="s">
        <v>47</v>
      </c>
      <c r="AB10" s="68">
        <v>1.3982569924053715E-3</v>
      </c>
      <c r="AD10" s="76">
        <v>-0.42331253863879209</v>
      </c>
      <c r="AE10" s="77">
        <v>0.52548755128421476</v>
      </c>
      <c r="AF10" s="78">
        <v>-0.10217501264542275</v>
      </c>
      <c r="AH10" s="71">
        <v>2.3852447794681098E-18</v>
      </c>
    </row>
    <row r="11" spans="1:34" x14ac:dyDescent="0.2">
      <c r="A11" s="214" t="str">
        <f>_xll.qlIMMNextCode(E10,IF(_xll.qlIMMIsIMMdate(E10,TRUE),FALSE,TRUE))</f>
        <v>U4</v>
      </c>
      <c r="B11" s="29" t="str">
        <f>_xll.qlMakeDatedOIS(,E11,F11,OvernightIndex,0,,,,EvaluationDate)</f>
        <v>obj_00442#0000</v>
      </c>
      <c r="C11" s="12" t="b">
        <f>_xll.qlInstrumentSetPricingEngine(B11,OisEngine)</f>
        <v>1</v>
      </c>
      <c r="D11" s="11" t="str">
        <f>Currency&amp;"FUT3M"&amp;A11&amp;QuoteSuffix</f>
        <v>USDFUT3MU4_Quote</v>
      </c>
      <c r="E11" s="53">
        <f>_xll.qlIMMdate(A11)</f>
        <v>41899</v>
      </c>
      <c r="F11" s="54">
        <f>_xll.qlCalendarAdvance(Calendar,E11,"3M","mf")</f>
        <v>41990</v>
      </c>
      <c r="G11" s="50">
        <f>1-_xll.qlQuoteValue($D11,AllTriggers)/100</f>
        <v>2.375000000000016E-3</v>
      </c>
      <c r="H11" s="15">
        <f>_xll.qlOvernightIndexedSwapFairRate(B11,_xll.ohTrigger(C11,InterestRatesTrigger))</f>
        <v>9.7823102290825318E-4</v>
      </c>
      <c r="I11" s="16">
        <f t="shared" si="1"/>
        <v>1.3967689770917628E-3</v>
      </c>
      <c r="J11" s="1" t="b">
        <f>NOT(ISERROR(I11))</f>
        <v>1</v>
      </c>
      <c r="K11" s="15">
        <f>(I11-_xll.ohFilter($I$6:$I$9,$J$6:$J$9))/(P11-_xll.ohFilter($P$6:$P$9,$J$6:$J$9))</f>
        <v>-5.7959217930026767E-8</v>
      </c>
      <c r="L11" s="15">
        <f>_xll.ohFilter($I$6:$I$9,$J$6:$J$9)-K11*_xll.ohFilter($P$6:$P$9,$J$6:$J$9)</f>
        <v>1.4063322480502172E-3</v>
      </c>
      <c r="M11" s="5"/>
      <c r="N11" s="112">
        <f t="shared" si="2"/>
        <v>37</v>
      </c>
      <c r="O11" s="112">
        <f t="shared" si="3"/>
        <v>128</v>
      </c>
      <c r="P11" s="112">
        <f t="shared" si="6"/>
        <v>165</v>
      </c>
      <c r="R11" s="91">
        <f t="shared" si="4"/>
        <v>7496.3333333333339</v>
      </c>
      <c r="S11" s="91">
        <f t="shared" si="5"/>
        <v>82.5</v>
      </c>
      <c r="T11" s="91">
        <v>1</v>
      </c>
      <c r="V11" s="88">
        <v>7496.3333333333339</v>
      </c>
      <c r="W11" s="89">
        <v>82.5</v>
      </c>
      <c r="X11" s="90">
        <v>1</v>
      </c>
      <c r="Z11" s="69">
        <v>1.4277442994821417E-3</v>
      </c>
      <c r="AB11" s="69">
        <v>1.3967689770917628E-3</v>
      </c>
      <c r="AD11" s="79">
        <v>11.751344161561704</v>
      </c>
      <c r="AE11" s="80">
        <v>-12.597238614436439</v>
      </c>
      <c r="AF11" s="81">
        <v>1.8458944528747365</v>
      </c>
      <c r="AH11" s="72">
        <v>4.9873299934333204E-18</v>
      </c>
    </row>
    <row r="12" spans="1:34" x14ac:dyDescent="0.2">
      <c r="A12" s="43">
        <v>1</v>
      </c>
      <c r="B12" s="29" t="str">
        <f>_xll.qlMakeDatedOIS(,E12,F12,OvernightIndex,0,,,,EvaluationDate)</f>
        <v>obj_0042f#0000</v>
      </c>
      <c r="C12" s="12" t="b">
        <f>_xll.qlInstrumentSetPricingEngine(B12,OisEngine)</f>
        <v>1</v>
      </c>
      <c r="D12" s="11" t="str">
        <f>Currency&amp;A12&amp;"x"&amp;A12+3&amp;"F"&amp;QuoteSuffix</f>
        <v>USD1x4F_Quote</v>
      </c>
      <c r="E12" s="53">
        <f>_xll.qlCalendarAdvance(Calendar,SettlementDate,A12&amp;"M","mf")</f>
        <v>41893</v>
      </c>
      <c r="F12" s="54">
        <f>_xll.qlInterestRateIndexMaturity($A$8,E12)</f>
        <v>41984</v>
      </c>
      <c r="G12" s="50">
        <f>_xll.qlQuoteValue(D12,AllTriggers)</f>
        <v>2.3599999999999997E-3</v>
      </c>
      <c r="H12" s="15">
        <f>_xll.qlOvernightIndexedSwapFairRate(B12,_xll.ohTrigger(C12,InterestRatesTrigger))</f>
        <v>9.6695802782227288E-4</v>
      </c>
      <c r="I12" s="16">
        <f>G12-H12</f>
        <v>1.3930419721777268E-3</v>
      </c>
      <c r="J12" s="1" t="b">
        <f>AND(NOT(ISERROR(I12)),E12&lt;&gt;$E$11,E12&lt;&gt;$E$10)</f>
        <v>1</v>
      </c>
      <c r="K12" s="15">
        <f>(I12-_xll.ohFilter($I$6:$I$9,$J$6:$J$9))/(P12-_xll.ohFilter($P$6:$P$9,$J$6:$J$9))</f>
        <v>-1.3045947250701567E-7</v>
      </c>
      <c r="L12" s="15">
        <f>_xll.ohFilter($I$6:$I$9,$J$6:$J$9)-K12*_xll.ohFilter($P$6:$P$9,$J$6:$J$9)</f>
        <v>1.4130022714713003E-3</v>
      </c>
      <c r="M12" s="5"/>
      <c r="N12" s="112">
        <f t="shared" si="2"/>
        <v>31</v>
      </c>
      <c r="O12" s="112">
        <f t="shared" si="3"/>
        <v>122</v>
      </c>
      <c r="P12" s="112">
        <f t="shared" si="6"/>
        <v>153</v>
      </c>
      <c r="R12" s="91">
        <f t="shared" si="4"/>
        <v>6542.3333333333339</v>
      </c>
      <c r="S12" s="91">
        <f t="shared" si="5"/>
        <v>76.5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obj_0043d#0000</v>
      </c>
      <c r="C13" s="12" t="b">
        <f>_xll.qlInstrumentSetPricingEngine(B13,OisEngine)</f>
        <v>1</v>
      </c>
      <c r="D13" s="11" t="str">
        <f>Currency&amp;A13&amp;"x"&amp;A13+3&amp;"F"&amp;QuoteSuffix</f>
        <v>USD2x5F_Quote</v>
      </c>
      <c r="E13" s="53">
        <f>_xll.qlCalendarAdvance(Calendar,SettlementDate,A13&amp;"M","mf")</f>
        <v>41925</v>
      </c>
      <c r="F13" s="54">
        <f>_xll.qlInterestRateIndexMaturity($A$8,E13)</f>
        <v>42017</v>
      </c>
      <c r="G13" s="50">
        <f>_xll.qlQuoteValue(D13,AllTriggers)</f>
        <v>2.4199999999999998E-3</v>
      </c>
      <c r="H13" s="15">
        <f>_xll.qlOvernightIndexedSwapFairRate(B13,_xll.ohTrigger(C13,InterestRatesTrigger))</f>
        <v>1.0412555315592958E-3</v>
      </c>
      <c r="I13" s="16">
        <f>G13-H13</f>
        <v>1.3787444684407041E-3</v>
      </c>
      <c r="J13" s="1" t="b">
        <f>AND(NOT(ISERROR(I13)),E13&lt;&gt;$E$11,E13&lt;&gt;$E$10)</f>
        <v>1</v>
      </c>
      <c r="K13" s="15">
        <f>(I13-_xll.ohFilter($I$6:$I$9,$J$6:$J$9))/(P13-_xll.ohFilter($P$6:$P$9,$J$6:$J$9))</f>
        <v>-1.7663120285675139E-7</v>
      </c>
      <c r="L13" s="15">
        <f>_xll.ohFilter($I$6:$I$9,$J$6:$J$9)-K13*_xll.ohFilter($P$6:$P$9,$J$6:$J$9)</f>
        <v>1.4172500706634758E-3</v>
      </c>
      <c r="M13" s="5"/>
      <c r="N13" s="112">
        <f t="shared" si="2"/>
        <v>63</v>
      </c>
      <c r="O13" s="112">
        <f t="shared" si="3"/>
        <v>155</v>
      </c>
      <c r="P13" s="112">
        <f t="shared" si="6"/>
        <v>218</v>
      </c>
      <c r="R13" s="91">
        <f t="shared" si="4"/>
        <v>12586.333333333334</v>
      </c>
      <c r="S13" s="91">
        <f t="shared" si="5"/>
        <v>109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obj_00439#0000</v>
      </c>
      <c r="C14" s="12" t="b">
        <f>_xll.qlInstrumentSetPricingEngine(B14,OisEngine)</f>
        <v>1</v>
      </c>
      <c r="D14" s="9" t="str">
        <f>Currency&amp;A14&amp;"x"&amp;A14+3&amp;"F"&amp;QuoteSuffix</f>
        <v>USD3x6F_Quote</v>
      </c>
      <c r="E14" s="53">
        <f>_xll.qlCalendarAdvance(Calendar,SettlementDate,A14&amp;"M","mf")</f>
        <v>41954</v>
      </c>
      <c r="F14" s="54">
        <f>_xll.qlInterestRateIndexMaturity($A$8,E14)</f>
        <v>42046</v>
      </c>
      <c r="G14" s="50">
        <f>_xll.qlQuoteValue(D14,AllTriggers)</f>
        <v>2.5300000000000001E-3</v>
      </c>
      <c r="H14" s="15">
        <f>_xll.qlOvernightIndexedSwapFairRate(B14,_xll.ohTrigger(C14,InterestRatesTrigger))</f>
        <v>1.1319258565919824E-3</v>
      </c>
      <c r="I14" s="16">
        <f>G14-H14</f>
        <v>1.3980741434080177E-3</v>
      </c>
      <c r="J14" s="1" t="b">
        <f>AND(NOT(ISERROR(I14)),E14&lt;&gt;$E$11,E14&lt;&gt;$E$10)</f>
        <v>1</v>
      </c>
      <c r="K14" s="15">
        <f>(I14-_xll.ohFilter($I$6:$I$9,$J$6:$J$9))/(P14-_xll.ohFilter($P$6:$P$9,$J$6:$J$9))</f>
        <v>-1.59013945252015E-8</v>
      </c>
      <c r="L14" s="15">
        <f>_xll.ohFilter($I$6:$I$9,$J$6:$J$9)-K14*_xll.ohFilter($P$6:$P$9,$J$6:$J$9)</f>
        <v>1.4024629282969733E-3</v>
      </c>
      <c r="M14" s="5"/>
      <c r="N14" s="112">
        <f t="shared" si="2"/>
        <v>92</v>
      </c>
      <c r="O14" s="112">
        <f t="shared" si="3"/>
        <v>184</v>
      </c>
      <c r="P14" s="112">
        <f t="shared" si="6"/>
        <v>276</v>
      </c>
      <c r="R14" s="91">
        <f t="shared" si="4"/>
        <v>19749.333333333336</v>
      </c>
      <c r="S14" s="91">
        <f t="shared" si="5"/>
        <v>138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obj_00437#0000</v>
      </c>
      <c r="C15" s="8" t="b">
        <f>_xll.qlInstrumentSetPricingEngine(B15,OisEngine)</f>
        <v>1</v>
      </c>
      <c r="D15" s="102" t="str">
        <f>Currency&amp;A16&amp;"D_Quote"</f>
        <v>USD6MD_Quote</v>
      </c>
      <c r="E15" s="103">
        <f>SettlementDate</f>
        <v>41862</v>
      </c>
      <c r="F15" s="104">
        <f>_xll.qlCalendarAdvance(Calendar,E15,A16,"mf")</f>
        <v>42046</v>
      </c>
      <c r="G15" s="105">
        <f>_xll.qlQuoteValue($D15,AllTriggers)</f>
        <v>3.2830000000000003E-3</v>
      </c>
      <c r="H15" s="106">
        <f>_xll.qlOvernightIndexedSwapFairRate(B15,_xll.ohTrigger(C15,InterestRatesTrigger))</f>
        <v>1.0299999997926584E-3</v>
      </c>
      <c r="I15" s="107">
        <f t="shared" si="1"/>
        <v>2.2530000002073418E-3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184</v>
      </c>
      <c r="P15" s="111">
        <f t="shared" ref="P15:P27" si="7">(O15^2-N15^2)/(O15-N15)</f>
        <v>184</v>
      </c>
      <c r="Q15" s="108"/>
      <c r="R15" s="122">
        <f t="shared" ref="R15:R27" si="8">(O15^3-N15^3)/3/(O15-N15)</f>
        <v>11285.333333333332</v>
      </c>
      <c r="S15" s="122">
        <f t="shared" ref="S15:S27" si="9">(O15+N15)/2</f>
        <v>92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obj_00351#0003</v>
      </c>
      <c r="C16" s="12" t="b">
        <f>_xll.qlInstrumentSetPricingEngine(B16,OisEngine)</f>
        <v>1</v>
      </c>
      <c r="D16" s="95" t="str">
        <f>PROPER(Currency&amp;FamilyName)&amp;A16&amp;"LastFixing_Quote"</f>
        <v>Usdlibor6MLastFixing_Quote</v>
      </c>
      <c r="E16" s="96">
        <f>_xll.qlCalendarAdvance(Calendar,_xll.qlLastFixingQuoteReferenceDate(D16),_xll.qlInterestRateIndexFixingDays(A17)&amp;"D","f",,LastFixingsTrigger)</f>
        <v>41862</v>
      </c>
      <c r="F16" s="97">
        <f>_xll.qlInterestRateIndexMaturity(A17,E16)</f>
        <v>42046</v>
      </c>
      <c r="G16" s="98">
        <f>_xll.qlQuoteValue(D16,AllTriggers)</f>
        <v>3.2830000000000003E-3</v>
      </c>
      <c r="H16" s="99">
        <f>_xll.qlOvernightIndexedSwapFairRate(B16,_xll.ohTrigger(C16,InterestRatesTrigger))</f>
        <v>1.0299999997926584E-3</v>
      </c>
      <c r="I16" s="100">
        <f t="shared" si="1"/>
        <v>2.2530000002073418E-3</v>
      </c>
      <c r="J16" s="108" t="b">
        <f>AND(NOT(ISERROR(I16)))</f>
        <v>1</v>
      </c>
      <c r="K16" s="109"/>
      <c r="L16" s="109"/>
      <c r="M16" s="109"/>
      <c r="N16" s="111">
        <f t="shared" si="2"/>
        <v>0</v>
      </c>
      <c r="O16" s="111">
        <f t="shared" si="3"/>
        <v>184</v>
      </c>
      <c r="P16" s="111">
        <f t="shared" si="7"/>
        <v>184</v>
      </c>
      <c r="Q16" s="108"/>
      <c r="R16" s="122">
        <f t="shared" si="8"/>
        <v>11285.333333333332</v>
      </c>
      <c r="S16" s="122">
        <f t="shared" si="9"/>
        <v>92</v>
      </c>
      <c r="T16" s="122">
        <v>1</v>
      </c>
    </row>
    <row r="17" spans="1:34" x14ac:dyDescent="0.2">
      <c r="A17" s="214" t="str">
        <f>PROPER(Currency)&amp;FamilyName&amp;A16</f>
        <v>UsdLibor6M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-41862</v>
      </c>
      <c r="O17" s="111">
        <f t="shared" si="3"/>
        <v>-41862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-41862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-5.086969454799676E-8</v>
      </c>
      <c r="L18" s="99">
        <f>_xll.ohFilter($I$15:$I$18,$J$15:$J$18)-K18*_xll.ohFilter($P$15:$P$18,$J$15:$J$18)</f>
        <v>2.2623600240041734E-3</v>
      </c>
      <c r="M18" s="109"/>
      <c r="N18" s="111">
        <f t="shared" si="2"/>
        <v>-41862</v>
      </c>
      <c r="O18" s="111">
        <f t="shared" si="3"/>
        <v>-41862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-41862</v>
      </c>
      <c r="T18" s="122">
        <v>1</v>
      </c>
      <c r="V18" s="82">
        <f t="array" ref="V18:V20">_xll.ohFilter(R15:R24,$J15:$J24)</f>
        <v>11285.333333333332</v>
      </c>
      <c r="W18" s="83">
        <f t="array" ref="W18:W20">_xll.ohFilter(S15:S24,$J15:$J24)</f>
        <v>92</v>
      </c>
      <c r="X18" s="84">
        <f t="array" ref="X18:X20">_xll.ohFilter(T15:T24,$J15:$J24)</f>
        <v>1</v>
      </c>
      <c r="Z18" s="67">
        <f t="array" ref="Z18:Z20">MMULT(AD18:AF20,AB18:AB20)</f>
        <v>1.7565104861457805E-8</v>
      </c>
      <c r="AB18" s="67">
        <f t="array" ref="AB18:AB20">_xll.ohFilter(I15:I24,$J15:$J24)</f>
        <v>2.2530000002073418E-3</v>
      </c>
      <c r="AD18" s="73">
        <f t="array" ref="AD18:AF20">MINVERSE(V18:X20)</f>
        <v>5.1342406458084898E-4</v>
      </c>
      <c r="AE18" s="74">
        <v>-9.7945513858500454E-4</v>
      </c>
      <c r="AF18" s="75">
        <v>4.660310740041555E-4</v>
      </c>
      <c r="AH18" s="70">
        <f t="array" ref="AH18:AH20">MMULT(V18:X20,Z18:Z20)-AB18:AB20</f>
        <v>-2.6020852139652106E-18</v>
      </c>
    </row>
    <row r="19" spans="1:34" x14ac:dyDescent="0.2">
      <c r="A19" s="43">
        <v>1</v>
      </c>
      <c r="B19" s="29" t="str">
        <f>_xll.qlMakeDatedOIS(,E19,F19,OvernightIndex,0,,,,EvaluationDate)</f>
        <v>obj_00438#0000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USD1x7F_Quote</v>
      </c>
      <c r="E19" s="53">
        <f>_xll.qlCalendarAdvance(Calendar,SettlementDate,A19&amp;"M","mf")</f>
        <v>41893</v>
      </c>
      <c r="F19" s="54">
        <f>_xll.qlInterestRateIndexMaturity($A$17,E19)</f>
        <v>42074</v>
      </c>
      <c r="G19" s="27">
        <f>_xll.qlQuoteValue(D19,AllTriggers)</f>
        <v>3.3500000000000001E-3</v>
      </c>
      <c r="H19" s="15">
        <f>_xll.qlOvernightIndexedSwapFairRate(B19,_xll.ohTrigger(C19,InterestRatesTrigger))</f>
        <v>1.1107426465485958E-3</v>
      </c>
      <c r="I19" s="16">
        <f t="shared" ref="I19:I24" si="11">G19-H19</f>
        <v>2.2392573534514041E-3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-2.3292621620233247E-7</v>
      </c>
      <c r="L19" s="15">
        <f>_xll.ohFilter($I$15:$I$18,$J$15:$J$18)-K19*_xll.ohFilter($P$15:$P$18,$J$15:$J$18)</f>
        <v>2.2958584239885708E-3</v>
      </c>
      <c r="M19" s="5"/>
      <c r="N19" s="112">
        <f t="shared" si="2"/>
        <v>31</v>
      </c>
      <c r="O19" s="112">
        <f t="shared" si="3"/>
        <v>212</v>
      </c>
      <c r="P19" s="112">
        <f t="shared" si="7"/>
        <v>243</v>
      </c>
      <c r="R19" s="91">
        <f t="shared" si="8"/>
        <v>17492.333333333336</v>
      </c>
      <c r="S19" s="91">
        <f t="shared" si="9"/>
        <v>121.5</v>
      </c>
      <c r="T19" s="91">
        <v>1</v>
      </c>
      <c r="V19" s="85">
        <v>17492.333333333336</v>
      </c>
      <c r="W19" s="86">
        <v>121.5</v>
      </c>
      <c r="X19" s="87">
        <v>1</v>
      </c>
      <c r="Y19" s="58" t="s">
        <v>46</v>
      </c>
      <c r="Z19" s="68">
        <v>-4.161669580712168E-6</v>
      </c>
      <c r="AA19" s="58" t="s">
        <v>47</v>
      </c>
      <c r="AB19" s="68">
        <v>2.2392573534514041E-3</v>
      </c>
      <c r="AD19" s="76">
        <v>-0.14192620911367226</v>
      </c>
      <c r="AE19" s="77">
        <v>0.23998230661685171</v>
      </c>
      <c r="AF19" s="78">
        <v>-9.8056097503179479E-2</v>
      </c>
      <c r="AH19" s="71">
        <v>-5.2041704279304213E-18</v>
      </c>
    </row>
    <row r="20" spans="1:34" x14ac:dyDescent="0.2">
      <c r="A20" s="43">
        <v>2</v>
      </c>
      <c r="B20" s="29" t="str">
        <f>_xll.qlMakeDatedOIS(,E20,F20,OvernightIndex,0,,,,EvaluationDate)</f>
        <v>obj_0043f#0000</v>
      </c>
      <c r="C20" s="12" t="b">
        <f>_xll.qlInstrumentSetPricingEngine(B20,OisEngine)</f>
        <v>1</v>
      </c>
      <c r="D20" s="11" t="str">
        <f t="shared" si="10"/>
        <v>USD2x8F_Quote</v>
      </c>
      <c r="E20" s="53">
        <f>_xll.qlCalendarAdvance(Calendar,SettlementDate,A20&amp;"M","mf")</f>
        <v>41925</v>
      </c>
      <c r="F20" s="54">
        <f>_xll.qlInterestRateIndexMaturity($A$17,E20)</f>
        <v>42107</v>
      </c>
      <c r="G20" s="27">
        <f>_xll.qlQuoteValue(D20,AllTriggers)</f>
        <v>3.5199999999999997E-3</v>
      </c>
      <c r="H20" s="15">
        <f>_xll.qlOvernightIndexedSwapFairRate(B20,_xll.ohTrigger(C20,InterestRatesTrigger))</f>
        <v>1.2581920058464006E-3</v>
      </c>
      <c r="I20" s="16">
        <f t="shared" si="11"/>
        <v>2.2618079941535991E-3</v>
      </c>
      <c r="J20" s="1" t="b">
        <f t="shared" si="12"/>
        <v>1</v>
      </c>
      <c r="K20" s="15">
        <f>(I20-_xll.ohFilter($I$15:$I$18,$J$15:$J$18))/(P20-_xll.ohFilter($P$15:$P$18,$J$15:$J$18))</f>
        <v>7.1032209244010724E-8</v>
      </c>
      <c r="L20" s="15">
        <f>_xll.ohFilter($I$15:$I$18,$J$15:$J$18)-K20*_xll.ohFilter($P$15:$P$18,$J$15:$J$18)</f>
        <v>2.2399300737064439E-3</v>
      </c>
      <c r="M20" s="5"/>
      <c r="N20" s="112">
        <f t="shared" si="2"/>
        <v>63</v>
      </c>
      <c r="O20" s="112">
        <f t="shared" si="3"/>
        <v>245</v>
      </c>
      <c r="P20" s="112">
        <f t="shared" si="7"/>
        <v>308</v>
      </c>
      <c r="R20" s="91">
        <f t="shared" si="8"/>
        <v>26476.333333333336</v>
      </c>
      <c r="S20" s="91">
        <f t="shared" si="9"/>
        <v>154</v>
      </c>
      <c r="T20" s="91">
        <v>1</v>
      </c>
      <c r="V20" s="88">
        <v>26476.333333333336</v>
      </c>
      <c r="W20" s="89">
        <v>154</v>
      </c>
      <c r="X20" s="90">
        <v>1</v>
      </c>
      <c r="Z20" s="69">
        <v>2.4376455382363535E-3</v>
      </c>
      <c r="AB20" s="69">
        <v>2.2618079941535991E-3</v>
      </c>
      <c r="AD20" s="79">
        <v>8.2630495283081071</v>
      </c>
      <c r="AE20" s="80">
        <v>-11.024894484772389</v>
      </c>
      <c r="AF20" s="81">
        <v>3.7618449564642829</v>
      </c>
      <c r="AH20" s="72">
        <v>-8.6736173798840355E-18</v>
      </c>
    </row>
    <row r="21" spans="1:34" x14ac:dyDescent="0.2">
      <c r="A21" s="43">
        <v>3</v>
      </c>
      <c r="B21" s="29" t="str">
        <f>_xll.qlMakeDatedOIS(,E21,F21,OvernightIndex,0,,,,EvaluationDate)</f>
        <v>obj_0043e#0000</v>
      </c>
      <c r="C21" s="12" t="b">
        <f>_xll.qlInstrumentSetPricingEngine(B21,OisEngine)</f>
        <v>1</v>
      </c>
      <c r="D21" s="11" t="str">
        <f t="shared" si="10"/>
        <v>USD3x9F_Quote</v>
      </c>
      <c r="E21" s="53">
        <f>_xll.qlCalendarAdvance(Calendar,SettlementDate,A21&amp;"M","mf")</f>
        <v>41954</v>
      </c>
      <c r="F21" s="54">
        <f>_xll.qlInterestRateIndexMaturity($A$17,E21)</f>
        <v>42135</v>
      </c>
      <c r="G21" s="27">
        <f>_xll.qlQuoteValue(D21,AllTriggers)</f>
        <v>3.7000000000000002E-3</v>
      </c>
      <c r="H21" s="15">
        <f>_xll.qlOvernightIndexedSwapFairRate(B21,_xll.ohTrigger(C21,InterestRatesTrigger))</f>
        <v>1.4453194286727644E-3</v>
      </c>
      <c r="I21" s="16">
        <f t="shared" si="11"/>
        <v>2.2546805713272357E-3</v>
      </c>
      <c r="J21" s="1" t="b">
        <f t="shared" si="12"/>
        <v>1</v>
      </c>
      <c r="K21" s="15">
        <f>(I21-_xll.ohFilter($I$15:$I$18,$J$15:$J$18))/(P21-_xll.ohFilter($P$15:$P$18,$J$15:$J$18))</f>
        <v>9.2849233143314704E-9</v>
      </c>
      <c r="L21" s="15">
        <f>_xll.ohFilter($I$15:$I$18,$J$15:$J$18)-K21*_xll.ohFilter($P$15:$P$18,$J$15:$J$18)</f>
        <v>2.2512915743175049E-3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obj_00433#0000</v>
      </c>
      <c r="C22" s="12" t="b">
        <f>_xll.qlInstrumentSetPricingEngine(B22,OisEngine)</f>
        <v>1</v>
      </c>
      <c r="D22" s="11" t="str">
        <f t="shared" si="10"/>
        <v>USD4x10F_Quote</v>
      </c>
      <c r="E22" s="53">
        <f>_xll.qlCalendarAdvance(Calendar,SettlementDate,A22&amp;"M","mf")</f>
        <v>41984</v>
      </c>
      <c r="F22" s="54">
        <f>_xll.qlInterestRateIndexMaturity($A$17,E22)</f>
        <v>42166</v>
      </c>
      <c r="G22" s="27">
        <f>_xll.qlQuoteValue(D22,AllTriggers)</f>
        <v>3.9399999999999999E-3</v>
      </c>
      <c r="H22" s="15">
        <f>_xll.qlOvernightIndexedSwapFairRate(B22,_xll.ohTrigger(C22,InterestRatesTrigger))</f>
        <v>1.6677048499286011E-3</v>
      </c>
      <c r="I22" s="16">
        <f t="shared" si="11"/>
        <v>2.2722951500713986E-3</v>
      </c>
      <c r="J22" s="1" t="b">
        <f t="shared" si="12"/>
        <v>1</v>
      </c>
      <c r="K22" s="15">
        <f>(I22-_xll.ohFilter($I$15:$I$18,$J$15:$J$18))/(P22-_xll.ohFilter($P$15:$P$18,$J$15:$J$18))</f>
        <v>7.9732024231639791E-8</v>
      </c>
      <c r="L22" s="15">
        <f>_xll.ohFilter($I$15:$I$18,$J$15:$J$18)-K22*_xll.ohFilter($P$15:$P$18,$J$15:$J$18)</f>
        <v>2.23832930774872E-3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obj_0043c#0000</v>
      </c>
      <c r="C23" s="12" t="b">
        <f>_xll.qlInstrumentSetPricingEngine(B23,OisEngine)</f>
        <v>1</v>
      </c>
      <c r="D23" s="11" t="str">
        <f t="shared" si="10"/>
        <v>USD5x11F_Quote</v>
      </c>
      <c r="E23" s="53">
        <f>_xll.qlCalendarAdvance(Calendar,SettlementDate,A23&amp;"M","mf")</f>
        <v>42016</v>
      </c>
      <c r="F23" s="54">
        <f>_xll.qlInterestRateIndexMaturity($A$17,E23)</f>
        <v>42198</v>
      </c>
      <c r="G23" s="27">
        <f>_xll.qlQuoteValue(D23,AllTriggers)</f>
        <v>4.3400000000000001E-3</v>
      </c>
      <c r="H23" s="15">
        <f>_xll.qlOvernightIndexedSwapFairRate(B23,_xll.ohTrigger(C23,InterestRatesTrigger))</f>
        <v>2.0414431411196732E-3</v>
      </c>
      <c r="I23" s="16">
        <f t="shared" si="11"/>
        <v>2.2985568588803269E-3</v>
      </c>
      <c r="J23" s="1" t="b">
        <f t="shared" si="12"/>
        <v>1</v>
      </c>
      <c r="K23" s="15">
        <f>(I23-_xll.ohFilter($I$15:$I$18,$J$15:$J$18))/(P23-_xll.ohFilter($P$15:$P$18,$J$15:$J$18))</f>
        <v>1.488786231143305E-7</v>
      </c>
      <c r="L23" s="15">
        <f>_xll.ohFilter($I$15:$I$18,$J$15:$J$18)-K23*_xll.ohFilter($P$15:$P$18,$J$15:$J$18)</f>
        <v>2.225606333554305E-3</v>
      </c>
      <c r="M23" s="5"/>
      <c r="N23" s="112">
        <f t="shared" si="2"/>
        <v>154</v>
      </c>
      <c r="O23" s="112">
        <f t="shared" si="3"/>
        <v>336</v>
      </c>
      <c r="P23" s="112">
        <f t="shared" si="7"/>
        <v>490</v>
      </c>
      <c r="R23" s="91">
        <f t="shared" si="8"/>
        <v>62785.333333333328</v>
      </c>
      <c r="S23" s="91">
        <f t="shared" si="9"/>
        <v>245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obj_00432#0000</v>
      </c>
      <c r="C24" s="12" t="b">
        <f>_xll.qlInstrumentSetPricingEngine(B24,OisEngine)</f>
        <v>1</v>
      </c>
      <c r="D24" s="11" t="str">
        <f t="shared" si="10"/>
        <v>USD6x12F_Quote</v>
      </c>
      <c r="E24" s="53">
        <f>_xll.qlCalendarAdvance(Calendar,SettlementDate,A24&amp;"M","mf")</f>
        <v>42046</v>
      </c>
      <c r="F24" s="54">
        <f>_xll.qlInterestRateIndexMaturity($A$17,E24)</f>
        <v>42227</v>
      </c>
      <c r="G24" s="27">
        <f>_xll.qlQuoteValue(D24,AllTriggers)</f>
        <v>4.7599999999999995E-3</v>
      </c>
      <c r="H24" s="15">
        <f>_xll.qlOvernightIndexedSwapFairRate(B24,_xll.ohTrigger(C24,InterestRatesTrigger))</f>
        <v>2.460472653822641E-3</v>
      </c>
      <c r="I24" s="16">
        <f t="shared" si="11"/>
        <v>2.2995273461773585E-3</v>
      </c>
      <c r="J24" s="1" t="b">
        <f t="shared" si="12"/>
        <v>1</v>
      </c>
      <c r="K24" s="15">
        <f>(I24-_xll.ohFilter($I$15:$I$18,$J$15:$J$18))/(P24-_xll.ohFilter($P$15:$P$18,$J$15:$J$18))</f>
        <v>1.2747218073977185E-7</v>
      </c>
      <c r="L24" s="15">
        <f>_xll.ohFilter($I$15:$I$18,$J$15:$J$18)-K24*_xll.ohFilter($P$15:$P$18,$J$15:$J$18)</f>
        <v>2.2295451189512237E-3</v>
      </c>
      <c r="M24" s="5"/>
      <c r="N24" s="112">
        <f t="shared" si="2"/>
        <v>184</v>
      </c>
      <c r="O24" s="112">
        <f t="shared" si="3"/>
        <v>365</v>
      </c>
      <c r="P24" s="112">
        <f t="shared" si="7"/>
        <v>549</v>
      </c>
      <c r="R24" s="91">
        <f t="shared" si="8"/>
        <v>78080.333333333343</v>
      </c>
      <c r="S24" s="91">
        <f t="shared" si="9"/>
        <v>274.5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obj_00435#0000</v>
      </c>
      <c r="C25" s="8" t="b">
        <f>_xll.qlInstrumentSetPricingEngine(B25,OisEngine)</f>
        <v>1</v>
      </c>
      <c r="D25" s="102" t="str">
        <f>Currency&amp;A26&amp;"D_Quote"</f>
        <v>USD1YD_Quote</v>
      </c>
      <c r="E25" s="103">
        <f>SettlementDate</f>
        <v>41862</v>
      </c>
      <c r="F25" s="104">
        <f>_xll.qlCalendarAdvance(Calendar,E25,A26,"mf")</f>
        <v>42227</v>
      </c>
      <c r="G25" s="105">
        <f>_xll.qlQuoteValue($D25,AllTriggers)</f>
        <v>5.5539999999999999E-3</v>
      </c>
      <c r="H25" s="106">
        <f>_xll.qlOvernightIndexedSwapFairRate(B25,_xll.ohTrigger(C25,InterestRatesTrigger))</f>
        <v>1.7399999999847904E-3</v>
      </c>
      <c r="I25" s="107">
        <f t="shared" si="1"/>
        <v>3.8140000000152097E-3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obj_00350#0003</v>
      </c>
      <c r="C26" s="12" t="b">
        <f>_xll.qlInstrumentSetPricingEngine(B26,OisEngine)</f>
        <v>1</v>
      </c>
      <c r="D26" s="95" t="str">
        <f>PROPER(Currency&amp;FamilyName)&amp;A26&amp;"LastFixing_Quote"</f>
        <v>Usdlibor1YLastFixing_Quote</v>
      </c>
      <c r="E26" s="96">
        <f>_xll.qlCalendarAdvance(Calendar,_xll.qlLastFixingQuoteReferenceDate(D26),_xll.qlInterestRateIndexFixingDays(A27)&amp;"D","f",,LastFixingsTrigger)</f>
        <v>41862</v>
      </c>
      <c r="F26" s="97">
        <f>_xll.qlInterestRateIndexMaturity(A27,E26)</f>
        <v>42227</v>
      </c>
      <c r="G26" s="98">
        <f>_xll.qlQuoteValue(D26,AllTriggers)</f>
        <v>5.5539999999999999E-3</v>
      </c>
      <c r="H26" s="99">
        <f>_xll.qlOvernightIndexedSwapFairRate(B26,_xll.ohTrigger(C26,InterestRatesTrigger))</f>
        <v>1.7399999999847904E-3</v>
      </c>
      <c r="I26" s="100">
        <f t="shared" si="1"/>
        <v>3.8140000000152097E-3</v>
      </c>
      <c r="J26" s="108" t="b">
        <f>NOT(ISERROR(I26))</f>
        <v>1</v>
      </c>
      <c r="K26" s="110">
        <f>K27</f>
        <v>4.1917894161121204E-7</v>
      </c>
      <c r="L26" s="99">
        <f>L27</f>
        <v>3.6609996863271174E-3</v>
      </c>
      <c r="M26" s="109"/>
      <c r="N26" s="111">
        <f t="shared" si="2"/>
        <v>0</v>
      </c>
      <c r="O26" s="111">
        <f t="shared" si="3"/>
        <v>365</v>
      </c>
      <c r="P26" s="111">
        <f t="shared" si="7"/>
        <v>365</v>
      </c>
      <c r="Q26" s="108"/>
      <c r="R26" s="122">
        <f t="shared" si="8"/>
        <v>44408.333333333328</v>
      </c>
      <c r="S26" s="122">
        <f t="shared" si="9"/>
        <v>182.5</v>
      </c>
      <c r="T26" s="122">
        <v>1</v>
      </c>
    </row>
    <row r="27" spans="1:34" x14ac:dyDescent="0.2">
      <c r="A27" s="214" t="str">
        <f>PROPER(Currency)&amp;FamilyName&amp;A26</f>
        <v>UsdLibor1Y</v>
      </c>
      <c r="B27" s="29" t="str">
        <f>_xll.qlMakeDatedOIS(,E27,F27,OvernightIndex,0,,,,EvaluationDate)</f>
        <v>obj_0042c#0000</v>
      </c>
      <c r="C27" s="12" t="b">
        <f>_xll.qlInstrumentSetPricingEngine(B27,OisEngine)</f>
        <v>1</v>
      </c>
      <c r="D27" s="11" t="str">
        <f>Currency&amp;"12x24F"&amp;QuoteSuffix</f>
        <v>USD12x24F_Quote</v>
      </c>
      <c r="E27" s="53">
        <f>_xll.qlCalendarAdvance(Calendar,SettlementDate,"12M","mf")</f>
        <v>42227</v>
      </c>
      <c r="F27" s="54">
        <f>_xll.qlInterestRateIndexMaturity(A27,E27)</f>
        <v>42593</v>
      </c>
      <c r="G27" s="27">
        <f>_xll.qlQuoteValue(D27,AllTriggers)</f>
        <v>1.2580000000000001E-2</v>
      </c>
      <c r="H27" s="15">
        <f>_xll.qlOvernightIndexedSwapFairRate(B27,_xll.ohTrigger(C27,InterestRatesTrigger))</f>
        <v>8.4595801936669952E-3</v>
      </c>
      <c r="I27" s="16">
        <f t="shared" si="1"/>
        <v>4.1204198063330057E-3</v>
      </c>
      <c r="J27" s="1" t="b">
        <f>NOT(ISERROR(I27))</f>
        <v>1</v>
      </c>
      <c r="K27" s="15">
        <f>(I27-_xll.ohFilter($I$25:$I$26,$J$25:$J$26))/(P27-_xll.ohFilter($P$25:$P$26,$J$25:$J$26))</f>
        <v>4.1917894161121204E-7</v>
      </c>
      <c r="L27" s="15">
        <f>_xll.ohFilter($I$25:$I$26,$J$25:$J$26)-K27*_xll.ohFilter($P$25:$P$26,$J$25:$J$26)</f>
        <v>3.6609996863271174E-3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302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1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6.9735931037849612E-9</v>
      </c>
      <c r="W30" s="13">
        <f>Z18</f>
        <v>1.7565104861457805E-8</v>
      </c>
    </row>
    <row r="31" spans="1:34" x14ac:dyDescent="0.2">
      <c r="F31" s="43" t="s">
        <v>32</v>
      </c>
      <c r="G31" s="37">
        <f>_xll.ohFilter(I2:I3,J2:J3)</f>
        <v>6.7000000010885078E-4</v>
      </c>
      <c r="H31" s="38">
        <f>_xll.ohFilter(I6:I9,J6:J9)</f>
        <v>1.4010000000006548E-3</v>
      </c>
      <c r="I31" s="38">
        <f>_xll.ohFilter(I15:I18,J15:J18)</f>
        <v>2.2530000002073418E-3</v>
      </c>
      <c r="J31" s="39">
        <f>_xll.ohFilter(I25:I26,J25:J26)</f>
        <v>3.8140000000152097E-3</v>
      </c>
      <c r="M31" s="58" t="s">
        <v>45</v>
      </c>
      <c r="N31" s="57">
        <f>K4</f>
        <v>-9.3035227655496075E-7</v>
      </c>
      <c r="O31" s="57">
        <f>K9</f>
        <v>-1.1360266709537104E-7</v>
      </c>
      <c r="P31" s="57">
        <f>AVERAGE(K19:K21)</f>
        <v>-5.086969454799676E-8</v>
      </c>
      <c r="Q31" s="57">
        <f>K26</f>
        <v>4.1917894161121204E-7</v>
      </c>
      <c r="U31" s="118" t="s">
        <v>45</v>
      </c>
      <c r="V31" s="63">
        <f>Z10</f>
        <v>-1.0091115251803701E-6</v>
      </c>
      <c r="W31" s="16">
        <f>Z19</f>
        <v>-4.161669580712168E-6</v>
      </c>
    </row>
    <row r="32" spans="1:34" x14ac:dyDescent="0.2">
      <c r="F32" s="43" t="s">
        <v>31</v>
      </c>
      <c r="G32" s="37">
        <f>IF(G31&lt;H31,G31,H31)</f>
        <v>6.7000000010885078E-4</v>
      </c>
      <c r="H32" s="38">
        <f>H31</f>
        <v>1.4010000000006548E-3</v>
      </c>
      <c r="I32" s="38">
        <f>IF(I31&lt;H31,H31,I31)</f>
        <v>2.2530000002073418E-3</v>
      </c>
      <c r="J32" s="39">
        <f>IF(J31&lt;I31,I31,J31)</f>
        <v>3.8140000000152097E-3</v>
      </c>
      <c r="M32" s="58" t="s">
        <v>44</v>
      </c>
      <c r="N32" s="57">
        <f>L4</f>
        <v>6.9884092068205452E-4</v>
      </c>
      <c r="O32" s="57">
        <f>L9</f>
        <v>1.4114514453734289E-3</v>
      </c>
      <c r="P32" s="57">
        <f>L18</f>
        <v>2.2623600240041734E-3</v>
      </c>
      <c r="Q32" s="57">
        <f>L26</f>
        <v>3.6609996863271174E-3</v>
      </c>
      <c r="U32" s="118" t="s">
        <v>44</v>
      </c>
      <c r="V32" s="63">
        <f>Z11</f>
        <v>1.4277442994821417E-3</v>
      </c>
      <c r="W32" s="16">
        <f>Z20</f>
        <v>2.4376455382363535E-3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obj_00428#0000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41862</v>
      </c>
      <c r="F34" s="22">
        <f>_xll.qlCalendarAdvance(Calendar,SettlementDate,D34,"Following")</f>
        <v>41863</v>
      </c>
      <c r="G34" s="32">
        <f t="shared" ref="G34:J38" si="14">$L34+IF(G$30,G$32,N34)</f>
        <v>1.5979105664072845E-3</v>
      </c>
      <c r="H34" s="32">
        <f t="shared" si="14"/>
        <v>2.327242066252371E-3</v>
      </c>
      <c r="I34" s="32">
        <f t="shared" si="14"/>
        <v>3.3355705564827361E-3</v>
      </c>
      <c r="J34" s="32">
        <f t="shared" si="14"/>
        <v>4.7139999980169945E-3</v>
      </c>
      <c r="K34" s="124">
        <f>F34-$E$6</f>
        <v>1</v>
      </c>
      <c r="L34" s="2">
        <f>L35</f>
        <v>8.9999999800178491E-4</v>
      </c>
      <c r="N34" s="62">
        <f>N$31*$K34+N$32</f>
        <v>6.9791056840549958E-4</v>
      </c>
      <c r="O34" s="63">
        <f t="shared" ref="O34:P40" si="15">IF(O$30,V34,O$31*$K34+O$32)</f>
        <v>1.4272420682505862E-3</v>
      </c>
      <c r="P34" s="63">
        <f t="shared" si="15"/>
        <v>2.4355705584809513E-3</v>
      </c>
      <c r="Q34" s="16">
        <f t="shared" ref="Q34:Q49" si="16">Q$31*$K34+Q$32</f>
        <v>3.6614188652687287E-3</v>
      </c>
      <c r="U34" s="21" t="s">
        <v>14</v>
      </c>
      <c r="V34" s="63">
        <f t="shared" ref="V34:W40" si="17">$K34*$K34/3*V$30+$K34/2*V$31+V$32</f>
        <v>1.4272420682505862E-3</v>
      </c>
      <c r="W34" s="16">
        <f t="shared" si="17"/>
        <v>2.4355705584809513E-3</v>
      </c>
    </row>
    <row r="35" spans="2:23" x14ac:dyDescent="0.2">
      <c r="B35" s="29" t="str">
        <f>_xll.qlMakeDatedOIS(,E35,F35,OvernightIndex,0,,,,EvaluationDate)</f>
        <v>obj_00422#0000</v>
      </c>
      <c r="C35" s="5" t="b">
        <f>_xll.qlInstrumentSetPricingEngine(B35,OisEngine)</f>
        <v>1</v>
      </c>
      <c r="D35" s="23" t="s">
        <v>4</v>
      </c>
      <c r="E35" s="53">
        <f t="shared" si="13"/>
        <v>41862</v>
      </c>
      <c r="F35" s="24">
        <f>_xll.qlCalendarAdvance(Calendar,SettlementDate,D35,"Following")</f>
        <v>41869</v>
      </c>
      <c r="G35" s="32">
        <f t="shared" si="14"/>
        <v>1.5923284527479546E-3</v>
      </c>
      <c r="H35" s="32">
        <f t="shared" si="14"/>
        <v>2.3243263091664904E-3</v>
      </c>
      <c r="I35" s="32">
        <f t="shared" si="14"/>
        <v>3.3233665894183829E-3</v>
      </c>
      <c r="J35" s="32">
        <f t="shared" si="14"/>
        <v>4.7139999980169945E-3</v>
      </c>
      <c r="K35" s="125">
        <f t="shared" ref="K35:K49" si="18">F35-$E$6</f>
        <v>7</v>
      </c>
      <c r="L35" s="3">
        <f>_xll.qlOvernightIndexedSwapFairRate(B35,_xll.ohTrigger(C35,InterestRatesTrigger))</f>
        <v>8.9999999800178491E-4</v>
      </c>
      <c r="N35" s="62">
        <f>N$31*$K35+N$32</f>
        <v>6.9232845474616984E-4</v>
      </c>
      <c r="O35" s="63">
        <f t="shared" si="15"/>
        <v>1.4243263111647056E-3</v>
      </c>
      <c r="P35" s="63">
        <f t="shared" si="15"/>
        <v>2.4233665914165981E-3</v>
      </c>
      <c r="Q35" s="16">
        <f t="shared" si="16"/>
        <v>3.663933938918396E-3</v>
      </c>
      <c r="U35" s="23" t="s">
        <v>4</v>
      </c>
      <c r="V35" s="63">
        <f t="shared" si="17"/>
        <v>1.4243263111647056E-3</v>
      </c>
      <c r="W35" s="16">
        <f t="shared" si="17"/>
        <v>2.4233665914165981E-3</v>
      </c>
    </row>
    <row r="36" spans="2:23" x14ac:dyDescent="0.2">
      <c r="B36" s="29" t="str">
        <f>_xll.qlMakeDatedOIS(,E36,F36,OvernightIndex,0,,,,EvaluationDate)</f>
        <v>obj_003dd#0000</v>
      </c>
      <c r="C36" s="5" t="b">
        <f>_xll.qlInstrumentSetPricingEngine(B36,OisEngine)</f>
        <v>1</v>
      </c>
      <c r="D36" s="23" t="s">
        <v>5</v>
      </c>
      <c r="E36" s="53">
        <f t="shared" si="13"/>
        <v>41862</v>
      </c>
      <c r="F36" s="24">
        <f>_xll.qlCalendarAdvance(Calendar,SettlementDate,D36,"Following")</f>
        <v>41877</v>
      </c>
      <c r="G36" s="32">
        <f t="shared" si="14"/>
        <v>1.5848856347996847E-3</v>
      </c>
      <c r="H36" s="32">
        <f t="shared" si="14"/>
        <v>2.3206989807920274E-3</v>
      </c>
      <c r="I36" s="32">
        <f t="shared" si="14"/>
        <v>3.3077503975115761E-3</v>
      </c>
      <c r="J36" s="32">
        <f t="shared" si="14"/>
        <v>4.7139999982811643E-3</v>
      </c>
      <c r="K36" s="125">
        <f t="shared" si="18"/>
        <v>15</v>
      </c>
      <c r="L36" s="3">
        <f>_xll.qlOvernightIndexedSwapFairRate(B36,_xll.ohTrigger(C36,InterestRatesTrigger))</f>
        <v>8.9999999826595456E-4</v>
      </c>
      <c r="N36" s="62">
        <f>N$31*$K36+N$32</f>
        <v>6.8488563653373012E-4</v>
      </c>
      <c r="O36" s="63">
        <f t="shared" si="15"/>
        <v>1.4206989825260728E-3</v>
      </c>
      <c r="P36" s="63">
        <f t="shared" si="15"/>
        <v>2.4077503992456215E-3</v>
      </c>
      <c r="Q36" s="16">
        <f t="shared" si="16"/>
        <v>3.6672873704512855E-3</v>
      </c>
      <c r="U36" s="23" t="s">
        <v>5</v>
      </c>
      <c r="V36" s="63">
        <f t="shared" si="17"/>
        <v>1.4206989825260728E-3</v>
      </c>
      <c r="W36" s="16">
        <f t="shared" si="17"/>
        <v>2.4077503992456215E-3</v>
      </c>
    </row>
    <row r="37" spans="2:23" x14ac:dyDescent="0.2">
      <c r="B37" s="30" t="str">
        <f>_xll.qlMakeDatedOIS(,E37,F37,OvernightIndex,0,,,,EvaluationDate)</f>
        <v>obj_003f1#0000</v>
      </c>
      <c r="C37" s="10" t="b">
        <f>_xll.qlInstrumentSetPricingEngine(B37,OisEngine)</f>
        <v>1</v>
      </c>
      <c r="D37" s="31" t="s">
        <v>8</v>
      </c>
      <c r="E37" s="52">
        <f t="shared" si="13"/>
        <v>41862</v>
      </c>
      <c r="F37" s="26">
        <f>_xll.qlCalendarAdvance(Calendar,SettlementDate,D37,"Following")</f>
        <v>41883</v>
      </c>
      <c r="G37" s="35">
        <f t="shared" si="14"/>
        <v>1.5793035223098436E-3</v>
      </c>
      <c r="H37" s="35">
        <f t="shared" si="14"/>
        <v>2.3181737460894478E-3</v>
      </c>
      <c r="I37" s="35">
        <f t="shared" si="14"/>
        <v>3.2965300774889534E-3</v>
      </c>
      <c r="J37" s="35">
        <f t="shared" si="14"/>
        <v>4.7139999994506533E-3</v>
      </c>
      <c r="K37" s="126">
        <f t="shared" si="18"/>
        <v>21</v>
      </c>
      <c r="L37" s="4">
        <f>_xll.qlOvernightIndexedSwapFairRate(B37,_xll.ohTrigger(C37,InterestRatesTrigger))</f>
        <v>8.9999999943544333E-4</v>
      </c>
      <c r="N37" s="92">
        <f>N$31*$K37+N$32</f>
        <v>6.7930352287440038E-4</v>
      </c>
      <c r="O37" s="93">
        <f t="shared" si="15"/>
        <v>1.4181737466540043E-3</v>
      </c>
      <c r="P37" s="93">
        <f t="shared" si="15"/>
        <v>2.3965300780535099E-3</v>
      </c>
      <c r="Q37" s="14">
        <f t="shared" si="16"/>
        <v>3.6698024441009528E-3</v>
      </c>
      <c r="U37" s="31" t="s">
        <v>8</v>
      </c>
      <c r="V37" s="93">
        <f t="shared" si="17"/>
        <v>1.4181737466540043E-3</v>
      </c>
      <c r="W37" s="14">
        <f t="shared" si="17"/>
        <v>2.3965300780535099E-3</v>
      </c>
    </row>
    <row r="38" spans="2:23" x14ac:dyDescent="0.2">
      <c r="B38" s="29" t="str">
        <f>_xll.qlMakeDatedOIS(,E38,F38,OvernightIndex,0,,,,EvaluationDate)</f>
        <v>obj_003e0#0000</v>
      </c>
      <c r="C38" s="5" t="b">
        <f>_xll.qlInstrumentSetPricingEngine(B38,OisEngine)</f>
        <v>1</v>
      </c>
      <c r="D38" s="23" t="s">
        <v>9</v>
      </c>
      <c r="E38" s="53">
        <f t="shared" si="13"/>
        <v>41862</v>
      </c>
      <c r="F38" s="24">
        <f>_xll.qlCalendarAdvance(Calendar,SettlementDate,D38,"mf",TRUE)</f>
        <v>41893</v>
      </c>
      <c r="G38" s="34">
        <f t="shared" si="14"/>
        <v>1.57E-3</v>
      </c>
      <c r="H38" s="34">
        <f t="shared" si="14"/>
        <v>2.314336945057241E-3</v>
      </c>
      <c r="I38" s="34">
        <f t="shared" si="14"/>
        <v>3.2787663482170847E-3</v>
      </c>
      <c r="J38" s="34">
        <f t="shared" si="14"/>
        <v>4.7139999999063591E-3</v>
      </c>
      <c r="K38" s="124">
        <f t="shared" si="18"/>
        <v>31</v>
      </c>
      <c r="L38" s="3">
        <f>_xll.qlOvernightIndexedSwapFairRate(B38,_xll.ohTrigger(C38,InterestRatesTrigger))</f>
        <v>8.9999999989114922E-4</v>
      </c>
      <c r="N38" s="62">
        <f>N$31*$K38+N$32</f>
        <v>6.7000000010885078E-4</v>
      </c>
      <c r="O38" s="63">
        <f t="shared" si="15"/>
        <v>1.4143369451660916E-3</v>
      </c>
      <c r="P38" s="63">
        <f t="shared" si="15"/>
        <v>2.3787663483259354E-3</v>
      </c>
      <c r="Q38" s="16">
        <f t="shared" si="16"/>
        <v>3.6739942335170649E-3</v>
      </c>
      <c r="U38" s="23" t="s">
        <v>9</v>
      </c>
      <c r="V38" s="63">
        <f t="shared" si="17"/>
        <v>1.4143369451660916E-3</v>
      </c>
      <c r="W38" s="16">
        <f t="shared" si="17"/>
        <v>2.3787663483259354E-3</v>
      </c>
    </row>
    <row r="39" spans="2:23" x14ac:dyDescent="0.2">
      <c r="B39" s="29" t="str">
        <f>_xll.qlMakeDatedOIS(,E39,F39,OvernightIndex,0,,,,EvaluationDate)</f>
        <v>obj_00410#0000</v>
      </c>
      <c r="C39" s="5" t="b">
        <f>_xll.qlInstrumentSetPricingEngine(B39,OisEngine)</f>
        <v>1</v>
      </c>
      <c r="D39" s="23" t="s">
        <v>10</v>
      </c>
      <c r="E39" s="53">
        <f t="shared" si="13"/>
        <v>41862</v>
      </c>
      <c r="F39" s="24">
        <f>_xll.qlCalendarAdvance(Calendar,SettlementDate,D39,"mf",TRUE)</f>
        <v>41925</v>
      </c>
      <c r="G39" s="47"/>
      <c r="H39" s="32">
        <f t="shared" ref="H39:J40" si="19">$L39+IF(H$30,H$32,O39)</f>
        <v>2.3251833498787386E-3</v>
      </c>
      <c r="I39" s="32">
        <f t="shared" si="19"/>
        <v>3.2497915799390999E-3</v>
      </c>
      <c r="J39" s="32">
        <f t="shared" si="19"/>
        <v>4.7339999997786809E-3</v>
      </c>
      <c r="K39" s="125">
        <f t="shared" si="18"/>
        <v>63</v>
      </c>
      <c r="L39" s="3">
        <f>_xll.qlOvernightIndexedSwapFairRate(B39,_xll.ohTrigger(C39,InterestRatesTrigger))</f>
        <v>9.1999999976347113E-4</v>
      </c>
      <c r="N39" s="47"/>
      <c r="O39" s="63">
        <f t="shared" si="15"/>
        <v>1.4051833501152675E-3</v>
      </c>
      <c r="P39" s="63">
        <f t="shared" si="15"/>
        <v>2.3297915801756288E-3</v>
      </c>
      <c r="Q39" s="16">
        <f t="shared" si="16"/>
        <v>3.6874079596486238E-3</v>
      </c>
      <c r="U39" s="23" t="s">
        <v>10</v>
      </c>
      <c r="V39" s="63">
        <f t="shared" si="17"/>
        <v>1.4051833501152675E-3</v>
      </c>
      <c r="W39" s="16">
        <f t="shared" si="17"/>
        <v>2.3297915801756288E-3</v>
      </c>
    </row>
    <row r="40" spans="2:23" x14ac:dyDescent="0.2">
      <c r="B40" s="29" t="str">
        <f>_xll.qlMakeDatedOIS(,E40,F40,OvernightIndex,0,,,,EvaluationDate)</f>
        <v>obj_003f3#0000</v>
      </c>
      <c r="C40" s="5" t="b">
        <f>_xll.qlInstrumentSetPricingEngine(B40,OisEngine)</f>
        <v>1</v>
      </c>
      <c r="D40" s="23" t="s">
        <v>3</v>
      </c>
      <c r="E40" s="53">
        <f t="shared" si="13"/>
        <v>41862</v>
      </c>
      <c r="F40" s="24">
        <f>_xll.qlCalendarAdvance(Calendar,SettlementDate,D40,"mf",TRUE)</f>
        <v>41954</v>
      </c>
      <c r="G40" s="45"/>
      <c r="H40" s="32">
        <f t="shared" si="19"/>
        <v>2.3310000000000023E-3</v>
      </c>
      <c r="I40" s="32">
        <f t="shared" si="19"/>
        <v>3.2257657533720655E-3</v>
      </c>
      <c r="J40" s="32">
        <f t="shared" si="19"/>
        <v>4.7440000000145552E-3</v>
      </c>
      <c r="K40" s="125">
        <f t="shared" si="18"/>
        <v>92</v>
      </c>
      <c r="L40" s="3">
        <f>_xll.qlOvernightIndexedSwapFairRate(B40,_xll.ohTrigger(C40,InterestRatesTrigger))</f>
        <v>9.2999999999934541E-4</v>
      </c>
      <c r="N40" s="45"/>
      <c r="O40" s="63">
        <f t="shared" si="15"/>
        <v>1.4010000000006567E-3</v>
      </c>
      <c r="P40" s="63">
        <f t="shared" si="15"/>
        <v>2.2957657533727201E-3</v>
      </c>
      <c r="Q40" s="16">
        <f t="shared" si="16"/>
        <v>3.6995641489553487E-3</v>
      </c>
      <c r="U40" s="23" t="s">
        <v>3</v>
      </c>
      <c r="V40" s="63">
        <f t="shared" si="17"/>
        <v>1.4010000000006567E-3</v>
      </c>
      <c r="W40" s="16">
        <f t="shared" si="17"/>
        <v>2.2957657533727201E-3</v>
      </c>
    </row>
    <row r="41" spans="2:23" x14ac:dyDescent="0.2">
      <c r="B41" s="29" t="str">
        <f>_xll.qlMakeDatedOIS(,E41,F41,OvernightIndex,0,,,,EvaluationDate)</f>
        <v>obj_003dc#0000</v>
      </c>
      <c r="C41" s="5" t="b">
        <f>_xll.qlInstrumentSetPricingEngine(B41,OisEngine)</f>
        <v>1</v>
      </c>
      <c r="D41" s="23" t="s">
        <v>12</v>
      </c>
      <c r="E41" s="53">
        <f t="shared" si="13"/>
        <v>41862</v>
      </c>
      <c r="F41" s="24">
        <f>_xll.qlCalendarAdvance(Calendar,SettlementDate,D41,"mf",TRUE)</f>
        <v>41984</v>
      </c>
      <c r="G41" s="36"/>
      <c r="H41" s="46"/>
      <c r="I41" s="32">
        <f t="shared" ref="I41:J43" si="20">$L41+IF(I$30,I$32,P41)</f>
        <v>3.220930034064901E-3</v>
      </c>
      <c r="J41" s="32">
        <f t="shared" si="20"/>
        <v>4.7640000000145535E-3</v>
      </c>
      <c r="K41" s="125">
        <f t="shared" si="18"/>
        <v>122</v>
      </c>
      <c r="L41" s="3">
        <f>_xll.qlOvernightIndexedSwapFairRate(B41,_xll.ohTrigger(C41,InterestRatesTrigger))</f>
        <v>9.4999999999934373E-4</v>
      </c>
      <c r="N41" s="36"/>
      <c r="O41" s="46"/>
      <c r="P41" s="63">
        <f>IF(P$30,W41,P$31*$K41+P$32)</f>
        <v>2.2709300340655572E-3</v>
      </c>
      <c r="Q41" s="16">
        <f t="shared" si="16"/>
        <v>3.7121395172036854E-3</v>
      </c>
      <c r="U41" s="23" t="s">
        <v>12</v>
      </c>
      <c r="V41" s="63"/>
      <c r="W41" s="16">
        <f>$K41*$K41/3*W$30+$K41/2*W$31+W$32</f>
        <v>2.2709300340655572E-3</v>
      </c>
    </row>
    <row r="42" spans="2:23" x14ac:dyDescent="0.2">
      <c r="B42" s="29" t="str">
        <f>_xll.qlMakeDatedOIS(,E42,F42,OvernightIndex,0,,,,EvaluationDate)</f>
        <v>obj_003e9#0000</v>
      </c>
      <c r="C42" s="5" t="b">
        <f>_xll.qlInstrumentSetPricingEngine(B42,OisEngine)</f>
        <v>1</v>
      </c>
      <c r="D42" s="23" t="s">
        <v>13</v>
      </c>
      <c r="E42" s="53">
        <f t="shared" si="13"/>
        <v>41862</v>
      </c>
      <c r="F42" s="24">
        <f>_xll.qlCalendarAdvance(Calendar,SettlementDate,D42,"mf",TRUE)</f>
        <v>42016</v>
      </c>
      <c r="G42" s="36"/>
      <c r="H42" s="44"/>
      <c r="I42" s="32">
        <f t="shared" si="20"/>
        <v>3.2460549894860842E-3</v>
      </c>
      <c r="J42" s="32">
        <f t="shared" si="20"/>
        <v>4.8040000000149994E-3</v>
      </c>
      <c r="K42" s="125">
        <f t="shared" si="18"/>
        <v>154</v>
      </c>
      <c r="L42" s="3">
        <f>_xll.qlOvernightIndexedSwapFairRate(B42,_xll.ohTrigger(C42,InterestRatesTrigger))</f>
        <v>9.8999999999978988E-4</v>
      </c>
      <c r="N42" s="36"/>
      <c r="O42" s="44"/>
      <c r="P42" s="63">
        <f>IF(P$30,W42,P$31*$K42+P$32)</f>
        <v>2.2560549894862945E-3</v>
      </c>
      <c r="Q42" s="16">
        <f t="shared" si="16"/>
        <v>3.7255532433352438E-3</v>
      </c>
      <c r="U42" s="23" t="s">
        <v>13</v>
      </c>
      <c r="V42" s="63"/>
      <c r="W42" s="16">
        <f>$K42*$K42/3*W$30+$K42/2*W$31+W$32</f>
        <v>2.2560549894862945E-3</v>
      </c>
    </row>
    <row r="43" spans="2:23" x14ac:dyDescent="0.2">
      <c r="B43" s="29" t="str">
        <f>_xll.qlMakeDatedOIS(,E43,F43,OvernightIndex,0,,,,EvaluationDate)</f>
        <v>obj_00403#0000</v>
      </c>
      <c r="C43" s="5" t="b">
        <f>_xll.qlInstrumentSetPricingEngine(B43,OisEngine)</f>
        <v>1</v>
      </c>
      <c r="D43" s="25" t="s">
        <v>15</v>
      </c>
      <c r="E43" s="53">
        <f t="shared" si="13"/>
        <v>41862</v>
      </c>
      <c r="F43" s="24">
        <f>_xll.qlCalendarAdvance(Calendar,SettlementDate,D43,"mf",TRUE)</f>
        <v>42046</v>
      </c>
      <c r="G43" s="36"/>
      <c r="H43" s="44"/>
      <c r="I43" s="32">
        <f t="shared" si="20"/>
        <v>3.2829999999999977E-3</v>
      </c>
      <c r="J43" s="32">
        <f t="shared" si="20"/>
        <v>4.8439999998078683E-3</v>
      </c>
      <c r="K43" s="125">
        <f t="shared" si="18"/>
        <v>184</v>
      </c>
      <c r="L43" s="3">
        <f>_xll.qlOvernightIndexedSwapFairRate(B43,_xll.ohTrigger(C43,InterestRatesTrigger))</f>
        <v>1.0299999997926584E-3</v>
      </c>
      <c r="N43" s="36"/>
      <c r="O43" s="44"/>
      <c r="P43" s="63">
        <f>IF(P$30,W43,P$31*$K43+P$32)</f>
        <v>2.2530000002073391E-3</v>
      </c>
      <c r="Q43" s="16">
        <f t="shared" si="16"/>
        <v>3.7381286115835805E-3</v>
      </c>
      <c r="U43" s="120" t="s">
        <v>15</v>
      </c>
      <c r="V43" s="93"/>
      <c r="W43" s="14">
        <f>$K43*$K43/3*W$30+$K43/2*W$31+W$32</f>
        <v>2.2530000002073391E-3</v>
      </c>
    </row>
    <row r="44" spans="2:23" x14ac:dyDescent="0.2">
      <c r="B44" s="29" t="str">
        <f>_xll.qlMakeDatedOIS(,E44,F44,OvernightIndex,0,,,,EvaluationDate)</f>
        <v>obj_00426#0000</v>
      </c>
      <c r="C44" s="5" t="b">
        <f>_xll.qlInstrumentSetPricingEngine(B44,OisEngine)</f>
        <v>1</v>
      </c>
      <c r="D44" s="25" t="s">
        <v>18</v>
      </c>
      <c r="E44" s="53">
        <f t="shared" si="13"/>
        <v>41862</v>
      </c>
      <c r="F44" s="24">
        <f>_xll.qlCalendarAdvance(Calendar,SettlementDate,D44,"mf",TRUE)</f>
        <v>42074</v>
      </c>
      <c r="G44" s="36"/>
      <c r="H44" s="33"/>
      <c r="I44" s="46"/>
      <c r="J44" s="32">
        <f t="shared" ref="J44:J49" si="21">$L44+IF(J$30,J$32,Q44)</f>
        <v>4.8939999998475568E-3</v>
      </c>
      <c r="K44" s="125">
        <f t="shared" si="18"/>
        <v>212</v>
      </c>
      <c r="L44" s="3">
        <f>_xll.qlOvernightIndexedSwapFairRate(B44,_xll.ohTrigger(C44,InterestRatesTrigger))</f>
        <v>1.079999999832347E-3</v>
      </c>
      <c r="N44" s="36"/>
      <c r="O44" s="33"/>
      <c r="P44" s="46"/>
      <c r="Q44" s="16">
        <f t="shared" si="16"/>
        <v>3.7498656219486942E-3</v>
      </c>
    </row>
    <row r="45" spans="2:23" x14ac:dyDescent="0.2">
      <c r="B45" s="29" t="str">
        <f>_xll.qlMakeDatedOIS(,E45,F45,OvernightIndex,0,,,,EvaluationDate)</f>
        <v>obj_0042a#0000</v>
      </c>
      <c r="C45" s="5" t="b">
        <f>_xll.qlInstrumentSetPricingEngine(B45,OisEngine)</f>
        <v>1</v>
      </c>
      <c r="D45" s="25" t="s">
        <v>19</v>
      </c>
      <c r="E45" s="53">
        <f t="shared" si="13"/>
        <v>41862</v>
      </c>
      <c r="F45" s="24">
        <f>_xll.qlCalendarAdvance(Calendar,SettlementDate,D45,"mf",TRUE)</f>
        <v>42107</v>
      </c>
      <c r="G45" s="36"/>
      <c r="H45" s="33"/>
      <c r="I45" s="44"/>
      <c r="J45" s="32">
        <f t="shared" si="21"/>
        <v>4.9840000000149626E-3</v>
      </c>
      <c r="K45" s="125">
        <f t="shared" si="18"/>
        <v>245</v>
      </c>
      <c r="L45" s="3">
        <f>_xll.qlOvernightIndexedSwapFairRate(B45,_xll.ohTrigger(C45,InterestRatesTrigger))</f>
        <v>1.1699999999997528E-3</v>
      </c>
      <c r="N45" s="36"/>
      <c r="O45" s="33"/>
      <c r="P45" s="44"/>
      <c r="Q45" s="16">
        <f t="shared" si="16"/>
        <v>3.7636985270218643E-3</v>
      </c>
    </row>
    <row r="46" spans="2:23" x14ac:dyDescent="0.2">
      <c r="B46" s="29" t="str">
        <f>_xll.qlMakeDatedOIS(,E46,F46,OvernightIndex,0,,,,EvaluationDate)</f>
        <v>obj_003f5#0000</v>
      </c>
      <c r="C46" s="5" t="b">
        <f>_xll.qlInstrumentSetPricingEngine(B46,OisEngine)</f>
        <v>1</v>
      </c>
      <c r="D46" s="25" t="s">
        <v>20</v>
      </c>
      <c r="E46" s="53">
        <f t="shared" si="13"/>
        <v>41862</v>
      </c>
      <c r="F46" s="24">
        <f>_xll.qlCalendarAdvance(Calendar,SettlementDate,D46,"mf",TRUE)</f>
        <v>42135</v>
      </c>
      <c r="G46" s="36"/>
      <c r="H46" s="33"/>
      <c r="I46" s="44"/>
      <c r="J46" s="32">
        <f t="shared" si="21"/>
        <v>5.0840000000144086E-3</v>
      </c>
      <c r="K46" s="125">
        <f t="shared" si="18"/>
        <v>273</v>
      </c>
      <c r="L46" s="3">
        <f>_xll.qlOvernightIndexedSwapFairRate(B46,_xll.ohTrigger(C46,InterestRatesTrigger))</f>
        <v>1.2699999999991989E-3</v>
      </c>
      <c r="N46" s="36"/>
      <c r="O46" s="33"/>
      <c r="P46" s="44"/>
      <c r="Q46" s="16">
        <f t="shared" si="16"/>
        <v>3.7754355373869784E-3</v>
      </c>
    </row>
    <row r="47" spans="2:23" x14ac:dyDescent="0.2">
      <c r="B47" s="29" t="str">
        <f>_xll.qlMakeDatedOIS(,E47,F47,OvernightIndex,0,,,,EvaluationDate)</f>
        <v>obj_003fc#0000</v>
      </c>
      <c r="C47" s="5" t="b">
        <f>_xll.qlInstrumentSetPricingEngine(B47,OisEngine)</f>
        <v>1</v>
      </c>
      <c r="D47" s="25" t="s">
        <v>21</v>
      </c>
      <c r="E47" s="53">
        <f t="shared" si="13"/>
        <v>41862</v>
      </c>
      <c r="F47" s="24">
        <f>_xll.qlCalendarAdvance(Calendar,SettlementDate,D47,"mf",TRUE)</f>
        <v>42166</v>
      </c>
      <c r="G47" s="36"/>
      <c r="H47" s="33"/>
      <c r="I47" s="44"/>
      <c r="J47" s="32">
        <f t="shared" si="21"/>
        <v>5.1940000000140485E-3</v>
      </c>
      <c r="K47" s="125">
        <f t="shared" si="18"/>
        <v>304</v>
      </c>
      <c r="L47" s="3">
        <f>_xll.qlOvernightIndexedSwapFairRate(B47,_xll.ohTrigger(C47,InterestRatesTrigger))</f>
        <v>1.3799999999988383E-3</v>
      </c>
      <c r="N47" s="36"/>
      <c r="O47" s="33"/>
      <c r="P47" s="44"/>
      <c r="Q47" s="16">
        <f t="shared" si="16"/>
        <v>3.7884300845769259E-3</v>
      </c>
    </row>
    <row r="48" spans="2:23" x14ac:dyDescent="0.2">
      <c r="B48" s="29" t="str">
        <f>_xll.qlMakeDatedOIS(,E48,F48,OvernightIndex,0,,,,EvaluationDate)</f>
        <v>obj_00402#0000</v>
      </c>
      <c r="C48" s="5" t="b">
        <f>_xll.qlInstrumentSetPricingEngine(B48,OisEngine)</f>
        <v>1</v>
      </c>
      <c r="D48" s="25" t="s">
        <v>22</v>
      </c>
      <c r="E48" s="53">
        <f t="shared" si="13"/>
        <v>41862</v>
      </c>
      <c r="F48" s="24">
        <f>_xll.qlCalendarAdvance(Calendar,SettlementDate,D48,"mf",TRUE)</f>
        <v>42198</v>
      </c>
      <c r="G48" s="36"/>
      <c r="H48" s="33"/>
      <c r="I48" s="44"/>
      <c r="J48" s="32">
        <f t="shared" si="21"/>
        <v>5.3740000000055887E-3</v>
      </c>
      <c r="K48" s="125">
        <f t="shared" si="18"/>
        <v>336</v>
      </c>
      <c r="L48" s="3">
        <f>_xll.qlOvernightIndexedSwapFairRate(B48,_xll.ohTrigger(C48,InterestRatesTrigger))</f>
        <v>1.5599999999903788E-3</v>
      </c>
      <c r="N48" s="36"/>
      <c r="O48" s="33"/>
      <c r="P48" s="44"/>
      <c r="Q48" s="16">
        <f t="shared" si="16"/>
        <v>3.8018438107084848E-3</v>
      </c>
    </row>
    <row r="49" spans="2:17" x14ac:dyDescent="0.2">
      <c r="B49" s="30" t="str">
        <f>_xll.qlMakeDatedOIS(,E49,F49,OvernightIndex,0,,,,EvaluationDate)</f>
        <v>obj_003e8#0000</v>
      </c>
      <c r="C49" s="10" t="b">
        <f>_xll.qlInstrumentSetPricingEngine(B49,OisEngine)</f>
        <v>1</v>
      </c>
      <c r="D49" s="25" t="s">
        <v>23</v>
      </c>
      <c r="E49" s="53">
        <f t="shared" si="13"/>
        <v>41862</v>
      </c>
      <c r="F49" s="24">
        <f>_xll.qlCalendarAdvance(Calendar,SettlementDate,D49,"mf",TRUE)</f>
        <v>42227</v>
      </c>
      <c r="G49" s="36"/>
      <c r="H49" s="33"/>
      <c r="I49" s="44"/>
      <c r="J49" s="32">
        <f t="shared" si="21"/>
        <v>5.5539999999999999E-3</v>
      </c>
      <c r="K49" s="125">
        <f t="shared" si="18"/>
        <v>365</v>
      </c>
      <c r="L49" s="3">
        <f>_xll.qlOvernightIndexedSwapFairRate(B49,_xll.ohTrigger(C49,InterestRatesTrigger))</f>
        <v>1.7399999999847904E-3</v>
      </c>
      <c r="N49" s="64"/>
      <c r="O49" s="65"/>
      <c r="P49" s="66"/>
      <c r="Q49" s="14">
        <f t="shared" si="16"/>
        <v>3.8140000000152097E-3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41"/>
  <sheetViews>
    <sheetView workbookViewId="0">
      <selection activeCell="C24" sqref="C24"/>
    </sheetView>
  </sheetViews>
  <sheetFormatPr defaultRowHeight="11.25" outlineLevelCol="1" x14ac:dyDescent="0.2"/>
  <cols>
    <col min="1" max="1" width="4.5" style="319" customWidth="1"/>
    <col min="2" max="3" width="9.33203125" style="319" hidden="1" customWidth="1" outlineLevel="1"/>
    <col min="4" max="4" width="3.5" style="319" bestFit="1" customWidth="1" collapsed="1"/>
    <col min="5" max="5" width="33.5" style="319" bestFit="1" customWidth="1"/>
    <col min="6" max="6" width="17.83203125" style="319" bestFit="1" customWidth="1"/>
    <col min="7" max="7" width="14.1640625" style="319" bestFit="1" customWidth="1"/>
    <col min="8" max="8" width="13.1640625" style="319" customWidth="1"/>
    <col min="9" max="10" width="10.5" style="319" bestFit="1" customWidth="1"/>
    <col min="11" max="12" width="20.1640625" style="319" bestFit="1" customWidth="1"/>
    <col min="13" max="13" width="3.5" style="319" customWidth="1"/>
    <col min="14" max="16384" width="9.33203125" style="319"/>
  </cols>
  <sheetData>
    <row r="1" spans="1:13" ht="22.5" x14ac:dyDescent="0.2">
      <c r="A1" s="360"/>
      <c r="B1" s="360" t="s">
        <v>88</v>
      </c>
      <c r="C1" s="360"/>
      <c r="D1" s="360"/>
      <c r="E1" s="359" t="s">
        <v>89</v>
      </c>
      <c r="F1" s="359" t="s">
        <v>90</v>
      </c>
      <c r="G1" s="358" t="s">
        <v>91</v>
      </c>
      <c r="H1" s="359" t="s">
        <v>92</v>
      </c>
      <c r="I1" s="358" t="s">
        <v>93</v>
      </c>
      <c r="J1" s="359" t="s">
        <v>94</v>
      </c>
      <c r="K1" s="359" t="s">
        <v>95</v>
      </c>
      <c r="L1" s="358" t="s">
        <v>96</v>
      </c>
      <c r="M1" s="325"/>
    </row>
    <row r="2" spans="1:13" x14ac:dyDescent="0.2">
      <c r="A2" s="357" t="s">
        <v>15</v>
      </c>
      <c r="B2" s="346" t="s">
        <v>214</v>
      </c>
      <c r="C2" s="345" t="str">
        <f>_xll.qlIborIndex(,Currency,"1D",2,Currency,Calendar,"f",FALSE,"act/360",,,Trigger)</f>
        <v>obj_0035b#0000</v>
      </c>
      <c r="D2" s="343" t="s">
        <v>97</v>
      </c>
      <c r="E2" s="343" t="str">
        <f>Contribution!D15</f>
        <v>USDSND_SYNTH6M_Quote#0000</v>
      </c>
      <c r="F2" s="343" t="str">
        <f>_xll.qlDepositRateHelper(,E2,$C2)</f>
        <v>obj_003d2#0000</v>
      </c>
      <c r="G2" s="344">
        <f>_xll.qlRateHelperQuoteValue(F2,InterestRatesTrigger)</f>
        <v>3.336E-3</v>
      </c>
      <c r="H2" s="343" t="b">
        <v>1</v>
      </c>
      <c r="I2" s="342">
        <v>70</v>
      </c>
      <c r="J2" s="342">
        <v>1</v>
      </c>
      <c r="K2" s="341">
        <f>_xll.qlRateHelperEarliestDate($F2)</f>
        <v>41862</v>
      </c>
      <c r="L2" s="355">
        <f>_xll.qlRateHelperLatestDate($F2)</f>
        <v>41863</v>
      </c>
      <c r="M2" s="325"/>
    </row>
    <row r="3" spans="1:13" x14ac:dyDescent="0.2">
      <c r="A3" s="345"/>
      <c r="B3" s="339" t="s">
        <v>215</v>
      </c>
      <c r="C3" s="338" t="str">
        <f>_xll.qlIborIndex(,Currency,"1W",2,Currency,Calendar,"f",FALSE,"act/360",,,Trigger)</f>
        <v>obj_00359#0000</v>
      </c>
      <c r="D3" s="336" t="s">
        <v>97</v>
      </c>
      <c r="E3" s="336" t="str">
        <f>Contribution!D16</f>
        <v>USDSWD_SYNTH6M_Quote#0000</v>
      </c>
      <c r="F3" s="336" t="str">
        <f>_xll.qlDepositRateHelper(,E3,$C3)</f>
        <v>obj_003d4#0000</v>
      </c>
      <c r="G3" s="337">
        <f>_xll.qlRateHelperQuoteValue(F3,InterestRatesTrigger)</f>
        <v>3.323E-3</v>
      </c>
      <c r="H3" s="336" t="b">
        <v>1</v>
      </c>
      <c r="I3" s="335">
        <v>70</v>
      </c>
      <c r="J3" s="335">
        <v>1</v>
      </c>
      <c r="K3" s="334">
        <f>_xll.qlRateHelperEarliestDate($F3)</f>
        <v>41862</v>
      </c>
      <c r="L3" s="333">
        <f>_xll.qlRateHelperLatestDate($F3)</f>
        <v>41869</v>
      </c>
      <c r="M3" s="325"/>
    </row>
    <row r="4" spans="1:13" x14ac:dyDescent="0.2">
      <c r="A4" s="338"/>
      <c r="B4" s="339" t="s">
        <v>5</v>
      </c>
      <c r="C4" s="338" t="str">
        <f>_xll.qlIborIndex(,Currency,B4,2,Currency,Calendar,"f",FALSE,"act/360",,,Trigger)</f>
        <v>obj_00357#0000</v>
      </c>
      <c r="D4" s="336" t="s">
        <v>97</v>
      </c>
      <c r="E4" s="336" t="str">
        <f>Contribution!D17</f>
        <v>USD2WD_SYNTH6M_Quote#0000</v>
      </c>
      <c r="F4" s="336" t="str">
        <f>_xll.qlDepositRateHelper(,E4,$C4)</f>
        <v>obj_003d3#0000</v>
      </c>
      <c r="G4" s="337">
        <f>_xll.qlRateHelperQuoteValue(F4,InterestRatesTrigger)</f>
        <v>3.3080000000000002E-3</v>
      </c>
      <c r="H4" s="336" t="b">
        <v>1</v>
      </c>
      <c r="I4" s="335">
        <v>70</v>
      </c>
      <c r="J4" s="335">
        <v>1</v>
      </c>
      <c r="K4" s="334">
        <f>_xll.qlRateHelperEarliestDate($F4)</f>
        <v>41862</v>
      </c>
      <c r="L4" s="333">
        <f>_xll.qlRateHelperLatestDate($F4)</f>
        <v>41877</v>
      </c>
      <c r="M4" s="325"/>
    </row>
    <row r="5" spans="1:13" x14ac:dyDescent="0.2">
      <c r="A5" s="356"/>
      <c r="B5" s="339" t="s">
        <v>8</v>
      </c>
      <c r="C5" s="338" t="str">
        <f>_xll.qlIborIndex(,Currency,B5,2,Currency,Calendar,"f",FALSE,"act/360",,,Trigger)</f>
        <v>obj_00358#0000</v>
      </c>
      <c r="D5" s="336" t="s">
        <v>97</v>
      </c>
      <c r="E5" s="336" t="str">
        <f>Contribution!D18</f>
        <v>USD3WD_SYNTH6M_Quote#0000</v>
      </c>
      <c r="F5" s="336" t="str">
        <f>_xll.qlDepositRateHelper(,E5,$C5)</f>
        <v>obj_003d1#0000</v>
      </c>
      <c r="G5" s="337">
        <f>_xll.qlRateHelperQuoteValue(F5,InterestRatesTrigger)</f>
        <v>3.297E-3</v>
      </c>
      <c r="H5" s="336" t="b">
        <v>1</v>
      </c>
      <c r="I5" s="335">
        <v>70</v>
      </c>
      <c r="J5" s="335">
        <v>1</v>
      </c>
      <c r="K5" s="334">
        <f>_xll.qlRateHelperEarliestDate($F5)</f>
        <v>41862</v>
      </c>
      <c r="L5" s="333">
        <f>_xll.qlRateHelperLatestDate($F5)</f>
        <v>41883</v>
      </c>
      <c r="M5" s="325"/>
    </row>
    <row r="6" spans="1:13" x14ac:dyDescent="0.2">
      <c r="A6" s="340"/>
      <c r="B6" s="339" t="s">
        <v>9</v>
      </c>
      <c r="C6" s="338" t="str">
        <f>_xll.qlIborIndex(,Currency,B6,2,Currency,Calendar,"f",FALSE,"act/360",,,Trigger)</f>
        <v>obj_0035a#0000</v>
      </c>
      <c r="D6" s="336" t="s">
        <v>97</v>
      </c>
      <c r="E6" s="336" t="str">
        <f>Contribution!D19</f>
        <v>USD1MD_SYNTH6M_Quote#0000</v>
      </c>
      <c r="F6" s="336" t="str">
        <f>_xll.qlDepositRateHelper(,E6,$C6)</f>
        <v>obj_003d7#0000</v>
      </c>
      <c r="G6" s="337">
        <f>_xll.qlRateHelperQuoteValue(F6,InterestRatesTrigger)</f>
        <v>3.2789999999999998E-3</v>
      </c>
      <c r="H6" s="336" t="b">
        <v>1</v>
      </c>
      <c r="I6" s="335">
        <v>70</v>
      </c>
      <c r="J6" s="335">
        <v>1</v>
      </c>
      <c r="K6" s="334">
        <f>_xll.qlRateHelperEarliestDate($F6)</f>
        <v>41862</v>
      </c>
      <c r="L6" s="333">
        <f>_xll.qlRateHelperLatestDate($F6)</f>
        <v>41893</v>
      </c>
      <c r="M6" s="325"/>
    </row>
    <row r="7" spans="1:13" x14ac:dyDescent="0.2">
      <c r="A7" s="340"/>
      <c r="B7" s="339" t="s">
        <v>10</v>
      </c>
      <c r="C7" s="338" t="str">
        <f>_xll.qlIborIndex(,Currency,B7,2,Currency,Calendar,"f",FALSE,"act/360",,,Trigger)</f>
        <v>obj_0035c#0000</v>
      </c>
      <c r="D7" s="336" t="s">
        <v>97</v>
      </c>
      <c r="E7" s="336" t="str">
        <f>Contribution!D20</f>
        <v>USD2MD_SYNTH6M_Quote#0000</v>
      </c>
      <c r="F7" s="336" t="str">
        <f>_xll.qlDepositRateHelper(,E7,$C7)</f>
        <v>obj_003ce#0000</v>
      </c>
      <c r="G7" s="337">
        <f>_xll.qlRateHelperQuoteValue(F7,InterestRatesTrigger)</f>
        <v>3.2499999999999999E-3</v>
      </c>
      <c r="H7" s="336" t="b">
        <v>1</v>
      </c>
      <c r="I7" s="335">
        <v>70</v>
      </c>
      <c r="J7" s="335">
        <v>1</v>
      </c>
      <c r="K7" s="334">
        <f>_xll.qlRateHelperEarliestDate($F7)</f>
        <v>41862</v>
      </c>
      <c r="L7" s="333">
        <f>_xll.qlRateHelperLatestDate($F7)</f>
        <v>41925</v>
      </c>
      <c r="M7" s="325"/>
    </row>
    <row r="8" spans="1:13" x14ac:dyDescent="0.2">
      <c r="A8" s="340"/>
      <c r="B8" s="339" t="s">
        <v>3</v>
      </c>
      <c r="C8" s="338" t="str">
        <f>_xll.qlIborIndex(,Currency,B8,2,Currency,Calendar,"f",FALSE,"act/360",,,Trigger)</f>
        <v>obj_00352#0000</v>
      </c>
      <c r="D8" s="336" t="s">
        <v>97</v>
      </c>
      <c r="E8" s="336" t="str">
        <f>Contribution!D21</f>
        <v>USD3MD_SYNTH6M_Quote#0000</v>
      </c>
      <c r="F8" s="336" t="str">
        <f>_xll.qlDepositRateHelper(,E8,$C8)</f>
        <v>obj_003d0#0000</v>
      </c>
      <c r="G8" s="337">
        <f>_xll.qlRateHelperQuoteValue(F8,InterestRatesTrigger)</f>
        <v>3.2260000000000001E-3</v>
      </c>
      <c r="H8" s="336" t="b">
        <v>1</v>
      </c>
      <c r="I8" s="335">
        <v>70</v>
      </c>
      <c r="J8" s="335">
        <v>1</v>
      </c>
      <c r="K8" s="334">
        <f>_xll.qlRateHelperEarliestDate($F8)</f>
        <v>41862</v>
      </c>
      <c r="L8" s="333">
        <f>_xll.qlRateHelperLatestDate($F8)</f>
        <v>41954</v>
      </c>
      <c r="M8" s="325"/>
    </row>
    <row r="9" spans="1:13" x14ac:dyDescent="0.2">
      <c r="A9" s="340"/>
      <c r="B9" s="339" t="s">
        <v>12</v>
      </c>
      <c r="C9" s="338" t="str">
        <f>_xll.qlIborIndex(,Currency,B9,2,Currency,Calendar,"f",FALSE,"act/360",,,Trigger)</f>
        <v>obj_00353#0000</v>
      </c>
      <c r="D9" s="336" t="s">
        <v>97</v>
      </c>
      <c r="E9" s="336" t="str">
        <f>Contribution!D22</f>
        <v>USD4MD_SYNTH6M_Quote#0000</v>
      </c>
      <c r="F9" s="336" t="str">
        <f>_xll.qlDepositRateHelper(,E9,$C9)</f>
        <v>obj_003d5#0000</v>
      </c>
      <c r="G9" s="337">
        <f>_xll.qlRateHelperQuoteValue(F9,InterestRatesTrigger)</f>
        <v>3.2209999999999999E-3</v>
      </c>
      <c r="H9" s="336" t="b">
        <v>1</v>
      </c>
      <c r="I9" s="335">
        <v>70</v>
      </c>
      <c r="J9" s="335">
        <v>1</v>
      </c>
      <c r="K9" s="334">
        <f>_xll.qlRateHelperEarliestDate($F9)</f>
        <v>41862</v>
      </c>
      <c r="L9" s="333">
        <f>_xll.qlRateHelperLatestDate($F9)</f>
        <v>41984</v>
      </c>
      <c r="M9" s="325"/>
    </row>
    <row r="10" spans="1:13" x14ac:dyDescent="0.2">
      <c r="A10" s="340"/>
      <c r="B10" s="339" t="s">
        <v>13</v>
      </c>
      <c r="C10" s="338" t="str">
        <f>_xll.qlIborIndex(,Currency,B10,2,Currency,Calendar,"f",FALSE,"act/360",,,Trigger)</f>
        <v>obj_00354#0000</v>
      </c>
      <c r="D10" s="336" t="s">
        <v>97</v>
      </c>
      <c r="E10" s="336" t="str">
        <f>Contribution!D23</f>
        <v>USD5MD_SYNTH6M_Quote#0000</v>
      </c>
      <c r="F10" s="336" t="str">
        <f>_xll.qlDepositRateHelper(,E10,$C10)</f>
        <v>obj_003d6#0000</v>
      </c>
      <c r="G10" s="337">
        <f>_xll.qlRateHelperQuoteValue(F10,InterestRatesTrigger)</f>
        <v>3.2460000000000002E-3</v>
      </c>
      <c r="H10" s="336" t="b">
        <v>1</v>
      </c>
      <c r="I10" s="335">
        <v>70</v>
      </c>
      <c r="J10" s="335">
        <v>1</v>
      </c>
      <c r="K10" s="334">
        <f>_xll.qlRateHelperEarliestDate($F10)</f>
        <v>41862</v>
      </c>
      <c r="L10" s="333">
        <f>_xll.qlRateHelperLatestDate($F10)</f>
        <v>42016</v>
      </c>
      <c r="M10" s="325"/>
    </row>
    <row r="11" spans="1:13" x14ac:dyDescent="0.2">
      <c r="A11" s="338"/>
      <c r="B11" s="339" t="s">
        <v>15</v>
      </c>
      <c r="C11" s="338" t="str">
        <f>_xll.qlIborIndex(,Currency,B11,2,Currency,Calendar,"f",FALSE,"act/360",,,Trigger)</f>
        <v>obj_00355#0000</v>
      </c>
      <c r="D11" s="336" t="s">
        <v>97</v>
      </c>
      <c r="E11" s="336" t="str">
        <f>Contribution!D24</f>
        <v>USD6MD_SYNTH6M_Quote#0000</v>
      </c>
      <c r="F11" s="336" t="str">
        <f>_xll.qlDepositRateHelper(,E11,$C11)</f>
        <v>obj_003cd#0000</v>
      </c>
      <c r="G11" s="337">
        <f>_xll.qlRateHelperQuoteValue(F11,InterestRatesTrigger)</f>
        <v>3.2829999999999999E-3</v>
      </c>
      <c r="H11" s="336" t="b">
        <v>1</v>
      </c>
      <c r="I11" s="335">
        <v>70</v>
      </c>
      <c r="J11" s="335">
        <v>1</v>
      </c>
      <c r="K11" s="334">
        <f>_xll.qlRateHelperEarliestDate($F11)</f>
        <v>41862</v>
      </c>
      <c r="L11" s="333">
        <f>_xll.qlRateHelperLatestDate($F11)</f>
        <v>42046</v>
      </c>
      <c r="M11" s="325"/>
    </row>
    <row r="12" spans="1:13" x14ac:dyDescent="0.2">
      <c r="A12" s="338"/>
      <c r="B12" s="346">
        <v>1</v>
      </c>
      <c r="C12" s="345" t="str">
        <f t="shared" ref="C12:C20" si="0">"x"&amp;B12+6</f>
        <v>x7</v>
      </c>
      <c r="D12" s="343" t="s">
        <v>98</v>
      </c>
      <c r="E12" s="343" t="str">
        <f t="shared" ref="E12:E20" si="1">Currency&amp;B12&amp;C12&amp;D12&amp;QuoteSuffix</f>
        <v>USD1x7F_Quote</v>
      </c>
      <c r="F12" s="343" t="str">
        <f>_xll.qlFraRateHelper(,E12,B12&amp;"M",$C$11)</f>
        <v>obj_0036e#0000</v>
      </c>
      <c r="G12" s="344">
        <f>_xll.qlRateHelperQuoteValue(F12,InterestRatesTrigger)</f>
        <v>3.3500000000000001E-3</v>
      </c>
      <c r="H12" s="343" t="b">
        <v>1</v>
      </c>
      <c r="I12" s="342">
        <v>70</v>
      </c>
      <c r="J12" s="342">
        <v>1</v>
      </c>
      <c r="K12" s="341">
        <f>_xll.qlRateHelperEarliestDate($F12)</f>
        <v>41893</v>
      </c>
      <c r="L12" s="355">
        <f>_xll.qlRateHelperLatestDate($F12)</f>
        <v>42074</v>
      </c>
      <c r="M12" s="325"/>
    </row>
    <row r="13" spans="1:13" x14ac:dyDescent="0.2">
      <c r="A13" s="340"/>
      <c r="B13" s="339">
        <v>2</v>
      </c>
      <c r="C13" s="338" t="str">
        <f t="shared" si="0"/>
        <v>x8</v>
      </c>
      <c r="D13" s="336" t="s">
        <v>98</v>
      </c>
      <c r="E13" s="336" t="str">
        <f t="shared" si="1"/>
        <v>USD2x8F_Quote</v>
      </c>
      <c r="F13" s="336" t="str">
        <f>_xll.qlFraRateHelper(,E13,B13&amp;"M",$C$11)</f>
        <v>obj_00368#0000</v>
      </c>
      <c r="G13" s="337">
        <f>_xll.qlRateHelperQuoteValue(F13,InterestRatesTrigger)</f>
        <v>3.5199999999999997E-3</v>
      </c>
      <c r="H13" s="336" t="b">
        <v>1</v>
      </c>
      <c r="I13" s="335">
        <v>70</v>
      </c>
      <c r="J13" s="335">
        <v>1</v>
      </c>
      <c r="K13" s="334">
        <f>_xll.qlRateHelperEarliestDate($F13)</f>
        <v>41925</v>
      </c>
      <c r="L13" s="334">
        <f>_xll.qlRateHelperLatestDate($F13)</f>
        <v>42107</v>
      </c>
      <c r="M13" s="325"/>
    </row>
    <row r="14" spans="1:13" x14ac:dyDescent="0.2">
      <c r="A14" s="340"/>
      <c r="B14" s="339">
        <v>3</v>
      </c>
      <c r="C14" s="338" t="str">
        <f t="shared" si="0"/>
        <v>x9</v>
      </c>
      <c r="D14" s="336" t="s">
        <v>98</v>
      </c>
      <c r="E14" s="336" t="str">
        <f t="shared" si="1"/>
        <v>USD3x9F_Quote</v>
      </c>
      <c r="F14" s="336" t="str">
        <f>_xll.qlFraRateHelper(,E14,B14&amp;"M",$C$11)</f>
        <v>obj_0035d#0000</v>
      </c>
      <c r="G14" s="337">
        <f>_xll.qlRateHelperQuoteValue(F14,InterestRatesTrigger)</f>
        <v>3.7000000000000002E-3</v>
      </c>
      <c r="H14" s="336" t="b">
        <v>1</v>
      </c>
      <c r="I14" s="335">
        <v>70</v>
      </c>
      <c r="J14" s="335">
        <v>1</v>
      </c>
      <c r="K14" s="334">
        <f>_xll.qlRateHelperEarliestDate($F14)</f>
        <v>41954</v>
      </c>
      <c r="L14" s="334">
        <f>_xll.qlRateHelperLatestDate($F14)</f>
        <v>42135</v>
      </c>
      <c r="M14" s="325"/>
    </row>
    <row r="15" spans="1:13" x14ac:dyDescent="0.2">
      <c r="A15" s="340"/>
      <c r="B15" s="339">
        <v>4</v>
      </c>
      <c r="C15" s="338" t="str">
        <f t="shared" si="0"/>
        <v>x10</v>
      </c>
      <c r="D15" s="336" t="s">
        <v>98</v>
      </c>
      <c r="E15" s="336" t="str">
        <f t="shared" si="1"/>
        <v>USD4x10F_Quote</v>
      </c>
      <c r="F15" s="336" t="str">
        <f>_xll.qlFraRateHelper(,E15,B15&amp;"M",$C$11)</f>
        <v>obj_0036c#0000</v>
      </c>
      <c r="G15" s="337">
        <f>_xll.qlRateHelperQuoteValue(F15,InterestRatesTrigger)</f>
        <v>3.9399999999999999E-3</v>
      </c>
      <c r="H15" s="336" t="b">
        <v>1</v>
      </c>
      <c r="I15" s="335">
        <v>70</v>
      </c>
      <c r="J15" s="335">
        <v>1</v>
      </c>
      <c r="K15" s="334">
        <f>_xll.qlRateHelperEarliestDate($F15)</f>
        <v>41984</v>
      </c>
      <c r="L15" s="334">
        <f>_xll.qlRateHelperLatestDate($F15)</f>
        <v>42166</v>
      </c>
      <c r="M15" s="325"/>
    </row>
    <row r="16" spans="1:13" x14ac:dyDescent="0.2">
      <c r="A16" s="340"/>
      <c r="B16" s="339">
        <v>5</v>
      </c>
      <c r="C16" s="338" t="str">
        <f t="shared" si="0"/>
        <v>x11</v>
      </c>
      <c r="D16" s="336" t="s">
        <v>98</v>
      </c>
      <c r="E16" s="336" t="str">
        <f t="shared" si="1"/>
        <v>USD5x11F_Quote</v>
      </c>
      <c r="F16" s="336" t="str">
        <f>_xll.qlFraRateHelper(,E16,B16&amp;"M",$C$11)</f>
        <v>obj_00363#0000</v>
      </c>
      <c r="G16" s="337">
        <f>_xll.qlRateHelperQuoteValue(F16,InterestRatesTrigger)</f>
        <v>4.3400000000000001E-3</v>
      </c>
      <c r="H16" s="336" t="b">
        <v>1</v>
      </c>
      <c r="I16" s="335">
        <v>70</v>
      </c>
      <c r="J16" s="335">
        <v>1</v>
      </c>
      <c r="K16" s="334">
        <f>_xll.qlRateHelperEarliestDate($F16)</f>
        <v>42016</v>
      </c>
      <c r="L16" s="334">
        <f>_xll.qlRateHelperLatestDate($F16)</f>
        <v>42198</v>
      </c>
      <c r="M16" s="325"/>
    </row>
    <row r="17" spans="1:13" x14ac:dyDescent="0.2">
      <c r="A17" s="340"/>
      <c r="B17" s="339">
        <v>6</v>
      </c>
      <c r="C17" s="338" t="str">
        <f t="shared" si="0"/>
        <v>x12</v>
      </c>
      <c r="D17" s="336" t="s">
        <v>98</v>
      </c>
      <c r="E17" s="336" t="str">
        <f t="shared" si="1"/>
        <v>USD6x12F_Quote</v>
      </c>
      <c r="F17" s="336" t="str">
        <f>_xll.qlFraRateHelper(,E17,B17&amp;"M",$C$11)</f>
        <v>obj_00362#0000</v>
      </c>
      <c r="G17" s="337">
        <f>_xll.qlRateHelperQuoteValue(F17,InterestRatesTrigger)</f>
        <v>4.7599999999999995E-3</v>
      </c>
      <c r="H17" s="336" t="b">
        <v>1</v>
      </c>
      <c r="I17" s="335">
        <v>70</v>
      </c>
      <c r="J17" s="335">
        <v>1</v>
      </c>
      <c r="K17" s="334">
        <f>_xll.qlRateHelperEarliestDate($F17)</f>
        <v>42046</v>
      </c>
      <c r="L17" s="334">
        <f>_xll.qlRateHelperLatestDate($F17)</f>
        <v>42227</v>
      </c>
      <c r="M17" s="325"/>
    </row>
    <row r="18" spans="1:13" x14ac:dyDescent="0.2">
      <c r="A18" s="340"/>
      <c r="B18" s="339">
        <v>9</v>
      </c>
      <c r="C18" s="338" t="str">
        <f t="shared" si="0"/>
        <v>x15</v>
      </c>
      <c r="D18" s="336" t="s">
        <v>98</v>
      </c>
      <c r="E18" s="336" t="str">
        <f t="shared" si="1"/>
        <v>USD9x15F_Quote</v>
      </c>
      <c r="F18" s="336" t="str">
        <f>_xll.qlFraRateHelper(,E18,B18&amp;"M",$C$11)</f>
        <v>obj_0035f#0000</v>
      </c>
      <c r="G18" s="337">
        <f>_xll.qlRateHelperQuoteValue(F18,InterestRatesTrigger)</f>
        <v>6.5100000000000002E-3</v>
      </c>
      <c r="H18" s="336" t="b">
        <v>1</v>
      </c>
      <c r="I18" s="335">
        <v>70</v>
      </c>
      <c r="J18" s="335">
        <v>1</v>
      </c>
      <c r="K18" s="334">
        <f>_xll.qlRateHelperEarliestDate($F18)</f>
        <v>42135</v>
      </c>
      <c r="L18" s="334">
        <f>_xll.qlRateHelperLatestDate($F18)</f>
        <v>42319</v>
      </c>
      <c r="M18" s="325"/>
    </row>
    <row r="19" spans="1:13" x14ac:dyDescent="0.2">
      <c r="A19" s="340"/>
      <c r="B19" s="339">
        <v>12</v>
      </c>
      <c r="C19" s="338" t="str">
        <f t="shared" si="0"/>
        <v>x18</v>
      </c>
      <c r="D19" s="336" t="s">
        <v>98</v>
      </c>
      <c r="E19" s="336" t="str">
        <f t="shared" si="1"/>
        <v>USD12x18F_Quote</v>
      </c>
      <c r="F19" s="336" t="str">
        <f>_xll.qlFraRateHelper(,E19,B19&amp;"M",$C$11)</f>
        <v>obj_00367#0000</v>
      </c>
      <c r="G19" s="337">
        <f>_xll.qlRateHelperQuoteValue(F19,InterestRatesTrigger)</f>
        <v>8.6499999999999997E-3</v>
      </c>
      <c r="H19" s="336" t="b">
        <v>1</v>
      </c>
      <c r="I19" s="335">
        <v>70</v>
      </c>
      <c r="J19" s="335">
        <v>1</v>
      </c>
      <c r="K19" s="334">
        <f>_xll.qlRateHelperEarliestDate($F19)</f>
        <v>42227</v>
      </c>
      <c r="L19" s="334">
        <f>_xll.qlRateHelperLatestDate($F19)</f>
        <v>42411</v>
      </c>
      <c r="M19" s="325"/>
    </row>
    <row r="20" spans="1:13" x14ac:dyDescent="0.2">
      <c r="A20" s="354"/>
      <c r="B20" s="332">
        <v>18</v>
      </c>
      <c r="C20" s="331" t="str">
        <f t="shared" si="0"/>
        <v>x24</v>
      </c>
      <c r="D20" s="329" t="s">
        <v>98</v>
      </c>
      <c r="E20" s="329" t="str">
        <f t="shared" si="1"/>
        <v>USD18x24F_Quote</v>
      </c>
      <c r="F20" s="329" t="str">
        <f>_xll.qlFraRateHelper(,E20,B20&amp;"M",$C$11)</f>
        <v>obj_00364#0000</v>
      </c>
      <c r="G20" s="330">
        <f>_xll.qlRateHelperQuoteValue(F20,InterestRatesTrigger)</f>
        <v>1.3340000000000001E-2</v>
      </c>
      <c r="H20" s="329" t="b">
        <v>1</v>
      </c>
      <c r="I20" s="328">
        <v>70</v>
      </c>
      <c r="J20" s="328">
        <v>1</v>
      </c>
      <c r="K20" s="327">
        <f>_xll.qlRateHelperEarliestDate($F20)</f>
        <v>42411</v>
      </c>
      <c r="L20" s="327">
        <f>_xll.qlRateHelperLatestDate($F20)</f>
        <v>42593</v>
      </c>
      <c r="M20" s="325"/>
    </row>
    <row r="21" spans="1:13" x14ac:dyDescent="0.2">
      <c r="A21" s="338"/>
      <c r="B21" s="339" t="s">
        <v>113</v>
      </c>
      <c r="C21" s="179"/>
      <c r="D21" s="336" t="s">
        <v>216</v>
      </c>
      <c r="E21" s="336" t="str">
        <f>'6M_LiborSwapForBasisCalc'!K5</f>
        <v>USDAM3L3Y_S6L3L_Quote#0000</v>
      </c>
      <c r="F21" s="336" t="str">
        <f>_xll.qlSwapRateHelper2(,E21,B21,Calendar,"annual","mf","30/360 (Bond Basis)",$C$11,0,"0D",OisCurve)</f>
        <v>obj_00431#0000</v>
      </c>
      <c r="G21" s="337">
        <f>_xll.qlRateHelperQuoteValue(F21,InterestRatesTrigger)</f>
        <v>1.1853525381694256E-2</v>
      </c>
      <c r="H21" s="336" t="b">
        <v>1</v>
      </c>
      <c r="I21" s="335">
        <v>50</v>
      </c>
      <c r="J21" s="335">
        <v>1</v>
      </c>
      <c r="K21" s="334">
        <f>_xll.qlRateHelperEarliestDate($F21)</f>
        <v>41862</v>
      </c>
      <c r="L21" s="333">
        <f>_xll.qlRateHelperLatestDate($F21)</f>
        <v>42958</v>
      </c>
      <c r="M21" s="325"/>
    </row>
    <row r="22" spans="1:13" x14ac:dyDescent="0.2">
      <c r="A22" s="338"/>
      <c r="B22" s="339" t="s">
        <v>116</v>
      </c>
      <c r="C22" s="179"/>
      <c r="D22" s="336" t="s">
        <v>216</v>
      </c>
      <c r="E22" s="336" t="str">
        <f>'6M_LiborSwapForBasisCalc'!K6</f>
        <v>USDAM3L4Y_S6L3L_Quote#0000</v>
      </c>
      <c r="F22" s="336" t="str">
        <f>_xll.qlSwapRateHelper2(,E22,B22,Calendar,"annual","mf","30/360 (Bond Basis)",$C$11,0,"0D",OisCurve)</f>
        <v>obj_0042e#0000</v>
      </c>
      <c r="G22" s="337">
        <f>_xll.qlRateHelperQuoteValue(F22,InterestRatesTrigger)</f>
        <v>1.5654758285421937E-2</v>
      </c>
      <c r="H22" s="336" t="b">
        <v>1</v>
      </c>
      <c r="I22" s="335">
        <v>50</v>
      </c>
      <c r="J22" s="335">
        <v>1</v>
      </c>
      <c r="K22" s="334">
        <f>_xll.qlRateHelperEarliestDate($F22)</f>
        <v>41862</v>
      </c>
      <c r="L22" s="333">
        <f>_xll.qlRateHelperLatestDate($F22)</f>
        <v>43325</v>
      </c>
      <c r="M22" s="325"/>
    </row>
    <row r="23" spans="1:13" ht="12" thickBot="1" x14ac:dyDescent="0.25">
      <c r="A23" s="338"/>
      <c r="B23" s="339" t="s">
        <v>118</v>
      </c>
      <c r="C23" s="179"/>
      <c r="D23" s="336" t="s">
        <v>216</v>
      </c>
      <c r="E23" s="336" t="str">
        <f>'6M_LiborSwapForBasisCalc'!K7</f>
        <v>USDAM3L5Y_S6L3L_Quote#0000</v>
      </c>
      <c r="F23" s="336" t="str">
        <f>_xll.qlSwapRateHelper2(,E23,B23,Calendar,"annual","mf","30/360 (Bond Basis)",$C$11,0,"0D",OisCurve)</f>
        <v>obj_0042d#0000</v>
      </c>
      <c r="G23" s="337">
        <f>_xll.qlRateHelperQuoteValue(F23,InterestRatesTrigger)</f>
        <v>1.8495621905886644E-2</v>
      </c>
      <c r="H23" s="336" t="b">
        <v>1</v>
      </c>
      <c r="I23" s="335">
        <v>50</v>
      </c>
      <c r="J23" s="335">
        <v>1</v>
      </c>
      <c r="K23" s="334">
        <f>_xll.qlRateHelperEarliestDate($F23)</f>
        <v>41862</v>
      </c>
      <c r="L23" s="333">
        <f>_xll.qlRateHelperLatestDate($F23)</f>
        <v>43689</v>
      </c>
      <c r="M23" s="325"/>
    </row>
    <row r="24" spans="1:13" x14ac:dyDescent="0.2">
      <c r="A24" s="353" t="s">
        <v>24</v>
      </c>
      <c r="B24" s="352"/>
      <c r="C24" s="351" t="str">
        <f>_xll.qlIborIndex(,Currency,A24,2,Currency,Calendar,"f",FALSE,"act/360",,,Trigger)</f>
        <v>obj_00356#0000</v>
      </c>
      <c r="D24" s="349" t="s">
        <v>97</v>
      </c>
      <c r="E24" s="349" t="str">
        <f>Contribution!D55</f>
        <v>USD1YD_SYNTH1Y_Quote#0000</v>
      </c>
      <c r="F24" s="349" t="str">
        <f>_xll.qlDepositRateHelper(,E24,$C$24)</f>
        <v>obj_003cf#0000</v>
      </c>
      <c r="G24" s="350">
        <f>_xll.qlRateHelperQuoteValue(F24,InterestRatesTrigger)</f>
        <v>5.5539999999999999E-3</v>
      </c>
      <c r="H24" s="349" t="b">
        <v>1</v>
      </c>
      <c r="I24" s="348">
        <v>70</v>
      </c>
      <c r="J24" s="348">
        <v>1</v>
      </c>
      <c r="K24" s="347">
        <f>_xll.qlRateHelperEarliestDate($F24)</f>
        <v>41862</v>
      </c>
      <c r="L24" s="347">
        <f>_xll.qlRateHelperLatestDate($F24)</f>
        <v>42227</v>
      </c>
      <c r="M24" s="325"/>
    </row>
    <row r="25" spans="1:13" x14ac:dyDescent="0.2">
      <c r="A25" s="340"/>
      <c r="B25" s="346">
        <v>1</v>
      </c>
      <c r="C25" s="345" t="str">
        <f t="shared" ref="C25:C36" si="2">"x"&amp;B25+12</f>
        <v>x13</v>
      </c>
      <c r="D25" s="343" t="s">
        <v>98</v>
      </c>
      <c r="E25" s="343" t="str">
        <f t="shared" ref="E25:E36" si="3">Currency&amp;B25&amp;C25&amp;D25&amp;QuoteSuffix</f>
        <v>USD1x13F_Quote</v>
      </c>
      <c r="F25" s="343" t="str">
        <f>_xll.qlFraRateHelper(,E25,B25&amp;"M",$C$24)</f>
        <v>obj_0036a#0000</v>
      </c>
      <c r="G25" s="344">
        <f>_xll.qlRateHelperQuoteValue(F25,InterestRatesTrigger)</f>
        <v>5.9299999999999995E-3</v>
      </c>
      <c r="H25" s="343" t="b">
        <v>1</v>
      </c>
      <c r="I25" s="342">
        <v>70</v>
      </c>
      <c r="J25" s="342">
        <v>1</v>
      </c>
      <c r="K25" s="341">
        <f>_xll.qlRateHelperEarliestDate($F25)</f>
        <v>41893</v>
      </c>
      <c r="L25" s="341">
        <f>_xll.qlRateHelperLatestDate($F25)</f>
        <v>42258</v>
      </c>
      <c r="M25" s="325"/>
    </row>
    <row r="26" spans="1:13" x14ac:dyDescent="0.2">
      <c r="A26" s="340"/>
      <c r="B26" s="339">
        <v>2</v>
      </c>
      <c r="C26" s="338" t="str">
        <f t="shared" si="2"/>
        <v>x14</v>
      </c>
      <c r="D26" s="336" t="s">
        <v>98</v>
      </c>
      <c r="E26" s="336" t="str">
        <f t="shared" si="3"/>
        <v>USD2x14F_Quote</v>
      </c>
      <c r="F26" s="336" t="str">
        <f>_xll.qlFraRateHelper(,E26,B26&amp;"M",$C$24)</f>
        <v>obj_00369#0000</v>
      </c>
      <c r="G26" s="337">
        <f>_xll.qlRateHelperQuoteValue(F26,InterestRatesTrigger)</f>
        <v>6.3899999999999998E-3</v>
      </c>
      <c r="H26" s="336" t="b">
        <v>1</v>
      </c>
      <c r="I26" s="335">
        <v>70</v>
      </c>
      <c r="J26" s="335">
        <v>1</v>
      </c>
      <c r="K26" s="334">
        <f>_xll.qlRateHelperEarliestDate($F26)</f>
        <v>41925</v>
      </c>
      <c r="L26" s="334">
        <f>_xll.qlRateHelperLatestDate($F26)</f>
        <v>42290</v>
      </c>
      <c r="M26" s="325"/>
    </row>
    <row r="27" spans="1:13" x14ac:dyDescent="0.2">
      <c r="A27" s="340"/>
      <c r="B27" s="339">
        <v>3</v>
      </c>
      <c r="C27" s="338" t="str">
        <f t="shared" si="2"/>
        <v>x15</v>
      </c>
      <c r="D27" s="336" t="s">
        <v>98</v>
      </c>
      <c r="E27" s="336" t="str">
        <f t="shared" si="3"/>
        <v>USD3x15F_Quote</v>
      </c>
      <c r="F27" s="336" t="str">
        <f>_xll.qlFraRateHelper(,E27,B27&amp;"M",$C$24)</f>
        <v>obj_0036f#0000</v>
      </c>
      <c r="G27" s="337">
        <f>_xll.qlRateHelperQuoteValue(F27,InterestRatesTrigger)</f>
        <v>6.8600000000000006E-3</v>
      </c>
      <c r="H27" s="336" t="b">
        <v>0</v>
      </c>
      <c r="I27" s="335">
        <v>70</v>
      </c>
      <c r="J27" s="335">
        <v>1</v>
      </c>
      <c r="K27" s="334">
        <f>_xll.qlRateHelperEarliestDate($F27)</f>
        <v>41954</v>
      </c>
      <c r="L27" s="334">
        <f>_xll.qlRateHelperLatestDate($F27)</f>
        <v>42319</v>
      </c>
      <c r="M27" s="325"/>
    </row>
    <row r="28" spans="1:13" x14ac:dyDescent="0.2">
      <c r="A28" s="340"/>
      <c r="B28" s="339">
        <v>4</v>
      </c>
      <c r="C28" s="338" t="str">
        <f t="shared" si="2"/>
        <v>x16</v>
      </c>
      <c r="D28" s="336" t="s">
        <v>98</v>
      </c>
      <c r="E28" s="336" t="str">
        <f t="shared" si="3"/>
        <v>USD4x16F_Quote</v>
      </c>
      <c r="F28" s="336" t="str">
        <f>_xll.qlFraRateHelper(,E28,B28&amp;"M",$C$24)</f>
        <v>obj_00370#0000</v>
      </c>
      <c r="G28" s="337">
        <f>_xll.qlRateHelperQuoteValue(F28,InterestRatesTrigger)</f>
        <v>7.2900000000000013E-3</v>
      </c>
      <c r="H28" s="336" t="b">
        <v>1</v>
      </c>
      <c r="I28" s="335">
        <v>70</v>
      </c>
      <c r="J28" s="335">
        <v>1</v>
      </c>
      <c r="K28" s="334">
        <f>_xll.qlRateHelperEarliestDate($F28)</f>
        <v>41984</v>
      </c>
      <c r="L28" s="334">
        <f>_xll.qlRateHelperLatestDate($F28)</f>
        <v>42349</v>
      </c>
      <c r="M28" s="325"/>
    </row>
    <row r="29" spans="1:13" x14ac:dyDescent="0.2">
      <c r="A29" s="340"/>
      <c r="B29" s="339">
        <v>5</v>
      </c>
      <c r="C29" s="338" t="str">
        <f t="shared" si="2"/>
        <v>x17</v>
      </c>
      <c r="D29" s="336" t="s">
        <v>98</v>
      </c>
      <c r="E29" s="336" t="str">
        <f t="shared" si="3"/>
        <v>USD5x17F_Quote</v>
      </c>
      <c r="F29" s="336" t="str">
        <f>_xll.qlFraRateHelper(,E29,B29&amp;"M",$C$24)</f>
        <v>obj_0036b#0000</v>
      </c>
      <c r="G29" s="337">
        <f>_xll.qlRateHelperQuoteValue(F29,InterestRatesTrigger)</f>
        <v>7.8500000000000011E-3</v>
      </c>
      <c r="H29" s="336" t="b">
        <v>1</v>
      </c>
      <c r="I29" s="335">
        <v>70</v>
      </c>
      <c r="J29" s="335">
        <v>1</v>
      </c>
      <c r="K29" s="334">
        <f>_xll.qlRateHelperEarliestDate($F29)</f>
        <v>42016</v>
      </c>
      <c r="L29" s="334">
        <f>_xll.qlRateHelperLatestDate($F29)</f>
        <v>42381</v>
      </c>
      <c r="M29" s="325"/>
    </row>
    <row r="30" spans="1:13" x14ac:dyDescent="0.2">
      <c r="A30" s="340"/>
      <c r="B30" s="339">
        <v>6</v>
      </c>
      <c r="C30" s="338" t="str">
        <f t="shared" si="2"/>
        <v>x18</v>
      </c>
      <c r="D30" s="336" t="s">
        <v>98</v>
      </c>
      <c r="E30" s="336" t="str">
        <f t="shared" si="3"/>
        <v>USD6x18F_Quote</v>
      </c>
      <c r="F30" s="336" t="str">
        <f>_xll.qlFraRateHelper(,E30,B30&amp;"M",$C$24)</f>
        <v>obj_00371#0000</v>
      </c>
      <c r="G30" s="337">
        <f>_xll.qlRateHelperQuoteValue(F30,InterestRatesTrigger)</f>
        <v>8.4099999999999991E-3</v>
      </c>
      <c r="H30" s="336" t="b">
        <v>1</v>
      </c>
      <c r="I30" s="335">
        <v>70</v>
      </c>
      <c r="J30" s="335">
        <v>1</v>
      </c>
      <c r="K30" s="334">
        <f>_xll.qlRateHelperEarliestDate($F30)</f>
        <v>42046</v>
      </c>
      <c r="L30" s="334">
        <f>_xll.qlRateHelperLatestDate($F30)</f>
        <v>42411</v>
      </c>
      <c r="M30" s="325"/>
    </row>
    <row r="31" spans="1:13" x14ac:dyDescent="0.2">
      <c r="A31" s="340"/>
      <c r="B31" s="339">
        <v>7</v>
      </c>
      <c r="C31" s="338" t="str">
        <f t="shared" si="2"/>
        <v>x19</v>
      </c>
      <c r="D31" s="336" t="s">
        <v>98</v>
      </c>
      <c r="E31" s="336" t="str">
        <f t="shared" si="3"/>
        <v>USD7x19F_Quote</v>
      </c>
      <c r="F31" s="336" t="str">
        <f>_xll.qlFraRateHelper(,E31,B31&amp;"M",$C$24)</f>
        <v>obj_00361#0000</v>
      </c>
      <c r="G31" s="337" t="e">
        <f>_xll.qlRateHelperQuoteValue(F31,InterestRatesTrigger)</f>
        <v>#NUM!</v>
      </c>
      <c r="H31" s="336" t="b">
        <v>0</v>
      </c>
      <c r="I31" s="335">
        <v>70</v>
      </c>
      <c r="J31" s="335">
        <v>1</v>
      </c>
      <c r="K31" s="334">
        <f>_xll.qlRateHelperEarliestDate($F31)</f>
        <v>42074</v>
      </c>
      <c r="L31" s="334">
        <f>_xll.qlRateHelperLatestDate($F31)</f>
        <v>42440</v>
      </c>
      <c r="M31" s="325"/>
    </row>
    <row r="32" spans="1:13" x14ac:dyDescent="0.2">
      <c r="A32" s="340"/>
      <c r="B32" s="339">
        <v>8</v>
      </c>
      <c r="C32" s="338" t="str">
        <f t="shared" si="2"/>
        <v>x20</v>
      </c>
      <c r="D32" s="336" t="s">
        <v>98</v>
      </c>
      <c r="E32" s="336" t="str">
        <f t="shared" si="3"/>
        <v>USD8x20F_Quote</v>
      </c>
      <c r="F32" s="336" t="str">
        <f>_xll.qlFraRateHelper(,E32,B32&amp;"M",$C$24)</f>
        <v>obj_00365#0000</v>
      </c>
      <c r="G32" s="337" t="e">
        <f>_xll.qlRateHelperQuoteValue(F32,InterestRatesTrigger)</f>
        <v>#NUM!</v>
      </c>
      <c r="H32" s="336" t="b">
        <v>0</v>
      </c>
      <c r="I32" s="335">
        <v>70</v>
      </c>
      <c r="J32" s="335">
        <v>1</v>
      </c>
      <c r="K32" s="334">
        <f>_xll.qlRateHelperEarliestDate($F32)</f>
        <v>42107</v>
      </c>
      <c r="L32" s="334">
        <f>_xll.qlRateHelperLatestDate($F32)</f>
        <v>42473</v>
      </c>
      <c r="M32" s="325"/>
    </row>
    <row r="33" spans="1:13" x14ac:dyDescent="0.2">
      <c r="A33" s="340"/>
      <c r="B33" s="339">
        <v>9</v>
      </c>
      <c r="C33" s="338" t="str">
        <f t="shared" si="2"/>
        <v>x21</v>
      </c>
      <c r="D33" s="336" t="s">
        <v>98</v>
      </c>
      <c r="E33" s="336" t="str">
        <f t="shared" si="3"/>
        <v>USD9x21F_Quote</v>
      </c>
      <c r="F33" s="336" t="str">
        <f>_xll.qlFraRateHelper(,E33,B33&amp;"M",$C$24)</f>
        <v>obj_0036d#0000</v>
      </c>
      <c r="G33" s="337">
        <f>_xll.qlRateHelperQuoteValue(F33,InterestRatesTrigger)</f>
        <v>1.0330000000000001E-2</v>
      </c>
      <c r="H33" s="336" t="b">
        <v>1</v>
      </c>
      <c r="I33" s="335">
        <v>70</v>
      </c>
      <c r="J33" s="335">
        <v>1</v>
      </c>
      <c r="K33" s="334">
        <f>_xll.qlRateHelperEarliestDate($F33)</f>
        <v>42135</v>
      </c>
      <c r="L33" s="334">
        <f>_xll.qlRateHelperLatestDate($F33)</f>
        <v>42501</v>
      </c>
      <c r="M33" s="325"/>
    </row>
    <row r="34" spans="1:13" x14ac:dyDescent="0.2">
      <c r="A34" s="340"/>
      <c r="B34" s="339">
        <v>10</v>
      </c>
      <c r="C34" s="338" t="str">
        <f t="shared" si="2"/>
        <v>x22</v>
      </c>
      <c r="D34" s="336" t="s">
        <v>98</v>
      </c>
      <c r="E34" s="336" t="str">
        <f t="shared" si="3"/>
        <v>USD10x22F_Quote</v>
      </c>
      <c r="F34" s="336" t="str">
        <f>_xll.qlFraRateHelper(,E34,B34&amp;"M",$C$24)</f>
        <v>obj_00360#0000</v>
      </c>
      <c r="G34" s="337" t="e">
        <f>_xll.qlRateHelperQuoteValue(F34,InterestRatesTrigger)</f>
        <v>#NUM!</v>
      </c>
      <c r="H34" s="336" t="b">
        <v>0</v>
      </c>
      <c r="I34" s="335">
        <v>70</v>
      </c>
      <c r="J34" s="335">
        <v>1</v>
      </c>
      <c r="K34" s="334">
        <f>_xll.qlRateHelperEarliestDate($F34)</f>
        <v>42166</v>
      </c>
      <c r="L34" s="334">
        <f>_xll.qlRateHelperLatestDate($F34)</f>
        <v>42534</v>
      </c>
      <c r="M34" s="325"/>
    </row>
    <row r="35" spans="1:13" x14ac:dyDescent="0.2">
      <c r="A35" s="340"/>
      <c r="B35" s="339">
        <v>11</v>
      </c>
      <c r="C35" s="338" t="str">
        <f t="shared" si="2"/>
        <v>x23</v>
      </c>
      <c r="D35" s="336" t="s">
        <v>98</v>
      </c>
      <c r="E35" s="336" t="str">
        <f t="shared" si="3"/>
        <v>USD11x23F_Quote</v>
      </c>
      <c r="F35" s="336" t="str">
        <f>_xll.qlFraRateHelper(,E35,B35&amp;"M",$C$24)</f>
        <v>obj_0035e#0000</v>
      </c>
      <c r="G35" s="337" t="e">
        <f>_xll.qlRateHelperQuoteValue(F35,InterestRatesTrigger)</f>
        <v>#NUM!</v>
      </c>
      <c r="H35" s="336" t="b">
        <v>0</v>
      </c>
      <c r="I35" s="335">
        <v>70</v>
      </c>
      <c r="J35" s="335">
        <v>1</v>
      </c>
      <c r="K35" s="334">
        <f>_xll.qlRateHelperEarliestDate($F35)</f>
        <v>42198</v>
      </c>
      <c r="L35" s="334">
        <f>_xll.qlRateHelperLatestDate($F35)</f>
        <v>42564</v>
      </c>
      <c r="M35" s="325"/>
    </row>
    <row r="36" spans="1:13" x14ac:dyDescent="0.2">
      <c r="B36" s="332">
        <v>12</v>
      </c>
      <c r="C36" s="331" t="str">
        <f t="shared" si="2"/>
        <v>x24</v>
      </c>
      <c r="D36" s="329" t="s">
        <v>98</v>
      </c>
      <c r="E36" s="329" t="str">
        <f t="shared" si="3"/>
        <v>USD12x24F_Quote</v>
      </c>
      <c r="F36" s="329" t="str">
        <f>_xll.qlFraRateHelper(,E36,B36&amp;"M",$C$24)</f>
        <v>obj_00366#0000</v>
      </c>
      <c r="G36" s="330">
        <f>_xll.qlRateHelperQuoteValue(F36,InterestRatesTrigger)</f>
        <v>1.2580000000000001E-2</v>
      </c>
      <c r="H36" s="329" t="b">
        <v>1</v>
      </c>
      <c r="I36" s="328">
        <v>70</v>
      </c>
      <c r="J36" s="328">
        <v>1</v>
      </c>
      <c r="K36" s="327">
        <f>_xll.qlRateHelperEarliestDate($F36)</f>
        <v>42227</v>
      </c>
      <c r="L36" s="327">
        <f>_xll.qlRateHelperLatestDate($F36)</f>
        <v>42593</v>
      </c>
      <c r="M36" s="325"/>
    </row>
    <row r="37" spans="1:13" x14ac:dyDescent="0.2">
      <c r="A37" s="324"/>
      <c r="B37" s="339" t="s">
        <v>113</v>
      </c>
      <c r="C37" s="338"/>
      <c r="D37" s="336" t="s">
        <v>216</v>
      </c>
      <c r="E37" s="336" t="str">
        <f>'1Y_LiborSwapForBasisCalc'!K5</f>
        <v>USDAM3L3Y_S12L3L_Quote#0000</v>
      </c>
      <c r="F37" s="336" t="str">
        <f>_xll.qlSwapRateHelper2(,E37,B37,Calendar,"annual","mf","30/360 (Bond Basis)",$C$24,0,"0D",OisCurve)</f>
        <v>obj_00434#0000</v>
      </c>
      <c r="G37" s="337">
        <f>_xll.qlRateHelperQuoteValue(F37,InterestRatesTrigger)</f>
        <v>1.3379684669330901E-2</v>
      </c>
      <c r="H37" s="336" t="b">
        <v>1</v>
      </c>
      <c r="I37" s="335">
        <v>50</v>
      </c>
      <c r="J37" s="335">
        <v>1</v>
      </c>
      <c r="K37" s="334">
        <f>_xll.qlRateHelperEarliestDate($F37)</f>
        <v>41862</v>
      </c>
      <c r="L37" s="333">
        <f>_xll.qlRateHelperLatestDate($F37)</f>
        <v>42958</v>
      </c>
      <c r="M37" s="325"/>
    </row>
    <row r="38" spans="1:13" x14ac:dyDescent="0.2">
      <c r="A38" s="324"/>
      <c r="B38" s="339" t="s">
        <v>116</v>
      </c>
      <c r="C38" s="338"/>
      <c r="D38" s="336" t="s">
        <v>216</v>
      </c>
      <c r="E38" s="336" t="str">
        <f>'1Y_LiborSwapForBasisCalc'!K6</f>
        <v>USDAM3L4Y_S12L3L_Quote#0000</v>
      </c>
      <c r="F38" s="336" t="str">
        <f>_xll.qlSwapRateHelper2(,E38,B38,Calendar,"annual","mf","30/360 (Bond Basis)",$C$24,0,"0D",OisCurve)</f>
        <v>obj_00430#0000</v>
      </c>
      <c r="G38" s="337">
        <f>_xll.qlRateHelperQuoteValue(F38,InterestRatesTrigger)</f>
        <v>1.7162868999284549E-2</v>
      </c>
      <c r="H38" s="336" t="b">
        <v>1</v>
      </c>
      <c r="I38" s="335">
        <v>50</v>
      </c>
      <c r="J38" s="335">
        <v>1</v>
      </c>
      <c r="K38" s="334">
        <f>_xll.qlRateHelperEarliestDate($F38)</f>
        <v>41862</v>
      </c>
      <c r="L38" s="333">
        <f>_xll.qlRateHelperLatestDate($F38)</f>
        <v>43325</v>
      </c>
      <c r="M38" s="325"/>
    </row>
    <row r="39" spans="1:13" x14ac:dyDescent="0.2">
      <c r="A39" s="324"/>
      <c r="B39" s="332" t="s">
        <v>118</v>
      </c>
      <c r="C39" s="331"/>
      <c r="D39" s="329" t="s">
        <v>216</v>
      </c>
      <c r="E39" s="329" t="str">
        <f>'1Y_LiborSwapForBasisCalc'!K7</f>
        <v>USDAM3L5Y_S12L3L_Quote#0000</v>
      </c>
      <c r="F39" s="329" t="str">
        <f>_xll.qlSwapRateHelper2(,E39,B39,Calendar,"annual","mf","30/360 (Bond Basis)",$C$24,0,"0D",OisCurve)</f>
        <v>obj_0043b#0000</v>
      </c>
      <c r="G39" s="330">
        <f>_xll.qlRateHelperQuoteValue(F39,InterestRatesTrigger)</f>
        <v>1.999514081473016E-2</v>
      </c>
      <c r="H39" s="329" t="b">
        <v>1</v>
      </c>
      <c r="I39" s="328">
        <v>50</v>
      </c>
      <c r="J39" s="328">
        <v>1</v>
      </c>
      <c r="K39" s="327">
        <f>_xll.qlRateHelperEarliestDate($F39)</f>
        <v>41862</v>
      </c>
      <c r="L39" s="326">
        <f>_xll.qlRateHelperLatestDate($F39)</f>
        <v>43689</v>
      </c>
      <c r="M39" s="325"/>
    </row>
    <row r="40" spans="1:13" ht="12" thickBot="1" x14ac:dyDescent="0.25">
      <c r="A40" s="322"/>
      <c r="B40" s="324"/>
      <c r="C40" s="324"/>
      <c r="D40" s="324"/>
      <c r="E40" s="323"/>
      <c r="F40" s="323"/>
      <c r="G40" s="323"/>
      <c r="H40" s="323"/>
      <c r="I40" s="322"/>
      <c r="J40" s="322"/>
      <c r="K40" s="322"/>
      <c r="L40" s="322"/>
      <c r="M40" s="321"/>
    </row>
    <row r="41" spans="1:13" x14ac:dyDescent="0.2">
      <c r="B41" s="320"/>
      <c r="C41" s="320"/>
      <c r="D41" s="3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6640625" bestFit="1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25.16406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9" t="s">
        <v>165</v>
      </c>
      <c r="F1" s="299"/>
      <c r="G1" s="299"/>
      <c r="H1" s="299" t="s">
        <v>166</v>
      </c>
      <c r="I1" s="299"/>
      <c r="J1" s="299" t="s">
        <v>167</v>
      </c>
      <c r="K1" s="299" t="s">
        <v>168</v>
      </c>
      <c r="L1" s="299" t="s">
        <v>169</v>
      </c>
      <c r="M1" s="299" t="s">
        <v>36</v>
      </c>
      <c r="N1" s="299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41862</v>
      </c>
      <c r="E2" s="297">
        <f t="array" ref="E2:E127">_xll.qlPiecewiseYieldCurveData(YieldCurve6M,InterestRatesTrigger)</f>
        <v>1</v>
      </c>
      <c r="F2" s="282">
        <v>0</v>
      </c>
      <c r="G2" s="282" t="str">
        <f>"x"&amp;F2+6</f>
        <v>x6</v>
      </c>
      <c r="H2" s="294">
        <f>_xll.qlInterestRateIndexFixingDate(IborIndex6M,J2)</f>
        <v>41858</v>
      </c>
      <c r="I2" s="282" t="str">
        <f>_xll.qlMakeDatedOIS(,J2,K2,OvernightIndex,0,"Act/360",0)</f>
        <v>obj_0048f#0000</v>
      </c>
      <c r="J2" s="294">
        <f>_xll.qlCalendarAdvance(Calendar,$D$2,F2&amp;"M","mf")</f>
        <v>41862</v>
      </c>
      <c r="K2" s="294">
        <f>_xll.qlInterestRateIndexMaturity(IborIndex6M,J2)</f>
        <v>42046</v>
      </c>
      <c r="L2" s="297">
        <f>_xll.qlIndexFixing(IborIndex6M,H2,TRUE,InterestRatesTrigger)</f>
        <v>3.2829999999991429E-3</v>
      </c>
      <c r="M2" s="297">
        <f>_xll.qlOvernightIndexedSwapFairRate(I2,Contribution!$P$40)</f>
        <v>1.0299999997926584E-3</v>
      </c>
      <c r="N2" s="298">
        <f>L2-M2</f>
        <v>2.2530000002064848E-3</v>
      </c>
      <c r="O2" s="297"/>
    </row>
    <row r="3" spans="1:15" x14ac:dyDescent="0.2">
      <c r="A3" s="283" t="str">
        <f t="array" ref="A3:A126">_xll.ohFilter(FRA_RateHelpers!F2:F23,FRA_RateHelpers!H2:H23)</f>
        <v>obj_003d2#0000</v>
      </c>
      <c r="B3" s="284">
        <f>_xll.qlRateHelperRate($A3,InterestRatesTrigger)</f>
        <v>3.336E-3</v>
      </c>
      <c r="C3" s="287">
        <f>_xll.qlRateHelperEarliestDate($A3)</f>
        <v>41862</v>
      </c>
      <c r="D3" s="288">
        <f>_xll.qlRateHelperLatestDate($A3)</f>
        <v>41863</v>
      </c>
      <c r="E3" s="297">
        <v>0.99999073341920985</v>
      </c>
      <c r="F3" s="282">
        <v>1</v>
      </c>
      <c r="G3" s="282" t="str">
        <f t="shared" ref="G3:G14" si="0">"x"&amp;F3+6</f>
        <v>x7</v>
      </c>
      <c r="H3" s="294">
        <f>_xll.qlInterestRateIndexFixingDate(IborIndex6M,J3)</f>
        <v>41891</v>
      </c>
      <c r="I3" s="282" t="str">
        <f>_xll.qlMakeDatedOIS(,J3,K3,OvernightIndex,0,"Act/360",0)</f>
        <v>obj_0045d#0000</v>
      </c>
      <c r="J3" s="294">
        <f>_xll.qlCalendarAdvance(Calendar,$D$2,F3&amp;"M","mf")</f>
        <v>41893</v>
      </c>
      <c r="K3" s="294">
        <f>_xll.qlInterestRateIndexMaturity(IborIndex6M,J3)</f>
        <v>42074</v>
      </c>
      <c r="L3" s="297">
        <f>_xll.qlIndexFixing(IborIndex6M,H3,TRUE,InterestRatesTrigger)</f>
        <v>3.349999999999092E-3</v>
      </c>
      <c r="M3" s="297">
        <f>_xll.qlOvernightIndexedSwapFairRate(I3,Contribution!$P$40)</f>
        <v>1.1107426465485958E-3</v>
      </c>
      <c r="N3" s="298">
        <f t="shared" ref="N3:N11" si="1">L3-M3</f>
        <v>2.239257353450496E-3</v>
      </c>
      <c r="O3" s="297"/>
    </row>
    <row r="4" spans="1:15" x14ac:dyDescent="0.2">
      <c r="A4" s="283" t="str">
        <v>obj_003d4#0000</v>
      </c>
      <c r="B4" s="284">
        <f>_xll.qlRateHelperRate($A4,InterestRatesTrigger)</f>
        <v>3.323E-3</v>
      </c>
      <c r="C4" s="287">
        <f>_xll.qlRateHelperEarliestDate($A4)</f>
        <v>41862</v>
      </c>
      <c r="D4" s="288">
        <f>_xll.qlRateHelperLatestDate($A4)</f>
        <v>41869</v>
      </c>
      <c r="E4" s="297">
        <v>0.99993539028579592</v>
      </c>
      <c r="F4" s="282">
        <v>2</v>
      </c>
      <c r="G4" s="282" t="str">
        <f t="shared" si="0"/>
        <v>x8</v>
      </c>
      <c r="H4" s="294">
        <f>_xll.qlInterestRateIndexFixingDate(IborIndex6M,J4)</f>
        <v>41921</v>
      </c>
      <c r="I4" s="282" t="str">
        <f>_xll.qlMakeDatedOIS(,J4,K4,OvernightIndex,0,"Act/360",0)</f>
        <v>obj_00463#0000</v>
      </c>
      <c r="J4" s="294">
        <f>_xll.qlCalendarAdvance(Calendar,$D$2,F4&amp;"M","mf")</f>
        <v>41925</v>
      </c>
      <c r="K4" s="294">
        <f>_xll.qlInterestRateIndexMaturity(IborIndex6M,J4)</f>
        <v>42107</v>
      </c>
      <c r="L4" s="297">
        <f>_xll.qlIndexFixing(IborIndex6M,H4,TRUE,InterestRatesTrigger)</f>
        <v>3.5260482126805355E-3</v>
      </c>
      <c r="M4" s="297">
        <f>_xll.qlOvernightIndexedSwapFairRate(I4,Contribution!$P$40)</f>
        <v>1.2581920058464006E-3</v>
      </c>
      <c r="N4" s="298">
        <f t="shared" si="1"/>
        <v>2.2678562068341348E-3</v>
      </c>
      <c r="O4" s="297"/>
    </row>
    <row r="5" spans="1:15" x14ac:dyDescent="0.2">
      <c r="A5" s="283" t="str">
        <v>obj_003d3#0000</v>
      </c>
      <c r="B5" s="284">
        <f>_xll.qlRateHelperRate($A5,InterestRatesTrigger)</f>
        <v>3.3080000000000002E-3</v>
      </c>
      <c r="C5" s="287">
        <f>_xll.qlRateHelperEarliestDate($A5)</f>
        <v>41862</v>
      </c>
      <c r="D5" s="288">
        <f>_xll.qlRateHelperLatestDate($A5)</f>
        <v>41877</v>
      </c>
      <c r="E5" s="297">
        <v>0.9998621856620763</v>
      </c>
      <c r="F5" s="282">
        <v>3</v>
      </c>
      <c r="G5" s="282" t="str">
        <f t="shared" si="0"/>
        <v>x9</v>
      </c>
      <c r="H5" s="294">
        <f>_xll.qlInterestRateIndexFixingDate(IborIndex6M,J5)</f>
        <v>41950</v>
      </c>
      <c r="I5" s="282" t="str">
        <f>_xll.qlMakeDatedOIS(,J5,K5,OvernightIndex,0,"Act/360",0)</f>
        <v>obj_00465#0000</v>
      </c>
      <c r="J5" s="294">
        <f>_xll.qlCalendarAdvance(Calendar,$D$2,F5&amp;"M","mf")</f>
        <v>41954</v>
      </c>
      <c r="K5" s="294">
        <f>_xll.qlInterestRateIndexMaturity(IborIndex6M,J5)</f>
        <v>42135</v>
      </c>
      <c r="L5" s="297">
        <f>_xll.qlIndexFixing(IborIndex6M,H5,TRUE,InterestRatesTrigger)</f>
        <v>3.7066025163490714E-3</v>
      </c>
      <c r="M5" s="297">
        <f>_xll.qlOvernightIndexedSwapFairRate(I5,Contribution!$P$40)</f>
        <v>1.4453194286727644E-3</v>
      </c>
      <c r="N5" s="298">
        <f t="shared" si="1"/>
        <v>2.261283087676307E-3</v>
      </c>
      <c r="O5" s="297"/>
    </row>
    <row r="6" spans="1:15" x14ac:dyDescent="0.2">
      <c r="A6" s="283" t="str">
        <v>obj_003d1#0000</v>
      </c>
      <c r="B6" s="284">
        <f>_xll.qlRateHelperRate($A6,InterestRatesTrigger)</f>
        <v>3.297E-3</v>
      </c>
      <c r="C6" s="287">
        <f>_xll.qlRateHelperEarliestDate($A6)</f>
        <v>41862</v>
      </c>
      <c r="D6" s="288">
        <f>_xll.qlRateHelperLatestDate($A6)</f>
        <v>41883</v>
      </c>
      <c r="E6" s="297">
        <v>0.99980771198179308</v>
      </c>
      <c r="F6" s="282">
        <v>4</v>
      </c>
      <c r="G6" s="282" t="str">
        <f t="shared" si="0"/>
        <v>x10</v>
      </c>
      <c r="H6" s="294">
        <f>_xll.qlInterestRateIndexFixingDate(IborIndex6M,J6)</f>
        <v>41982</v>
      </c>
      <c r="I6" s="282" t="str">
        <f>_xll.qlMakeDatedOIS(,J6,K6,OvernightIndex,0,"Act/360",0)</f>
        <v>obj_00479#0000</v>
      </c>
      <c r="J6" s="294">
        <f>_xll.qlCalendarAdvance(Calendar,$D$2,F6&amp;"M","mf")</f>
        <v>41984</v>
      </c>
      <c r="K6" s="294">
        <f>_xll.qlInterestRateIndexMaturity(IborIndex6M,J6)</f>
        <v>42166</v>
      </c>
      <c r="L6" s="297">
        <f>_xll.qlIndexFixing(IborIndex6M,H6,TRUE,InterestRatesTrigger)</f>
        <v>3.9399999999980536E-3</v>
      </c>
      <c r="M6" s="297">
        <f>_xll.qlOvernightIndexedSwapFairRate(I6,Contribution!$P$40)</f>
        <v>1.6677048499286011E-3</v>
      </c>
      <c r="N6" s="298">
        <f t="shared" si="1"/>
        <v>2.2722951500694522E-3</v>
      </c>
      <c r="O6" s="297"/>
    </row>
    <row r="7" spans="1:15" x14ac:dyDescent="0.2">
      <c r="A7" s="283" t="str">
        <v>obj_003d7#0000</v>
      </c>
      <c r="B7" s="284">
        <f>_xll.qlRateHelperRate($A7,InterestRatesTrigger)</f>
        <v>3.2789999999999998E-3</v>
      </c>
      <c r="C7" s="287">
        <f>_xll.qlRateHelperEarliestDate($A7)</f>
        <v>41862</v>
      </c>
      <c r="D7" s="288">
        <f>_xll.qlRateHelperLatestDate($A7)</f>
        <v>41893</v>
      </c>
      <c r="E7" s="297">
        <v>0.99971772137039006</v>
      </c>
      <c r="F7" s="282">
        <v>5</v>
      </c>
      <c r="G7" s="282" t="str">
        <f t="shared" si="0"/>
        <v>x11</v>
      </c>
      <c r="H7" s="294">
        <f>_xll.qlInterestRateIndexFixingDate(IborIndex6M,J7)</f>
        <v>42012</v>
      </c>
      <c r="I7" s="282" t="str">
        <f>_xll.qlMakeDatedOIS(,J7,K7,OvernightIndex,0,"Act/360",0)</f>
        <v>obj_0045b#0000</v>
      </c>
      <c r="J7" s="294">
        <f>_xll.qlCalendarAdvance(Calendar,$D$2,F7&amp;"M","mf")</f>
        <v>42016</v>
      </c>
      <c r="K7" s="294">
        <f>_xll.qlInterestRateIndexMaturity(IborIndex6M,J7)</f>
        <v>42198</v>
      </c>
      <c r="L7" s="297">
        <f>_xll.qlIndexFixing(IborIndex6M,H7,TRUE,InterestRatesTrigger)</f>
        <v>4.3399999999989176E-3</v>
      </c>
      <c r="M7" s="297">
        <f>_xll.qlOvernightIndexedSwapFairRate(I7,Contribution!$P$40)</f>
        <v>2.0414431411196732E-3</v>
      </c>
      <c r="N7" s="298">
        <f t="shared" si="1"/>
        <v>2.2985568588792444E-3</v>
      </c>
      <c r="O7" s="297"/>
    </row>
    <row r="8" spans="1:15" x14ac:dyDescent="0.2">
      <c r="A8" s="283" t="str">
        <v>obj_003ce#0000</v>
      </c>
      <c r="B8" s="284">
        <f>_xll.qlRateHelperRate($A8,InterestRatesTrigger)</f>
        <v>3.2499999999999999E-3</v>
      </c>
      <c r="C8" s="287">
        <f>_xll.qlRateHelperEarliestDate($A8)</f>
        <v>41862</v>
      </c>
      <c r="D8" s="288">
        <f>_xll.qlRateHelperLatestDate($A8)</f>
        <v>41925</v>
      </c>
      <c r="E8" s="297">
        <v>0.99943157329269094</v>
      </c>
      <c r="F8" s="282">
        <v>6</v>
      </c>
      <c r="G8" s="282" t="str">
        <f t="shared" si="0"/>
        <v>x12</v>
      </c>
      <c r="H8" s="294">
        <f>_xll.qlInterestRateIndexFixingDate(IborIndex6M,J8)</f>
        <v>42044</v>
      </c>
      <c r="I8" s="282" t="str">
        <f>_xll.qlMakeDatedOIS(,J8,K8,OvernightIndex,0,"Act/360",0)</f>
        <v>obj_00480#0000</v>
      </c>
      <c r="J8" s="294">
        <f>_xll.qlCalendarAdvance(Calendar,$D$2,F8&amp;"M","mf")</f>
        <v>42046</v>
      </c>
      <c r="K8" s="294">
        <f>_xll.qlInterestRateIndexMaturity(IborIndex6M,J8)</f>
        <v>42227</v>
      </c>
      <c r="L8" s="297">
        <f>_xll.qlIndexFixing(IborIndex6M,H8,TRUE,InterestRatesTrigger)</f>
        <v>4.7599999999996508E-3</v>
      </c>
      <c r="M8" s="297">
        <f>_xll.qlOvernightIndexedSwapFairRate(I8,Contribution!$P$40)</f>
        <v>2.460472653822641E-3</v>
      </c>
      <c r="N8" s="298">
        <f t="shared" si="1"/>
        <v>2.2995273461770098E-3</v>
      </c>
      <c r="O8" s="297"/>
    </row>
    <row r="9" spans="1:15" ht="11.25" customHeight="1" x14ac:dyDescent="0.2">
      <c r="A9" s="283" t="str">
        <v>obj_003d0#0000</v>
      </c>
      <c r="B9" s="284">
        <f>_xll.qlRateHelperRate($A9,InterestRatesTrigger)</f>
        <v>3.2260000000000001E-3</v>
      </c>
      <c r="C9" s="287">
        <f>_xll.qlRateHelperEarliestDate($A9)</f>
        <v>41862</v>
      </c>
      <c r="D9" s="288">
        <f>_xll.qlRateHelperLatestDate($A9)</f>
        <v>41954</v>
      </c>
      <c r="E9" s="297">
        <v>0.99917625688990408</v>
      </c>
      <c r="F9" s="282">
        <v>12</v>
      </c>
      <c r="G9" s="282" t="str">
        <f t="shared" si="0"/>
        <v>x18</v>
      </c>
      <c r="H9" s="294">
        <f>_xll.qlInterestRateIndexFixingDate(IborIndex6M,J9)</f>
        <v>42223</v>
      </c>
      <c r="I9" s="282" t="str">
        <f>_xll.qlMakeDatedOIS(,J9,K9,OvernightIndex,0,"Act/360",0)</f>
        <v>obj_0048e#0000</v>
      </c>
      <c r="J9" s="294">
        <f>_xll.qlCalendarAdvance(Calendar,$D$2,F9&amp;"M","mf")</f>
        <v>42227</v>
      </c>
      <c r="K9" s="294">
        <f>_xll.qlInterestRateIndexMaturity(IborIndex6M,J9)</f>
        <v>42411</v>
      </c>
      <c r="L9" s="297">
        <f>_xll.qlIndexFixing(IborIndex6M,H9,TRUE,InterestRatesTrigger)</f>
        <v>8.6499999999984541E-3</v>
      </c>
      <c r="M9" s="297">
        <f>_xll.qlOvernightIndexedSwapFairRate(I9,Contribution!$P$40)</f>
        <v>6.165120671319706E-3</v>
      </c>
      <c r="N9" s="298">
        <f t="shared" si="1"/>
        <v>2.484879328678748E-3</v>
      </c>
      <c r="O9" s="297"/>
    </row>
    <row r="10" spans="1:15" ht="11.25" customHeight="1" x14ac:dyDescent="0.2">
      <c r="A10" s="283" t="str">
        <v>obj_003d5#0000</v>
      </c>
      <c r="B10" s="284">
        <f>_xll.qlRateHelperRate($A10,InterestRatesTrigger)</f>
        <v>3.2209999999999999E-3</v>
      </c>
      <c r="C10" s="287">
        <f>_xll.qlRateHelperEarliestDate($A10)</f>
        <v>41862</v>
      </c>
      <c r="D10" s="288">
        <f>_xll.qlRateHelperLatestDate($A10)</f>
        <v>41984</v>
      </c>
      <c r="E10" s="297">
        <v>0.99890962909536596</v>
      </c>
      <c r="F10" s="282">
        <v>18</v>
      </c>
      <c r="G10" s="282" t="str">
        <f t="shared" si="0"/>
        <v>x24</v>
      </c>
      <c r="H10" s="294">
        <f>_xll.qlInterestRateIndexFixingDate(IborIndex6M,J10)</f>
        <v>42409</v>
      </c>
      <c r="I10" s="282" t="str">
        <f>_xll.qlMakeDatedOIS(,J10,K10,OvernightIndex,0,"Act/360",0)</f>
        <v>obj_00478#0000</v>
      </c>
      <c r="J10" s="294">
        <f>_xll.qlCalendarAdvance(Calendar,$D$2,F10&amp;"M","mf")</f>
        <v>42411</v>
      </c>
      <c r="K10" s="294">
        <f>_xll.qlInterestRateIndexMaturity(IborIndex6M,J10)</f>
        <v>42593</v>
      </c>
      <c r="L10" s="297">
        <f>_xll.qlIndexFixing(IborIndex6M,H10,TRUE,InterestRatesTrigger)</f>
        <v>1.3339999999999902E-2</v>
      </c>
      <c r="M10" s="297">
        <f>_xll.qlOvernightIndexedSwapFairRate(I10,Contribution!$P$40)</f>
        <v>1.0745394157192126E-2</v>
      </c>
      <c r="N10" s="298">
        <f t="shared" si="1"/>
        <v>2.5946058428077765E-3</v>
      </c>
      <c r="O10" s="297"/>
    </row>
    <row r="11" spans="1:15" ht="11.25" customHeight="1" x14ac:dyDescent="0.2">
      <c r="A11" s="283" t="str">
        <v>obj_003d6#0000</v>
      </c>
      <c r="B11" s="284">
        <f>_xll.qlRateHelperRate($A11,InterestRatesTrigger)</f>
        <v>3.2460000000000002E-3</v>
      </c>
      <c r="C11" s="287">
        <f>_xll.qlRateHelperEarliestDate($A11)</f>
        <v>41862</v>
      </c>
      <c r="D11" s="288">
        <f>_xll.qlRateHelperLatestDate($A11)</f>
        <v>42016</v>
      </c>
      <c r="E11" s="297">
        <v>0.99861335877711466</v>
      </c>
      <c r="F11" s="282">
        <v>24</v>
      </c>
      <c r="G11" s="282" t="str">
        <f t="shared" si="0"/>
        <v>x30</v>
      </c>
      <c r="H11" s="294">
        <f>_xll.qlInterestRateIndexFixingDate(IborIndex6M,J11)</f>
        <v>42591</v>
      </c>
      <c r="I11" s="282" t="str">
        <f>_xll.qlMakeDatedOIS(,J11,K11,OvernightIndex,0,"Act/360",0)</f>
        <v>obj_0046d#0000</v>
      </c>
      <c r="J11" s="294">
        <f>_xll.qlCalendarAdvance(Calendar,$D$2,F11&amp;"M","mf")</f>
        <v>42593</v>
      </c>
      <c r="K11" s="294">
        <f>_xll.qlInterestRateIndexMaturity(IborIndex6M,J11)</f>
        <v>42779</v>
      </c>
      <c r="L11" s="297">
        <f>_xll.qlIndexFixing(IborIndex6M,H11,TRUE,InterestRatesTrigger)</f>
        <v>1.8112222010873001E-2</v>
      </c>
      <c r="M11" s="297">
        <f>_xll.qlOvernightIndexedSwapFairRate(I11,Contribution!$P$40)</f>
        <v>1.5675671972365149E-2</v>
      </c>
      <c r="N11" s="298">
        <f t="shared" si="1"/>
        <v>2.4365500385078523E-3</v>
      </c>
      <c r="O11" s="297"/>
    </row>
    <row r="12" spans="1:15" ht="11.25" customHeight="1" x14ac:dyDescent="0.2">
      <c r="A12" s="283" t="str">
        <v>obj_003cd#0000</v>
      </c>
      <c r="B12" s="284">
        <f>_xll.qlRateHelperRate($A12,InterestRatesTrigger)</f>
        <v>3.2829999999999999E-3</v>
      </c>
      <c r="C12" s="287">
        <f>_xll.qlRateHelperEarliestDate($A12)</f>
        <v>41862</v>
      </c>
      <c r="D12" s="288">
        <f>_xll.qlRateHelperLatestDate($A12)</f>
        <v>42046</v>
      </c>
      <c r="E12" s="297">
        <v>0.99832483311502962</v>
      </c>
      <c r="F12" s="282">
        <v>30</v>
      </c>
      <c r="G12" s="282" t="str">
        <f t="shared" si="0"/>
        <v>x36</v>
      </c>
      <c r="H12" s="294">
        <f>_xll.qlInterestRateIndexFixingDate(IborIndex6M,J12)</f>
        <v>42775</v>
      </c>
      <c r="I12" s="282" t="str">
        <f>_xll.qlMakeDatedOIS(,J12,K12,OvernightIndex,0,"Act/360",0)</f>
        <v>obj_0048d#0000</v>
      </c>
      <c r="J12" s="294">
        <f>_xll.qlCalendarAdvance(Calendar,$D$2,F12&amp;"M","mf")</f>
        <v>42779</v>
      </c>
      <c r="K12" s="294">
        <f>_xll.qlInterestRateIndexMaturity(IborIndex6M,J12)</f>
        <v>42961</v>
      </c>
      <c r="L12" s="297">
        <f>_xll.qlIndexFixing(IborIndex6M,H12,TRUE,InterestRatesTrigger)</f>
        <v>2.2292791759546078E-2</v>
      </c>
      <c r="M12" s="297">
        <f>_xll.qlOvernightIndexedSwapFairRate(I12,Contribution!$P$40)</f>
        <v>1.9874547509955973E-2</v>
      </c>
      <c r="N12" s="298">
        <f t="shared" ref="N12" si="2">L12-M12</f>
        <v>2.4182442495901055E-3</v>
      </c>
      <c r="O12" s="296"/>
    </row>
    <row r="13" spans="1:15" ht="11.25" customHeight="1" x14ac:dyDescent="0.2">
      <c r="A13" s="283" t="str">
        <v>obj_0036e#0000</v>
      </c>
      <c r="B13" s="284">
        <f>_xll.qlRateHelperRate($A13,InterestRatesTrigger)</f>
        <v>3.3500000000000001E-3</v>
      </c>
      <c r="C13" s="287">
        <f>_xll.qlRateHelperEarliestDate($A13)</f>
        <v>41893</v>
      </c>
      <c r="D13" s="288">
        <f>_xll.qlRateHelperLatestDate($A13)</f>
        <v>42074</v>
      </c>
      <c r="E13" s="297">
        <v>0.99803672257391074</v>
      </c>
      <c r="F13" s="282">
        <v>36</v>
      </c>
      <c r="G13" s="282" t="str">
        <f t="shared" si="0"/>
        <v>x42</v>
      </c>
      <c r="H13" s="294">
        <f>_xll.qlInterestRateIndexFixingDate(IborIndex6M,J13)</f>
        <v>42956</v>
      </c>
      <c r="I13" s="282" t="str">
        <f>_xll.qlMakeDatedOIS(,J13,K13,OvernightIndex,0,"Act/360",0)</f>
        <v>obj_00488#0000</v>
      </c>
      <c r="J13" s="294">
        <f>_xll.qlCalendarAdvance(Calendar,$D$2,F13&amp;"M","mf")</f>
        <v>42958</v>
      </c>
      <c r="K13" s="294">
        <f>_xll.qlInterestRateIndexMaturity(IborIndex6M,J13)</f>
        <v>43143</v>
      </c>
      <c r="L13" s="297">
        <f>_xll.qlIndexFixing(IborIndex6M,H13,TRUE,InterestRatesTrigger)</f>
        <v>2.5689967398456161E-2</v>
      </c>
      <c r="M13" s="297">
        <f>_xll.qlOvernightIndexedSwapFairRate(I13,Contribution!$P$40)</f>
        <v>2.3051218415575236E-2</v>
      </c>
      <c r="N13" s="298">
        <f t="shared" ref="N13:N14" si="3">L13-M13</f>
        <v>2.6387489828809257E-3</v>
      </c>
    </row>
    <row r="14" spans="1:15" x14ac:dyDescent="0.2">
      <c r="A14" s="283" t="str">
        <v>obj_00368#0000</v>
      </c>
      <c r="B14" s="284">
        <f>_xll.qlRateHelperRate($A14,InterestRatesTrigger)</f>
        <v>3.5199999999999997E-3</v>
      </c>
      <c r="C14" s="287">
        <f>_xll.qlRateHelperEarliestDate($A14)</f>
        <v>41925</v>
      </c>
      <c r="D14" s="288">
        <f>_xll.qlRateHelperLatestDate($A14)</f>
        <v>42107</v>
      </c>
      <c r="E14" s="297">
        <v>0.99765618867959305</v>
      </c>
      <c r="F14" s="282">
        <v>42</v>
      </c>
      <c r="G14" s="282" t="str">
        <f t="shared" si="0"/>
        <v>x48</v>
      </c>
      <c r="H14" s="294">
        <f>_xll.qlInterestRateIndexFixingDate(IborIndex6M,J14)</f>
        <v>43139</v>
      </c>
      <c r="I14" s="282" t="str">
        <f>_xll.qlMakeDatedOIS(,J14,K14,OvernightIndex,0,"Act/360",0)</f>
        <v>obj_00486#0000</v>
      </c>
      <c r="J14" s="294">
        <f>_xll.qlCalendarAdvance(Calendar,$D$2,F14&amp;"M","mf")</f>
        <v>43143</v>
      </c>
      <c r="K14" s="294">
        <f>_xll.qlInterestRateIndexMaturity(IborIndex6M,J14)</f>
        <v>43325</v>
      </c>
      <c r="L14" s="297">
        <f>_xll.qlIndexFixing(IborIndex6M,H14,TRUE,InterestRatesTrigger)</f>
        <v>2.8151472158259642E-2</v>
      </c>
      <c r="M14" s="297">
        <f>_xll.qlOvernightIndexedSwapFairRate(I14,Contribution!$P$40)</f>
        <v>2.5329366184679299E-2</v>
      </c>
      <c r="N14" s="298">
        <f t="shared" si="3"/>
        <v>2.8221059735803432E-3</v>
      </c>
    </row>
    <row r="15" spans="1:15" x14ac:dyDescent="0.2">
      <c r="A15" s="283" t="str">
        <v>obj_0035d#0000</v>
      </c>
      <c r="B15" s="284">
        <f>_xll.qlRateHelperRate($A15,InterestRatesTrigger)</f>
        <v>3.7000000000000002E-3</v>
      </c>
      <c r="C15" s="287">
        <f>_xll.qlRateHelperEarliestDate($A15)</f>
        <v>41954</v>
      </c>
      <c r="D15" s="288">
        <f>_xll.qlRateHelperLatestDate($A15)</f>
        <v>42135</v>
      </c>
      <c r="E15" s="297">
        <v>0.99732096286537464</v>
      </c>
      <c r="F15" s="282"/>
      <c r="G15" s="282"/>
      <c r="H15" s="294"/>
      <c r="I15" s="282"/>
      <c r="J15" s="294"/>
      <c r="K15" s="294"/>
      <c r="L15" s="297"/>
      <c r="M15" s="297"/>
      <c r="N15" s="298"/>
    </row>
    <row r="16" spans="1:15" x14ac:dyDescent="0.2">
      <c r="A16" s="283" t="str">
        <v>obj_0036c#0000</v>
      </c>
      <c r="B16" s="284">
        <f>_xll.qlRateHelperRate($A16,InterestRatesTrigger)</f>
        <v>3.9399999999999999E-3</v>
      </c>
      <c r="C16" s="287">
        <f>_xll.qlRateHelperEarliestDate($A16)</f>
        <v>41984</v>
      </c>
      <c r="D16" s="288">
        <f>_xll.qlRateHelperLatestDate($A16)</f>
        <v>42166</v>
      </c>
      <c r="E16" s="297">
        <v>0.99692386752058448</v>
      </c>
      <c r="F16" s="282"/>
      <c r="G16" s="282"/>
      <c r="H16" s="294"/>
      <c r="I16" s="282"/>
      <c r="J16" s="294"/>
      <c r="K16" s="294"/>
      <c r="L16" s="297"/>
      <c r="M16" s="297"/>
      <c r="N16" s="298"/>
    </row>
    <row r="17" spans="1:15" x14ac:dyDescent="0.2">
      <c r="A17" s="283" t="str">
        <v>obj_00363#0000</v>
      </c>
      <c r="B17" s="284">
        <f>_xll.qlRateHelperRate($A17,InterestRatesTrigger)</f>
        <v>4.3400000000000001E-3</v>
      </c>
      <c r="C17" s="287">
        <f>_xll.qlRateHelperEarliestDate($A17)</f>
        <v>42016</v>
      </c>
      <c r="D17" s="288">
        <f>_xll.qlRateHelperLatestDate($A17)</f>
        <v>42198</v>
      </c>
      <c r="E17" s="297">
        <v>0.9964270870340417</v>
      </c>
    </row>
    <row r="18" spans="1:15" x14ac:dyDescent="0.2">
      <c r="A18" s="283" t="str">
        <v>obj_00362#0000</v>
      </c>
      <c r="B18" s="284">
        <f>_xll.qlRateHelperRate($A18,InterestRatesTrigger)</f>
        <v>4.7599999999999995E-3</v>
      </c>
      <c r="C18" s="287">
        <f>_xll.qlRateHelperEarliestDate($A18)</f>
        <v>42046</v>
      </c>
      <c r="D18" s="288">
        <f>_xll.qlRateHelperLatestDate($A18)</f>
        <v>42227</v>
      </c>
      <c r="E18" s="297">
        <v>0.99594132420591075</v>
      </c>
    </row>
    <row r="19" spans="1:15" x14ac:dyDescent="0.2">
      <c r="A19" s="283" t="str">
        <v>obj_0035f#0000</v>
      </c>
      <c r="B19" s="284">
        <f>_xll.qlRateHelperRate($A19,InterestRatesTrigger)</f>
        <v>6.5100000000000002E-3</v>
      </c>
      <c r="C19" s="287">
        <f>_xll.qlRateHelperEarliestDate($A19)</f>
        <v>42135</v>
      </c>
      <c r="D19" s="288">
        <f>_xll.qlRateHelperLatestDate($A19)</f>
        <v>42319</v>
      </c>
      <c r="E19" s="297">
        <v>0.99401354845182599</v>
      </c>
    </row>
    <row r="20" spans="1:15" x14ac:dyDescent="0.2">
      <c r="A20" s="283" t="str">
        <v>obj_00367#0000</v>
      </c>
      <c r="B20" s="284">
        <f>_xll.qlRateHelperRate($A20,InterestRatesTrigger)</f>
        <v>8.6499999999999997E-3</v>
      </c>
      <c r="C20" s="287">
        <f>_xll.qlRateHelperEarliestDate($A20)</f>
        <v>42227</v>
      </c>
      <c r="D20" s="288">
        <f>_xll.qlRateHelperLatestDate($A20)</f>
        <v>42411</v>
      </c>
      <c r="E20" s="297">
        <v>0.99155753815666103</v>
      </c>
    </row>
    <row r="21" spans="1:15" x14ac:dyDescent="0.2">
      <c r="A21" s="283" t="str">
        <v>obj_00364#0000</v>
      </c>
      <c r="B21" s="284">
        <f>_xll.qlRateHelperRate($A21,InterestRatesTrigger)</f>
        <v>1.3340000000000001E-2</v>
      </c>
      <c r="C21" s="287">
        <f>_xll.qlRateHelperEarliestDate($A21)</f>
        <v>42411</v>
      </c>
      <c r="D21" s="288">
        <f>_xll.qlRateHelperLatestDate($A21)</f>
        <v>42593</v>
      </c>
      <c r="E21" s="297">
        <v>0.98491516087669073</v>
      </c>
    </row>
    <row r="22" spans="1:15" x14ac:dyDescent="0.2">
      <c r="A22" s="283" t="str">
        <v>obj_00431#0000</v>
      </c>
      <c r="B22" s="284">
        <f>_xll.qlRateHelperRate($A22,InterestRatesTrigger)</f>
        <v>1.1853525381694256E-2</v>
      </c>
      <c r="C22" s="287">
        <f>_xll.qlRateHelperEarliestDate($A22)</f>
        <v>41862</v>
      </c>
      <c r="D22" s="288">
        <f>_xll.qlRateHelperLatestDate($A22)</f>
        <v>42958</v>
      </c>
      <c r="E22" s="297">
        <v>0.96510179973966304</v>
      </c>
    </row>
    <row r="23" spans="1:15" x14ac:dyDescent="0.2">
      <c r="A23" s="283" t="str">
        <v>obj_0042e#0000</v>
      </c>
      <c r="B23" s="284">
        <f>_xll.qlRateHelperRate($A23,InterestRatesTrigger)</f>
        <v>1.5654758285421937E-2</v>
      </c>
      <c r="C23" s="287">
        <f>_xll.qlRateHelperEarliestDate($A23)</f>
        <v>41862</v>
      </c>
      <c r="D23" s="288">
        <f>_xll.qlRateHelperLatestDate($A23)</f>
        <v>43325</v>
      </c>
      <c r="E23" s="297">
        <v>0.93916048577267164</v>
      </c>
    </row>
    <row r="24" spans="1:15" ht="12.75" x14ac:dyDescent="0.2">
      <c r="A24" s="283" t="str">
        <v>obj_0042d#0000</v>
      </c>
      <c r="B24" s="284">
        <f>_xll.qlRateHelperRate($A24,InterestRatesTrigger)</f>
        <v>1.8495621905886644E-2</v>
      </c>
      <c r="C24" s="287">
        <f>_xll.qlRateHelperEarliestDate($A24)</f>
        <v>41862</v>
      </c>
      <c r="D24" s="288">
        <f>_xll.qlRateHelperLatestDate($A24)</f>
        <v>43689</v>
      </c>
      <c r="E24" s="297">
        <v>0.91135527966750585</v>
      </c>
      <c r="F24" s="282">
        <v>7</v>
      </c>
      <c r="G24" s="282" t="str">
        <f t="shared" ref="G24:G38" si="4">"x"&amp;F24+6</f>
        <v>x13</v>
      </c>
      <c r="H24" s="294">
        <f>_xll.qlInterestRateIndexFixingDate(IborIndex6M,J24)</f>
        <v>42072</v>
      </c>
      <c r="I24" s="282" t="str">
        <f>_xll.qlMakeDatedOIS(,J24,K24,OvernightIndex,0,"Act/360",0)</f>
        <v>obj_00487#0000</v>
      </c>
      <c r="J24" s="294">
        <f>_xll.qlCalendarAdvance(Calendar,$D$2,F24&amp;"M","mf")</f>
        <v>42074</v>
      </c>
      <c r="K24" s="294">
        <f>_xll.qlInterestRateIndexMaturity(IborIndex6M,J24)</f>
        <v>42258</v>
      </c>
      <c r="L24" s="296"/>
      <c r="M24" s="297">
        <f>_xll.qlOvernightIndexedSwapFairRate(I24,Contribution!$P$40)</f>
        <v>2.930429356347599E-3</v>
      </c>
      <c r="N24" s="298">
        <f>_xll.qlInterpolationInterpolate(BasisInterpolator6M,J24,,M24)</f>
        <v>2.3065206214045691E-3</v>
      </c>
      <c r="O24" s="297">
        <f>M24+N24</f>
        <v>5.2369499777521686E-3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97" t="e">
        <v>#N/A</v>
      </c>
      <c r="F25" s="282">
        <v>8</v>
      </c>
      <c r="G25" s="282" t="str">
        <f t="shared" si="4"/>
        <v>x14</v>
      </c>
      <c r="H25" s="294">
        <f>_xll.qlInterestRateIndexFixingDate(IborIndex6M,J25)</f>
        <v>42103</v>
      </c>
      <c r="I25" s="282" t="str">
        <f>_xll.qlMakeDatedOIS(,J25,K25,OvernightIndex,0,"Act/360",0)</f>
        <v>obj_0045a#0000</v>
      </c>
      <c r="J25" s="294">
        <f>_xll.qlCalendarAdvance(Calendar,$D$2,F25&amp;"M","mf")</f>
        <v>42107</v>
      </c>
      <c r="K25" s="294">
        <f>_xll.qlInterestRateIndexMaturity(IborIndex6M,J25)</f>
        <v>42290</v>
      </c>
      <c r="L25" s="296"/>
      <c r="M25" s="297">
        <f>_xll.qlOvernightIndexedSwapFairRate(I25,Contribution!$P$40)</f>
        <v>3.5564106158798825E-3</v>
      </c>
      <c r="N25" s="298">
        <f>_xll.qlInterpolationInterpolate(BasisInterpolator6M,J25,,M25)</f>
        <v>2.3300885014911096E-3</v>
      </c>
      <c r="O25" s="297">
        <f t="shared" ref="O25:O38" si="5">M25+N25</f>
        <v>5.8864991173709922E-3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97" t="e">
        <v>#N/A</v>
      </c>
      <c r="F26" s="282">
        <v>10</v>
      </c>
      <c r="G26" s="282" t="str">
        <f t="shared" si="4"/>
        <v>x16</v>
      </c>
      <c r="H26" s="294">
        <f>_xll.qlInterestRateIndexFixingDate(IborIndex6M,J26)</f>
        <v>42164</v>
      </c>
      <c r="I26" s="282" t="str">
        <f>_xll.qlMakeDatedOIS(,J26,K26,OvernightIndex,0,"Act/360",0)</f>
        <v>obj_00459#0000</v>
      </c>
      <c r="J26" s="294">
        <f>_xll.qlCalendarAdvance(Calendar,$D$2,F26&amp;"M","mf")</f>
        <v>42166</v>
      </c>
      <c r="K26" s="294">
        <f>_xll.qlInterestRateIndexMaturity(IborIndex6M,J26)</f>
        <v>42349</v>
      </c>
      <c r="L26" s="296"/>
      <c r="M26" s="297">
        <f>_xll.qlOvernightIndexedSwapFairRate(I26,Contribution!$P$40)</f>
        <v>4.7904967588193424E-3</v>
      </c>
      <c r="N26" s="298">
        <f>_xll.qlInterpolationInterpolate(BasisInterpolator6M,J26,,M26)</f>
        <v>2.3999047033581157E-3</v>
      </c>
      <c r="O26" s="297">
        <f t="shared" si="5"/>
        <v>7.1904014621774585E-3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97" t="e">
        <v>#N/A</v>
      </c>
      <c r="F27" s="282">
        <v>11</v>
      </c>
      <c r="G27" s="282" t="str">
        <f t="shared" si="4"/>
        <v>x17</v>
      </c>
      <c r="H27" s="294">
        <f>_xll.qlInterestRateIndexFixingDate(IborIndex6M,J27)</f>
        <v>42194</v>
      </c>
      <c r="I27" s="282" t="str">
        <f>_xll.qlMakeDatedOIS(,J27,K27,OvernightIndex,0,"Act/360",0)</f>
        <v>obj_00471#0000</v>
      </c>
      <c r="J27" s="294">
        <f>_xll.qlCalendarAdvance(Calendar,$D$2,F27&amp;"M","mf")</f>
        <v>42198</v>
      </c>
      <c r="K27" s="294">
        <f>_xll.qlInterestRateIndexMaturity(IborIndex6M,J27)</f>
        <v>42382</v>
      </c>
      <c r="L27" s="296"/>
      <c r="M27" s="297">
        <f>_xll.qlOvernightIndexedSwapFairRate(I27,Contribution!$P$40)</f>
        <v>5.4903900397741253E-3</v>
      </c>
      <c r="N27" s="298">
        <f>_xll.qlInterpolationInterpolate(BasisInterpolator6M,J27,,M27)</f>
        <v>2.4448221961978294E-3</v>
      </c>
      <c r="O27" s="297">
        <f t="shared" si="5"/>
        <v>7.9352122359719543E-3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97" t="e">
        <v>#N/A</v>
      </c>
      <c r="F28" s="282">
        <v>13</v>
      </c>
      <c r="G28" s="282" t="str">
        <f t="shared" si="4"/>
        <v>x19</v>
      </c>
      <c r="H28" s="294">
        <f>_xll.qlInterestRateIndexFixingDate(IborIndex6M,J28)</f>
        <v>42256</v>
      </c>
      <c r="I28" s="282" t="str">
        <f>_xll.qlMakeDatedOIS(,J28,K28,OvernightIndex,0,"Act/360",0)</f>
        <v>obj_00462#0000</v>
      </c>
      <c r="J28" s="294">
        <f>_xll.qlCalendarAdvance(Calendar,$D$2,F28&amp;"M","mf")</f>
        <v>42258</v>
      </c>
      <c r="K28" s="294">
        <f>_xll.qlInterestRateIndexMaturity(IborIndex6M,J28)</f>
        <v>42440</v>
      </c>
      <c r="L28" s="296"/>
      <c r="M28" s="297">
        <f>_xll.qlOvernightIndexedSwapFairRate(I28,Contribution!$P$40)</f>
        <v>6.8733347420422298E-3</v>
      </c>
      <c r="N28" s="298">
        <f>_xll.qlInterpolationInterpolate(BasisInterpolator6M,J28,,M28)</f>
        <v>2.5231768928486286E-3</v>
      </c>
      <c r="O28" s="297">
        <f t="shared" si="5"/>
        <v>9.3965116348908584E-3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97" t="e">
        <v>#N/A</v>
      </c>
      <c r="F29" s="282">
        <v>14</v>
      </c>
      <c r="G29" s="282" t="str">
        <f t="shared" si="4"/>
        <v>x20</v>
      </c>
      <c r="H29" s="294">
        <f>_xll.qlInterestRateIndexFixingDate(IborIndex6M,J29)</f>
        <v>42285</v>
      </c>
      <c r="I29" s="282" t="str">
        <f>_xll.qlMakeDatedOIS(,J29,K29,OvernightIndex,0,"Act/360",0)</f>
        <v>obj_00481#0000</v>
      </c>
      <c r="J29" s="294">
        <f>_xll.qlCalendarAdvance(Calendar,$D$2,F29&amp;"M","mf")</f>
        <v>42289</v>
      </c>
      <c r="K29" s="294">
        <f>_xll.qlInterestRateIndexMaturity(IborIndex6M,J29)</f>
        <v>42472</v>
      </c>
      <c r="L29" s="296"/>
      <c r="M29" s="297">
        <f>_xll.qlOvernightIndexedSwapFairRate(I29,Contribution!$P$40)</f>
        <v>7.6320170904634081E-3</v>
      </c>
      <c r="N29" s="298">
        <f>_xll.qlInterpolationInterpolate(BasisInterpolator6M,J29,,M29)</f>
        <v>2.5550014733445683E-3</v>
      </c>
      <c r="O29" s="297">
        <f t="shared" si="5"/>
        <v>1.0187018563807977E-2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97" t="e">
        <v>#N/A</v>
      </c>
      <c r="F30" s="282">
        <v>15</v>
      </c>
      <c r="G30" s="282" t="str">
        <f t="shared" si="4"/>
        <v>x21</v>
      </c>
      <c r="H30" s="294">
        <f>_xll.qlInterestRateIndexFixingDate(IborIndex6M,J30)</f>
        <v>42317</v>
      </c>
      <c r="I30" s="282" t="str">
        <f>_xll.qlMakeDatedOIS(,J30,K30,OvernightIndex,0,"Act/360",0)</f>
        <v>obj_00464#0000</v>
      </c>
      <c r="J30" s="294">
        <f>_xll.qlCalendarAdvance(Calendar,$D$2,F30&amp;"M","mf")</f>
        <v>42319</v>
      </c>
      <c r="K30" s="294">
        <f>_xll.qlInterestRateIndexMaturity(IborIndex6M,J30)</f>
        <v>42501</v>
      </c>
      <c r="L30" s="296"/>
      <c r="M30" s="297">
        <f>_xll.qlOvernightIndexedSwapFairRate(I30,Contribution!$P$40)</f>
        <v>8.3391226456749484E-3</v>
      </c>
      <c r="N30" s="298">
        <f>_xll.qlInterpolationInterpolate(BasisInterpolator6M,J30,,M30)</f>
        <v>2.5784907288748365E-3</v>
      </c>
      <c r="O30" s="297">
        <f t="shared" si="5"/>
        <v>1.0917613374549785E-2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97" t="e">
        <v>#N/A</v>
      </c>
      <c r="F31" s="282">
        <v>16</v>
      </c>
      <c r="G31" s="282" t="str">
        <f t="shared" si="4"/>
        <v>x22</v>
      </c>
      <c r="H31" s="294">
        <f>_xll.qlInterestRateIndexFixingDate(IborIndex6M,J31)</f>
        <v>42347</v>
      </c>
      <c r="I31" s="282" t="str">
        <f>_xll.qlMakeDatedOIS(,J31,K31,OvernightIndex,0,"Act/360",0)</f>
        <v>obj_0046b#0000</v>
      </c>
      <c r="J31" s="294">
        <f>_xll.qlCalendarAdvance(Calendar,$D$2,F31&amp;"M","mf")</f>
        <v>42349</v>
      </c>
      <c r="K31" s="294">
        <f>_xll.qlInterestRateIndexMaturity(IborIndex6M,J31)</f>
        <v>42534</v>
      </c>
      <c r="L31" s="296"/>
      <c r="M31" s="297">
        <f>_xll.qlOvernightIndexedSwapFairRate(I31,Contribution!$P$40)</f>
        <v>9.1769508380175006E-3</v>
      </c>
      <c r="N31" s="298">
        <f>_xll.qlInterpolationInterpolate(BasisInterpolator6M,J31,,M31)</f>
        <v>2.5937014115480217E-3</v>
      </c>
      <c r="O31" s="297">
        <f t="shared" si="5"/>
        <v>1.1770652249565522E-2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97" t="e">
        <v>#N/A</v>
      </c>
      <c r="F32" s="282">
        <v>17</v>
      </c>
      <c r="G32" s="282" t="str">
        <f t="shared" si="4"/>
        <v>x23</v>
      </c>
      <c r="H32" s="294">
        <f>_xll.qlInterestRateIndexFixingDate(IborIndex6M,J32)</f>
        <v>42376</v>
      </c>
      <c r="I32" s="282" t="str">
        <f>_xll.qlMakeDatedOIS(,J32,K32,OvernightIndex,0,"Act/360",0)</f>
        <v>obj_00473#0000</v>
      </c>
      <c r="J32" s="294">
        <f>_xll.qlCalendarAdvance(Calendar,$D$2,F32&amp;"M","mf")</f>
        <v>42380</v>
      </c>
      <c r="K32" s="294">
        <f>_xll.qlInterestRateIndexMaturity(IborIndex6M,J32)</f>
        <v>42562</v>
      </c>
      <c r="L32" s="296"/>
      <c r="M32" s="297">
        <f>_xll.qlOvernightIndexedSwapFairRate(I32,Contribution!$P$40)</f>
        <v>9.9449721061536413E-3</v>
      </c>
      <c r="N32" s="298">
        <f>_xll.qlInterpolationInterpolate(BasisInterpolator6M,J32,,M32)</f>
        <v>2.599635602023758E-3</v>
      </c>
      <c r="O32" s="297">
        <f t="shared" si="5"/>
        <v>1.25446077081774E-2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97" t="e">
        <v>#N/A</v>
      </c>
      <c r="F33" s="282">
        <v>19</v>
      </c>
      <c r="G33" s="282" t="str">
        <f t="shared" si="4"/>
        <v>x25</v>
      </c>
      <c r="H33" s="294">
        <f>_xll.qlInterestRateIndexFixingDate(IborIndex6M,J33)</f>
        <v>42438</v>
      </c>
      <c r="I33" s="282" t="str">
        <f>_xll.qlMakeDatedOIS(,J33,K33,OvernightIndex,0,"Act/360",0)</f>
        <v>obj_0047f#0000</v>
      </c>
      <c r="J33" s="294">
        <f>_xll.qlCalendarAdvance(Calendar,$D$2,F33&amp;"M","mf")</f>
        <v>42440</v>
      </c>
      <c r="K33" s="294">
        <f>_xll.qlInterestRateIndexMaturity(IborIndex6M,J33)</f>
        <v>42625</v>
      </c>
      <c r="L33" s="296"/>
      <c r="M33" s="297">
        <f>_xll.qlOvernightIndexedSwapFairRate(I33,Contribution!$P$40)</f>
        <v>1.1585641477619792E-2</v>
      </c>
      <c r="N33" s="298">
        <f>_xll.qlInterpolationInterpolate(BasisInterpolator6M,J33,,M33)</f>
        <v>2.5793359130128778E-3</v>
      </c>
      <c r="O33" s="297">
        <f t="shared" si="5"/>
        <v>1.4164977390632669E-2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97" t="e">
        <v>#N/A</v>
      </c>
      <c r="F34" s="282">
        <v>20</v>
      </c>
      <c r="G34" s="282" t="str">
        <f t="shared" si="4"/>
        <v>x26</v>
      </c>
      <c r="H34" s="294">
        <f>_xll.qlInterestRateIndexFixingDate(IborIndex6M,J34)</f>
        <v>42467</v>
      </c>
      <c r="I34" s="282" t="str">
        <f>_xll.qlMakeDatedOIS(,J34,K34,OvernightIndex,0,"Act/360",0)</f>
        <v>obj_00472#0000</v>
      </c>
      <c r="J34" s="294">
        <f>_xll.qlCalendarAdvance(Calendar,$D$2,F34&amp;"M","mf")</f>
        <v>42471</v>
      </c>
      <c r="K34" s="294">
        <f>_xll.qlInterestRateIndexMaturity(IborIndex6M,J34)</f>
        <v>42654</v>
      </c>
      <c r="L34" s="296"/>
      <c r="M34" s="297">
        <f>_xll.qlOvernightIndexedSwapFairRate(I34,Contribution!$P$40)</f>
        <v>1.2384149956921746E-2</v>
      </c>
      <c r="N34" s="298">
        <f>_xll.qlInterpolationInterpolate(BasisInterpolator6M,J34,,M34)</f>
        <v>2.5540705253021254E-3</v>
      </c>
      <c r="O34" s="297">
        <f t="shared" si="5"/>
        <v>1.4938220482223871E-2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97" t="e">
        <v>#N/A</v>
      </c>
      <c r="F35" s="282">
        <v>21</v>
      </c>
      <c r="G35" s="282" t="str">
        <f t="shared" si="4"/>
        <v>x27</v>
      </c>
      <c r="H35" s="294">
        <f>_xll.qlInterestRateIndexFixingDate(IborIndex6M,J35)</f>
        <v>42499</v>
      </c>
      <c r="I35" s="282" t="str">
        <f>_xll.qlMakeDatedOIS(,J35,K35,OvernightIndex,0,"Act/360",0)</f>
        <v>obj_0046c#0000</v>
      </c>
      <c r="J35" s="294">
        <f>_xll.qlCalendarAdvance(Calendar,$D$2,F35&amp;"M","mf")</f>
        <v>42501</v>
      </c>
      <c r="K35" s="294">
        <f>_xll.qlInterestRateIndexMaturity(IborIndex6M,J35)</f>
        <v>42688</v>
      </c>
      <c r="L35" s="296"/>
      <c r="M35" s="297">
        <f>_xll.qlOvernightIndexedSwapFairRate(I35,Contribution!$P$40)</f>
        <v>1.3270142503182526E-2</v>
      </c>
      <c r="N35" s="298">
        <f>_xll.qlInterpolationInterpolate(BasisInterpolator6M,J35,,M35)</f>
        <v>2.5243893216893494E-3</v>
      </c>
      <c r="O35" s="297">
        <f t="shared" si="5"/>
        <v>1.5794531824871876E-2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97" t="e">
        <v>#N/A</v>
      </c>
      <c r="F36" s="282">
        <v>22</v>
      </c>
      <c r="G36" s="282" t="str">
        <f t="shared" si="4"/>
        <v>x28</v>
      </c>
      <c r="H36" s="294">
        <f>_xll.qlInterestRateIndexFixingDate(IborIndex6M,J36)</f>
        <v>42530</v>
      </c>
      <c r="I36" s="282" t="str">
        <f>_xll.qlMakeDatedOIS(,J36,K36,OvernightIndex,0,"Act/360",0)</f>
        <v>obj_0045c#0000</v>
      </c>
      <c r="J36" s="294">
        <f>_xll.qlCalendarAdvance(Calendar,$D$2,F36&amp;"M","mf")</f>
        <v>42534</v>
      </c>
      <c r="K36" s="294">
        <f>_xll.qlInterestRateIndexMaturity(IborIndex6M,J36)</f>
        <v>42717</v>
      </c>
      <c r="L36" s="296"/>
      <c r="M36" s="297">
        <f>_xll.qlOvernightIndexedSwapFairRate(I36,Contribution!$P$40)</f>
        <v>1.4087984655988444E-2</v>
      </c>
      <c r="N36" s="298">
        <f>_xll.qlInterpolationInterpolate(BasisInterpolator6M,J36,,M36)</f>
        <v>2.4898997507517679E-3</v>
      </c>
      <c r="O36" s="297">
        <f t="shared" si="5"/>
        <v>1.6577884406740212E-2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97" t="e">
        <v>#N/A</v>
      </c>
      <c r="F37" s="282">
        <v>23</v>
      </c>
      <c r="G37" s="282" t="str">
        <f t="shared" si="4"/>
        <v>x29</v>
      </c>
      <c r="H37" s="294">
        <f>_xll.qlInterestRateIndexFixingDate(IborIndex6M,J37)</f>
        <v>42558</v>
      </c>
      <c r="I37" s="282" t="str">
        <f>_xll.qlMakeDatedOIS(,J37,K37,OvernightIndex,0,"Act/360",0)</f>
        <v>obj_0047a#0000</v>
      </c>
      <c r="J37" s="294">
        <f>_xll.qlCalendarAdvance(Calendar,$D$2,F37&amp;"M","mf")</f>
        <v>42562</v>
      </c>
      <c r="K37" s="294">
        <f>_xll.qlInterestRateIndexMaturity(IborIndex6M,J37)</f>
        <v>42746</v>
      </c>
      <c r="L37" s="296"/>
      <c r="M37" s="297">
        <f>_xll.qlOvernightIndexedSwapFairRate(I37,Contribution!$P$40)</f>
        <v>1.4845764239226105E-2</v>
      </c>
      <c r="N37" s="298">
        <f>_xll.qlInterpolationInterpolate(BasisInterpolator6M,J37,,M37)</f>
        <v>2.4622402198556598E-3</v>
      </c>
      <c r="O37" s="297">
        <f t="shared" si="5"/>
        <v>1.7308004459081764E-2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97" t="e">
        <v>#N/A</v>
      </c>
      <c r="F38" s="282">
        <v>24</v>
      </c>
      <c r="G38" s="282" t="str">
        <f t="shared" si="4"/>
        <v>x30</v>
      </c>
      <c r="H38" s="294">
        <f>_xll.qlInterestRateIndexFixingDate(IborIndex6M,J38)</f>
        <v>42591</v>
      </c>
      <c r="I38" s="282" t="str">
        <f>_xll.qlMakeDatedOIS(,J38,K38,OvernightIndex,0,"Act/360",0)</f>
        <v>obj_0046a#0000</v>
      </c>
      <c r="J38" s="294">
        <f>_xll.qlCalendarAdvance(Calendar,$D$2,F38&amp;"M","mf")</f>
        <v>42593</v>
      </c>
      <c r="K38" s="294">
        <f>_xll.qlInterestRateIndexMaturity(IborIndex6M,J38)</f>
        <v>42779</v>
      </c>
      <c r="L38" s="296"/>
      <c r="M38" s="297">
        <f>_xll.qlOvernightIndexedSwapFairRate(I38,Contribution!$P$40)</f>
        <v>1.5675671972365149E-2</v>
      </c>
      <c r="N38" s="298">
        <f>_xll.qlInterpolationInterpolate(BasisInterpolator6M,J38,,M38)</f>
        <v>2.4365500385078519E-3</v>
      </c>
      <c r="O38" s="297">
        <f t="shared" si="5"/>
        <v>1.8112222010873001E-2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97" t="e">
        <v>#N/A</v>
      </c>
      <c r="F39" s="282"/>
      <c r="G39" s="282"/>
      <c r="H39" s="294"/>
      <c r="I39" s="282"/>
      <c r="J39" s="294"/>
      <c r="K39" s="294"/>
      <c r="L39" s="296"/>
      <c r="M39" s="297"/>
      <c r="N39" s="298"/>
      <c r="O39" s="297"/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97" t="e">
        <v>#N/A</v>
      </c>
      <c r="F40" s="282"/>
      <c r="G40" s="282"/>
      <c r="H40" s="294"/>
      <c r="I40" s="282"/>
      <c r="J40" s="294"/>
      <c r="K40" s="294"/>
      <c r="L40" s="296"/>
      <c r="M40" s="297"/>
      <c r="N40" s="298"/>
      <c r="O40" s="297"/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97" t="e">
        <v>#N/A</v>
      </c>
      <c r="F41" s="282"/>
      <c r="G41" s="282"/>
      <c r="H41" s="294"/>
      <c r="I41" s="282"/>
      <c r="J41" s="294"/>
      <c r="K41" s="294"/>
      <c r="L41" s="296"/>
      <c r="M41" s="297"/>
      <c r="N41" s="298"/>
      <c r="O41" s="297"/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97" t="e">
        <v>#N/A</v>
      </c>
      <c r="F42" s="282"/>
      <c r="G42" s="282"/>
      <c r="H42" s="294"/>
      <c r="I42" s="282"/>
      <c r="J42" s="294"/>
      <c r="K42" s="294"/>
      <c r="L42" s="296"/>
      <c r="M42" s="297"/>
      <c r="N42" s="298"/>
      <c r="O42" s="297"/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97" t="e">
        <v>#N/A</v>
      </c>
      <c r="F43" s="282"/>
      <c r="G43" s="282"/>
      <c r="H43" s="294"/>
      <c r="I43" s="282"/>
      <c r="J43" s="294"/>
      <c r="K43" s="294"/>
      <c r="L43" s="296"/>
      <c r="M43" s="297"/>
      <c r="N43" s="298"/>
      <c r="O43" s="297"/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97" t="e">
        <v>#N/A</v>
      </c>
      <c r="F44" s="282"/>
      <c r="G44" s="282"/>
      <c r="H44" s="294"/>
      <c r="I44" s="282"/>
      <c r="J44" s="294"/>
      <c r="K44" s="294"/>
      <c r="L44" s="296"/>
      <c r="M44" s="297"/>
      <c r="N44" s="298"/>
      <c r="O44" s="297"/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8" t="e">
        <v>#N/A</v>
      </c>
      <c r="F45" s="282"/>
      <c r="G45" s="282"/>
      <c r="H45" s="294"/>
      <c r="I45" s="282"/>
      <c r="J45" s="294"/>
      <c r="K45" s="294"/>
      <c r="L45" s="296"/>
      <c r="M45" s="297"/>
      <c r="N45" s="298"/>
      <c r="O45" s="297"/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8" t="e">
        <v>#N/A</v>
      </c>
      <c r="F46" s="282"/>
      <c r="G46" s="282"/>
      <c r="H46" s="294"/>
      <c r="I46" s="282"/>
      <c r="J46" s="294"/>
      <c r="K46" s="294"/>
      <c r="L46" s="296"/>
      <c r="M46" s="297"/>
      <c r="N46" s="298"/>
      <c r="O46" s="297"/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8" t="e">
        <v>#N/A</v>
      </c>
      <c r="F47" s="282"/>
      <c r="G47" s="282"/>
      <c r="H47" s="294"/>
      <c r="I47" s="282"/>
      <c r="J47" s="294"/>
      <c r="K47" s="294"/>
      <c r="L47" s="296"/>
      <c r="M47" s="297"/>
      <c r="N47" s="298"/>
      <c r="O47" s="297"/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8" t="e">
        <v>#N/A</v>
      </c>
      <c r="F48" s="282"/>
      <c r="G48" s="282"/>
      <c r="H48" s="294"/>
      <c r="I48" s="282"/>
      <c r="J48" s="294"/>
      <c r="K48" s="294"/>
      <c r="L48" s="296"/>
      <c r="M48" s="297"/>
      <c r="N48" s="298"/>
      <c r="O48" s="297"/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8" t="e">
        <v>#N/A</v>
      </c>
      <c r="F49" s="282"/>
      <c r="G49" s="282"/>
      <c r="H49" s="294"/>
      <c r="I49" s="282"/>
      <c r="J49" s="294"/>
      <c r="K49" s="294"/>
      <c r="L49" s="296"/>
      <c r="M49" s="297"/>
      <c r="N49" s="298"/>
      <c r="O49" s="297"/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8" t="e">
        <v>#N/A</v>
      </c>
      <c r="F50" s="282"/>
      <c r="G50" s="282"/>
      <c r="H50" s="294"/>
      <c r="I50" s="282"/>
      <c r="J50" s="294"/>
      <c r="K50" s="294"/>
      <c r="L50" s="296"/>
      <c r="M50" s="297"/>
      <c r="N50" s="298"/>
      <c r="O50" s="297"/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8" t="e">
        <v>#N/A</v>
      </c>
      <c r="F51" s="282"/>
      <c r="G51" s="282"/>
      <c r="H51" s="294"/>
      <c r="I51" s="282"/>
      <c r="J51" s="294"/>
      <c r="K51" s="294"/>
      <c r="L51" s="296"/>
      <c r="M51" s="297"/>
      <c r="N51" s="298"/>
      <c r="O51" s="297"/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8" t="e">
        <v>#N/A</v>
      </c>
      <c r="F52" s="282"/>
      <c r="G52" s="282"/>
      <c r="H52" s="294"/>
      <c r="I52" s="282"/>
      <c r="J52" s="294"/>
      <c r="K52" s="294"/>
      <c r="L52" s="296"/>
      <c r="M52" s="297"/>
      <c r="N52" s="298"/>
      <c r="O52" s="297"/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8" t="e">
        <v>#N/A</v>
      </c>
      <c r="F53" s="282"/>
      <c r="G53" s="282"/>
      <c r="H53" s="294"/>
      <c r="I53" s="282"/>
      <c r="J53" s="294"/>
      <c r="K53" s="294"/>
      <c r="L53" s="296"/>
      <c r="M53" s="297"/>
      <c r="N53" s="298"/>
      <c r="O53" s="297"/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8" t="e">
        <v>#N/A</v>
      </c>
      <c r="F54" s="296"/>
      <c r="G54" s="296"/>
      <c r="H54" s="296"/>
      <c r="I54" s="296"/>
      <c r="J54" s="296"/>
      <c r="K54" s="296"/>
      <c r="L54" s="296"/>
      <c r="M54" s="296"/>
      <c r="N54" s="296"/>
      <c r="O54" s="296"/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8" t="e">
        <v>#N/A</v>
      </c>
      <c r="F55" s="296"/>
      <c r="G55" s="296"/>
      <c r="H55" s="296"/>
      <c r="I55" s="296"/>
      <c r="J55" s="296"/>
      <c r="K55" s="296"/>
      <c r="L55" s="296"/>
      <c r="M55" s="296"/>
      <c r="N55" s="296"/>
      <c r="O55" s="296"/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8" t="e">
        <v>#N/A</v>
      </c>
      <c r="F56" s="296"/>
      <c r="G56" s="296"/>
      <c r="H56" s="296"/>
      <c r="I56" s="296"/>
      <c r="J56" s="296"/>
      <c r="K56" s="296"/>
      <c r="L56" s="296"/>
      <c r="M56" s="296"/>
      <c r="N56" s="296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8" t="e">
        <v>#N/A</v>
      </c>
      <c r="F57" s="296"/>
      <c r="G57" s="296"/>
      <c r="H57" s="296"/>
      <c r="I57" s="296"/>
      <c r="J57" s="296"/>
      <c r="K57" s="296"/>
      <c r="L57" s="296"/>
      <c r="M57" s="296"/>
      <c r="N57" s="296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8" t="e">
        <v>#N/A</v>
      </c>
      <c r="F58" s="296"/>
      <c r="G58" s="296"/>
      <c r="H58" s="296"/>
      <c r="I58" s="296"/>
      <c r="J58" s="296"/>
      <c r="K58" s="296"/>
      <c r="L58" s="296"/>
      <c r="M58" s="296"/>
      <c r="N58" s="296"/>
      <c r="O58" s="296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8" t="e">
        <v>#N/A</v>
      </c>
      <c r="F59" s="296"/>
      <c r="G59" s="296"/>
      <c r="H59" s="296"/>
      <c r="I59" s="296"/>
      <c r="J59" s="296"/>
      <c r="K59" s="296"/>
      <c r="L59" s="296"/>
      <c r="M59" s="296"/>
      <c r="N59" s="296"/>
      <c r="O59" s="296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8" t="e">
        <v>#N/A</v>
      </c>
      <c r="F60" s="296"/>
      <c r="G60" s="296"/>
      <c r="H60" s="296"/>
      <c r="I60" s="296"/>
      <c r="J60" s="296"/>
      <c r="K60" s="296"/>
      <c r="L60" s="296"/>
      <c r="M60" s="296"/>
      <c r="N60" s="296"/>
      <c r="O60" s="296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8" t="e">
        <v>#N/A</v>
      </c>
      <c r="F61" s="296"/>
      <c r="G61" s="296"/>
      <c r="H61" s="296"/>
      <c r="I61" s="296"/>
      <c r="J61" s="296"/>
      <c r="K61" s="296"/>
      <c r="L61" s="296"/>
      <c r="M61" s="296"/>
      <c r="N61" s="296"/>
      <c r="O61" s="296"/>
    </row>
    <row r="62" spans="1:15" ht="12.7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8" t="e">
        <v>#N/A</v>
      </c>
      <c r="F62" s="296"/>
      <c r="G62" s="296"/>
      <c r="H62" s="296"/>
      <c r="I62" s="296"/>
      <c r="J62" s="296"/>
      <c r="K62" s="296"/>
      <c r="L62" s="296"/>
      <c r="M62" s="296"/>
      <c r="N62" s="296"/>
      <c r="O62" s="296"/>
    </row>
    <row r="63" spans="1:15" ht="12.7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8" t="e">
        <v>#N/A</v>
      </c>
      <c r="F63" s="296"/>
      <c r="G63" s="296"/>
      <c r="H63" s="296"/>
      <c r="I63" s="296"/>
      <c r="J63" s="296"/>
      <c r="K63" s="296"/>
      <c r="L63" s="296"/>
      <c r="M63" s="296"/>
      <c r="N63" s="296"/>
      <c r="O63" s="296"/>
    </row>
    <row r="64" spans="1:15" ht="12.7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8" t="e">
        <v>#N/A</v>
      </c>
      <c r="F64" s="296"/>
      <c r="G64" s="296"/>
      <c r="H64" s="296"/>
      <c r="I64" s="296"/>
      <c r="J64" s="296"/>
      <c r="K64" s="296"/>
      <c r="L64" s="296"/>
      <c r="M64" s="296"/>
      <c r="N64" s="296"/>
      <c r="O64" s="296"/>
    </row>
    <row r="65" spans="1:15" ht="12.7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8" t="e">
        <v>#N/A</v>
      </c>
      <c r="F65" s="296"/>
      <c r="G65" s="296"/>
      <c r="H65" s="296"/>
      <c r="I65" s="296"/>
      <c r="J65" s="296"/>
      <c r="K65" s="296"/>
      <c r="L65" s="296"/>
      <c r="M65" s="296"/>
      <c r="N65" s="296"/>
      <c r="O65" s="296"/>
    </row>
    <row r="66" spans="1:15" ht="12.7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8" t="e">
        <v>#N/A</v>
      </c>
      <c r="F66" s="296"/>
      <c r="G66" s="296"/>
      <c r="H66" s="296"/>
      <c r="I66" s="296"/>
      <c r="J66" s="296"/>
      <c r="K66" s="296"/>
      <c r="L66" s="296"/>
      <c r="M66" s="296"/>
      <c r="N66" s="296"/>
      <c r="O66" s="296"/>
    </row>
    <row r="67" spans="1:1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8" t="e">
        <v>#N/A</v>
      </c>
    </row>
    <row r="68" spans="1:1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8" t="e">
        <v>#N/A</v>
      </c>
    </row>
    <row r="69" spans="1:1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8" t="e">
        <v>#N/A</v>
      </c>
    </row>
    <row r="70" spans="1:1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8" t="e">
        <v>#N/A</v>
      </c>
    </row>
    <row r="71" spans="1:1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8" t="e">
        <v>#N/A</v>
      </c>
    </row>
    <row r="72" spans="1:1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8" t="e">
        <v>#N/A</v>
      </c>
    </row>
    <row r="73" spans="1:1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8" t="e">
        <v>#N/A</v>
      </c>
    </row>
    <row r="74" spans="1:1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8" t="e">
        <v>#N/A</v>
      </c>
    </row>
    <row r="75" spans="1:1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8" t="e">
        <v>#N/A</v>
      </c>
    </row>
    <row r="76" spans="1:1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8" t="e">
        <v>#N/A</v>
      </c>
    </row>
    <row r="77" spans="1:1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8" t="e">
        <v>#N/A</v>
      </c>
    </row>
    <row r="78" spans="1:1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8" t="e">
        <v>#N/A</v>
      </c>
    </row>
    <row r="79" spans="1:1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8" t="e">
        <v>#N/A</v>
      </c>
    </row>
    <row r="80" spans="1:1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8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8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8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8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8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8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8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8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8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8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8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8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8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8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8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8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8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8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8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8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8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8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8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8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8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8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8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8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8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8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8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8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8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8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8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8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8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8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8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8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8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8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8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8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8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8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8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8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127"/>
  <sheetViews>
    <sheetView workbookViewId="0"/>
  </sheetViews>
  <sheetFormatPr defaultRowHeight="11.25" outlineLevelCol="1" x14ac:dyDescent="0.2"/>
  <cols>
    <col min="1" max="1" width="17.83203125" bestFit="1" customWidth="1"/>
    <col min="3" max="4" width="20.1640625" bestFit="1" customWidth="1"/>
    <col min="5" max="5" width="11.33203125" customWidth="1"/>
    <col min="6" max="6" width="3.5" bestFit="1" customWidth="1"/>
    <col min="7" max="7" width="4.6640625" bestFit="1" customWidth="1"/>
    <col min="8" max="8" width="20.83203125" hidden="1" customWidth="1" outlineLevel="1"/>
    <col min="9" max="9" width="17.83203125" hidden="1" customWidth="1" outlineLevel="1"/>
    <col min="10" max="10" width="20.1640625" customWidth="1" collapsed="1"/>
    <col min="11" max="11" width="20.1640625" bestFit="1" customWidth="1"/>
    <col min="14" max="14" width="10.5" bestFit="1" customWidth="1"/>
  </cols>
  <sheetData>
    <row r="1" spans="1:15" ht="22.5" x14ac:dyDescent="0.2">
      <c r="A1" s="280" t="s">
        <v>164</v>
      </c>
      <c r="B1" s="289" t="s">
        <v>165</v>
      </c>
      <c r="C1" s="289" t="s">
        <v>95</v>
      </c>
      <c r="D1" s="281" t="s">
        <v>96</v>
      </c>
      <c r="E1" s="295" t="s">
        <v>165</v>
      </c>
      <c r="F1" s="295"/>
      <c r="G1" s="299"/>
      <c r="H1" s="295" t="s">
        <v>166</v>
      </c>
      <c r="I1" s="295"/>
      <c r="J1" s="295" t="s">
        <v>167</v>
      </c>
      <c r="K1" s="295" t="s">
        <v>168</v>
      </c>
      <c r="L1" s="295" t="s">
        <v>169</v>
      </c>
      <c r="M1" s="295" t="s">
        <v>36</v>
      </c>
      <c r="N1" s="295" t="s">
        <v>170</v>
      </c>
      <c r="O1" s="299" t="s">
        <v>171</v>
      </c>
    </row>
    <row r="2" spans="1:15" x14ac:dyDescent="0.2">
      <c r="A2" s="290"/>
      <c r="B2" s="291"/>
      <c r="C2" s="292"/>
      <c r="D2" s="288">
        <f>SettlementDate</f>
        <v>41862</v>
      </c>
      <c r="E2" s="285">
        <f t="array" ref="E2:E127">_xll.qlPiecewiseYieldCurveData(YieldCurve1Y,InterestRatesTrigger)</f>
        <v>1</v>
      </c>
      <c r="F2" s="282">
        <v>0</v>
      </c>
      <c r="G2" s="282" t="str">
        <f>"x"&amp;F2+12</f>
        <v>x12</v>
      </c>
      <c r="H2" s="294">
        <f>_xll.qlInterestRateIndexFixingDate(IborIndex1Y,J2)</f>
        <v>41858</v>
      </c>
      <c r="I2" s="282" t="str">
        <f>_xll.qlMakeDatedOIS(,J2,K2,OvernightIndex,0,"Act/360",0)</f>
        <v>obj_00468#0000</v>
      </c>
      <c r="J2" s="294">
        <f>_xll.qlCalendarAdvance(Calendar,$D$2,F2&amp;"M","mf")</f>
        <v>41862</v>
      </c>
      <c r="K2" s="294">
        <f>_xll.qlInterestRateIndexMaturity(IborIndex1Y,J2)</f>
        <v>42227</v>
      </c>
      <c r="L2" s="285">
        <f>_xll.qlIndexFixing(IborIndex1Y,H2,TRUE,InterestRatesTrigger)</f>
        <v>5.5539999999998889E-3</v>
      </c>
      <c r="M2" s="285">
        <f>_xll.qlOvernightIndexedSwapFairRate(I2,Contribution!$P$40)</f>
        <v>1.7399999999847904E-3</v>
      </c>
      <c r="N2" s="293">
        <f>L2-M2</f>
        <v>3.8140000000150987E-3</v>
      </c>
      <c r="O2" s="297"/>
    </row>
    <row r="3" spans="1:15" x14ac:dyDescent="0.2">
      <c r="A3" s="283" t="str">
        <f t="array" ref="A3:A126">_xll.ohFilter(FRA_RateHelpers!F24:F39,FRA_RateHelpers!H24:H39)</f>
        <v>obj_003cf#0000</v>
      </c>
      <c r="B3" s="284">
        <f>_xll.qlRateHelperRate($A3,InterestRatesTrigger)</f>
        <v>5.5539999999999999E-3</v>
      </c>
      <c r="C3" s="287">
        <f>_xll.qlRateHelperEarliestDate($A3)</f>
        <v>41862</v>
      </c>
      <c r="D3" s="288">
        <f>_xll.qlRateHelperLatestDate($A3)</f>
        <v>42227</v>
      </c>
      <c r="E3" s="285">
        <v>0.99440039327430674</v>
      </c>
      <c r="F3" s="282">
        <v>1</v>
      </c>
      <c r="G3" s="282" t="str">
        <f t="shared" ref="G3:G55" si="0">"x"&amp;F3+12</f>
        <v>x13</v>
      </c>
      <c r="H3" s="294">
        <f>_xll.qlInterestRateIndexFixingDate(IborIndex1Y,J3)</f>
        <v>41891</v>
      </c>
      <c r="I3" s="282" t="str">
        <f>_xll.qlMakeDatedOIS(,J3,K3,OvernightIndex,0,"Act/360",0)</f>
        <v>obj_00466#0000</v>
      </c>
      <c r="J3" s="294">
        <f>_xll.qlCalendarAdvance(Calendar,$D$2,F3&amp;"M","mf")</f>
        <v>41893</v>
      </c>
      <c r="K3" s="294">
        <f>_xll.qlInterestRateIndexMaturity(IborIndex1Y,J3)</f>
        <v>42258</v>
      </c>
      <c r="L3" s="297">
        <f>_xll.qlIndexFixing(IborIndex1Y,H3,TRUE,InterestRatesTrigger)</f>
        <v>5.9300000005760084E-3</v>
      </c>
      <c r="M3" s="297">
        <f>_xll.qlOvernightIndexedSwapFairRate(I3,Contribution!$P$40)</f>
        <v>2.0288891504079568E-3</v>
      </c>
      <c r="N3" s="298">
        <f t="shared" ref="N3:N13" si="1">L3-M3</f>
        <v>3.9011108501680516E-3</v>
      </c>
      <c r="O3" s="297"/>
    </row>
    <row r="4" spans="1:15" x14ac:dyDescent="0.2">
      <c r="A4" s="283" t="str">
        <v>obj_0036a#0000</v>
      </c>
      <c r="B4" s="284">
        <f>_xll.qlRateHelperRate($A4,InterestRatesTrigger)</f>
        <v>5.9299999999999995E-3</v>
      </c>
      <c r="C4" s="287">
        <f>_xll.qlRateHelperEarliestDate($A4)</f>
        <v>41893</v>
      </c>
      <c r="D4" s="288">
        <f>_xll.qlRateHelperLatestDate($A4)</f>
        <v>42258</v>
      </c>
      <c r="E4" s="285">
        <v>0.99366279956859127</v>
      </c>
      <c r="F4" s="282">
        <v>2</v>
      </c>
      <c r="G4" s="282" t="str">
        <f t="shared" si="0"/>
        <v>x14</v>
      </c>
      <c r="H4" s="294">
        <f>_xll.qlInterestRateIndexFixingDate(IborIndex1Y,J4)</f>
        <v>41921</v>
      </c>
      <c r="I4" s="282" t="str">
        <f>_xll.qlMakeDatedOIS(,J4,K4,OvernightIndex,0,"Act/360",0)</f>
        <v>obj_00461#0000</v>
      </c>
      <c r="J4" s="294">
        <f>_xll.qlCalendarAdvance(Calendar,$D$2,F4&amp;"M","mf")</f>
        <v>41925</v>
      </c>
      <c r="K4" s="294">
        <f>_xll.qlInterestRateIndexMaturity(IborIndex1Y,J4)</f>
        <v>42290</v>
      </c>
      <c r="L4" s="297">
        <f>_xll.qlIndexFixing(IborIndex1Y,H4,TRUE,InterestRatesTrigger)</f>
        <v>6.4047535266240387E-3</v>
      </c>
      <c r="M4" s="297">
        <f>_xll.qlOvernightIndexedSwapFairRate(I4,Contribution!$P$40)</f>
        <v>2.4147461555339253E-3</v>
      </c>
      <c r="N4" s="298">
        <f t="shared" si="1"/>
        <v>3.9900073710901138E-3</v>
      </c>
      <c r="O4" s="297"/>
    </row>
    <row r="5" spans="1:15" x14ac:dyDescent="0.2">
      <c r="A5" s="283" t="str">
        <v>obj_00369#0000</v>
      </c>
      <c r="B5" s="284">
        <f>_xll.qlRateHelperRate($A5,InterestRatesTrigger)</f>
        <v>6.3899999999999998E-3</v>
      </c>
      <c r="C5" s="287">
        <f>_xll.qlRateHelperEarliestDate($A5)</f>
        <v>41925</v>
      </c>
      <c r="D5" s="288">
        <f>_xll.qlRateHelperLatestDate($A5)</f>
        <v>42290</v>
      </c>
      <c r="E5" s="285">
        <v>0.99282502259529959</v>
      </c>
      <c r="F5" s="282">
        <v>3</v>
      </c>
      <c r="G5" s="282" t="str">
        <f t="shared" si="0"/>
        <v>x15</v>
      </c>
      <c r="H5" s="294">
        <f>_xll.qlInterestRateIndexFixingDate(IborIndex1Y,J5)</f>
        <v>41950</v>
      </c>
      <c r="I5" s="282" t="str">
        <f>_xll.qlMakeDatedOIS(,J5,K5,OvernightIndex,0,"Act/360",0)</f>
        <v>obj_00457#0000</v>
      </c>
      <c r="J5" s="294">
        <f>_xll.qlCalendarAdvance(Calendar,$D$2,F5&amp;"M","mf")</f>
        <v>41954</v>
      </c>
      <c r="K5" s="294">
        <f>_xll.qlInterestRateIndexMaturity(IborIndex1Y,J5)</f>
        <v>42320</v>
      </c>
      <c r="L5" s="297">
        <f>_xll.qlIndexFixing(IborIndex1Y,H5,TRUE,InterestRatesTrigger)</f>
        <v>6.8340624671868822E-3</v>
      </c>
      <c r="M5" s="297">
        <f>_xll.qlOvernightIndexedSwapFairRate(I5,Contribution!$P$40)</f>
        <v>2.8147432167939771E-3</v>
      </c>
      <c r="N5" s="298">
        <f t="shared" si="1"/>
        <v>4.0193192503929047E-3</v>
      </c>
      <c r="O5" s="297"/>
    </row>
    <row r="6" spans="1:15" x14ac:dyDescent="0.2">
      <c r="A6" s="283" t="str">
        <v>obj_00370#0000</v>
      </c>
      <c r="B6" s="284">
        <f>_xll.qlRateHelperRate($A6,InterestRatesTrigger)</f>
        <v>7.2900000000000013E-3</v>
      </c>
      <c r="C6" s="287">
        <f>_xll.qlRateHelperEarliestDate($A6)</f>
        <v>41984</v>
      </c>
      <c r="D6" s="288">
        <f>_xll.qlRateHelperLatestDate($A6)</f>
        <v>42349</v>
      </c>
      <c r="E6" s="285">
        <v>0.99119908972623716</v>
      </c>
      <c r="F6" s="282">
        <v>4</v>
      </c>
      <c r="G6" s="282" t="str">
        <f t="shared" si="0"/>
        <v>x16</v>
      </c>
      <c r="H6" s="294">
        <f>_xll.qlInterestRateIndexFixingDate(IborIndex1Y,J6)</f>
        <v>41982</v>
      </c>
      <c r="I6" s="282" t="str">
        <f>_xll.qlMakeDatedOIS(,J6,K6,OvernightIndex,0,"Act/360",0)</f>
        <v>obj_0047d#0000</v>
      </c>
      <c r="J6" s="294">
        <f>_xll.qlCalendarAdvance(Calendar,$D$2,F6&amp;"M","mf")</f>
        <v>41984</v>
      </c>
      <c r="K6" s="294">
        <f>_xll.qlInterestRateIndexMaturity(IborIndex1Y,J6)</f>
        <v>42349</v>
      </c>
      <c r="L6" s="297">
        <f>_xll.qlIndexFixing(IborIndex1Y,H6,TRUE,InterestRatesTrigger)</f>
        <v>7.2900000003580309E-3</v>
      </c>
      <c r="M6" s="297">
        <f>_xll.qlOvernightIndexedSwapFairRate(I6,Contribution!$P$40)</f>
        <v>3.2354036100299779E-3</v>
      </c>
      <c r="N6" s="298">
        <f t="shared" si="1"/>
        <v>4.0545963903280535E-3</v>
      </c>
      <c r="O6" s="297"/>
    </row>
    <row r="7" spans="1:15" ht="12.75" x14ac:dyDescent="0.2">
      <c r="A7" s="283" t="str">
        <v>obj_0036b#0000</v>
      </c>
      <c r="B7" s="284">
        <f>_xll.qlRateHelperRate($A7,InterestRatesTrigger)</f>
        <v>7.8500000000000011E-3</v>
      </c>
      <c r="C7" s="287">
        <f>_xll.qlRateHelperEarliestDate($A7)</f>
        <v>42016</v>
      </c>
      <c r="D7" s="288">
        <f>_xll.qlRateHelperLatestDate($A7)</f>
        <v>42381</v>
      </c>
      <c r="E7" s="285">
        <v>0.99021993645549589</v>
      </c>
      <c r="F7" s="282">
        <v>5</v>
      </c>
      <c r="G7" s="282" t="str">
        <f t="shared" si="0"/>
        <v>x17</v>
      </c>
      <c r="H7" s="294">
        <f>_xll.qlInterestRateIndexFixingDate(IborIndex1Y,J7)</f>
        <v>42012</v>
      </c>
      <c r="I7" s="282" t="str">
        <f>_xll.qlMakeDatedOIS(,J7,K7,OvernightIndex,0,"Act/360",0)</f>
        <v>obj_0044b#0000</v>
      </c>
      <c r="J7" s="294">
        <f>_xll.qlCalendarAdvance(Calendar,$D$2,F7&amp;"M","mf")</f>
        <v>42016</v>
      </c>
      <c r="K7" s="294">
        <f>_xll.qlInterestRateIndexMaturity(IborIndex1Y,J7)</f>
        <v>42381</v>
      </c>
      <c r="L7" s="297">
        <f>_xll.qlIndexFixing(IborIndex1Y,H7,TRUE,InterestRatesTrigger)</f>
        <v>7.8500000000723963E-3</v>
      </c>
      <c r="M7" s="297">
        <f>_xll.qlOvernightIndexedSwapFairRate(I7,Contribution!$P$40)</f>
        <v>3.7672747203606762E-3</v>
      </c>
      <c r="N7" s="298">
        <f t="shared" si="1"/>
        <v>4.0827252797117197E-3</v>
      </c>
      <c r="O7" s="296"/>
    </row>
    <row r="8" spans="1:15" x14ac:dyDescent="0.2">
      <c r="A8" s="283" t="str">
        <v>obj_00371#0000</v>
      </c>
      <c r="B8" s="284">
        <f>_xll.qlRateHelperRate($A8,InterestRatesTrigger)</f>
        <v>8.4099999999999991E-3</v>
      </c>
      <c r="C8" s="287">
        <f>_xll.qlRateHelperEarliestDate($A8)</f>
        <v>42046</v>
      </c>
      <c r="D8" s="288">
        <f>_xll.qlRateHelperLatestDate($A8)</f>
        <v>42411</v>
      </c>
      <c r="E8" s="285">
        <v>0.98924481891812088</v>
      </c>
      <c r="F8" s="282">
        <v>6</v>
      </c>
      <c r="G8" s="282" t="str">
        <f t="shared" si="0"/>
        <v>x18</v>
      </c>
      <c r="H8" s="294">
        <f>_xll.qlInterestRateIndexFixingDate(IborIndex1Y,J8)</f>
        <v>42044</v>
      </c>
      <c r="I8" s="282" t="str">
        <f>_xll.qlMakeDatedOIS(,J8,K8,OvernightIndex,0,"Act/360",0)</f>
        <v>obj_00475#0000</v>
      </c>
      <c r="J8" s="294">
        <f>_xll.qlCalendarAdvance(Calendar,$D$2,F8&amp;"M","mf")</f>
        <v>42046</v>
      </c>
      <c r="K8" s="294">
        <f>_xll.qlInterestRateIndexMaturity(IborIndex1Y,J8)</f>
        <v>42411</v>
      </c>
      <c r="L8" s="297">
        <f>_xll.qlIndexFixing(IborIndex1Y,H8,TRUE,InterestRatesTrigger)</f>
        <v>8.4100000001102303E-3</v>
      </c>
      <c r="M8" s="297">
        <f>_xll.qlOvernightIndexedSwapFairRate(I8,Contribution!$P$40)</f>
        <v>4.3318659319484107E-3</v>
      </c>
      <c r="N8" s="298">
        <f t="shared" si="1"/>
        <v>4.0781340681618197E-3</v>
      </c>
    </row>
    <row r="9" spans="1:15" x14ac:dyDescent="0.2">
      <c r="A9" s="283" t="str">
        <v>obj_0036d#0000</v>
      </c>
      <c r="B9" s="284">
        <f>_xll.qlRateHelperRate($A9,InterestRatesTrigger)</f>
        <v>1.0330000000000001E-2</v>
      </c>
      <c r="C9" s="287">
        <f>_xll.qlRateHelperEarliestDate($A9)</f>
        <v>42135</v>
      </c>
      <c r="D9" s="288">
        <f>_xll.qlRateHelperLatestDate($A9)</f>
        <v>42501</v>
      </c>
      <c r="E9" s="285">
        <v>0.98589818912204474</v>
      </c>
      <c r="F9" s="282">
        <v>9</v>
      </c>
      <c r="G9" s="282" t="str">
        <f t="shared" si="0"/>
        <v>x21</v>
      </c>
      <c r="H9" s="294">
        <f>_xll.qlInterestRateIndexFixingDate(IborIndex1Y,J9)</f>
        <v>42131</v>
      </c>
      <c r="I9" s="282" t="str">
        <f>_xll.qlMakeDatedOIS(,J9,K9,OvernightIndex,0,"Act/360",0)</f>
        <v>obj_00476#0000</v>
      </c>
      <c r="J9" s="294">
        <f>_xll.qlCalendarAdvance(Calendar,$D$2,F9&amp;"M","mf")</f>
        <v>42135</v>
      </c>
      <c r="K9" s="294">
        <f>_xll.qlInterestRateIndexMaturity(IborIndex1Y,J9)</f>
        <v>42501</v>
      </c>
      <c r="L9" s="297">
        <f>_xll.qlIndexFixing(IborIndex1Y,H9,TRUE,InterestRatesTrigger)</f>
        <v>1.033000000041959E-2</v>
      </c>
      <c r="M9" s="297">
        <f>_xll.qlOvernightIndexedSwapFairRate(I9,Contribution!$P$40)</f>
        <v>6.2275010117338828E-3</v>
      </c>
      <c r="N9" s="298">
        <f t="shared" si="1"/>
        <v>4.1024989886857075E-3</v>
      </c>
    </row>
    <row r="10" spans="1:15" x14ac:dyDescent="0.2">
      <c r="A10" s="283" t="str">
        <v>obj_00366#0000</v>
      </c>
      <c r="B10" s="284">
        <f>_xll.qlRateHelperRate($A10,InterestRatesTrigger)</f>
        <v>1.2580000000000001E-2</v>
      </c>
      <c r="C10" s="287">
        <f>_xll.qlRateHelperEarliestDate($A10)</f>
        <v>42227</v>
      </c>
      <c r="D10" s="288">
        <f>_xll.qlRateHelperLatestDate($A10)</f>
        <v>42593</v>
      </c>
      <c r="E10" s="285">
        <v>0.98184294923458015</v>
      </c>
      <c r="F10" s="282">
        <v>12</v>
      </c>
      <c r="G10" s="282" t="str">
        <f t="shared" si="0"/>
        <v>x24</v>
      </c>
      <c r="H10" s="294">
        <f>_xll.qlInterestRateIndexFixingDate(IborIndex1Y,J10)</f>
        <v>42223</v>
      </c>
      <c r="I10" s="282" t="str">
        <f>_xll.qlMakeDatedOIS(,J10,K10,OvernightIndex,0,"Act/360",0)</f>
        <v>obj_00454#0000</v>
      </c>
      <c r="J10" s="294">
        <f>_xll.qlCalendarAdvance(Calendar,$D$2,F10&amp;"M","mf")</f>
        <v>42227</v>
      </c>
      <c r="K10" s="294">
        <f>_xll.qlInterestRateIndexMaturity(IborIndex1Y,J10)</f>
        <v>42593</v>
      </c>
      <c r="L10" s="297">
        <f>_xll.qlIndexFixing(IborIndex1Y,H10,TRUE,InterestRatesTrigger)</f>
        <v>1.2579999999999378E-2</v>
      </c>
      <c r="M10" s="297">
        <f>_xll.qlOvernightIndexedSwapFairRate(I10,Contribution!$P$40)</f>
        <v>8.4595801936669952E-3</v>
      </c>
      <c r="N10" s="298">
        <f t="shared" si="1"/>
        <v>4.120419806332383E-3</v>
      </c>
    </row>
    <row r="11" spans="1:15" x14ac:dyDescent="0.2">
      <c r="A11" s="283" t="str">
        <v>obj_00434#0000</v>
      </c>
      <c r="B11" s="284">
        <f>_xll.qlRateHelperRate($A11,InterestRatesTrigger)</f>
        <v>1.3379684669330901E-2</v>
      </c>
      <c r="C11" s="287">
        <f>_xll.qlRateHelperEarliestDate($A11)</f>
        <v>41862</v>
      </c>
      <c r="D11" s="288">
        <f>_xll.qlRateHelperLatestDate($A11)</f>
        <v>42958</v>
      </c>
      <c r="E11" s="285">
        <v>0.96076701684049992</v>
      </c>
      <c r="F11" s="318">
        <v>24</v>
      </c>
      <c r="G11" s="282" t="str">
        <f t="shared" si="0"/>
        <v>x36</v>
      </c>
      <c r="H11" s="294">
        <f>_xll.qlInterestRateIndexFixingDate(IborIndex1Y,J11)</f>
        <v>42591</v>
      </c>
      <c r="I11" s="282" t="str">
        <f>_xll.qlMakeDatedOIS(,J11,K11,OvernightIndex,0,"Act/360",0)</f>
        <v>obj_0046f#0000</v>
      </c>
      <c r="J11" s="294">
        <f>_xll.qlCalendarAdvance(Calendar,$D$2,F11&amp;"M","mf")</f>
        <v>42593</v>
      </c>
      <c r="K11" s="294">
        <f>_xll.qlInterestRateIndexMaturity(IborIndex1Y,J11)</f>
        <v>42958</v>
      </c>
      <c r="L11" s="297">
        <f>_xll.qlIndexFixing(IborIndex1Y,H11,TRUE,InterestRatesTrigger)</f>
        <v>2.1636068502622778E-2</v>
      </c>
      <c r="M11" s="297">
        <f>_xll.qlOvernightIndexedSwapFairRate(I11,Contribution!$P$40)</f>
        <v>1.7798644792668326E-2</v>
      </c>
      <c r="N11" s="298">
        <f t="shared" si="1"/>
        <v>3.8374237099544524E-3</v>
      </c>
    </row>
    <row r="12" spans="1:15" x14ac:dyDescent="0.2">
      <c r="A12" s="283" t="str">
        <v>obj_00430#0000</v>
      </c>
      <c r="B12" s="284">
        <f>_xll.qlRateHelperRate($A12,InterestRatesTrigger)</f>
        <v>1.7162868999284549E-2</v>
      </c>
      <c r="C12" s="287">
        <f>_xll.qlRateHelperEarliestDate($A12)</f>
        <v>41862</v>
      </c>
      <c r="D12" s="288">
        <f>_xll.qlRateHelperLatestDate($A12)</f>
        <v>43325</v>
      </c>
      <c r="E12" s="285">
        <v>0.93363271202509412</v>
      </c>
      <c r="F12" s="318">
        <v>36</v>
      </c>
      <c r="G12" s="282" t="str">
        <f t="shared" si="0"/>
        <v>x48</v>
      </c>
      <c r="H12" s="294">
        <f>_xll.qlInterestRateIndexFixingDate(IborIndex1Y,J12)</f>
        <v>42956</v>
      </c>
      <c r="I12" s="282" t="str">
        <f>_xll.qlMakeDatedOIS(,J12,K12,OvernightIndex,0,"Act/360",0)</f>
        <v>obj_0044a#0000</v>
      </c>
      <c r="J12" s="294">
        <f>_xll.qlCalendarAdvance(Calendar,$D$2,F12&amp;"M","mf")</f>
        <v>42958</v>
      </c>
      <c r="K12" s="294">
        <f>_xll.qlInterestRateIndexMaturity(IborIndex1Y,J12)</f>
        <v>43325</v>
      </c>
      <c r="L12" s="297">
        <f>_xll.qlIndexFixing(IborIndex1Y,H12,TRUE,InterestRatesTrigger)</f>
        <v>2.8508809111264466E-2</v>
      </c>
      <c r="M12" s="297">
        <f>_xll.qlOvernightIndexedSwapFairRate(I12,Contribution!$P$40)</f>
        <v>2.432977758451248E-2</v>
      </c>
      <c r="N12" s="298">
        <f t="shared" si="1"/>
        <v>4.1790315267519855E-3</v>
      </c>
    </row>
    <row r="13" spans="1:15" x14ac:dyDescent="0.2">
      <c r="A13" s="283" t="str">
        <v>obj_0043b#0000</v>
      </c>
      <c r="B13" s="284">
        <f>_xll.qlRateHelperRate($A13,InterestRatesTrigger)</f>
        <v>1.999514081473016E-2</v>
      </c>
      <c r="C13" s="287">
        <f>_xll.qlRateHelperEarliestDate($A13)</f>
        <v>41862</v>
      </c>
      <c r="D13" s="288">
        <f>_xll.qlRateHelperLatestDate($A13)</f>
        <v>43689</v>
      </c>
      <c r="E13" s="285">
        <v>0.9047260490380451</v>
      </c>
      <c r="F13" s="318">
        <v>48</v>
      </c>
      <c r="G13" s="282" t="str">
        <f t="shared" si="0"/>
        <v>x60</v>
      </c>
      <c r="H13" s="294">
        <f>_xll.qlInterestRateIndexFixingDate(IborIndex1Y,J13)</f>
        <v>43321</v>
      </c>
      <c r="I13" s="282" t="str">
        <f>_xll.qlMakeDatedOIS(,J13,K13,OvernightIndex,0,"Act/360",0)</f>
        <v>obj_00470#0000</v>
      </c>
      <c r="J13" s="294">
        <f>_xll.qlCalendarAdvance(Calendar,$D$2,F13&amp;"M","mf")</f>
        <v>43325</v>
      </c>
      <c r="K13" s="294">
        <f>_xll.qlInterestRateIndexMaturity(IborIndex1Y,J13)</f>
        <v>43690</v>
      </c>
      <c r="L13" s="297" t="e">
        <f>_xll.qlIndexFixing(IborIndex1Y,H13,TRUE,InterestRatesTrigger)</f>
        <v>#NUM!</v>
      </c>
      <c r="M13" s="297">
        <f>_xll.qlOvernightIndexedSwapFairRate(I13,Contribution!$P$40)</f>
        <v>2.754392680425586E-2</v>
      </c>
      <c r="N13" s="298" t="e">
        <f t="shared" si="1"/>
        <v>#NUM!</v>
      </c>
    </row>
    <row r="14" spans="1:15" x14ac:dyDescent="0.2">
      <c r="A14" s="283" t="e">
        <v>#N/A</v>
      </c>
      <c r="B14" s="284" t="e">
        <f>_xll.qlRateHelperRate($A14,InterestRatesTrigger)</f>
        <v>#VALUE!</v>
      </c>
      <c r="C14" s="287" t="e">
        <f>_xll.qlRateHelperEarliestDate($A14)</f>
        <v>#VALUE!</v>
      </c>
      <c r="D14" s="288" t="e">
        <f>_xll.qlRateHelperLatestDate($A14)</f>
        <v>#VALUE!</v>
      </c>
      <c r="E14" s="285" t="e">
        <v>#N/A</v>
      </c>
      <c r="F14" s="318"/>
      <c r="G14" s="282"/>
      <c r="H14" s="294"/>
    </row>
    <row r="15" spans="1:15" x14ac:dyDescent="0.2">
      <c r="A15" s="283" t="e">
        <v>#N/A</v>
      </c>
      <c r="B15" s="284" t="e">
        <f>_xll.qlRateHelperRate($A15,InterestRatesTrigger)</f>
        <v>#VALUE!</v>
      </c>
      <c r="C15" s="287" t="e">
        <f>_xll.qlRateHelperEarliestDate($A15)</f>
        <v>#VALUE!</v>
      </c>
      <c r="D15" s="288" t="e">
        <f>_xll.qlRateHelperLatestDate($A15)</f>
        <v>#VALUE!</v>
      </c>
      <c r="E15" s="285" t="e">
        <v>#N/A</v>
      </c>
      <c r="G15" s="282"/>
    </row>
    <row r="16" spans="1:15" x14ac:dyDescent="0.2">
      <c r="A16" s="283" t="e">
        <v>#N/A</v>
      </c>
      <c r="B16" s="284" t="e">
        <f>_xll.qlRateHelperRate($A16,InterestRatesTrigger)</f>
        <v>#VALUE!</v>
      </c>
      <c r="C16" s="287" t="e">
        <f>_xll.qlRateHelperEarliestDate($A16)</f>
        <v>#VALUE!</v>
      </c>
      <c r="D16" s="288" t="e">
        <f>_xll.qlRateHelperLatestDate($A16)</f>
        <v>#VALUE!</v>
      </c>
      <c r="E16" s="285" t="e">
        <v>#N/A</v>
      </c>
      <c r="G16" s="282"/>
    </row>
    <row r="17" spans="1:15" x14ac:dyDescent="0.2">
      <c r="A17" s="283" t="e">
        <v>#N/A</v>
      </c>
      <c r="B17" s="284" t="e">
        <f>_xll.qlRateHelperRate($A17,InterestRatesTrigger)</f>
        <v>#VALUE!</v>
      </c>
      <c r="C17" s="287" t="e">
        <f>_xll.qlRateHelperEarliestDate($A17)</f>
        <v>#VALUE!</v>
      </c>
      <c r="D17" s="288" t="e">
        <f>_xll.qlRateHelperLatestDate($A17)</f>
        <v>#VALUE!</v>
      </c>
      <c r="E17" s="285" t="e">
        <v>#N/A</v>
      </c>
      <c r="G17" s="282"/>
    </row>
    <row r="18" spans="1:15" x14ac:dyDescent="0.2">
      <c r="A18" s="283" t="e">
        <v>#N/A</v>
      </c>
      <c r="B18" s="284" t="e">
        <f>_xll.qlRateHelperRate($A18,InterestRatesTrigger)</f>
        <v>#VALUE!</v>
      </c>
      <c r="C18" s="287" t="e">
        <f>_xll.qlRateHelperEarliestDate($A18)</f>
        <v>#VALUE!</v>
      </c>
      <c r="D18" s="288" t="e">
        <f>_xll.qlRateHelperLatestDate($A18)</f>
        <v>#VALUE!</v>
      </c>
      <c r="E18" s="285" t="e">
        <v>#N/A</v>
      </c>
      <c r="G18" s="282"/>
    </row>
    <row r="19" spans="1:15" ht="12.75" x14ac:dyDescent="0.2">
      <c r="A19" s="283" t="e">
        <v>#N/A</v>
      </c>
      <c r="B19" s="284" t="e">
        <f>_xll.qlRateHelperRate($A19,InterestRatesTrigger)</f>
        <v>#VALUE!</v>
      </c>
      <c r="C19" s="287" t="e">
        <f>_xll.qlRateHelperEarliestDate($A19)</f>
        <v>#VALUE!</v>
      </c>
      <c r="D19" s="288" t="e">
        <f>_xll.qlRateHelperLatestDate($A19)</f>
        <v>#VALUE!</v>
      </c>
      <c r="E19" s="285" t="e">
        <v>#N/A</v>
      </c>
      <c r="F19" s="282">
        <v>7</v>
      </c>
      <c r="G19" s="282" t="str">
        <f t="shared" si="0"/>
        <v>x19</v>
      </c>
      <c r="H19" s="294">
        <f>_xll.qlInterestRateIndexFixingDate(IborIndex1Y,J19)</f>
        <v>42072</v>
      </c>
      <c r="I19" s="282" t="str">
        <f>_xll.qlMakeDatedOIS(,J19,K19,OvernightIndex,0,"Act/360",0)</f>
        <v>obj_0045f#0000</v>
      </c>
      <c r="J19" s="294">
        <f>_xll.qlCalendarAdvance(Calendar,$D$2,F19&amp;"M","mf")</f>
        <v>42074</v>
      </c>
      <c r="K19" s="294">
        <f>_xll.qlInterestRateIndexMaturity(IborIndex1Y,J19)</f>
        <v>42440</v>
      </c>
      <c r="L19" s="279"/>
      <c r="M19" s="297">
        <f>_xll.qlOvernightIndexedSwapFairRate(I19,Contribution!$P$40)</f>
        <v>4.8962283105269044E-3</v>
      </c>
      <c r="N19" s="298" t="e">
        <f>_xll.qlInterpolationInterpolate(BasisInterpolator1Y,J19,,M19)</f>
        <v>#VALUE!</v>
      </c>
      <c r="O19" s="297" t="e">
        <f t="shared" ref="O19:O55" si="2">M19+N19</f>
        <v>#VALUE!</v>
      </c>
    </row>
    <row r="20" spans="1:15" ht="12.75" x14ac:dyDescent="0.2">
      <c r="A20" s="283" t="e">
        <v>#N/A</v>
      </c>
      <c r="B20" s="284" t="e">
        <f>_xll.qlRateHelperRate($A20,InterestRatesTrigger)</f>
        <v>#VALUE!</v>
      </c>
      <c r="C20" s="287" t="e">
        <f>_xll.qlRateHelperEarliestDate($A20)</f>
        <v>#VALUE!</v>
      </c>
      <c r="D20" s="288" t="e">
        <f>_xll.qlRateHelperLatestDate($A20)</f>
        <v>#VALUE!</v>
      </c>
      <c r="E20" s="285" t="e">
        <v>#N/A</v>
      </c>
      <c r="F20" s="282">
        <v>8</v>
      </c>
      <c r="G20" s="282" t="str">
        <f t="shared" si="0"/>
        <v>x20</v>
      </c>
      <c r="H20" s="294">
        <f>_xll.qlInterestRateIndexFixingDate(IborIndex1Y,J20)</f>
        <v>42103</v>
      </c>
      <c r="I20" s="282" t="str">
        <f>_xll.qlMakeDatedOIS(,J20,K20,OvernightIndex,0,"Act/360",0)</f>
        <v>obj_0047e#0000</v>
      </c>
      <c r="J20" s="294">
        <f>_xll.qlCalendarAdvance(Calendar,$D$2,F20&amp;"M","mf")</f>
        <v>42107</v>
      </c>
      <c r="K20" s="294">
        <f>_xll.qlInterestRateIndexMaturity(IborIndex1Y,J20)</f>
        <v>42473</v>
      </c>
      <c r="L20" s="279"/>
      <c r="M20" s="297">
        <f>_xll.qlOvernightIndexedSwapFairRate(I20,Contribution!$P$40)</f>
        <v>5.6074253545919548E-3</v>
      </c>
      <c r="N20" s="298" t="e">
        <f>_xll.qlInterpolationInterpolate(BasisInterpolator1Y,J20,,M20)</f>
        <v>#VALUE!</v>
      </c>
      <c r="O20" s="297" t="e">
        <f t="shared" si="2"/>
        <v>#VALUE!</v>
      </c>
    </row>
    <row r="21" spans="1:15" ht="12.75" x14ac:dyDescent="0.2">
      <c r="A21" s="283" t="e">
        <v>#N/A</v>
      </c>
      <c r="B21" s="284" t="e">
        <f>_xll.qlRateHelperRate($A21,InterestRatesTrigger)</f>
        <v>#VALUE!</v>
      </c>
      <c r="C21" s="287" t="e">
        <f>_xll.qlRateHelperEarliestDate($A21)</f>
        <v>#VALUE!</v>
      </c>
      <c r="D21" s="288" t="e">
        <f>_xll.qlRateHelperLatestDate($A21)</f>
        <v>#VALUE!</v>
      </c>
      <c r="E21" s="285" t="e">
        <v>#N/A</v>
      </c>
      <c r="F21" s="282">
        <v>10</v>
      </c>
      <c r="G21" s="282" t="str">
        <f t="shared" si="0"/>
        <v>x22</v>
      </c>
      <c r="H21" s="294">
        <f>_xll.qlInterestRateIndexFixingDate(IborIndex1Y,J21)</f>
        <v>42164</v>
      </c>
      <c r="I21" s="282" t="str">
        <f>_xll.qlMakeDatedOIS(,J21,K21,OvernightIndex,0,"Act/360",0)</f>
        <v>obj_00493#0000</v>
      </c>
      <c r="J21" s="294">
        <f>_xll.qlCalendarAdvance(Calendar,$D$2,F21&amp;"M","mf")</f>
        <v>42166</v>
      </c>
      <c r="K21" s="294">
        <f>_xll.qlInterestRateIndexMaturity(IborIndex1Y,J21)</f>
        <v>42534</v>
      </c>
      <c r="L21" s="279"/>
      <c r="M21" s="297">
        <f>_xll.qlOvernightIndexedSwapFairRate(I21,Contribution!$P$40)</f>
        <v>7.0068779512461772E-3</v>
      </c>
      <c r="N21" s="298" t="e">
        <f>_xll.qlInterpolationInterpolate(BasisInterpolator1Y,J21,,M21)</f>
        <v>#VALUE!</v>
      </c>
      <c r="O21" s="297" t="e">
        <f t="shared" si="2"/>
        <v>#VALUE!</v>
      </c>
    </row>
    <row r="22" spans="1:15" ht="12.75" x14ac:dyDescent="0.2">
      <c r="A22" s="283" t="e">
        <v>#N/A</v>
      </c>
      <c r="B22" s="284" t="e">
        <f>_xll.qlRateHelperRate($A22,InterestRatesTrigger)</f>
        <v>#VALUE!</v>
      </c>
      <c r="C22" s="287" t="e">
        <f>_xll.qlRateHelperEarliestDate($A22)</f>
        <v>#VALUE!</v>
      </c>
      <c r="D22" s="288" t="e">
        <f>_xll.qlRateHelperLatestDate($A22)</f>
        <v>#VALUE!</v>
      </c>
      <c r="E22" s="285" t="e">
        <v>#N/A</v>
      </c>
      <c r="F22" s="282">
        <v>11</v>
      </c>
      <c r="G22" s="282" t="str">
        <f t="shared" si="0"/>
        <v>x23</v>
      </c>
      <c r="H22" s="294">
        <f>_xll.qlInterestRateIndexFixingDate(IborIndex1Y,J22)</f>
        <v>42194</v>
      </c>
      <c r="I22" s="282" t="str">
        <f>_xll.qlMakeDatedOIS(,J22,K22,OvernightIndex,0,"Act/360",0)</f>
        <v>obj_00492#0000</v>
      </c>
      <c r="J22" s="294">
        <f>_xll.qlCalendarAdvance(Calendar,$D$2,F22&amp;"M","mf")</f>
        <v>42198</v>
      </c>
      <c r="K22" s="294">
        <f>_xll.qlInterestRateIndexMaturity(IborIndex1Y,J22)</f>
        <v>42564</v>
      </c>
      <c r="L22" s="279"/>
      <c r="M22" s="297">
        <f>_xll.qlOvernightIndexedSwapFairRate(I22,Contribution!$P$40)</f>
        <v>7.7447188771617159E-3</v>
      </c>
      <c r="N22" s="298" t="e">
        <f>_xll.qlInterpolationInterpolate(BasisInterpolator1Y,J22,,M22)</f>
        <v>#VALUE!</v>
      </c>
      <c r="O22" s="297" t="e">
        <f t="shared" si="2"/>
        <v>#VALUE!</v>
      </c>
    </row>
    <row r="23" spans="1:15" ht="12.75" x14ac:dyDescent="0.2">
      <c r="A23" s="283" t="e">
        <v>#N/A</v>
      </c>
      <c r="B23" s="284" t="e">
        <f>_xll.qlRateHelperRate($A23,InterestRatesTrigger)</f>
        <v>#VALUE!</v>
      </c>
      <c r="C23" s="287" t="e">
        <f>_xll.qlRateHelperEarliestDate($A23)</f>
        <v>#VALUE!</v>
      </c>
      <c r="D23" s="288" t="e">
        <f>_xll.qlRateHelperLatestDate($A23)</f>
        <v>#VALUE!</v>
      </c>
      <c r="E23" s="285" t="e">
        <v>#N/A</v>
      </c>
      <c r="F23" s="282">
        <v>13</v>
      </c>
      <c r="G23" s="282" t="str">
        <f t="shared" si="0"/>
        <v>x25</v>
      </c>
      <c r="H23" s="294">
        <f>_xll.qlInterestRateIndexFixingDate(IborIndex1Y,J23)</f>
        <v>42256</v>
      </c>
      <c r="I23" s="282" t="str">
        <f>_xll.qlMakeDatedOIS(,J23,K23,OvernightIndex,0,"Act/360",0)</f>
        <v>obj_00477#0000</v>
      </c>
      <c r="J23" s="294">
        <f>_xll.qlCalendarAdvance(Calendar,$D$2,F23&amp;"M","mf")</f>
        <v>42258</v>
      </c>
      <c r="K23" s="294">
        <f>_xll.qlInterestRateIndexMaturity(IborIndex1Y,J23)</f>
        <v>42625</v>
      </c>
      <c r="L23" s="279"/>
      <c r="M23" s="297">
        <f>_xll.qlOvernightIndexedSwapFairRate(I23,Contribution!$P$40)</f>
        <v>9.2690419609546219E-3</v>
      </c>
      <c r="N23" s="298" t="e">
        <f>_xll.qlInterpolationInterpolate(BasisInterpolator1Y,J23,,M23)</f>
        <v>#VALUE!</v>
      </c>
      <c r="O23" s="297" t="e">
        <f t="shared" si="2"/>
        <v>#VALUE!</v>
      </c>
    </row>
    <row r="24" spans="1:15" ht="12.75" x14ac:dyDescent="0.2">
      <c r="A24" s="283" t="e">
        <v>#N/A</v>
      </c>
      <c r="B24" s="284" t="e">
        <f>_xll.qlRateHelperRate($A24,InterestRatesTrigger)</f>
        <v>#VALUE!</v>
      </c>
      <c r="C24" s="287" t="e">
        <f>_xll.qlRateHelperEarliestDate($A24)</f>
        <v>#VALUE!</v>
      </c>
      <c r="D24" s="288" t="e">
        <f>_xll.qlRateHelperLatestDate($A24)</f>
        <v>#VALUE!</v>
      </c>
      <c r="E24" s="285" t="e">
        <v>#N/A</v>
      </c>
      <c r="F24" s="282">
        <v>14</v>
      </c>
      <c r="G24" s="282" t="str">
        <f t="shared" si="0"/>
        <v>x26</v>
      </c>
      <c r="H24" s="294">
        <f>_xll.qlInterestRateIndexFixingDate(IborIndex1Y,J24)</f>
        <v>42285</v>
      </c>
      <c r="I24" s="282" t="str">
        <f>_xll.qlMakeDatedOIS(,J24,K24,OvernightIndex,0,"Act/360",0)</f>
        <v>obj_00456#0000</v>
      </c>
      <c r="J24" s="294">
        <f>_xll.qlCalendarAdvance(Calendar,$D$2,F24&amp;"M","mf")</f>
        <v>42289</v>
      </c>
      <c r="K24" s="294">
        <f>_xll.qlInterestRateIndexMaturity(IborIndex1Y,J24)</f>
        <v>42655</v>
      </c>
      <c r="L24" s="279"/>
      <c r="M24" s="297">
        <f>_xll.qlOvernightIndexedSwapFairRate(I24,Contribution!$P$40)</f>
        <v>1.0052258911300946E-2</v>
      </c>
      <c r="N24" s="298" t="e">
        <f>_xll.qlInterpolationInterpolate(BasisInterpolator1Y,J24,,M24)</f>
        <v>#VALUE!</v>
      </c>
      <c r="O24" s="297" t="e">
        <f t="shared" si="2"/>
        <v>#VALUE!</v>
      </c>
    </row>
    <row r="25" spans="1:15" ht="12.75" x14ac:dyDescent="0.2">
      <c r="A25" s="283" t="e">
        <v>#N/A</v>
      </c>
      <c r="B25" s="284" t="e">
        <f>_xll.qlRateHelperRate($A25,InterestRatesTrigger)</f>
        <v>#VALUE!</v>
      </c>
      <c r="C25" s="287" t="e">
        <f>_xll.qlRateHelperEarliestDate($A25)</f>
        <v>#VALUE!</v>
      </c>
      <c r="D25" s="288" t="e">
        <f>_xll.qlRateHelperLatestDate($A25)</f>
        <v>#VALUE!</v>
      </c>
      <c r="E25" s="285" t="e">
        <v>#N/A</v>
      </c>
      <c r="F25" s="282">
        <v>15</v>
      </c>
      <c r="G25" s="282" t="str">
        <f t="shared" si="0"/>
        <v>x27</v>
      </c>
      <c r="H25" s="294">
        <f>_xll.qlInterestRateIndexFixingDate(IborIndex1Y,J25)</f>
        <v>42317</v>
      </c>
      <c r="I25" s="282" t="str">
        <f>_xll.qlMakeDatedOIS(,J25,K25,OvernightIndex,0,"Act/360",0)</f>
        <v>obj_0048c#0000</v>
      </c>
      <c r="J25" s="294">
        <f>_xll.qlCalendarAdvance(Calendar,$D$2,F25&amp;"M","mf")</f>
        <v>42319</v>
      </c>
      <c r="K25" s="294">
        <f>_xll.qlInterestRateIndexMaturity(IborIndex1Y,J25)</f>
        <v>42688</v>
      </c>
      <c r="L25" s="279"/>
      <c r="M25" s="297">
        <f>_xll.qlOvernightIndexedSwapFairRate(I25,Contribution!$P$40)</f>
        <v>1.0873103709840969E-2</v>
      </c>
      <c r="N25" s="298" t="e">
        <f>_xll.qlInterpolationInterpolate(BasisInterpolator1Y,J25,,M25)</f>
        <v>#VALUE!</v>
      </c>
      <c r="O25" s="297" t="e">
        <f t="shared" si="2"/>
        <v>#VALUE!</v>
      </c>
    </row>
    <row r="26" spans="1:15" ht="12.75" x14ac:dyDescent="0.2">
      <c r="A26" s="283" t="e">
        <v>#N/A</v>
      </c>
      <c r="B26" s="284" t="e">
        <f>_xll.qlRateHelperRate($A26,InterestRatesTrigger)</f>
        <v>#VALUE!</v>
      </c>
      <c r="C26" s="287" t="e">
        <f>_xll.qlRateHelperEarliestDate($A26)</f>
        <v>#VALUE!</v>
      </c>
      <c r="D26" s="288" t="e">
        <f>_xll.qlRateHelperLatestDate($A26)</f>
        <v>#VALUE!</v>
      </c>
      <c r="E26" s="285" t="e">
        <v>#N/A</v>
      </c>
      <c r="F26" s="282">
        <v>16</v>
      </c>
      <c r="G26" s="282" t="str">
        <f t="shared" si="0"/>
        <v>x28</v>
      </c>
      <c r="H26" s="294">
        <f>_xll.qlInterestRateIndexFixingDate(IborIndex1Y,J26)</f>
        <v>42347</v>
      </c>
      <c r="I26" s="282" t="str">
        <f>_xll.qlMakeDatedOIS(,J26,K26,OvernightIndex,0,"Act/360",0)</f>
        <v>obj_00484#0000</v>
      </c>
      <c r="J26" s="294">
        <f>_xll.qlCalendarAdvance(Calendar,$D$2,F26&amp;"M","mf")</f>
        <v>42349</v>
      </c>
      <c r="K26" s="294">
        <f>_xll.qlInterestRateIndexMaturity(IborIndex1Y,J26)</f>
        <v>42716</v>
      </c>
      <c r="L26" s="279"/>
      <c r="M26" s="297">
        <f>_xll.qlOvernightIndexedSwapFairRate(I26,Contribution!$P$40)</f>
        <v>1.1638663270974963E-2</v>
      </c>
      <c r="N26" s="298" t="e">
        <f>_xll.qlInterpolationInterpolate(BasisInterpolator1Y,J26,,M26)</f>
        <v>#VALUE!</v>
      </c>
      <c r="O26" s="297" t="e">
        <f t="shared" si="2"/>
        <v>#VALUE!</v>
      </c>
    </row>
    <row r="27" spans="1:15" ht="12.75" x14ac:dyDescent="0.2">
      <c r="A27" s="283" t="e">
        <v>#N/A</v>
      </c>
      <c r="B27" s="284" t="e">
        <f>_xll.qlRateHelperRate($A27,InterestRatesTrigger)</f>
        <v>#VALUE!</v>
      </c>
      <c r="C27" s="287" t="e">
        <f>_xll.qlRateHelperEarliestDate($A27)</f>
        <v>#VALUE!</v>
      </c>
      <c r="D27" s="288" t="e">
        <f>_xll.qlRateHelperLatestDate($A27)</f>
        <v>#VALUE!</v>
      </c>
      <c r="E27" s="285" t="e">
        <v>#N/A</v>
      </c>
      <c r="F27" s="282">
        <v>17</v>
      </c>
      <c r="G27" s="282" t="str">
        <f t="shared" si="0"/>
        <v>x29</v>
      </c>
      <c r="H27" s="294">
        <f>_xll.qlInterestRateIndexFixingDate(IborIndex1Y,J27)</f>
        <v>42376</v>
      </c>
      <c r="I27" s="282" t="str">
        <f>_xll.qlMakeDatedOIS(,J27,K27,OvernightIndex,0,"Act/360",0)</f>
        <v>obj_0047c#0000</v>
      </c>
      <c r="J27" s="294">
        <f>_xll.qlCalendarAdvance(Calendar,$D$2,F27&amp;"M","mf")</f>
        <v>42380</v>
      </c>
      <c r="K27" s="294">
        <f>_xll.qlInterestRateIndexMaturity(IborIndex1Y,J27)</f>
        <v>42746</v>
      </c>
      <c r="L27" s="279"/>
      <c r="M27" s="297">
        <f>_xll.qlOvernightIndexedSwapFairRate(I27,Contribution!$P$40)</f>
        <v>1.2446282542046064E-2</v>
      </c>
      <c r="N27" s="298" t="e">
        <f>_xll.qlInterpolationInterpolate(BasisInterpolator1Y,J27,,M27)</f>
        <v>#VALUE!</v>
      </c>
      <c r="O27" s="297" t="e">
        <f t="shared" si="2"/>
        <v>#VALUE!</v>
      </c>
    </row>
    <row r="28" spans="1:15" ht="12.75" x14ac:dyDescent="0.2">
      <c r="A28" s="283" t="e">
        <v>#N/A</v>
      </c>
      <c r="B28" s="284" t="e">
        <f>_xll.qlRateHelperRate($A28,InterestRatesTrigger)</f>
        <v>#VALUE!</v>
      </c>
      <c r="C28" s="287" t="e">
        <f>_xll.qlRateHelperEarliestDate($A28)</f>
        <v>#VALUE!</v>
      </c>
      <c r="D28" s="288" t="e">
        <f>_xll.qlRateHelperLatestDate($A28)</f>
        <v>#VALUE!</v>
      </c>
      <c r="E28" s="285" t="e">
        <v>#N/A</v>
      </c>
      <c r="F28" s="282">
        <v>18</v>
      </c>
      <c r="G28" s="282" t="str">
        <f t="shared" si="0"/>
        <v>x30</v>
      </c>
      <c r="H28" s="294">
        <f>_xll.qlInterestRateIndexFixingDate(IborIndex1Y,J28)</f>
        <v>42409</v>
      </c>
      <c r="I28" s="282" t="str">
        <f>_xll.qlMakeDatedOIS(,J28,K28,OvernightIndex,0,"Act/360",0)</f>
        <v>obj_00451#0000</v>
      </c>
      <c r="J28" s="294">
        <f>_xll.qlCalendarAdvance(Calendar,$D$2,F28&amp;"M","mf")</f>
        <v>42411</v>
      </c>
      <c r="K28" s="294">
        <f>_xll.qlInterestRateIndexMaturity(IborIndex1Y,J28)</f>
        <v>42779</v>
      </c>
      <c r="L28" s="279"/>
      <c r="M28" s="297">
        <f>_xll.qlOvernightIndexedSwapFairRate(I28,Contribution!$P$40)</f>
        <v>1.328036907047851E-2</v>
      </c>
      <c r="N28" s="298" t="e">
        <f>_xll.qlInterpolationInterpolate(BasisInterpolator1Y,J28,,M28)</f>
        <v>#VALUE!</v>
      </c>
      <c r="O28" s="297" t="e">
        <f t="shared" si="2"/>
        <v>#VALUE!</v>
      </c>
    </row>
    <row r="29" spans="1:15" ht="12.75" x14ac:dyDescent="0.2">
      <c r="A29" s="283" t="e">
        <v>#N/A</v>
      </c>
      <c r="B29" s="284" t="e">
        <f>_xll.qlRateHelperRate($A29,InterestRatesTrigger)</f>
        <v>#VALUE!</v>
      </c>
      <c r="C29" s="287" t="e">
        <f>_xll.qlRateHelperEarliestDate($A29)</f>
        <v>#VALUE!</v>
      </c>
      <c r="D29" s="288" t="e">
        <f>_xll.qlRateHelperLatestDate($A29)</f>
        <v>#VALUE!</v>
      </c>
      <c r="E29" s="285" t="e">
        <v>#N/A</v>
      </c>
      <c r="F29" s="282">
        <v>19</v>
      </c>
      <c r="G29" s="282" t="str">
        <f t="shared" si="0"/>
        <v>x31</v>
      </c>
      <c r="H29" s="294">
        <f>_xll.qlInterestRateIndexFixingDate(IborIndex1Y,J29)</f>
        <v>42438</v>
      </c>
      <c r="I29" s="282" t="str">
        <f>_xll.qlMakeDatedOIS(,J29,K29,OvernightIndex,0,"Act/360",0)</f>
        <v>obj_00455#0000</v>
      </c>
      <c r="J29" s="294">
        <f>_xll.qlCalendarAdvance(Calendar,$D$2,F29&amp;"M","mf")</f>
        <v>42440</v>
      </c>
      <c r="K29" s="294">
        <f>_xll.qlInterestRateIndexMaturity(IborIndex1Y,J29)</f>
        <v>42807</v>
      </c>
      <c r="L29" s="279"/>
      <c r="M29" s="297">
        <f>_xll.qlOvernightIndexedSwapFairRate(I29,Contribution!$P$40)</f>
        <v>1.4034936252056122E-2</v>
      </c>
      <c r="N29" s="298" t="e">
        <f>_xll.qlInterpolationInterpolate(BasisInterpolator1Y,J29,,M29)</f>
        <v>#VALUE!</v>
      </c>
      <c r="O29" s="297" t="e">
        <f t="shared" si="2"/>
        <v>#VALUE!</v>
      </c>
    </row>
    <row r="30" spans="1:15" ht="12.75" x14ac:dyDescent="0.2">
      <c r="A30" s="283" t="e">
        <v>#N/A</v>
      </c>
      <c r="B30" s="284" t="e">
        <f>_xll.qlRateHelperRate($A30,InterestRatesTrigger)</f>
        <v>#VALUE!</v>
      </c>
      <c r="C30" s="287" t="e">
        <f>_xll.qlRateHelperEarliestDate($A30)</f>
        <v>#VALUE!</v>
      </c>
      <c r="D30" s="288" t="e">
        <f>_xll.qlRateHelperLatestDate($A30)</f>
        <v>#VALUE!</v>
      </c>
      <c r="E30" s="285" t="e">
        <v>#N/A</v>
      </c>
      <c r="F30" s="282">
        <v>20</v>
      </c>
      <c r="G30" s="282" t="str">
        <f t="shared" si="0"/>
        <v>x32</v>
      </c>
      <c r="H30" s="294">
        <f>_xll.qlInterestRateIndexFixingDate(IborIndex1Y,J30)</f>
        <v>42467</v>
      </c>
      <c r="I30" s="282" t="str">
        <f>_xll.qlMakeDatedOIS(,J30,K30,OvernightIndex,0,"Act/360",0)</f>
        <v>obj_00447#0000</v>
      </c>
      <c r="J30" s="294">
        <f>_xll.qlCalendarAdvance(Calendar,$D$2,F30&amp;"M","mf")</f>
        <v>42471</v>
      </c>
      <c r="K30" s="294">
        <f>_xll.qlInterestRateIndexMaturity(IborIndex1Y,J30)</f>
        <v>42836</v>
      </c>
      <c r="L30" s="279"/>
      <c r="M30" s="297">
        <f>_xll.qlOvernightIndexedSwapFairRate(I30,Contribution!$P$40)</f>
        <v>1.4803353180515443E-2</v>
      </c>
      <c r="N30" s="298" t="e">
        <f>_xll.qlInterpolationInterpolate(BasisInterpolator1Y,J30,,M30)</f>
        <v>#VALUE!</v>
      </c>
      <c r="O30" s="297" t="e">
        <f t="shared" si="2"/>
        <v>#VALUE!</v>
      </c>
    </row>
    <row r="31" spans="1:15" ht="12.75" x14ac:dyDescent="0.2">
      <c r="A31" s="283" t="e">
        <v>#N/A</v>
      </c>
      <c r="B31" s="284" t="e">
        <f>_xll.qlRateHelperRate($A31,InterestRatesTrigger)</f>
        <v>#VALUE!</v>
      </c>
      <c r="C31" s="287" t="e">
        <f>_xll.qlRateHelperEarliestDate($A31)</f>
        <v>#VALUE!</v>
      </c>
      <c r="D31" s="288" t="e">
        <f>_xll.qlRateHelperLatestDate($A31)</f>
        <v>#VALUE!</v>
      </c>
      <c r="E31" s="285" t="e">
        <v>#N/A</v>
      </c>
      <c r="F31" s="282">
        <v>21</v>
      </c>
      <c r="G31" s="282" t="str">
        <f t="shared" si="0"/>
        <v>x33</v>
      </c>
      <c r="H31" s="294">
        <f>_xll.qlInterestRateIndexFixingDate(IborIndex1Y,J31)</f>
        <v>42499</v>
      </c>
      <c r="I31" s="282" t="str">
        <f>_xll.qlMakeDatedOIS(,J31,K31,OvernightIndex,0,"Act/360",0)</f>
        <v>obj_0044e#0000</v>
      </c>
      <c r="J31" s="294">
        <f>_xll.qlCalendarAdvance(Calendar,$D$2,F31&amp;"M","mf")</f>
        <v>42501</v>
      </c>
      <c r="K31" s="294">
        <f>_xll.qlInterestRateIndexMaturity(IborIndex1Y,J31)</f>
        <v>42866</v>
      </c>
      <c r="L31" s="279"/>
      <c r="M31" s="297">
        <f>_xll.qlOvernightIndexedSwapFairRate(I31,Contribution!$P$40)</f>
        <v>1.5575295200305305E-2</v>
      </c>
      <c r="N31" s="298" t="e">
        <f>_xll.qlInterpolationInterpolate(BasisInterpolator1Y,J31,,M31)</f>
        <v>#VALUE!</v>
      </c>
      <c r="O31" s="297" t="e">
        <f t="shared" si="2"/>
        <v>#VALUE!</v>
      </c>
    </row>
    <row r="32" spans="1:15" ht="12.75" x14ac:dyDescent="0.2">
      <c r="A32" s="283" t="e">
        <v>#N/A</v>
      </c>
      <c r="B32" s="284" t="e">
        <f>_xll.qlRateHelperRate($A32,InterestRatesTrigger)</f>
        <v>#VALUE!</v>
      </c>
      <c r="C32" s="287" t="e">
        <f>_xll.qlRateHelperEarliestDate($A32)</f>
        <v>#VALUE!</v>
      </c>
      <c r="D32" s="288" t="e">
        <f>_xll.qlRateHelperLatestDate($A32)</f>
        <v>#VALUE!</v>
      </c>
      <c r="E32" s="285" t="e">
        <v>#N/A</v>
      </c>
      <c r="F32" s="282">
        <v>22</v>
      </c>
      <c r="G32" s="282" t="str">
        <f t="shared" si="0"/>
        <v>x34</v>
      </c>
      <c r="H32" s="294">
        <f>_xll.qlInterestRateIndexFixingDate(IborIndex1Y,J32)</f>
        <v>42530</v>
      </c>
      <c r="I32" s="282" t="str">
        <f>_xll.qlMakeDatedOIS(,J32,K32,OvernightIndex,0,"Act/360",0)</f>
        <v>obj_0047b#0000</v>
      </c>
      <c r="J32" s="294">
        <f>_xll.qlCalendarAdvance(Calendar,$D$2,F32&amp;"M","mf")</f>
        <v>42534</v>
      </c>
      <c r="K32" s="294">
        <f>_xll.qlInterestRateIndexMaturity(IborIndex1Y,J32)</f>
        <v>42899</v>
      </c>
      <c r="L32" s="279"/>
      <c r="M32" s="297">
        <f>_xll.qlOvernightIndexedSwapFairRate(I32,Contribution!$P$40)</f>
        <v>1.6388324249646518E-2</v>
      </c>
      <c r="N32" s="298" t="e">
        <f>_xll.qlInterpolationInterpolate(BasisInterpolator1Y,J32,,M32)</f>
        <v>#VALUE!</v>
      </c>
      <c r="O32" s="297" t="e">
        <f t="shared" si="2"/>
        <v>#VALUE!</v>
      </c>
    </row>
    <row r="33" spans="1:15" ht="12.75" x14ac:dyDescent="0.2">
      <c r="A33" s="283" t="e">
        <v>#N/A</v>
      </c>
      <c r="B33" s="284" t="e">
        <f>_xll.qlRateHelperRate($A33,InterestRatesTrigger)</f>
        <v>#VALUE!</v>
      </c>
      <c r="C33" s="287" t="e">
        <f>_xll.qlRateHelperEarliestDate($A33)</f>
        <v>#VALUE!</v>
      </c>
      <c r="D33" s="288" t="e">
        <f>_xll.qlRateHelperLatestDate($A33)</f>
        <v>#VALUE!</v>
      </c>
      <c r="E33" s="285" t="e">
        <v>#N/A</v>
      </c>
      <c r="F33" s="282">
        <v>23</v>
      </c>
      <c r="G33" s="282" t="str">
        <f t="shared" si="0"/>
        <v>x35</v>
      </c>
      <c r="H33" s="294">
        <f>_xll.qlInterestRateIndexFixingDate(IborIndex1Y,J33)</f>
        <v>42558</v>
      </c>
      <c r="I33" s="282" t="str">
        <f>_xll.qlMakeDatedOIS(,J33,K33,OvernightIndex,0,"Act/360",0)</f>
        <v>obj_0046e#0000</v>
      </c>
      <c r="J33" s="294">
        <f>_xll.qlCalendarAdvance(Calendar,$D$2,F33&amp;"M","mf")</f>
        <v>42562</v>
      </c>
      <c r="K33" s="294">
        <f>_xll.qlInterestRateIndexMaturity(IborIndex1Y,J33)</f>
        <v>42927</v>
      </c>
      <c r="L33" s="279"/>
      <c r="M33" s="297">
        <f>_xll.qlOvernightIndexedSwapFairRate(I33,Contribution!$P$40)</f>
        <v>1.7068444527890504E-2</v>
      </c>
      <c r="N33" s="298" t="e">
        <f>_xll.qlInterpolationInterpolate(BasisInterpolator1Y,J33,,M33)</f>
        <v>#VALUE!</v>
      </c>
      <c r="O33" s="297" t="e">
        <f t="shared" si="2"/>
        <v>#VALUE!</v>
      </c>
    </row>
    <row r="34" spans="1:15" ht="12.75" x14ac:dyDescent="0.2">
      <c r="A34" s="283" t="e">
        <v>#N/A</v>
      </c>
      <c r="B34" s="284" t="e">
        <f>_xll.qlRateHelperRate($A34,InterestRatesTrigger)</f>
        <v>#VALUE!</v>
      </c>
      <c r="C34" s="287" t="e">
        <f>_xll.qlRateHelperEarliestDate($A34)</f>
        <v>#VALUE!</v>
      </c>
      <c r="D34" s="288" t="e">
        <f>_xll.qlRateHelperLatestDate($A34)</f>
        <v>#VALUE!</v>
      </c>
      <c r="E34" s="285" t="e">
        <v>#N/A</v>
      </c>
      <c r="F34" s="282">
        <v>25</v>
      </c>
      <c r="G34" s="282" t="str">
        <f t="shared" si="0"/>
        <v>x37</v>
      </c>
      <c r="H34" s="294">
        <f>_xll.qlInterestRateIndexFixingDate(IborIndex1Y,J34)</f>
        <v>42621</v>
      </c>
      <c r="I34" s="282" t="str">
        <f>_xll.qlMakeDatedOIS(,J34,K34,OvernightIndex,0,"Act/360",0)</f>
        <v>obj_00460#0000</v>
      </c>
      <c r="J34" s="294">
        <f>_xll.qlCalendarAdvance(Calendar,$D$2,F34&amp;"M","mf")</f>
        <v>42625</v>
      </c>
      <c r="K34" s="294">
        <f>_xll.qlInterestRateIndexMaturity(IborIndex1Y,J34)</f>
        <v>42990</v>
      </c>
      <c r="L34" s="279"/>
      <c r="M34" s="297">
        <f>_xll.qlOvernightIndexedSwapFairRate(I34,Contribution!$P$40)</f>
        <v>1.8523026703497807E-2</v>
      </c>
      <c r="N34" s="298" t="e">
        <f>_xll.qlInterpolationInterpolate(BasisInterpolator1Y,J34,,M34)</f>
        <v>#VALUE!</v>
      </c>
      <c r="O34" s="297" t="e">
        <f t="shared" si="2"/>
        <v>#VALUE!</v>
      </c>
    </row>
    <row r="35" spans="1:15" ht="12.75" x14ac:dyDescent="0.2">
      <c r="A35" s="283" t="e">
        <v>#N/A</v>
      </c>
      <c r="B35" s="284" t="e">
        <f>_xll.qlRateHelperRate($A35,InterestRatesTrigger)</f>
        <v>#VALUE!</v>
      </c>
      <c r="C35" s="287" t="e">
        <f>_xll.qlRateHelperEarliestDate($A35)</f>
        <v>#VALUE!</v>
      </c>
      <c r="D35" s="288" t="e">
        <f>_xll.qlRateHelperLatestDate($A35)</f>
        <v>#VALUE!</v>
      </c>
      <c r="E35" s="285" t="e">
        <v>#N/A</v>
      </c>
      <c r="F35" s="282">
        <v>26</v>
      </c>
      <c r="G35" s="282" t="str">
        <f t="shared" si="0"/>
        <v>x38</v>
      </c>
      <c r="H35" s="294">
        <f>_xll.qlInterestRateIndexFixingDate(IborIndex1Y,J35)</f>
        <v>42650</v>
      </c>
      <c r="I35" s="282" t="str">
        <f>_xll.qlMakeDatedOIS(,J35,K35,OvernightIndex,0,"Act/360",0)</f>
        <v>obj_00485#0000</v>
      </c>
      <c r="J35" s="294">
        <f>_xll.qlCalendarAdvance(Calendar,$D$2,F35&amp;"M","mf")</f>
        <v>42654</v>
      </c>
      <c r="K35" s="294">
        <f>_xll.qlInterestRateIndexMaturity(IborIndex1Y,J35)</f>
        <v>43019</v>
      </c>
      <c r="L35" s="279"/>
      <c r="M35" s="297">
        <f>_xll.qlOvernightIndexedSwapFairRate(I35,Contribution!$P$40)</f>
        <v>1.9154134270462218E-2</v>
      </c>
      <c r="N35" s="298" t="e">
        <f>_xll.qlInterpolationInterpolate(BasisInterpolator1Y,J35,,M35)</f>
        <v>#VALUE!</v>
      </c>
      <c r="O35" s="297" t="e">
        <f t="shared" si="2"/>
        <v>#VALUE!</v>
      </c>
    </row>
    <row r="36" spans="1:15" ht="12.75" x14ac:dyDescent="0.2">
      <c r="A36" s="283" t="e">
        <v>#N/A</v>
      </c>
      <c r="B36" s="284" t="e">
        <f>_xll.qlRateHelperRate($A36,InterestRatesTrigger)</f>
        <v>#VALUE!</v>
      </c>
      <c r="C36" s="287" t="e">
        <f>_xll.qlRateHelperEarliestDate($A36)</f>
        <v>#VALUE!</v>
      </c>
      <c r="D36" s="288" t="e">
        <f>_xll.qlRateHelperLatestDate($A36)</f>
        <v>#VALUE!</v>
      </c>
      <c r="E36" s="285" t="e">
        <v>#N/A</v>
      </c>
      <c r="F36" s="282">
        <v>27</v>
      </c>
      <c r="G36" s="282" t="str">
        <f t="shared" si="0"/>
        <v>x39</v>
      </c>
      <c r="H36" s="294">
        <f>_xll.qlInterestRateIndexFixingDate(IborIndex1Y,J36)</f>
        <v>42683</v>
      </c>
      <c r="I36" s="282" t="str">
        <f>_xll.qlMakeDatedOIS(,J36,K36,OvernightIndex,0,"Act/360",0)</f>
        <v>obj_0048a#0000</v>
      </c>
      <c r="J36" s="294">
        <f>_xll.qlCalendarAdvance(Calendar,$D$2,F36&amp;"M","mf")</f>
        <v>42685</v>
      </c>
      <c r="K36" s="294">
        <f>_xll.qlInterestRateIndexMaturity(IborIndex1Y,J36)</f>
        <v>43052</v>
      </c>
      <c r="L36" s="279"/>
      <c r="M36" s="297">
        <f>_xll.qlOvernightIndexedSwapFairRate(I36,Contribution!$P$40)</f>
        <v>1.9853482650396017E-2</v>
      </c>
      <c r="N36" s="298" t="e">
        <f>_xll.qlInterpolationInterpolate(BasisInterpolator1Y,J36,,M36)</f>
        <v>#VALUE!</v>
      </c>
      <c r="O36" s="297" t="e">
        <f t="shared" si="2"/>
        <v>#VALUE!</v>
      </c>
    </row>
    <row r="37" spans="1:15" ht="12.75" x14ac:dyDescent="0.2">
      <c r="A37" s="283" t="e">
        <v>#N/A</v>
      </c>
      <c r="B37" s="284" t="e">
        <f>_xll.qlRateHelperRate($A37,InterestRatesTrigger)</f>
        <v>#VALUE!</v>
      </c>
      <c r="C37" s="287" t="e">
        <f>_xll.qlRateHelperEarliestDate($A37)</f>
        <v>#VALUE!</v>
      </c>
      <c r="D37" s="288" t="e">
        <f>_xll.qlRateHelperLatestDate($A37)</f>
        <v>#VALUE!</v>
      </c>
      <c r="E37" s="285" t="e">
        <v>#N/A</v>
      </c>
      <c r="F37" s="282">
        <v>28</v>
      </c>
      <c r="G37" s="282" t="str">
        <f t="shared" si="0"/>
        <v>x40</v>
      </c>
      <c r="H37" s="294">
        <f>_xll.qlInterestRateIndexFixingDate(IborIndex1Y,J37)</f>
        <v>42712</v>
      </c>
      <c r="I37" s="282" t="str">
        <f>_xll.qlMakeDatedOIS(,J37,K37,OvernightIndex,0,"Act/360",0)</f>
        <v>obj_00446#0000</v>
      </c>
      <c r="J37" s="294">
        <f>_xll.qlCalendarAdvance(Calendar,$D$2,F37&amp;"M","mf")</f>
        <v>42716</v>
      </c>
      <c r="K37" s="294">
        <f>_xll.qlInterestRateIndexMaturity(IborIndex1Y,J37)</f>
        <v>43081</v>
      </c>
      <c r="L37" s="279"/>
      <c r="M37" s="297">
        <f>_xll.qlOvernightIndexedSwapFairRate(I37,Contribution!$P$40)</f>
        <v>2.0422465462402419E-2</v>
      </c>
      <c r="N37" s="298" t="e">
        <f>_xll.qlInterpolationInterpolate(BasisInterpolator1Y,J37,,M37)</f>
        <v>#VALUE!</v>
      </c>
      <c r="O37" s="297" t="e">
        <f t="shared" si="2"/>
        <v>#VALUE!</v>
      </c>
    </row>
    <row r="38" spans="1:15" ht="12.75" x14ac:dyDescent="0.2">
      <c r="A38" s="283" t="e">
        <v>#N/A</v>
      </c>
      <c r="B38" s="284" t="e">
        <f>_xll.qlRateHelperRate($A38,InterestRatesTrigger)</f>
        <v>#VALUE!</v>
      </c>
      <c r="C38" s="287" t="e">
        <f>_xll.qlRateHelperEarliestDate($A38)</f>
        <v>#VALUE!</v>
      </c>
      <c r="D38" s="288" t="e">
        <f>_xll.qlRateHelperLatestDate($A38)</f>
        <v>#VALUE!</v>
      </c>
      <c r="E38" s="285" t="e">
        <v>#N/A</v>
      </c>
      <c r="F38" s="282">
        <v>29</v>
      </c>
      <c r="G38" s="282" t="str">
        <f t="shared" si="0"/>
        <v>x41</v>
      </c>
      <c r="H38" s="294">
        <f>_xll.qlInterestRateIndexFixingDate(IborIndex1Y,J38)</f>
        <v>42744</v>
      </c>
      <c r="I38" s="282" t="str">
        <f>_xll.qlMakeDatedOIS(,J38,K38,OvernightIndex,0,"Act/360",0)</f>
        <v>obj_00467#0000</v>
      </c>
      <c r="J38" s="294">
        <f>_xll.qlCalendarAdvance(Calendar,$D$2,F38&amp;"M","mf")</f>
        <v>42746</v>
      </c>
      <c r="K38" s="294">
        <f>_xll.qlInterestRateIndexMaturity(IborIndex1Y,J38)</f>
        <v>43111</v>
      </c>
      <c r="L38" s="279"/>
      <c r="M38" s="297">
        <f>_xll.qlOvernightIndexedSwapFairRate(I38,Contribution!$P$40)</f>
        <v>2.0996569000285129E-2</v>
      </c>
      <c r="N38" s="298" t="e">
        <f>_xll.qlInterpolationInterpolate(BasisInterpolator1Y,J38,,M38)</f>
        <v>#VALUE!</v>
      </c>
      <c r="O38" s="297" t="e">
        <f t="shared" si="2"/>
        <v>#VALUE!</v>
      </c>
    </row>
    <row r="39" spans="1:15" ht="12.75" x14ac:dyDescent="0.2">
      <c r="A39" s="283" t="e">
        <v>#N/A</v>
      </c>
      <c r="B39" s="284" t="e">
        <f>_xll.qlRateHelperRate($A39,InterestRatesTrigger)</f>
        <v>#VALUE!</v>
      </c>
      <c r="C39" s="287" t="e">
        <f>_xll.qlRateHelperEarliestDate($A39)</f>
        <v>#VALUE!</v>
      </c>
      <c r="D39" s="288" t="e">
        <f>_xll.qlRateHelperLatestDate($A39)</f>
        <v>#VALUE!</v>
      </c>
      <c r="E39" s="285" t="e">
        <v>#N/A</v>
      </c>
      <c r="F39" s="282">
        <v>30</v>
      </c>
      <c r="G39" s="282" t="str">
        <f t="shared" si="0"/>
        <v>x42</v>
      </c>
      <c r="H39" s="294">
        <f>_xll.qlInterestRateIndexFixingDate(IborIndex1Y,J39)</f>
        <v>42775</v>
      </c>
      <c r="I39" s="282" t="str">
        <f>_xll.qlMakeDatedOIS(,J39,K39,OvernightIndex,0,"Act/360",0)</f>
        <v>obj_00491#0000</v>
      </c>
      <c r="J39" s="294">
        <f>_xll.qlCalendarAdvance(Calendar,$D$2,F39&amp;"M","mf")</f>
        <v>42779</v>
      </c>
      <c r="K39" s="294">
        <f>_xll.qlInterestRateIndexMaturity(IborIndex1Y,J39)</f>
        <v>43144</v>
      </c>
      <c r="L39" s="279"/>
      <c r="M39" s="297">
        <f>_xll.qlOvernightIndexedSwapFairRate(I39,Contribution!$P$40)</f>
        <v>2.1598243703211589E-2</v>
      </c>
      <c r="N39" s="298" t="e">
        <f>_xll.qlInterpolationInterpolate(BasisInterpolator1Y,J39,,M39)</f>
        <v>#VALUE!</v>
      </c>
      <c r="O39" s="297" t="e">
        <f t="shared" si="2"/>
        <v>#VALUE!</v>
      </c>
    </row>
    <row r="40" spans="1:15" ht="12.75" x14ac:dyDescent="0.2">
      <c r="A40" s="283" t="e">
        <v>#N/A</v>
      </c>
      <c r="B40" s="284" t="e">
        <f>_xll.qlRateHelperRate($A40,InterestRatesTrigger)</f>
        <v>#VALUE!</v>
      </c>
      <c r="C40" s="287" t="e">
        <f>_xll.qlRateHelperEarliestDate($A40)</f>
        <v>#VALUE!</v>
      </c>
      <c r="D40" s="288" t="e">
        <f>_xll.qlRateHelperLatestDate($A40)</f>
        <v>#VALUE!</v>
      </c>
      <c r="E40" s="285" t="e">
        <v>#N/A</v>
      </c>
      <c r="F40" s="282">
        <v>31</v>
      </c>
      <c r="G40" s="282" t="str">
        <f t="shared" si="0"/>
        <v>x43</v>
      </c>
      <c r="H40" s="294">
        <f>_xll.qlInterestRateIndexFixingDate(IborIndex1Y,J40)</f>
        <v>42803</v>
      </c>
      <c r="I40" s="282" t="str">
        <f>_xll.qlMakeDatedOIS(,J40,K40,OvernightIndex,0,"Act/360",0)</f>
        <v>obj_00489#0000</v>
      </c>
      <c r="J40" s="294">
        <f>_xll.qlCalendarAdvance(Calendar,$D$2,F40&amp;"M","mf")</f>
        <v>42807</v>
      </c>
      <c r="K40" s="294">
        <f>_xll.qlInterestRateIndexMaturity(IborIndex1Y,J40)</f>
        <v>43172</v>
      </c>
      <c r="L40" s="279"/>
      <c r="M40" s="297">
        <f>_xll.qlOvernightIndexedSwapFairRate(I40,Contribution!$P$40)</f>
        <v>2.2084240050176937E-2</v>
      </c>
      <c r="N40" s="298" t="e">
        <f>_xll.qlInterpolationInterpolate(BasisInterpolator1Y,J40,,M40)</f>
        <v>#VALUE!</v>
      </c>
      <c r="O40" s="297" t="e">
        <f t="shared" si="2"/>
        <v>#VALUE!</v>
      </c>
    </row>
    <row r="41" spans="1:15" ht="12.75" x14ac:dyDescent="0.2">
      <c r="A41" s="283" t="e">
        <v>#N/A</v>
      </c>
      <c r="B41" s="284" t="e">
        <f>_xll.qlRateHelperRate($A41,InterestRatesTrigger)</f>
        <v>#VALUE!</v>
      </c>
      <c r="C41" s="287" t="e">
        <f>_xll.qlRateHelperEarliestDate($A41)</f>
        <v>#VALUE!</v>
      </c>
      <c r="D41" s="288" t="e">
        <f>_xll.qlRateHelperLatestDate($A41)</f>
        <v>#VALUE!</v>
      </c>
      <c r="E41" s="285" t="e">
        <v>#N/A</v>
      </c>
      <c r="F41" s="282">
        <v>32</v>
      </c>
      <c r="G41" s="282" t="str">
        <f t="shared" si="0"/>
        <v>x44</v>
      </c>
      <c r="H41" s="294">
        <f>_xll.qlInterestRateIndexFixingDate(IborIndex1Y,J41)</f>
        <v>42832</v>
      </c>
      <c r="I41" s="282" t="str">
        <f>_xll.qlMakeDatedOIS(,J41,K41,OvernightIndex,0,"Act/360",0)</f>
        <v>obj_0048b#0000</v>
      </c>
      <c r="J41" s="294">
        <f>_xll.qlCalendarAdvance(Calendar,$D$2,F41&amp;"M","mf")</f>
        <v>42836</v>
      </c>
      <c r="K41" s="294">
        <f>_xll.qlInterestRateIndexMaturity(IborIndex1Y,J41)</f>
        <v>43201</v>
      </c>
      <c r="L41" s="279"/>
      <c r="M41" s="297">
        <f>_xll.qlOvernightIndexedSwapFairRate(I41,Contribution!$P$40)</f>
        <v>2.2563868104759646E-2</v>
      </c>
      <c r="N41" s="298" t="e">
        <f>_xll.qlInterpolationInterpolate(BasisInterpolator1Y,J41,,M41)</f>
        <v>#VALUE!</v>
      </c>
      <c r="O41" s="297" t="e">
        <f t="shared" si="2"/>
        <v>#VALUE!</v>
      </c>
    </row>
    <row r="42" spans="1:15" ht="12.75" x14ac:dyDescent="0.2">
      <c r="A42" s="283" t="e">
        <v>#N/A</v>
      </c>
      <c r="B42" s="284" t="e">
        <f>_xll.qlRateHelperRate($A42,InterestRatesTrigger)</f>
        <v>#VALUE!</v>
      </c>
      <c r="C42" s="287" t="e">
        <f>_xll.qlRateHelperEarliestDate($A42)</f>
        <v>#VALUE!</v>
      </c>
      <c r="D42" s="288" t="e">
        <f>_xll.qlRateHelperLatestDate($A42)</f>
        <v>#VALUE!</v>
      </c>
      <c r="E42" s="285" t="e">
        <v>#N/A</v>
      </c>
      <c r="F42" s="282">
        <v>33</v>
      </c>
      <c r="G42" s="282" t="str">
        <f t="shared" si="0"/>
        <v>x45</v>
      </c>
      <c r="H42" s="294">
        <f>_xll.qlInterestRateIndexFixingDate(IborIndex1Y,J42)</f>
        <v>42864</v>
      </c>
      <c r="I42" s="282" t="str">
        <f>_xll.qlMakeDatedOIS(,J42,K42,OvernightIndex,0,"Act/360",0)</f>
        <v>obj_00483#0000</v>
      </c>
      <c r="J42" s="294">
        <f>_xll.qlCalendarAdvance(Calendar,$D$2,F42&amp;"M","mf")</f>
        <v>42866</v>
      </c>
      <c r="K42" s="294">
        <f>_xll.qlInterestRateIndexMaturity(IborIndex1Y,J42)</f>
        <v>43231</v>
      </c>
      <c r="L42" s="279"/>
      <c r="M42" s="297">
        <f>_xll.qlOvernightIndexedSwapFairRate(I42,Contribution!$P$40)</f>
        <v>2.3034633243614561E-2</v>
      </c>
      <c r="N42" s="298" t="e">
        <f>_xll.qlInterpolationInterpolate(BasisInterpolator1Y,J42,,M42)</f>
        <v>#VALUE!</v>
      </c>
      <c r="O42" s="297" t="e">
        <f t="shared" si="2"/>
        <v>#VALUE!</v>
      </c>
    </row>
    <row r="43" spans="1:15" ht="12.75" x14ac:dyDescent="0.2">
      <c r="A43" s="283" t="e">
        <v>#N/A</v>
      </c>
      <c r="B43" s="284" t="e">
        <f>_xll.qlRateHelperRate($A43,InterestRatesTrigger)</f>
        <v>#VALUE!</v>
      </c>
      <c r="C43" s="287" t="e">
        <f>_xll.qlRateHelperEarliestDate($A43)</f>
        <v>#VALUE!</v>
      </c>
      <c r="D43" s="288" t="e">
        <f>_xll.qlRateHelperLatestDate($A43)</f>
        <v>#VALUE!</v>
      </c>
      <c r="E43" s="285" t="e">
        <v>#N/A</v>
      </c>
      <c r="F43" s="282">
        <v>34</v>
      </c>
      <c r="G43" s="282" t="str">
        <f t="shared" si="0"/>
        <v>x46</v>
      </c>
      <c r="H43" s="294">
        <f>_xll.qlInterestRateIndexFixingDate(IborIndex1Y,J43)</f>
        <v>42894</v>
      </c>
      <c r="I43" s="282" t="str">
        <f>_xll.qlMakeDatedOIS(,J43,K43,OvernightIndex,0,"Act/360",0)</f>
        <v>obj_0045e#0000</v>
      </c>
      <c r="J43" s="294">
        <f>_xll.qlCalendarAdvance(Calendar,$D$2,F43&amp;"M","mf")</f>
        <v>42898</v>
      </c>
      <c r="K43" s="294">
        <f>_xll.qlInterestRateIndexMaturity(IborIndex1Y,J43)</f>
        <v>43263</v>
      </c>
      <c r="L43" s="279"/>
      <c r="M43" s="297">
        <f>_xll.qlOvernightIndexedSwapFairRate(I43,Contribution!$P$40)</f>
        <v>2.3508315267283166E-2</v>
      </c>
      <c r="N43" s="298" t="e">
        <f>_xll.qlInterpolationInterpolate(BasisInterpolator1Y,J43,,M43)</f>
        <v>#VALUE!</v>
      </c>
      <c r="O43" s="297" t="e">
        <f t="shared" si="2"/>
        <v>#VALUE!</v>
      </c>
    </row>
    <row r="44" spans="1:15" ht="12.75" x14ac:dyDescent="0.2">
      <c r="A44" s="283" t="e">
        <v>#N/A</v>
      </c>
      <c r="B44" s="284" t="e">
        <f>_xll.qlRateHelperRate($A44,InterestRatesTrigger)</f>
        <v>#VALUE!</v>
      </c>
      <c r="C44" s="287" t="e">
        <f>_xll.qlRateHelperEarliestDate($A44)</f>
        <v>#VALUE!</v>
      </c>
      <c r="D44" s="288" t="e">
        <f>_xll.qlRateHelperLatestDate($A44)</f>
        <v>#VALUE!</v>
      </c>
      <c r="E44" s="285" t="e">
        <v>#N/A</v>
      </c>
      <c r="F44" s="282">
        <v>35</v>
      </c>
      <c r="G44" s="282" t="str">
        <f t="shared" si="0"/>
        <v>x47</v>
      </c>
      <c r="H44" s="294">
        <f>_xll.qlInterestRateIndexFixingDate(IborIndex1Y,J44)</f>
        <v>42923</v>
      </c>
      <c r="I44" s="282" t="str">
        <f>_xll.qlMakeDatedOIS(,J44,K44,OvernightIndex,0,"Act/360",0)</f>
        <v>obj_00482#0000</v>
      </c>
      <c r="J44" s="294">
        <f>_xll.qlCalendarAdvance(Calendar,$D$2,F44&amp;"M","mf")</f>
        <v>42927</v>
      </c>
      <c r="K44" s="294">
        <f>_xll.qlInterestRateIndexMaturity(IborIndex1Y,J44)</f>
        <v>43292</v>
      </c>
      <c r="L44" s="279"/>
      <c r="M44" s="297">
        <f>_xll.qlOvernightIndexedSwapFairRate(I44,Contribution!$P$40)</f>
        <v>2.3912214055193101E-2</v>
      </c>
      <c r="N44" s="298" t="e">
        <f>_xll.qlInterpolationInterpolate(BasisInterpolator1Y,J44,,M44)</f>
        <v>#VALUE!</v>
      </c>
      <c r="O44" s="297" t="e">
        <f t="shared" si="2"/>
        <v>#VALUE!</v>
      </c>
    </row>
    <row r="45" spans="1:15" ht="12.75" x14ac:dyDescent="0.2">
      <c r="A45" s="283" t="e">
        <v>#N/A</v>
      </c>
      <c r="B45" s="284" t="e">
        <f>_xll.qlRateHelperRate($A45,InterestRatesTrigger)</f>
        <v>#VALUE!</v>
      </c>
      <c r="C45" s="287" t="e">
        <f>_xll.qlRateHelperEarliestDate($A45)</f>
        <v>#VALUE!</v>
      </c>
      <c r="D45" s="288" t="e">
        <f>_xll.qlRateHelperLatestDate($A45)</f>
        <v>#VALUE!</v>
      </c>
      <c r="E45" s="293" t="e">
        <v>#N/A</v>
      </c>
      <c r="F45" s="282">
        <v>37</v>
      </c>
      <c r="G45" s="282" t="str">
        <f t="shared" si="0"/>
        <v>x49</v>
      </c>
      <c r="H45" s="294">
        <f>_xll.qlInterestRateIndexFixingDate(IborIndex1Y,J45)</f>
        <v>42985</v>
      </c>
      <c r="I45" s="282" t="str">
        <f>_xll.qlMakeDatedOIS(,J45,K45,OvernightIndex,0,"Act/360",0)</f>
        <v>obj_00469#0000</v>
      </c>
      <c r="J45" s="294">
        <f>_xll.qlCalendarAdvance(Calendar,$D$2,F45&amp;"M","mf")</f>
        <v>42989</v>
      </c>
      <c r="K45" s="294">
        <f>_xll.qlInterestRateIndexMaturity(IborIndex1Y,J45)</f>
        <v>43354</v>
      </c>
      <c r="L45" s="279"/>
      <c r="M45" s="297">
        <f>_xll.qlOvernightIndexedSwapFairRate(I45,Contribution!$P$40)</f>
        <v>2.469508938074573E-2</v>
      </c>
      <c r="N45" s="298" t="e">
        <f>_xll.qlInterpolationInterpolate(BasisInterpolator1Y,J45,,M45)</f>
        <v>#VALUE!</v>
      </c>
      <c r="O45" s="297" t="e">
        <f t="shared" si="2"/>
        <v>#VALUE!</v>
      </c>
    </row>
    <row r="46" spans="1:15" ht="12.75" x14ac:dyDescent="0.2">
      <c r="A46" s="283" t="e">
        <v>#N/A</v>
      </c>
      <c r="B46" s="284" t="e">
        <f>_xll.qlRateHelperRate($A46,InterestRatesTrigger)</f>
        <v>#VALUE!</v>
      </c>
      <c r="C46" s="287" t="e">
        <f>_xll.qlRateHelperEarliestDate($A46)</f>
        <v>#VALUE!</v>
      </c>
      <c r="D46" s="288" t="e">
        <f>_xll.qlRateHelperLatestDate($A46)</f>
        <v>#VALUE!</v>
      </c>
      <c r="E46" s="293" t="e">
        <v>#N/A</v>
      </c>
      <c r="F46" s="282">
        <v>38</v>
      </c>
      <c r="G46" s="282" t="str">
        <f t="shared" si="0"/>
        <v>x50</v>
      </c>
      <c r="H46" s="294">
        <f>_xll.qlInterestRateIndexFixingDate(IborIndex1Y,J46)</f>
        <v>43017</v>
      </c>
      <c r="I46" s="282" t="str">
        <f>_xll.qlMakeDatedOIS(,J46,K46,OvernightIndex,0,"Act/360",0)</f>
        <v>obj_0044c#0000</v>
      </c>
      <c r="J46" s="294">
        <f>_xll.qlCalendarAdvance(Calendar,$D$2,F46&amp;"M","mf")</f>
        <v>43019</v>
      </c>
      <c r="K46" s="294">
        <f>_xll.qlInterestRateIndexMaturity(IborIndex1Y,J46)</f>
        <v>43384</v>
      </c>
      <c r="L46" s="279"/>
      <c r="M46" s="297">
        <f>_xll.qlOvernightIndexedSwapFairRate(I46,Contribution!$P$40)</f>
        <v>2.5036153494092574E-2</v>
      </c>
      <c r="N46" s="298" t="e">
        <f>_xll.qlInterpolationInterpolate(BasisInterpolator1Y,J46,,M46)</f>
        <v>#VALUE!</v>
      </c>
      <c r="O46" s="297" t="e">
        <f t="shared" si="2"/>
        <v>#VALUE!</v>
      </c>
    </row>
    <row r="47" spans="1:15" ht="12.75" x14ac:dyDescent="0.2">
      <c r="A47" s="283" t="e">
        <v>#N/A</v>
      </c>
      <c r="B47" s="284" t="e">
        <f>_xll.qlRateHelperRate($A47,InterestRatesTrigger)</f>
        <v>#VALUE!</v>
      </c>
      <c r="C47" s="287" t="e">
        <f>_xll.qlRateHelperEarliestDate($A47)</f>
        <v>#VALUE!</v>
      </c>
      <c r="D47" s="288" t="e">
        <f>_xll.qlRateHelperLatestDate($A47)</f>
        <v>#VALUE!</v>
      </c>
      <c r="E47" s="293" t="e">
        <v>#N/A</v>
      </c>
      <c r="F47" s="282">
        <v>39</v>
      </c>
      <c r="G47" s="282" t="str">
        <f t="shared" si="0"/>
        <v>x51</v>
      </c>
      <c r="H47" s="294">
        <f>_xll.qlInterestRateIndexFixingDate(IborIndex1Y,J47)</f>
        <v>43048</v>
      </c>
      <c r="I47" s="282" t="str">
        <f>_xll.qlMakeDatedOIS(,J47,K47,OvernightIndex,0,"Act/360",0)</f>
        <v>obj_0044d#0000</v>
      </c>
      <c r="J47" s="294">
        <f>_xll.qlCalendarAdvance(Calendar,$D$2,F47&amp;"M","mf")</f>
        <v>43052</v>
      </c>
      <c r="K47" s="294">
        <f>_xll.qlInterestRateIndexMaturity(IborIndex1Y,J47)</f>
        <v>43417</v>
      </c>
      <c r="L47" s="279"/>
      <c r="M47" s="297">
        <f>_xll.qlOvernightIndexedSwapFairRate(I47,Contribution!$P$40)</f>
        <v>2.5385545879934295E-2</v>
      </c>
      <c r="N47" s="298" t="e">
        <f>_xll.qlInterpolationInterpolate(BasisInterpolator1Y,J47,,M47)</f>
        <v>#VALUE!</v>
      </c>
      <c r="O47" s="297" t="e">
        <f t="shared" si="2"/>
        <v>#VALUE!</v>
      </c>
    </row>
    <row r="48" spans="1:15" ht="12.75" x14ac:dyDescent="0.2">
      <c r="A48" s="283" t="e">
        <v>#N/A</v>
      </c>
      <c r="B48" s="284" t="e">
        <f>_xll.qlRateHelperRate($A48,InterestRatesTrigger)</f>
        <v>#VALUE!</v>
      </c>
      <c r="C48" s="287" t="e">
        <f>_xll.qlRateHelperEarliestDate($A48)</f>
        <v>#VALUE!</v>
      </c>
      <c r="D48" s="288" t="e">
        <f>_xll.qlRateHelperLatestDate($A48)</f>
        <v>#VALUE!</v>
      </c>
      <c r="E48" s="293" t="e">
        <v>#N/A</v>
      </c>
      <c r="F48" s="282">
        <v>40</v>
      </c>
      <c r="G48" s="282" t="str">
        <f t="shared" si="0"/>
        <v>x52</v>
      </c>
      <c r="H48" s="294">
        <f>_xll.qlInterestRateIndexFixingDate(IborIndex1Y,J48)</f>
        <v>43076</v>
      </c>
      <c r="I48" s="282" t="str">
        <f>_xll.qlMakeDatedOIS(,J48,K48,OvernightIndex,0,"Act/360",0)</f>
        <v>obj_00453#0000</v>
      </c>
      <c r="J48" s="294">
        <f>_xll.qlCalendarAdvance(Calendar,$D$2,F48&amp;"M","mf")</f>
        <v>43080</v>
      </c>
      <c r="K48" s="294">
        <f>_xll.qlInterestRateIndexMaturity(IborIndex1Y,J48)</f>
        <v>43445</v>
      </c>
      <c r="L48" s="279"/>
      <c r="M48" s="297">
        <f>_xll.qlOvernightIndexedSwapFairRate(I48,Contribution!$P$40)</f>
        <v>2.5662498294105968E-2</v>
      </c>
      <c r="N48" s="298" t="e">
        <f>_xll.qlInterpolationInterpolate(BasisInterpolator1Y,J48,,M48)</f>
        <v>#VALUE!</v>
      </c>
      <c r="O48" s="297" t="e">
        <f t="shared" si="2"/>
        <v>#VALUE!</v>
      </c>
    </row>
    <row r="49" spans="1:15" ht="12.75" x14ac:dyDescent="0.2">
      <c r="A49" s="283" t="e">
        <v>#N/A</v>
      </c>
      <c r="B49" s="284" t="e">
        <f>_xll.qlRateHelperRate($A49,InterestRatesTrigger)</f>
        <v>#VALUE!</v>
      </c>
      <c r="C49" s="287" t="e">
        <f>_xll.qlRateHelperEarliestDate($A49)</f>
        <v>#VALUE!</v>
      </c>
      <c r="D49" s="288" t="e">
        <f>_xll.qlRateHelperLatestDate($A49)</f>
        <v>#VALUE!</v>
      </c>
      <c r="E49" s="293" t="e">
        <v>#N/A</v>
      </c>
      <c r="F49" s="282">
        <v>41</v>
      </c>
      <c r="G49" s="282" t="str">
        <f t="shared" si="0"/>
        <v>x53</v>
      </c>
      <c r="H49" s="294">
        <f>_xll.qlInterestRateIndexFixingDate(IborIndex1Y,J49)</f>
        <v>43109</v>
      </c>
      <c r="I49" s="282" t="str">
        <f>_xll.qlMakeDatedOIS(,J49,K49,OvernightIndex,0,"Act/360",0)</f>
        <v>obj_00445#0000</v>
      </c>
      <c r="J49" s="294">
        <f>_xll.qlCalendarAdvance(Calendar,$D$2,F49&amp;"M","mf")</f>
        <v>43111</v>
      </c>
      <c r="K49" s="294">
        <f>_xll.qlInterestRateIndexMaturity(IborIndex1Y,J49)</f>
        <v>43476</v>
      </c>
      <c r="L49" s="279"/>
      <c r="M49" s="297">
        <f>_xll.qlOvernightIndexedSwapFairRate(I49,Contribution!$P$40)</f>
        <v>2.5950059229645519E-2</v>
      </c>
      <c r="N49" s="298" t="e">
        <f>_xll.qlInterpolationInterpolate(BasisInterpolator1Y,J49,,M49)</f>
        <v>#VALUE!</v>
      </c>
      <c r="O49" s="297" t="e">
        <f t="shared" si="2"/>
        <v>#VALUE!</v>
      </c>
    </row>
    <row r="50" spans="1:15" ht="12.75" x14ac:dyDescent="0.2">
      <c r="A50" s="283" t="e">
        <v>#N/A</v>
      </c>
      <c r="B50" s="284" t="e">
        <f>_xll.qlRateHelperRate($A50,InterestRatesTrigger)</f>
        <v>#VALUE!</v>
      </c>
      <c r="C50" s="287" t="e">
        <f>_xll.qlRateHelperEarliestDate($A50)</f>
        <v>#VALUE!</v>
      </c>
      <c r="D50" s="288" t="e">
        <f>_xll.qlRateHelperLatestDate($A50)</f>
        <v>#VALUE!</v>
      </c>
      <c r="E50" s="293" t="e">
        <v>#N/A</v>
      </c>
      <c r="F50" s="282">
        <v>42</v>
      </c>
      <c r="G50" s="282" t="str">
        <f t="shared" si="0"/>
        <v>x54</v>
      </c>
      <c r="H50" s="294">
        <f>_xll.qlInterestRateIndexFixingDate(IborIndex1Y,J50)</f>
        <v>43139</v>
      </c>
      <c r="I50" s="282" t="str">
        <f>_xll.qlMakeDatedOIS(,J50,K50,OvernightIndex,0,"Act/360",0)</f>
        <v>obj_00474#0000</v>
      </c>
      <c r="J50" s="294">
        <f>_xll.qlCalendarAdvance(Calendar,$D$2,F50&amp;"M","mf")</f>
        <v>43143</v>
      </c>
      <c r="K50" s="294">
        <f>_xll.qlInterestRateIndexMaturity(IborIndex1Y,J50)</f>
        <v>43508</v>
      </c>
      <c r="L50" s="279"/>
      <c r="M50" s="297">
        <f>_xll.qlOvernightIndexedSwapFairRate(I50,Contribution!$P$40)</f>
        <v>2.6227868183638401E-2</v>
      </c>
      <c r="N50" s="298" t="e">
        <f>_xll.qlInterpolationInterpolate(BasisInterpolator1Y,J50,,M50)</f>
        <v>#VALUE!</v>
      </c>
      <c r="O50" s="297" t="e">
        <f t="shared" si="2"/>
        <v>#VALUE!</v>
      </c>
    </row>
    <row r="51" spans="1:15" ht="12.75" x14ac:dyDescent="0.2">
      <c r="A51" s="283" t="e">
        <v>#N/A</v>
      </c>
      <c r="B51" s="284" t="e">
        <f>_xll.qlRateHelperRate($A51,InterestRatesTrigger)</f>
        <v>#VALUE!</v>
      </c>
      <c r="C51" s="287" t="e">
        <f>_xll.qlRateHelperEarliestDate($A51)</f>
        <v>#VALUE!</v>
      </c>
      <c r="D51" s="288" t="e">
        <f>_xll.qlRateHelperLatestDate($A51)</f>
        <v>#VALUE!</v>
      </c>
      <c r="E51" s="293" t="e">
        <v>#N/A</v>
      </c>
      <c r="F51" s="282">
        <v>43</v>
      </c>
      <c r="G51" s="282" t="str">
        <f t="shared" si="0"/>
        <v>x55</v>
      </c>
      <c r="H51" s="294">
        <f>_xll.qlInterestRateIndexFixingDate(IborIndex1Y,J51)</f>
        <v>43167</v>
      </c>
      <c r="I51" s="282" t="str">
        <f>_xll.qlMakeDatedOIS(,J51,K51,OvernightIndex,0,"Act/360",0)</f>
        <v>obj_00448#0000</v>
      </c>
      <c r="J51" s="294">
        <f>_xll.qlCalendarAdvance(Calendar,$D$2,F51&amp;"M","mf")</f>
        <v>43171</v>
      </c>
      <c r="K51" s="294">
        <f>_xll.qlInterestRateIndexMaturity(IborIndex1Y,J51)</f>
        <v>43536</v>
      </c>
      <c r="L51" s="279"/>
      <c r="M51" s="297">
        <f>_xll.qlOvernightIndexedSwapFairRate(I51,Contribution!$P$40)</f>
        <v>2.6456751834608772E-2</v>
      </c>
      <c r="N51" s="298" t="e">
        <f>_xll.qlInterpolationInterpolate(BasisInterpolator1Y,J51,,M51)</f>
        <v>#VALUE!</v>
      </c>
      <c r="O51" s="297" t="e">
        <f t="shared" si="2"/>
        <v>#VALUE!</v>
      </c>
    </row>
    <row r="52" spans="1:15" ht="12.75" x14ac:dyDescent="0.2">
      <c r="A52" s="283" t="e">
        <v>#N/A</v>
      </c>
      <c r="B52" s="284" t="e">
        <f>_xll.qlRateHelperRate($A52,InterestRatesTrigger)</f>
        <v>#VALUE!</v>
      </c>
      <c r="C52" s="287" t="e">
        <f>_xll.qlRateHelperEarliestDate($A52)</f>
        <v>#VALUE!</v>
      </c>
      <c r="D52" s="288" t="e">
        <f>_xll.qlRateHelperLatestDate($A52)</f>
        <v>#VALUE!</v>
      </c>
      <c r="E52" s="293" t="e">
        <v>#N/A</v>
      </c>
      <c r="F52" s="282">
        <v>44</v>
      </c>
      <c r="G52" s="282" t="str">
        <f t="shared" si="0"/>
        <v>x56</v>
      </c>
      <c r="H52" s="294">
        <f>_xll.qlInterestRateIndexFixingDate(IborIndex1Y,J52)</f>
        <v>43199</v>
      </c>
      <c r="I52" s="282" t="str">
        <f>_xll.qlMakeDatedOIS(,J52,K52,OvernightIndex,0,"Act/360",0)</f>
        <v>obj_00449#0000</v>
      </c>
      <c r="J52" s="294">
        <f>_xll.qlCalendarAdvance(Calendar,$D$2,F52&amp;"M","mf")</f>
        <v>43201</v>
      </c>
      <c r="K52" s="294">
        <f>_xll.qlInterestRateIndexMaturity(IborIndex1Y,J52)</f>
        <v>43566</v>
      </c>
      <c r="L52" s="279"/>
      <c r="M52" s="297">
        <f>_xll.qlOvernightIndexedSwapFairRate(I52,Contribution!$P$40)</f>
        <v>2.6688978353738749E-2</v>
      </c>
      <c r="N52" s="298" t="e">
        <f>_xll.qlInterpolationInterpolate(BasisInterpolator1Y,J52,,M52)</f>
        <v>#VALUE!</v>
      </c>
      <c r="O52" s="297" t="e">
        <f t="shared" si="2"/>
        <v>#VALUE!</v>
      </c>
    </row>
    <row r="53" spans="1:15" ht="12.75" x14ac:dyDescent="0.2">
      <c r="A53" s="283" t="e">
        <v>#N/A</v>
      </c>
      <c r="B53" s="284" t="e">
        <f>_xll.qlRateHelperRate($A53,InterestRatesTrigger)</f>
        <v>#VALUE!</v>
      </c>
      <c r="C53" s="287" t="e">
        <f>_xll.qlRateHelperEarliestDate($A53)</f>
        <v>#VALUE!</v>
      </c>
      <c r="D53" s="288" t="e">
        <f>_xll.qlRateHelperLatestDate($A53)</f>
        <v>#VALUE!</v>
      </c>
      <c r="E53" s="293" t="e">
        <v>#N/A</v>
      </c>
      <c r="F53" s="282">
        <v>45</v>
      </c>
      <c r="G53" s="282" t="str">
        <f t="shared" si="0"/>
        <v>x57</v>
      </c>
      <c r="H53" s="294">
        <f>_xll.qlInterestRateIndexFixingDate(IborIndex1Y,J53)</f>
        <v>43229</v>
      </c>
      <c r="I53" s="282" t="str">
        <f>_xll.qlMakeDatedOIS(,J53,K53,OvernightIndex,0,"Act/360",0)</f>
        <v>obj_0044f#0000</v>
      </c>
      <c r="J53" s="294">
        <f>_xll.qlCalendarAdvance(Calendar,$D$2,F53&amp;"M","mf")</f>
        <v>43231</v>
      </c>
      <c r="K53" s="294">
        <f>_xll.qlInterestRateIndexMaturity(IborIndex1Y,J53)</f>
        <v>43598</v>
      </c>
      <c r="L53" s="279"/>
      <c r="M53" s="297">
        <f>_xll.qlOvernightIndexedSwapFairRate(I53,Contribution!$P$40)</f>
        <v>2.6918095282034982E-2</v>
      </c>
      <c r="N53" s="298" t="e">
        <f>_xll.qlInterpolationInterpolate(BasisInterpolator1Y,J53,,M53)</f>
        <v>#VALUE!</v>
      </c>
      <c r="O53" s="297" t="e">
        <f t="shared" si="2"/>
        <v>#VALUE!</v>
      </c>
    </row>
    <row r="54" spans="1:15" ht="12.75" x14ac:dyDescent="0.2">
      <c r="A54" s="283" t="e">
        <v>#N/A</v>
      </c>
      <c r="B54" s="284" t="e">
        <f>_xll.qlRateHelperRate($A54,InterestRatesTrigger)</f>
        <v>#VALUE!</v>
      </c>
      <c r="C54" s="287" t="e">
        <f>_xll.qlRateHelperEarliestDate($A54)</f>
        <v>#VALUE!</v>
      </c>
      <c r="D54" s="288" t="e">
        <f>_xll.qlRateHelperLatestDate($A54)</f>
        <v>#VALUE!</v>
      </c>
      <c r="E54" s="293" t="e">
        <v>#N/A</v>
      </c>
      <c r="F54" s="282">
        <v>46</v>
      </c>
      <c r="G54" s="282" t="str">
        <f t="shared" si="0"/>
        <v>x58</v>
      </c>
      <c r="H54" s="294">
        <f>_xll.qlInterestRateIndexFixingDate(IborIndex1Y,J54)</f>
        <v>43258</v>
      </c>
      <c r="I54" s="282" t="str">
        <f>_xll.qlMakeDatedOIS(,J54,K54,OvernightIndex,0,"Act/360",0)</f>
        <v>obj_00490#0000</v>
      </c>
      <c r="J54" s="294">
        <f>_xll.qlCalendarAdvance(Calendar,$D$2,F54&amp;"M","mf")</f>
        <v>43262</v>
      </c>
      <c r="K54" s="294">
        <f>_xll.qlInterestRateIndexMaturity(IborIndex1Y,J54)</f>
        <v>43627</v>
      </c>
      <c r="L54" s="279"/>
      <c r="M54" s="297">
        <f>_xll.qlOvernightIndexedSwapFairRate(I54,Contribution!$P$40)</f>
        <v>2.7126863699308477E-2</v>
      </c>
      <c r="N54" s="298" t="e">
        <f>_xll.qlInterpolationInterpolate(BasisInterpolator1Y,J54,,M54)</f>
        <v>#VALUE!</v>
      </c>
      <c r="O54" s="297" t="e">
        <f t="shared" si="2"/>
        <v>#VALUE!</v>
      </c>
    </row>
    <row r="55" spans="1:15" ht="12.75" x14ac:dyDescent="0.2">
      <c r="A55" s="283" t="e">
        <v>#N/A</v>
      </c>
      <c r="B55" s="284" t="e">
        <f>_xll.qlRateHelperRate($A55,InterestRatesTrigger)</f>
        <v>#VALUE!</v>
      </c>
      <c r="C55" s="287" t="e">
        <f>_xll.qlRateHelperEarliestDate($A55)</f>
        <v>#VALUE!</v>
      </c>
      <c r="D55" s="288" t="e">
        <f>_xll.qlRateHelperLatestDate($A55)</f>
        <v>#VALUE!</v>
      </c>
      <c r="E55" s="293" t="e">
        <v>#N/A</v>
      </c>
      <c r="F55" s="282">
        <v>47</v>
      </c>
      <c r="G55" s="282" t="str">
        <f t="shared" si="0"/>
        <v>x59</v>
      </c>
      <c r="H55" s="294">
        <f>_xll.qlInterestRateIndexFixingDate(IborIndex1Y,J55)</f>
        <v>43290</v>
      </c>
      <c r="I55" s="282" t="str">
        <f>_xll.qlMakeDatedOIS(,J55,K55,OvernightIndex,0,"Act/360",0)</f>
        <v>obj_00450#0000</v>
      </c>
      <c r="J55" s="294">
        <f>_xll.qlCalendarAdvance(Calendar,$D$2,F55&amp;"M","mf")</f>
        <v>43292</v>
      </c>
      <c r="K55" s="294">
        <f>_xll.qlInterestRateIndexMaturity(IborIndex1Y,J55)</f>
        <v>43657</v>
      </c>
      <c r="L55" s="279"/>
      <c r="M55" s="297">
        <f>_xll.qlOvernightIndexedSwapFairRate(I55,Contribution!$P$40)</f>
        <v>2.7328941132492419E-2</v>
      </c>
      <c r="N55" s="298" t="e">
        <f>_xll.qlInterpolationInterpolate(BasisInterpolator1Y,J55,,M55)</f>
        <v>#VALUE!</v>
      </c>
      <c r="O55" s="297" t="e">
        <f t="shared" si="2"/>
        <v>#VALUE!</v>
      </c>
    </row>
    <row r="56" spans="1:15" ht="12.75" x14ac:dyDescent="0.2">
      <c r="A56" s="283" t="e">
        <v>#N/A</v>
      </c>
      <c r="B56" s="284" t="e">
        <f>_xll.qlRateHelperRate($A56,InterestRatesTrigger)</f>
        <v>#VALUE!</v>
      </c>
      <c r="C56" s="287" t="e">
        <f>_xll.qlRateHelperEarliestDate($A56)</f>
        <v>#VALUE!</v>
      </c>
      <c r="D56" s="288" t="e">
        <f>_xll.qlRateHelperLatestDate($A56)</f>
        <v>#VALUE!</v>
      </c>
      <c r="E56" s="293" t="e">
        <v>#N/A</v>
      </c>
      <c r="F56" s="279"/>
      <c r="G56" s="296"/>
      <c r="H56" s="279"/>
      <c r="I56" s="279"/>
      <c r="J56" s="279"/>
      <c r="K56" s="279"/>
      <c r="L56" s="279"/>
      <c r="M56" s="279"/>
      <c r="N56" s="279"/>
      <c r="O56" s="296"/>
    </row>
    <row r="57" spans="1:15" ht="12.75" x14ac:dyDescent="0.2">
      <c r="A57" s="283" t="e">
        <v>#N/A</v>
      </c>
      <c r="B57" s="284" t="e">
        <f>_xll.qlRateHelperRate($A57,InterestRatesTrigger)</f>
        <v>#VALUE!</v>
      </c>
      <c r="C57" s="287" t="e">
        <f>_xll.qlRateHelperEarliestDate($A57)</f>
        <v>#VALUE!</v>
      </c>
      <c r="D57" s="288" t="e">
        <f>_xll.qlRateHelperLatestDate($A57)</f>
        <v>#VALUE!</v>
      </c>
      <c r="E57" s="293" t="e">
        <v>#N/A</v>
      </c>
      <c r="F57" s="279"/>
      <c r="G57" s="296"/>
      <c r="H57" s="279"/>
      <c r="I57" s="279"/>
      <c r="J57" s="279"/>
      <c r="K57" s="279"/>
      <c r="L57" s="279"/>
      <c r="M57" s="279"/>
      <c r="N57" s="279"/>
      <c r="O57" s="296"/>
    </row>
    <row r="58" spans="1:15" ht="12.75" x14ac:dyDescent="0.2">
      <c r="A58" s="283" t="e">
        <v>#N/A</v>
      </c>
      <c r="B58" s="284" t="e">
        <f>_xll.qlRateHelperRate($A58,InterestRatesTrigger)</f>
        <v>#VALUE!</v>
      </c>
      <c r="C58" s="287" t="e">
        <f>_xll.qlRateHelperEarliestDate($A58)</f>
        <v>#VALUE!</v>
      </c>
      <c r="D58" s="288" t="e">
        <f>_xll.qlRateHelperLatestDate($A58)</f>
        <v>#VALUE!</v>
      </c>
      <c r="E58" s="293" t="e">
        <v>#N/A</v>
      </c>
      <c r="F58" s="279"/>
      <c r="G58" s="296"/>
      <c r="H58" s="279"/>
      <c r="I58" s="279"/>
      <c r="J58" s="279"/>
      <c r="K58" s="279"/>
      <c r="L58" s="279"/>
      <c r="M58" s="279"/>
      <c r="N58" s="279"/>
    </row>
    <row r="59" spans="1:15" ht="12.75" x14ac:dyDescent="0.2">
      <c r="A59" s="283" t="e">
        <v>#N/A</v>
      </c>
      <c r="B59" s="284" t="e">
        <f>_xll.qlRateHelperRate($A59,InterestRatesTrigger)</f>
        <v>#VALUE!</v>
      </c>
      <c r="C59" s="287" t="e">
        <f>_xll.qlRateHelperEarliestDate($A59)</f>
        <v>#VALUE!</v>
      </c>
      <c r="D59" s="288" t="e">
        <f>_xll.qlRateHelperLatestDate($A59)</f>
        <v>#VALUE!</v>
      </c>
      <c r="E59" s="293" t="e">
        <v>#N/A</v>
      </c>
      <c r="F59" s="279"/>
      <c r="G59" s="296"/>
      <c r="H59" s="279"/>
      <c r="I59" s="279"/>
      <c r="J59" s="279"/>
      <c r="K59" s="279"/>
      <c r="L59" s="279"/>
      <c r="M59" s="279"/>
      <c r="N59" s="279"/>
    </row>
    <row r="60" spans="1:15" ht="12.75" x14ac:dyDescent="0.2">
      <c r="A60" s="283" t="e">
        <v>#N/A</v>
      </c>
      <c r="B60" s="284" t="e">
        <f>_xll.qlRateHelperRate($A60,InterestRatesTrigger)</f>
        <v>#VALUE!</v>
      </c>
      <c r="C60" s="287" t="e">
        <f>_xll.qlRateHelperEarliestDate($A60)</f>
        <v>#VALUE!</v>
      </c>
      <c r="D60" s="288" t="e">
        <f>_xll.qlRateHelperLatestDate($A60)</f>
        <v>#VALUE!</v>
      </c>
      <c r="E60" s="293" t="e">
        <v>#N/A</v>
      </c>
      <c r="F60" s="279"/>
      <c r="G60" s="296"/>
      <c r="H60" s="279"/>
      <c r="I60" s="279"/>
      <c r="J60" s="279"/>
      <c r="K60" s="279"/>
      <c r="L60" s="279"/>
      <c r="M60" s="279"/>
      <c r="N60" s="279"/>
    </row>
    <row r="61" spans="1:15" ht="12.75" x14ac:dyDescent="0.2">
      <c r="A61" s="283" t="e">
        <v>#N/A</v>
      </c>
      <c r="B61" s="284" t="e">
        <f>_xll.qlRateHelperRate($A61,InterestRatesTrigger)</f>
        <v>#VALUE!</v>
      </c>
      <c r="C61" s="287" t="e">
        <f>_xll.qlRateHelperEarliestDate($A61)</f>
        <v>#VALUE!</v>
      </c>
      <c r="D61" s="288" t="e">
        <f>_xll.qlRateHelperLatestDate($A61)</f>
        <v>#VALUE!</v>
      </c>
      <c r="E61" s="293" t="e">
        <v>#N/A</v>
      </c>
      <c r="F61" s="279"/>
      <c r="G61" s="296"/>
      <c r="H61" s="279"/>
      <c r="I61" s="279"/>
      <c r="J61" s="279"/>
      <c r="K61" s="279"/>
      <c r="L61" s="279"/>
      <c r="M61" s="279"/>
      <c r="N61" s="279"/>
    </row>
    <row r="62" spans="1:15" x14ac:dyDescent="0.2">
      <c r="A62" s="283" t="e">
        <v>#N/A</v>
      </c>
      <c r="B62" s="284" t="e">
        <f>_xll.qlRateHelperRate($A62,InterestRatesTrigger)</f>
        <v>#VALUE!</v>
      </c>
      <c r="C62" s="287" t="e">
        <f>_xll.qlRateHelperEarliestDate($A62)</f>
        <v>#VALUE!</v>
      </c>
      <c r="D62" s="288" t="e">
        <f>_xll.qlRateHelperLatestDate($A62)</f>
        <v>#VALUE!</v>
      </c>
      <c r="E62" s="293" t="e">
        <v>#N/A</v>
      </c>
    </row>
    <row r="63" spans="1:15" x14ac:dyDescent="0.2">
      <c r="A63" s="283" t="e">
        <v>#N/A</v>
      </c>
      <c r="B63" s="284" t="e">
        <f>_xll.qlRateHelperRate($A63,InterestRatesTrigger)</f>
        <v>#VALUE!</v>
      </c>
      <c r="C63" s="287" t="e">
        <f>_xll.qlRateHelperEarliestDate($A63)</f>
        <v>#VALUE!</v>
      </c>
      <c r="D63" s="288" t="e">
        <f>_xll.qlRateHelperLatestDate($A63)</f>
        <v>#VALUE!</v>
      </c>
      <c r="E63" s="293" t="e">
        <v>#N/A</v>
      </c>
    </row>
    <row r="64" spans="1:15" x14ac:dyDescent="0.2">
      <c r="A64" s="283" t="e">
        <v>#N/A</v>
      </c>
      <c r="B64" s="284" t="e">
        <f>_xll.qlRateHelperRate($A64,InterestRatesTrigger)</f>
        <v>#VALUE!</v>
      </c>
      <c r="C64" s="287" t="e">
        <f>_xll.qlRateHelperEarliestDate($A64)</f>
        <v>#VALUE!</v>
      </c>
      <c r="D64" s="288" t="e">
        <f>_xll.qlRateHelperLatestDate($A64)</f>
        <v>#VALUE!</v>
      </c>
      <c r="E64" s="293" t="e">
        <v>#N/A</v>
      </c>
    </row>
    <row r="65" spans="1:5" x14ac:dyDescent="0.2">
      <c r="A65" s="283" t="e">
        <v>#N/A</v>
      </c>
      <c r="B65" s="284" t="e">
        <f>_xll.qlRateHelperRate($A65,InterestRatesTrigger)</f>
        <v>#VALUE!</v>
      </c>
      <c r="C65" s="287" t="e">
        <f>_xll.qlRateHelperEarliestDate($A65)</f>
        <v>#VALUE!</v>
      </c>
      <c r="D65" s="288" t="e">
        <f>_xll.qlRateHelperLatestDate($A65)</f>
        <v>#VALUE!</v>
      </c>
      <c r="E65" s="293" t="e">
        <v>#N/A</v>
      </c>
    </row>
    <row r="66" spans="1:5" x14ac:dyDescent="0.2">
      <c r="A66" s="283" t="e">
        <v>#N/A</v>
      </c>
      <c r="B66" s="284" t="e">
        <f>_xll.qlRateHelperRate($A66,InterestRatesTrigger)</f>
        <v>#VALUE!</v>
      </c>
      <c r="C66" s="287" t="e">
        <f>_xll.qlRateHelperEarliestDate($A66)</f>
        <v>#VALUE!</v>
      </c>
      <c r="D66" s="288" t="e">
        <f>_xll.qlRateHelperLatestDate($A66)</f>
        <v>#VALUE!</v>
      </c>
      <c r="E66" s="293" t="e">
        <v>#N/A</v>
      </c>
    </row>
    <row r="67" spans="1:5" x14ac:dyDescent="0.2">
      <c r="A67" s="283" t="e">
        <v>#N/A</v>
      </c>
      <c r="B67" s="284" t="e">
        <f>_xll.qlRateHelperRate($A67,InterestRatesTrigger)</f>
        <v>#VALUE!</v>
      </c>
      <c r="C67" s="287" t="e">
        <f>_xll.qlRateHelperEarliestDate($A67)</f>
        <v>#VALUE!</v>
      </c>
      <c r="D67" s="288" t="e">
        <f>_xll.qlRateHelperLatestDate($A67)</f>
        <v>#VALUE!</v>
      </c>
      <c r="E67" s="293" t="e">
        <v>#N/A</v>
      </c>
    </row>
    <row r="68" spans="1:5" x14ac:dyDescent="0.2">
      <c r="A68" s="283" t="e">
        <v>#N/A</v>
      </c>
      <c r="B68" s="284" t="e">
        <f>_xll.qlRateHelperRate($A68,InterestRatesTrigger)</f>
        <v>#VALUE!</v>
      </c>
      <c r="C68" s="287" t="e">
        <f>_xll.qlRateHelperEarliestDate($A68)</f>
        <v>#VALUE!</v>
      </c>
      <c r="D68" s="288" t="e">
        <f>_xll.qlRateHelperLatestDate($A68)</f>
        <v>#VALUE!</v>
      </c>
      <c r="E68" s="293" t="e">
        <v>#N/A</v>
      </c>
    </row>
    <row r="69" spans="1:5" x14ac:dyDescent="0.2">
      <c r="A69" s="283" t="e">
        <v>#N/A</v>
      </c>
      <c r="B69" s="284" t="e">
        <f>_xll.qlRateHelperRate($A69,InterestRatesTrigger)</f>
        <v>#VALUE!</v>
      </c>
      <c r="C69" s="287" t="e">
        <f>_xll.qlRateHelperEarliestDate($A69)</f>
        <v>#VALUE!</v>
      </c>
      <c r="D69" s="288" t="e">
        <f>_xll.qlRateHelperLatestDate($A69)</f>
        <v>#VALUE!</v>
      </c>
      <c r="E69" s="293" t="e">
        <v>#N/A</v>
      </c>
    </row>
    <row r="70" spans="1:5" x14ac:dyDescent="0.2">
      <c r="A70" s="283" t="e">
        <v>#N/A</v>
      </c>
      <c r="B70" s="284" t="e">
        <f>_xll.qlRateHelperRate($A70,InterestRatesTrigger)</f>
        <v>#VALUE!</v>
      </c>
      <c r="C70" s="287" t="e">
        <f>_xll.qlRateHelperEarliestDate($A70)</f>
        <v>#VALUE!</v>
      </c>
      <c r="D70" s="288" t="e">
        <f>_xll.qlRateHelperLatestDate($A70)</f>
        <v>#VALUE!</v>
      </c>
      <c r="E70" s="293" t="e">
        <v>#N/A</v>
      </c>
    </row>
    <row r="71" spans="1:5" x14ac:dyDescent="0.2">
      <c r="A71" s="283" t="e">
        <v>#N/A</v>
      </c>
      <c r="B71" s="284" t="e">
        <f>_xll.qlRateHelperRate($A71,InterestRatesTrigger)</f>
        <v>#VALUE!</v>
      </c>
      <c r="C71" s="287" t="e">
        <f>_xll.qlRateHelperEarliestDate($A71)</f>
        <v>#VALUE!</v>
      </c>
      <c r="D71" s="288" t="e">
        <f>_xll.qlRateHelperLatestDate($A71)</f>
        <v>#VALUE!</v>
      </c>
      <c r="E71" s="293" t="e">
        <v>#N/A</v>
      </c>
    </row>
    <row r="72" spans="1:5" x14ac:dyDescent="0.2">
      <c r="A72" s="283" t="e">
        <v>#N/A</v>
      </c>
      <c r="B72" s="284" t="e">
        <f>_xll.qlRateHelperRate($A72,InterestRatesTrigger)</f>
        <v>#VALUE!</v>
      </c>
      <c r="C72" s="287" t="e">
        <f>_xll.qlRateHelperEarliestDate($A72)</f>
        <v>#VALUE!</v>
      </c>
      <c r="D72" s="288" t="e">
        <f>_xll.qlRateHelperLatestDate($A72)</f>
        <v>#VALUE!</v>
      </c>
      <c r="E72" s="293" t="e">
        <v>#N/A</v>
      </c>
    </row>
    <row r="73" spans="1:5" x14ac:dyDescent="0.2">
      <c r="A73" s="283" t="e">
        <v>#N/A</v>
      </c>
      <c r="B73" s="284" t="e">
        <f>_xll.qlRateHelperRate($A73,InterestRatesTrigger)</f>
        <v>#VALUE!</v>
      </c>
      <c r="C73" s="287" t="e">
        <f>_xll.qlRateHelperEarliestDate($A73)</f>
        <v>#VALUE!</v>
      </c>
      <c r="D73" s="288" t="e">
        <f>_xll.qlRateHelperLatestDate($A73)</f>
        <v>#VALUE!</v>
      </c>
      <c r="E73" s="293" t="e">
        <v>#N/A</v>
      </c>
    </row>
    <row r="74" spans="1:5" x14ac:dyDescent="0.2">
      <c r="A74" s="283" t="e">
        <v>#N/A</v>
      </c>
      <c r="B74" s="284" t="e">
        <f>_xll.qlRateHelperRate($A74,InterestRatesTrigger)</f>
        <v>#VALUE!</v>
      </c>
      <c r="C74" s="287" t="e">
        <f>_xll.qlRateHelperEarliestDate($A74)</f>
        <v>#VALUE!</v>
      </c>
      <c r="D74" s="288" t="e">
        <f>_xll.qlRateHelperLatestDate($A74)</f>
        <v>#VALUE!</v>
      </c>
      <c r="E74" s="293" t="e">
        <v>#N/A</v>
      </c>
    </row>
    <row r="75" spans="1:5" x14ac:dyDescent="0.2">
      <c r="A75" s="283" t="e">
        <v>#N/A</v>
      </c>
      <c r="B75" s="284" t="e">
        <f>_xll.qlRateHelperRate($A75,InterestRatesTrigger)</f>
        <v>#VALUE!</v>
      </c>
      <c r="C75" s="287" t="e">
        <f>_xll.qlRateHelperEarliestDate($A75)</f>
        <v>#VALUE!</v>
      </c>
      <c r="D75" s="288" t="e">
        <f>_xll.qlRateHelperLatestDate($A75)</f>
        <v>#VALUE!</v>
      </c>
      <c r="E75" s="293" t="e">
        <v>#N/A</v>
      </c>
    </row>
    <row r="76" spans="1:5" x14ac:dyDescent="0.2">
      <c r="A76" s="283" t="e">
        <v>#N/A</v>
      </c>
      <c r="B76" s="284" t="e">
        <f>_xll.qlRateHelperRate($A76,InterestRatesTrigger)</f>
        <v>#VALUE!</v>
      </c>
      <c r="C76" s="287" t="e">
        <f>_xll.qlRateHelperEarliestDate($A76)</f>
        <v>#VALUE!</v>
      </c>
      <c r="D76" s="288" t="e">
        <f>_xll.qlRateHelperLatestDate($A76)</f>
        <v>#VALUE!</v>
      </c>
      <c r="E76" s="293" t="e">
        <v>#N/A</v>
      </c>
    </row>
    <row r="77" spans="1:5" x14ac:dyDescent="0.2">
      <c r="A77" s="283" t="e">
        <v>#N/A</v>
      </c>
      <c r="B77" s="284" t="e">
        <f>_xll.qlRateHelperRate($A77,InterestRatesTrigger)</f>
        <v>#VALUE!</v>
      </c>
      <c r="C77" s="287" t="e">
        <f>_xll.qlRateHelperEarliestDate($A77)</f>
        <v>#VALUE!</v>
      </c>
      <c r="D77" s="288" t="e">
        <f>_xll.qlRateHelperLatestDate($A77)</f>
        <v>#VALUE!</v>
      </c>
      <c r="E77" s="293" t="e">
        <v>#N/A</v>
      </c>
    </row>
    <row r="78" spans="1:5" x14ac:dyDescent="0.2">
      <c r="A78" s="283" t="e">
        <v>#N/A</v>
      </c>
      <c r="B78" s="284" t="e">
        <f>_xll.qlRateHelperRate($A78,InterestRatesTrigger)</f>
        <v>#VALUE!</v>
      </c>
      <c r="C78" s="287" t="e">
        <f>_xll.qlRateHelperEarliestDate($A78)</f>
        <v>#VALUE!</v>
      </c>
      <c r="D78" s="288" t="e">
        <f>_xll.qlRateHelperLatestDate($A78)</f>
        <v>#VALUE!</v>
      </c>
      <c r="E78" s="293" t="e">
        <v>#N/A</v>
      </c>
    </row>
    <row r="79" spans="1:5" x14ac:dyDescent="0.2">
      <c r="A79" s="283" t="e">
        <v>#N/A</v>
      </c>
      <c r="B79" s="284" t="e">
        <f>_xll.qlRateHelperRate($A79,InterestRatesTrigger)</f>
        <v>#VALUE!</v>
      </c>
      <c r="C79" s="287" t="e">
        <f>_xll.qlRateHelperEarliestDate($A79)</f>
        <v>#VALUE!</v>
      </c>
      <c r="D79" s="288" t="e">
        <f>_xll.qlRateHelperLatestDate($A79)</f>
        <v>#VALUE!</v>
      </c>
      <c r="E79" s="293" t="e">
        <v>#N/A</v>
      </c>
    </row>
    <row r="80" spans="1:5" x14ac:dyDescent="0.2">
      <c r="A80" s="283" t="e">
        <v>#N/A</v>
      </c>
      <c r="B80" s="284" t="e">
        <f>_xll.qlRateHelperRate($A80,InterestRatesTrigger)</f>
        <v>#VALUE!</v>
      </c>
      <c r="C80" s="287" t="e">
        <f>_xll.qlRateHelperEarliestDate($A80)</f>
        <v>#VALUE!</v>
      </c>
      <c r="D80" s="288" t="e">
        <f>_xll.qlRateHelperLatestDate($A80)</f>
        <v>#VALUE!</v>
      </c>
      <c r="E80" s="293" t="e">
        <v>#N/A</v>
      </c>
    </row>
    <row r="81" spans="1:5" x14ac:dyDescent="0.2">
      <c r="A81" s="283" t="e">
        <v>#N/A</v>
      </c>
      <c r="B81" s="284" t="e">
        <f>_xll.qlRateHelperRate($A81,InterestRatesTrigger)</f>
        <v>#VALUE!</v>
      </c>
      <c r="C81" s="287" t="e">
        <f>_xll.qlRateHelperEarliestDate($A81)</f>
        <v>#VALUE!</v>
      </c>
      <c r="D81" s="288" t="e">
        <f>_xll.qlRateHelperLatestDate($A81)</f>
        <v>#VALUE!</v>
      </c>
      <c r="E81" s="293" t="e">
        <v>#N/A</v>
      </c>
    </row>
    <row r="82" spans="1:5" x14ac:dyDescent="0.2">
      <c r="A82" s="283" t="e">
        <v>#N/A</v>
      </c>
      <c r="B82" s="284" t="e">
        <f>_xll.qlRateHelperRate($A82,InterestRatesTrigger)</f>
        <v>#VALUE!</v>
      </c>
      <c r="C82" s="287" t="e">
        <f>_xll.qlRateHelperEarliestDate($A82)</f>
        <v>#VALUE!</v>
      </c>
      <c r="D82" s="288" t="e">
        <f>_xll.qlRateHelperLatestDate($A82)</f>
        <v>#VALUE!</v>
      </c>
      <c r="E82" s="293" t="e">
        <v>#N/A</v>
      </c>
    </row>
    <row r="83" spans="1:5" x14ac:dyDescent="0.2">
      <c r="A83" s="283" t="e">
        <v>#N/A</v>
      </c>
      <c r="B83" s="284" t="e">
        <f>_xll.qlRateHelperRate($A83,InterestRatesTrigger)</f>
        <v>#VALUE!</v>
      </c>
      <c r="C83" s="287" t="e">
        <f>_xll.qlRateHelperEarliestDate($A83)</f>
        <v>#VALUE!</v>
      </c>
      <c r="D83" s="288" t="e">
        <f>_xll.qlRateHelperLatestDate($A83)</f>
        <v>#VALUE!</v>
      </c>
      <c r="E83" s="293" t="e">
        <v>#N/A</v>
      </c>
    </row>
    <row r="84" spans="1:5" x14ac:dyDescent="0.2">
      <c r="A84" s="283" t="e">
        <v>#N/A</v>
      </c>
      <c r="B84" s="284" t="e">
        <f>_xll.qlRateHelperRate($A84,InterestRatesTrigger)</f>
        <v>#VALUE!</v>
      </c>
      <c r="C84" s="287" t="e">
        <f>_xll.qlRateHelperEarliestDate($A84)</f>
        <v>#VALUE!</v>
      </c>
      <c r="D84" s="288" t="e">
        <f>_xll.qlRateHelperLatestDate($A84)</f>
        <v>#VALUE!</v>
      </c>
      <c r="E84" s="293" t="e">
        <v>#N/A</v>
      </c>
    </row>
    <row r="85" spans="1:5" x14ac:dyDescent="0.2">
      <c r="A85" s="283" t="e">
        <v>#N/A</v>
      </c>
      <c r="B85" s="284" t="e">
        <f>_xll.qlRateHelperRate($A85,InterestRatesTrigger)</f>
        <v>#VALUE!</v>
      </c>
      <c r="C85" s="287" t="e">
        <f>_xll.qlRateHelperEarliestDate($A85)</f>
        <v>#VALUE!</v>
      </c>
      <c r="D85" s="288" t="e">
        <f>_xll.qlRateHelperLatestDate($A85)</f>
        <v>#VALUE!</v>
      </c>
      <c r="E85" s="293" t="e">
        <v>#N/A</v>
      </c>
    </row>
    <row r="86" spans="1:5" x14ac:dyDescent="0.2">
      <c r="A86" s="283" t="e">
        <v>#N/A</v>
      </c>
      <c r="B86" s="284" t="e">
        <f>_xll.qlRateHelperRate($A86,InterestRatesTrigger)</f>
        <v>#VALUE!</v>
      </c>
      <c r="C86" s="287" t="e">
        <f>_xll.qlRateHelperEarliestDate($A86)</f>
        <v>#VALUE!</v>
      </c>
      <c r="D86" s="288" t="e">
        <f>_xll.qlRateHelperLatestDate($A86)</f>
        <v>#VALUE!</v>
      </c>
      <c r="E86" s="293" t="e">
        <v>#N/A</v>
      </c>
    </row>
    <row r="87" spans="1:5" x14ac:dyDescent="0.2">
      <c r="A87" s="283" t="e">
        <v>#N/A</v>
      </c>
      <c r="B87" s="284" t="e">
        <f>_xll.qlRateHelperRate($A87,InterestRatesTrigger)</f>
        <v>#VALUE!</v>
      </c>
      <c r="C87" s="287" t="e">
        <f>_xll.qlRateHelperEarliestDate($A87)</f>
        <v>#VALUE!</v>
      </c>
      <c r="D87" s="288" t="e">
        <f>_xll.qlRateHelperLatestDate($A87)</f>
        <v>#VALUE!</v>
      </c>
      <c r="E87" s="293" t="e">
        <v>#N/A</v>
      </c>
    </row>
    <row r="88" spans="1:5" x14ac:dyDescent="0.2">
      <c r="A88" s="283" t="e">
        <v>#N/A</v>
      </c>
      <c r="B88" s="284" t="e">
        <f>_xll.qlRateHelperRate($A88,InterestRatesTrigger)</f>
        <v>#VALUE!</v>
      </c>
      <c r="C88" s="287" t="e">
        <f>_xll.qlRateHelperEarliestDate($A88)</f>
        <v>#VALUE!</v>
      </c>
      <c r="D88" s="288" t="e">
        <f>_xll.qlRateHelperLatestDate($A88)</f>
        <v>#VALUE!</v>
      </c>
      <c r="E88" s="293" t="e">
        <v>#N/A</v>
      </c>
    </row>
    <row r="89" spans="1:5" x14ac:dyDescent="0.2">
      <c r="A89" s="283" t="e">
        <v>#N/A</v>
      </c>
      <c r="B89" s="284" t="e">
        <f>_xll.qlRateHelperRate($A89,InterestRatesTrigger)</f>
        <v>#VALUE!</v>
      </c>
      <c r="C89" s="287" t="e">
        <f>_xll.qlRateHelperEarliestDate($A89)</f>
        <v>#VALUE!</v>
      </c>
      <c r="D89" s="288" t="e">
        <f>_xll.qlRateHelperLatestDate($A89)</f>
        <v>#VALUE!</v>
      </c>
      <c r="E89" s="293" t="e">
        <v>#N/A</v>
      </c>
    </row>
    <row r="90" spans="1:5" x14ac:dyDescent="0.2">
      <c r="A90" s="283" t="e">
        <v>#N/A</v>
      </c>
      <c r="B90" s="284" t="e">
        <f>_xll.qlRateHelperRate($A90,InterestRatesTrigger)</f>
        <v>#VALUE!</v>
      </c>
      <c r="C90" s="287" t="e">
        <f>_xll.qlRateHelperEarliestDate($A90)</f>
        <v>#VALUE!</v>
      </c>
      <c r="D90" s="288" t="e">
        <f>_xll.qlRateHelperLatestDate($A90)</f>
        <v>#VALUE!</v>
      </c>
      <c r="E90" s="293" t="e">
        <v>#N/A</v>
      </c>
    </row>
    <row r="91" spans="1:5" x14ac:dyDescent="0.2">
      <c r="A91" s="283" t="e">
        <v>#N/A</v>
      </c>
      <c r="B91" s="284" t="e">
        <f>_xll.qlRateHelperRate($A91,InterestRatesTrigger)</f>
        <v>#VALUE!</v>
      </c>
      <c r="C91" s="287" t="e">
        <f>_xll.qlRateHelperEarliestDate($A91)</f>
        <v>#VALUE!</v>
      </c>
      <c r="D91" s="288" t="e">
        <f>_xll.qlRateHelperLatestDate($A91)</f>
        <v>#VALUE!</v>
      </c>
      <c r="E91" s="293" t="e">
        <v>#N/A</v>
      </c>
    </row>
    <row r="92" spans="1:5" x14ac:dyDescent="0.2">
      <c r="A92" s="283" t="e">
        <v>#N/A</v>
      </c>
      <c r="B92" s="284" t="e">
        <f>_xll.qlRateHelperRate($A92,InterestRatesTrigger)</f>
        <v>#VALUE!</v>
      </c>
      <c r="C92" s="287" t="e">
        <f>_xll.qlRateHelperEarliestDate($A92)</f>
        <v>#VALUE!</v>
      </c>
      <c r="D92" s="288" t="e">
        <f>_xll.qlRateHelperLatestDate($A92)</f>
        <v>#VALUE!</v>
      </c>
      <c r="E92" s="293" t="e">
        <v>#N/A</v>
      </c>
    </row>
    <row r="93" spans="1:5" x14ac:dyDescent="0.2">
      <c r="A93" s="283" t="e">
        <v>#N/A</v>
      </c>
      <c r="B93" s="284" t="e">
        <f>_xll.qlRateHelperRate($A93,InterestRatesTrigger)</f>
        <v>#VALUE!</v>
      </c>
      <c r="C93" s="287" t="e">
        <f>_xll.qlRateHelperEarliestDate($A93)</f>
        <v>#VALUE!</v>
      </c>
      <c r="D93" s="288" t="e">
        <f>_xll.qlRateHelperLatestDate($A93)</f>
        <v>#VALUE!</v>
      </c>
      <c r="E93" s="293" t="e">
        <v>#N/A</v>
      </c>
    </row>
    <row r="94" spans="1:5" x14ac:dyDescent="0.2">
      <c r="A94" s="283" t="e">
        <v>#N/A</v>
      </c>
      <c r="B94" s="284" t="e">
        <f>_xll.qlRateHelperRate($A94,InterestRatesTrigger)</f>
        <v>#VALUE!</v>
      </c>
      <c r="C94" s="287" t="e">
        <f>_xll.qlRateHelperEarliestDate($A94)</f>
        <v>#VALUE!</v>
      </c>
      <c r="D94" s="288" t="e">
        <f>_xll.qlRateHelperLatestDate($A94)</f>
        <v>#VALUE!</v>
      </c>
      <c r="E94" s="293" t="e">
        <v>#N/A</v>
      </c>
    </row>
    <row r="95" spans="1:5" x14ac:dyDescent="0.2">
      <c r="A95" s="283" t="e">
        <v>#N/A</v>
      </c>
      <c r="B95" s="284" t="e">
        <f>_xll.qlRateHelperRate($A95,InterestRatesTrigger)</f>
        <v>#VALUE!</v>
      </c>
      <c r="C95" s="287" t="e">
        <f>_xll.qlRateHelperEarliestDate($A95)</f>
        <v>#VALUE!</v>
      </c>
      <c r="D95" s="288" t="e">
        <f>_xll.qlRateHelperLatestDate($A95)</f>
        <v>#VALUE!</v>
      </c>
      <c r="E95" s="293" t="e">
        <v>#N/A</v>
      </c>
    </row>
    <row r="96" spans="1:5" x14ac:dyDescent="0.2">
      <c r="A96" s="283" t="e">
        <v>#N/A</v>
      </c>
      <c r="B96" s="284" t="e">
        <f>_xll.qlRateHelperRate($A96,InterestRatesTrigger)</f>
        <v>#VALUE!</v>
      </c>
      <c r="C96" s="287" t="e">
        <f>_xll.qlRateHelperEarliestDate($A96)</f>
        <v>#VALUE!</v>
      </c>
      <c r="D96" s="288" t="e">
        <f>_xll.qlRateHelperLatestDate($A96)</f>
        <v>#VALUE!</v>
      </c>
      <c r="E96" s="293" t="e">
        <v>#N/A</v>
      </c>
    </row>
    <row r="97" spans="1:5" x14ac:dyDescent="0.2">
      <c r="A97" s="283" t="e">
        <v>#N/A</v>
      </c>
      <c r="B97" s="284" t="e">
        <f>_xll.qlRateHelperRate($A97,InterestRatesTrigger)</f>
        <v>#VALUE!</v>
      </c>
      <c r="C97" s="287" t="e">
        <f>_xll.qlRateHelperEarliestDate($A97)</f>
        <v>#VALUE!</v>
      </c>
      <c r="D97" s="288" t="e">
        <f>_xll.qlRateHelperLatestDate($A97)</f>
        <v>#VALUE!</v>
      </c>
      <c r="E97" s="293" t="e">
        <v>#N/A</v>
      </c>
    </row>
    <row r="98" spans="1:5" x14ac:dyDescent="0.2">
      <c r="A98" s="283" t="e">
        <v>#N/A</v>
      </c>
      <c r="B98" s="284" t="e">
        <f>_xll.qlRateHelperRate($A98,InterestRatesTrigger)</f>
        <v>#VALUE!</v>
      </c>
      <c r="C98" s="287" t="e">
        <f>_xll.qlRateHelperEarliestDate($A98)</f>
        <v>#VALUE!</v>
      </c>
      <c r="D98" s="288" t="e">
        <f>_xll.qlRateHelperLatestDate($A98)</f>
        <v>#VALUE!</v>
      </c>
      <c r="E98" s="293" t="e">
        <v>#N/A</v>
      </c>
    </row>
    <row r="99" spans="1:5" x14ac:dyDescent="0.2">
      <c r="A99" s="283" t="e">
        <v>#N/A</v>
      </c>
      <c r="B99" s="284" t="e">
        <f>_xll.qlRateHelperRate($A99,InterestRatesTrigger)</f>
        <v>#VALUE!</v>
      </c>
      <c r="C99" s="287" t="e">
        <f>_xll.qlRateHelperEarliestDate($A99)</f>
        <v>#VALUE!</v>
      </c>
      <c r="D99" s="288" t="e">
        <f>_xll.qlRateHelperLatestDate($A99)</f>
        <v>#VALUE!</v>
      </c>
      <c r="E99" s="293" t="e">
        <v>#N/A</v>
      </c>
    </row>
    <row r="100" spans="1:5" x14ac:dyDescent="0.2">
      <c r="A100" s="283" t="e">
        <v>#N/A</v>
      </c>
      <c r="B100" s="284" t="e">
        <f>_xll.qlRateHelperRate($A100,InterestRatesTrigger)</f>
        <v>#VALUE!</v>
      </c>
      <c r="C100" s="287" t="e">
        <f>_xll.qlRateHelperEarliestDate($A100)</f>
        <v>#VALUE!</v>
      </c>
      <c r="D100" s="288" t="e">
        <f>_xll.qlRateHelperLatestDate($A100)</f>
        <v>#VALUE!</v>
      </c>
      <c r="E100" s="293" t="e">
        <v>#N/A</v>
      </c>
    </row>
    <row r="101" spans="1:5" x14ac:dyDescent="0.2">
      <c r="A101" s="283" t="e">
        <v>#N/A</v>
      </c>
      <c r="B101" s="284" t="e">
        <f>_xll.qlRateHelperRate($A101,InterestRatesTrigger)</f>
        <v>#VALUE!</v>
      </c>
      <c r="C101" s="287" t="e">
        <f>_xll.qlRateHelperEarliestDate($A101)</f>
        <v>#VALUE!</v>
      </c>
      <c r="D101" s="288" t="e">
        <f>_xll.qlRateHelperLatestDate($A101)</f>
        <v>#VALUE!</v>
      </c>
      <c r="E101" s="293" t="e">
        <v>#N/A</v>
      </c>
    </row>
    <row r="102" spans="1:5" x14ac:dyDescent="0.2">
      <c r="A102" s="283" t="e">
        <v>#N/A</v>
      </c>
      <c r="B102" s="284" t="e">
        <f>_xll.qlRateHelperRate($A102,InterestRatesTrigger)</f>
        <v>#VALUE!</v>
      </c>
      <c r="C102" s="287" t="e">
        <f>_xll.qlRateHelperEarliestDate($A102)</f>
        <v>#VALUE!</v>
      </c>
      <c r="D102" s="288" t="e">
        <f>_xll.qlRateHelperLatestDate($A102)</f>
        <v>#VALUE!</v>
      </c>
      <c r="E102" s="293" t="e">
        <v>#N/A</v>
      </c>
    </row>
    <row r="103" spans="1:5" x14ac:dyDescent="0.2">
      <c r="A103" s="283" t="e">
        <v>#N/A</v>
      </c>
      <c r="B103" s="284" t="e">
        <f>_xll.qlRateHelperRate($A103,InterestRatesTrigger)</f>
        <v>#VALUE!</v>
      </c>
      <c r="C103" s="287" t="e">
        <f>_xll.qlRateHelperEarliestDate($A103)</f>
        <v>#VALUE!</v>
      </c>
      <c r="D103" s="288" t="e">
        <f>_xll.qlRateHelperLatestDate($A103)</f>
        <v>#VALUE!</v>
      </c>
      <c r="E103" s="293" t="e">
        <v>#N/A</v>
      </c>
    </row>
    <row r="104" spans="1:5" x14ac:dyDescent="0.2">
      <c r="A104" s="283" t="e">
        <v>#N/A</v>
      </c>
      <c r="B104" s="284" t="e">
        <f>_xll.qlRateHelperRate($A104,InterestRatesTrigger)</f>
        <v>#VALUE!</v>
      </c>
      <c r="C104" s="287" t="e">
        <f>_xll.qlRateHelperEarliestDate($A104)</f>
        <v>#VALUE!</v>
      </c>
      <c r="D104" s="288" t="e">
        <f>_xll.qlRateHelperLatestDate($A104)</f>
        <v>#VALUE!</v>
      </c>
      <c r="E104" s="293" t="e">
        <v>#N/A</v>
      </c>
    </row>
    <row r="105" spans="1:5" x14ac:dyDescent="0.2">
      <c r="A105" s="283" t="e">
        <v>#N/A</v>
      </c>
      <c r="B105" s="284" t="e">
        <f>_xll.qlRateHelperRate($A105,InterestRatesTrigger)</f>
        <v>#VALUE!</v>
      </c>
      <c r="C105" s="287" t="e">
        <f>_xll.qlRateHelperEarliestDate($A105)</f>
        <v>#VALUE!</v>
      </c>
      <c r="D105" s="288" t="e">
        <f>_xll.qlRateHelperLatestDate($A105)</f>
        <v>#VALUE!</v>
      </c>
      <c r="E105" s="293" t="e">
        <v>#N/A</v>
      </c>
    </row>
    <row r="106" spans="1:5" x14ac:dyDescent="0.2">
      <c r="A106" s="283" t="e">
        <v>#N/A</v>
      </c>
      <c r="B106" s="284" t="e">
        <f>_xll.qlRateHelperRate($A106,InterestRatesTrigger)</f>
        <v>#VALUE!</v>
      </c>
      <c r="C106" s="287" t="e">
        <f>_xll.qlRateHelperEarliestDate($A106)</f>
        <v>#VALUE!</v>
      </c>
      <c r="D106" s="288" t="e">
        <f>_xll.qlRateHelperLatestDate($A106)</f>
        <v>#VALUE!</v>
      </c>
      <c r="E106" s="293" t="e">
        <v>#N/A</v>
      </c>
    </row>
    <row r="107" spans="1:5" x14ac:dyDescent="0.2">
      <c r="A107" s="283" t="e">
        <v>#N/A</v>
      </c>
      <c r="B107" s="284" t="e">
        <f>_xll.qlRateHelperRate($A107,InterestRatesTrigger)</f>
        <v>#VALUE!</v>
      </c>
      <c r="C107" s="287" t="e">
        <f>_xll.qlRateHelperEarliestDate($A107)</f>
        <v>#VALUE!</v>
      </c>
      <c r="D107" s="288" t="e">
        <f>_xll.qlRateHelperLatestDate($A107)</f>
        <v>#VALUE!</v>
      </c>
      <c r="E107" s="293" t="e">
        <v>#N/A</v>
      </c>
    </row>
    <row r="108" spans="1:5" x14ac:dyDescent="0.2">
      <c r="A108" s="283" t="e">
        <v>#N/A</v>
      </c>
      <c r="B108" s="284" t="e">
        <f>_xll.qlRateHelperRate($A108,InterestRatesTrigger)</f>
        <v>#VALUE!</v>
      </c>
      <c r="C108" s="287" t="e">
        <f>_xll.qlRateHelperEarliestDate($A108)</f>
        <v>#VALUE!</v>
      </c>
      <c r="D108" s="288" t="e">
        <f>_xll.qlRateHelperLatestDate($A108)</f>
        <v>#VALUE!</v>
      </c>
      <c r="E108" s="293" t="e">
        <v>#N/A</v>
      </c>
    </row>
    <row r="109" spans="1:5" x14ac:dyDescent="0.2">
      <c r="A109" s="283" t="e">
        <v>#N/A</v>
      </c>
      <c r="B109" s="284" t="e">
        <f>_xll.qlRateHelperRate($A109,InterestRatesTrigger)</f>
        <v>#VALUE!</v>
      </c>
      <c r="C109" s="287" t="e">
        <f>_xll.qlRateHelperEarliestDate($A109)</f>
        <v>#VALUE!</v>
      </c>
      <c r="D109" s="288" t="e">
        <f>_xll.qlRateHelperLatestDate($A109)</f>
        <v>#VALUE!</v>
      </c>
      <c r="E109" s="293" t="e">
        <v>#N/A</v>
      </c>
    </row>
    <row r="110" spans="1:5" x14ac:dyDescent="0.2">
      <c r="A110" s="283" t="e">
        <v>#N/A</v>
      </c>
      <c r="B110" s="284" t="e">
        <f>_xll.qlRateHelperRate($A110,InterestRatesTrigger)</f>
        <v>#VALUE!</v>
      </c>
      <c r="C110" s="287" t="e">
        <f>_xll.qlRateHelperEarliestDate($A110)</f>
        <v>#VALUE!</v>
      </c>
      <c r="D110" s="288" t="e">
        <f>_xll.qlRateHelperLatestDate($A110)</f>
        <v>#VALUE!</v>
      </c>
      <c r="E110" s="293" t="e">
        <v>#N/A</v>
      </c>
    </row>
    <row r="111" spans="1:5" x14ac:dyDescent="0.2">
      <c r="A111" s="283" t="e">
        <v>#N/A</v>
      </c>
      <c r="B111" s="284" t="e">
        <f>_xll.qlRateHelperRate($A111,InterestRatesTrigger)</f>
        <v>#VALUE!</v>
      </c>
      <c r="C111" s="287" t="e">
        <f>_xll.qlRateHelperEarliestDate($A111)</f>
        <v>#VALUE!</v>
      </c>
      <c r="D111" s="288" t="e">
        <f>_xll.qlRateHelperLatestDate($A111)</f>
        <v>#VALUE!</v>
      </c>
      <c r="E111" s="293" t="e">
        <v>#N/A</v>
      </c>
    </row>
    <row r="112" spans="1:5" x14ac:dyDescent="0.2">
      <c r="A112" s="283" t="e">
        <v>#N/A</v>
      </c>
      <c r="B112" s="284" t="e">
        <f>_xll.qlRateHelperRate($A112,InterestRatesTrigger)</f>
        <v>#VALUE!</v>
      </c>
      <c r="C112" s="287" t="e">
        <f>_xll.qlRateHelperEarliestDate($A112)</f>
        <v>#VALUE!</v>
      </c>
      <c r="D112" s="288" t="e">
        <f>_xll.qlRateHelperLatestDate($A112)</f>
        <v>#VALUE!</v>
      </c>
      <c r="E112" s="293" t="e">
        <v>#N/A</v>
      </c>
    </row>
    <row r="113" spans="1:5" x14ac:dyDescent="0.2">
      <c r="A113" s="283" t="e">
        <v>#N/A</v>
      </c>
      <c r="B113" s="284" t="e">
        <f>_xll.qlRateHelperRate($A113,InterestRatesTrigger)</f>
        <v>#VALUE!</v>
      </c>
      <c r="C113" s="287" t="e">
        <f>_xll.qlRateHelperEarliestDate($A113)</f>
        <v>#VALUE!</v>
      </c>
      <c r="D113" s="288" t="e">
        <f>_xll.qlRateHelperLatestDate($A113)</f>
        <v>#VALUE!</v>
      </c>
      <c r="E113" s="293" t="e">
        <v>#N/A</v>
      </c>
    </row>
    <row r="114" spans="1:5" x14ac:dyDescent="0.2">
      <c r="A114" s="283" t="e">
        <v>#N/A</v>
      </c>
      <c r="B114" s="284" t="e">
        <f>_xll.qlRateHelperRate($A114,InterestRatesTrigger)</f>
        <v>#VALUE!</v>
      </c>
      <c r="C114" s="287" t="e">
        <f>_xll.qlRateHelperEarliestDate($A114)</f>
        <v>#VALUE!</v>
      </c>
      <c r="D114" s="288" t="e">
        <f>_xll.qlRateHelperLatestDate($A114)</f>
        <v>#VALUE!</v>
      </c>
      <c r="E114" s="293" t="e">
        <v>#N/A</v>
      </c>
    </row>
    <row r="115" spans="1:5" x14ac:dyDescent="0.2">
      <c r="A115" s="283" t="e">
        <v>#N/A</v>
      </c>
      <c r="B115" s="284" t="e">
        <f>_xll.qlRateHelperRate($A115,InterestRatesTrigger)</f>
        <v>#VALUE!</v>
      </c>
      <c r="C115" s="287" t="e">
        <f>_xll.qlRateHelperEarliestDate($A115)</f>
        <v>#VALUE!</v>
      </c>
      <c r="D115" s="288" t="e">
        <f>_xll.qlRateHelperLatestDate($A115)</f>
        <v>#VALUE!</v>
      </c>
      <c r="E115" s="293" t="e">
        <v>#N/A</v>
      </c>
    </row>
    <row r="116" spans="1:5" x14ac:dyDescent="0.2">
      <c r="A116" s="283" t="e">
        <v>#N/A</v>
      </c>
      <c r="B116" s="284" t="e">
        <f>_xll.qlRateHelperRate($A116,InterestRatesTrigger)</f>
        <v>#VALUE!</v>
      </c>
      <c r="C116" s="287" t="e">
        <f>_xll.qlRateHelperEarliestDate($A116)</f>
        <v>#VALUE!</v>
      </c>
      <c r="D116" s="288" t="e">
        <f>_xll.qlRateHelperLatestDate($A116)</f>
        <v>#VALUE!</v>
      </c>
      <c r="E116" s="293" t="e">
        <v>#N/A</v>
      </c>
    </row>
    <row r="117" spans="1:5" x14ac:dyDescent="0.2">
      <c r="A117" s="283" t="e">
        <v>#N/A</v>
      </c>
      <c r="B117" s="284" t="e">
        <f>_xll.qlRateHelperRate($A117,InterestRatesTrigger)</f>
        <v>#VALUE!</v>
      </c>
      <c r="C117" s="287" t="e">
        <f>_xll.qlRateHelperEarliestDate($A117)</f>
        <v>#VALUE!</v>
      </c>
      <c r="D117" s="288" t="e">
        <f>_xll.qlRateHelperLatestDate($A117)</f>
        <v>#VALUE!</v>
      </c>
      <c r="E117" s="293" t="e">
        <v>#N/A</v>
      </c>
    </row>
    <row r="118" spans="1:5" x14ac:dyDescent="0.2">
      <c r="A118" s="283" t="e">
        <v>#N/A</v>
      </c>
      <c r="B118" s="284" t="e">
        <f>_xll.qlRateHelperRate($A118,InterestRatesTrigger)</f>
        <v>#VALUE!</v>
      </c>
      <c r="C118" s="287" t="e">
        <f>_xll.qlRateHelperEarliestDate($A118)</f>
        <v>#VALUE!</v>
      </c>
      <c r="D118" s="288" t="e">
        <f>_xll.qlRateHelperLatestDate($A118)</f>
        <v>#VALUE!</v>
      </c>
      <c r="E118" s="293" t="e">
        <v>#N/A</v>
      </c>
    </row>
    <row r="119" spans="1:5" x14ac:dyDescent="0.2">
      <c r="A119" s="283" t="e">
        <v>#N/A</v>
      </c>
      <c r="B119" s="284" t="e">
        <f>_xll.qlRateHelperRate($A119,InterestRatesTrigger)</f>
        <v>#VALUE!</v>
      </c>
      <c r="C119" s="287" t="e">
        <f>_xll.qlRateHelperEarliestDate($A119)</f>
        <v>#VALUE!</v>
      </c>
      <c r="D119" s="288" t="e">
        <f>_xll.qlRateHelperLatestDate($A119)</f>
        <v>#VALUE!</v>
      </c>
      <c r="E119" s="293" t="e">
        <v>#N/A</v>
      </c>
    </row>
    <row r="120" spans="1:5" x14ac:dyDescent="0.2">
      <c r="A120" s="283" t="e">
        <v>#N/A</v>
      </c>
      <c r="B120" s="284" t="e">
        <f>_xll.qlRateHelperRate($A120,InterestRatesTrigger)</f>
        <v>#VALUE!</v>
      </c>
      <c r="C120" s="287" t="e">
        <f>_xll.qlRateHelperEarliestDate($A120)</f>
        <v>#VALUE!</v>
      </c>
      <c r="D120" s="288" t="e">
        <f>_xll.qlRateHelperLatestDate($A120)</f>
        <v>#VALUE!</v>
      </c>
      <c r="E120" s="293" t="e">
        <v>#N/A</v>
      </c>
    </row>
    <row r="121" spans="1:5" x14ac:dyDescent="0.2">
      <c r="A121" s="283" t="e">
        <v>#N/A</v>
      </c>
      <c r="B121" s="284" t="e">
        <f>_xll.qlRateHelperRate($A121,InterestRatesTrigger)</f>
        <v>#VALUE!</v>
      </c>
      <c r="C121" s="287" t="e">
        <f>_xll.qlRateHelperEarliestDate($A121)</f>
        <v>#VALUE!</v>
      </c>
      <c r="D121" s="288" t="e">
        <f>_xll.qlRateHelperLatestDate($A121)</f>
        <v>#VALUE!</v>
      </c>
      <c r="E121" s="293" t="e">
        <v>#N/A</v>
      </c>
    </row>
    <row r="122" spans="1:5" x14ac:dyDescent="0.2">
      <c r="A122" s="283" t="e">
        <v>#N/A</v>
      </c>
      <c r="B122" s="284" t="e">
        <f>_xll.qlRateHelperRate($A122,InterestRatesTrigger)</f>
        <v>#VALUE!</v>
      </c>
      <c r="C122" s="287" t="e">
        <f>_xll.qlRateHelperEarliestDate($A122)</f>
        <v>#VALUE!</v>
      </c>
      <c r="D122" s="288" t="e">
        <f>_xll.qlRateHelperLatestDate($A122)</f>
        <v>#VALUE!</v>
      </c>
      <c r="E122" s="293" t="e">
        <v>#N/A</v>
      </c>
    </row>
    <row r="123" spans="1:5" x14ac:dyDescent="0.2">
      <c r="A123" s="283" t="e">
        <v>#N/A</v>
      </c>
      <c r="B123" s="284" t="e">
        <f>_xll.qlRateHelperRate($A123,InterestRatesTrigger)</f>
        <v>#VALUE!</v>
      </c>
      <c r="C123" s="287" t="e">
        <f>_xll.qlRateHelperEarliestDate($A123)</f>
        <v>#VALUE!</v>
      </c>
      <c r="D123" s="288" t="e">
        <f>_xll.qlRateHelperLatestDate($A123)</f>
        <v>#VALUE!</v>
      </c>
      <c r="E123" s="293" t="e">
        <v>#N/A</v>
      </c>
    </row>
    <row r="124" spans="1:5" x14ac:dyDescent="0.2">
      <c r="A124" s="283" t="e">
        <v>#N/A</v>
      </c>
      <c r="B124" s="284" t="e">
        <f>_xll.qlRateHelperRate($A124,InterestRatesTrigger)</f>
        <v>#VALUE!</v>
      </c>
      <c r="C124" s="287" t="e">
        <f>_xll.qlRateHelperEarliestDate($A124)</f>
        <v>#VALUE!</v>
      </c>
      <c r="D124" s="288" t="e">
        <f>_xll.qlRateHelperLatestDate($A124)</f>
        <v>#VALUE!</v>
      </c>
      <c r="E124" s="293" t="e">
        <v>#N/A</v>
      </c>
    </row>
    <row r="125" spans="1:5" x14ac:dyDescent="0.2">
      <c r="A125" s="283" t="e">
        <v>#N/A</v>
      </c>
      <c r="B125" s="284" t="e">
        <f>_xll.qlRateHelperRate($A125,InterestRatesTrigger)</f>
        <v>#VALUE!</v>
      </c>
      <c r="C125" s="287" t="e">
        <f>_xll.qlRateHelperEarliestDate($A125)</f>
        <v>#VALUE!</v>
      </c>
      <c r="D125" s="288" t="e">
        <f>_xll.qlRateHelperLatestDate($A125)</f>
        <v>#VALUE!</v>
      </c>
      <c r="E125" s="293" t="e">
        <v>#N/A</v>
      </c>
    </row>
    <row r="126" spans="1:5" x14ac:dyDescent="0.2">
      <c r="A126" s="286" t="e">
        <v>#N/A</v>
      </c>
      <c r="B126" s="284" t="e">
        <f>_xll.qlRateHelperRate($A126,InterestRatesTrigger)</f>
        <v>#VALUE!</v>
      </c>
      <c r="C126" s="287" t="e">
        <f>_xll.qlRateHelperEarliestDate($A126)</f>
        <v>#VALUE!</v>
      </c>
      <c r="D126" s="288" t="e">
        <f>_xll.qlRateHelperLatestDate($A126)</f>
        <v>#VALUE!</v>
      </c>
      <c r="E126" s="293" t="e">
        <v>#N/A</v>
      </c>
    </row>
    <row r="127" spans="1:5" x14ac:dyDescent="0.2">
      <c r="B127" s="284" t="e">
        <f>_xll.qlRateHelperRate($A127,InterestRatesTrigger)</f>
        <v>#NUM!</v>
      </c>
      <c r="C127" s="287" t="e">
        <f>_xll.qlRateHelperEarliestDate($A127)</f>
        <v>#NUM!</v>
      </c>
      <c r="D127" s="288" t="e">
        <f>_xll.qlRateHelperLatestDate($A127)</f>
        <v>#NUM!</v>
      </c>
      <c r="E127" s="293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3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USD_015_SyntheticQuotes.xml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72</v>
      </c>
      <c r="K2" s="157"/>
      <c r="L2" s="174" t="s">
        <v>73</v>
      </c>
      <c r="M2" s="157"/>
      <c r="N2" s="158" t="s">
        <v>74</v>
      </c>
      <c r="O2" s="159" t="s">
        <v>75</v>
      </c>
      <c r="P2" s="215">
        <f>_xll.ohTrigger(O3:O7)</f>
        <v>100</v>
      </c>
    </row>
    <row r="3" spans="1:16" x14ac:dyDescent="0.2">
      <c r="A3" s="201">
        <v>1</v>
      </c>
      <c r="B3" s="191" t="s">
        <v>57</v>
      </c>
      <c r="C3" s="186" t="str">
        <f t="shared" ref="C3:C7" si="0">Currency&amp;$B3&amp;"_SYNTH"&amp;Tenor1M&amp;QuoteSuffix</f>
        <v>USDSND_SYNTH1M_Quote</v>
      </c>
      <c r="D3" s="187" t="str">
        <f>_xll.qlSimpleQuote(C3,,RateTickValue,Permanent,EvaluationDate,ObjectOverwrite)</f>
        <v>USDSND_SYNTH1M_Quote#0000</v>
      </c>
      <c r="E3" s="188" t="str">
        <f>_xll.ohRangeRetrieveError(D3)</f>
        <v/>
      </c>
      <c r="F3" s="185"/>
      <c r="H3" s="189"/>
      <c r="I3" s="163" t="s">
        <v>57</v>
      </c>
      <c r="J3" s="218">
        <f>ROUND(Depo_Calculation!$G34,6)</f>
        <v>1.598E-3</v>
      </c>
      <c r="K3" s="156"/>
      <c r="L3" s="166">
        <v>1.598E-3</v>
      </c>
      <c r="M3" s="140"/>
      <c r="N3" s="169">
        <f t="array" ref="N3:N92">QuoteLive</f>
        <v>1.598E-3</v>
      </c>
      <c r="O3" s="170">
        <f>_xll.qlSimpleQuoteSetValue(D3,ROUND(N3,6),EvaluationDate)</f>
        <v>0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58</v>
      </c>
      <c r="C4" s="186" t="str">
        <f t="shared" si="0"/>
        <v>USDSWD_SYNTH1M_Quote</v>
      </c>
      <c r="D4" s="187" t="str">
        <f>_xll.qlSimpleQuote(C4,,RateTickValue,Permanent,EvaluationDate,ObjectOverwrite)</f>
        <v>USDSWD_SYNTH1M_Quote#0000</v>
      </c>
      <c r="E4" s="188" t="str">
        <f>_xll.ohRangeRetrieveError(D4)</f>
        <v/>
      </c>
      <c r="F4" s="185"/>
      <c r="H4" s="189"/>
      <c r="I4" s="163" t="s">
        <v>58</v>
      </c>
      <c r="J4" s="218">
        <f>ROUND(Depo_Calculation!$G35,6)</f>
        <v>1.5920000000000001E-3</v>
      </c>
      <c r="K4" s="156"/>
      <c r="L4" s="166">
        <v>1.5920000000000001E-3</v>
      </c>
      <c r="M4" s="140"/>
      <c r="N4" s="169">
        <v>1.5920000000000001E-3</v>
      </c>
      <c r="O4" s="170">
        <f>_xll.qlSimpleQuoteSetValue(D4,ROUND(N4,6),EvaluationDate)</f>
        <v>0</v>
      </c>
      <c r="P4" s="190"/>
    </row>
    <row r="5" spans="1:16" x14ac:dyDescent="0.2">
      <c r="A5" s="202"/>
      <c r="B5" s="191" t="s">
        <v>59</v>
      </c>
      <c r="C5" s="186" t="str">
        <f t="shared" si="0"/>
        <v>USD2WD_SYNTH1M_Quote</v>
      </c>
      <c r="D5" s="187" t="str">
        <f>_xll.qlSimpleQuote(C5,,RateTickValue,Permanent,EvaluationDate,ObjectOverwrite)</f>
        <v>USD2WD_SYNTH1M_Quote#0000</v>
      </c>
      <c r="E5" s="188" t="str">
        <f>_xll.ohRangeRetrieveError(D5)</f>
        <v/>
      </c>
      <c r="F5" s="185"/>
      <c r="H5" s="189"/>
      <c r="I5" s="163" t="s">
        <v>59</v>
      </c>
      <c r="J5" s="218">
        <f>ROUND(Depo_Calculation!$G36,6)</f>
        <v>1.585E-3</v>
      </c>
      <c r="K5" s="156"/>
      <c r="L5" s="166">
        <v>1.585E-3</v>
      </c>
      <c r="M5" s="140"/>
      <c r="N5" s="169">
        <v>1.585E-3</v>
      </c>
      <c r="O5" s="170">
        <f>_xll.qlSimpleQuoteSetValue(D5,ROUND(N5,6),EvaluationDate)</f>
        <v>0</v>
      </c>
      <c r="P5" s="190"/>
    </row>
    <row r="6" spans="1:16" x14ac:dyDescent="0.2">
      <c r="A6" s="202"/>
      <c r="B6" s="191" t="s">
        <v>60</v>
      </c>
      <c r="C6" s="186" t="str">
        <f t="shared" si="0"/>
        <v>USD3WD_SYNTH1M_Quote</v>
      </c>
      <c r="D6" s="187" t="str">
        <f>_xll.qlSimpleQuote(C6,,RateTickValue,Permanent,EvaluationDate,ObjectOverwrite)</f>
        <v>USD3WD_SYNTH1M_Quote#0000</v>
      </c>
      <c r="E6" s="188" t="str">
        <f>_xll.ohRangeRetrieveError(D6)</f>
        <v/>
      </c>
      <c r="F6" s="185"/>
      <c r="H6" s="189"/>
      <c r="I6" s="164" t="s">
        <v>60</v>
      </c>
      <c r="J6" s="220">
        <f>Depo_Calculation!$G37</f>
        <v>1.5793035223098436E-3</v>
      </c>
      <c r="K6" s="156"/>
      <c r="L6" s="167">
        <v>1.5793035223098436E-3</v>
      </c>
      <c r="M6" s="140"/>
      <c r="N6" s="171">
        <v>1.5793035223098436E-3</v>
      </c>
      <c r="O6" s="170">
        <f>_xll.qlSimpleQuoteSetValue(D6,ROUND(N6,6),EvaluationDate)</f>
        <v>0</v>
      </c>
      <c r="P6" s="190"/>
    </row>
    <row r="7" spans="1:16" ht="12" thickBot="1" x14ac:dyDescent="0.25">
      <c r="A7" s="202"/>
      <c r="B7" s="192" t="s">
        <v>61</v>
      </c>
      <c r="C7" s="193" t="str">
        <f t="shared" si="0"/>
        <v>USD1MD_SYNTH1M_Quote</v>
      </c>
      <c r="D7" s="193" t="str">
        <f>_xll.qlSimpleQuote(C7,,RateTickValue,Permanent,EvaluationDate,ObjectOverwrite)</f>
        <v>USD1MD_SYNTH1M_Quote#0000</v>
      </c>
      <c r="E7" s="194" t="str">
        <f>_xll.ohRangeRetrieveError(D7)</f>
        <v/>
      </c>
      <c r="F7" s="185"/>
      <c r="H7" s="189"/>
      <c r="I7" s="165" t="s">
        <v>61</v>
      </c>
      <c r="J7" s="219">
        <f>ROUND(Depo_Calculation!$G38,6)</f>
        <v>1.57E-3</v>
      </c>
      <c r="K7" s="156"/>
      <c r="L7" s="168">
        <v>1.57E-3</v>
      </c>
      <c r="M7" s="140"/>
      <c r="N7" s="172">
        <v>1.57E-3</v>
      </c>
      <c r="O7" s="361">
        <f>_xll.qlSimpleQuoteSetValue(D7,ROUND(N7,6),EvaluationDate)</f>
        <v>0</v>
      </c>
      <c r="P7" s="190"/>
    </row>
    <row r="8" spans="1:16" x14ac:dyDescent="0.2">
      <c r="A8" s="203">
        <v>3</v>
      </c>
      <c r="B8" s="195" t="s">
        <v>57</v>
      </c>
      <c r="C8" s="186" t="str">
        <f t="shared" ref="C8:C14" si="1">Currency&amp;$B8&amp;"_SYNTH"&amp;Tenor3M&amp;QuoteSuffix</f>
        <v>USDSND_SYNTH3M_Quote</v>
      </c>
      <c r="D8" s="196" t="str">
        <f>_xll.qlSimpleQuote(C8,,RateTickValue,Permanent,EvaluationDate,ObjectOverwrite)</f>
        <v>USDSND_SYNTH3M_Quote#0000</v>
      </c>
      <c r="E8" s="197" t="str">
        <f>_xll.ohRangeRetrieveError(D8)</f>
        <v/>
      </c>
      <c r="F8" s="198"/>
      <c r="H8" s="189"/>
      <c r="I8" s="163" t="s">
        <v>57</v>
      </c>
      <c r="J8" s="217">
        <f>ROUND(Depo_Calculation!$H34,6)</f>
        <v>2.3270000000000001E-3</v>
      </c>
      <c r="K8" s="156"/>
      <c r="L8" s="166">
        <v>2.3270000000000001E-3</v>
      </c>
      <c r="M8" s="140"/>
      <c r="N8" s="169">
        <v>2.3270000000000001E-3</v>
      </c>
      <c r="O8" s="317">
        <f>_xll.qlSimpleQuoteSetValue(D8,ROUND(N8,6),EvaluationDate)</f>
        <v>0</v>
      </c>
      <c r="P8" s="216">
        <f>_xll.ohTrigger(O8:O14)</f>
        <v>100</v>
      </c>
    </row>
    <row r="9" spans="1:16" x14ac:dyDescent="0.2">
      <c r="A9" s="201" t="str">
        <f>_xll.qlPeriodEquivalent(Months3M&amp;"M")</f>
        <v>3M</v>
      </c>
      <c r="B9" s="191" t="s">
        <v>58</v>
      </c>
      <c r="C9" s="186" t="str">
        <f t="shared" si="1"/>
        <v>USDSWD_SYNTH3M_Quote</v>
      </c>
      <c r="D9" s="186" t="str">
        <f>_xll.qlSimpleQuote(C9,,RateTickValue,Permanent,EvaluationDate,ObjectOverwrite)</f>
        <v>USDSWD_SYNTH3M_Quote#0000</v>
      </c>
      <c r="E9" s="199" t="str">
        <f>_xll.ohRangeRetrieveError(D9)</f>
        <v/>
      </c>
      <c r="F9" s="198"/>
      <c r="H9" s="189"/>
      <c r="I9" s="163" t="s">
        <v>58</v>
      </c>
      <c r="J9" s="218">
        <f>ROUND(Depo_Calculation!$H35,6)</f>
        <v>2.3240000000000001E-3</v>
      </c>
      <c r="K9" s="156"/>
      <c r="L9" s="166">
        <v>2.3240000000000001E-3</v>
      </c>
      <c r="M9" s="140"/>
      <c r="N9" s="169">
        <v>2.3240000000000001E-3</v>
      </c>
      <c r="O9" s="170">
        <f>_xll.qlSimpleQuoteSetValue(D9,ROUND(N9,6),EvaluationDate)</f>
        <v>0</v>
      </c>
      <c r="P9" s="190"/>
    </row>
    <row r="10" spans="1:16" x14ac:dyDescent="0.2">
      <c r="A10" s="204"/>
      <c r="B10" s="200" t="s">
        <v>59</v>
      </c>
      <c r="C10" s="186" t="str">
        <f t="shared" si="1"/>
        <v>USD2WD_SYNTH3M_Quote</v>
      </c>
      <c r="D10" s="186" t="str">
        <f>_xll.qlSimpleQuote(C10,,RateTickValue,Permanent,EvaluationDate,ObjectOverwrite)</f>
        <v>USD2WD_SYNTH3M_Quote#0000</v>
      </c>
      <c r="E10" s="199" t="str">
        <f>_xll.ohRangeRetrieveError(D10)</f>
        <v/>
      </c>
      <c r="F10" s="198"/>
      <c r="H10" s="189"/>
      <c r="I10" s="163" t="s">
        <v>59</v>
      </c>
      <c r="J10" s="218">
        <f>ROUND(Depo_Calculation!$H36,6)</f>
        <v>2.3210000000000001E-3</v>
      </c>
      <c r="K10" s="156"/>
      <c r="L10" s="166">
        <v>2.3210000000000001E-3</v>
      </c>
      <c r="M10" s="140"/>
      <c r="N10" s="169">
        <v>2.3210000000000001E-3</v>
      </c>
      <c r="O10" s="170">
        <f>_xll.qlSimpleQuoteSetValue(D10,ROUND(N10,6),EvaluationDate)</f>
        <v>0</v>
      </c>
      <c r="P10" s="190"/>
    </row>
    <row r="11" spans="1:16" x14ac:dyDescent="0.2">
      <c r="A11" s="205"/>
      <c r="B11" s="200" t="s">
        <v>60</v>
      </c>
      <c r="C11" s="186" t="str">
        <f t="shared" si="1"/>
        <v>USD3WD_SYNTH3M_Quote</v>
      </c>
      <c r="D11" s="186" t="str">
        <f>_xll.qlSimpleQuote(C11,,RateTickValue,Permanent,EvaluationDate,ObjectOverwrite)</f>
        <v>USD3WD_SYNTH3M_Quote#0000</v>
      </c>
      <c r="E11" s="199" t="str">
        <f>_xll.ohRangeRetrieveError(D11)</f>
        <v/>
      </c>
      <c r="F11" s="198"/>
      <c r="H11" s="189"/>
      <c r="I11" s="163" t="s">
        <v>60</v>
      </c>
      <c r="J11" s="218">
        <f>ROUND(Depo_Calculation!$H37,6)</f>
        <v>2.3180000000000002E-3</v>
      </c>
      <c r="K11" s="156"/>
      <c r="L11" s="166">
        <v>2.3180000000000002E-3</v>
      </c>
      <c r="M11" s="140"/>
      <c r="N11" s="169">
        <v>2.3180000000000002E-3</v>
      </c>
      <c r="O11" s="170">
        <f>_xll.qlSimpleQuoteSetValue(D11,ROUND(N11,6),EvaluationDate)</f>
        <v>0</v>
      </c>
      <c r="P11" s="190"/>
    </row>
    <row r="12" spans="1:16" x14ac:dyDescent="0.2">
      <c r="A12" s="205"/>
      <c r="B12" s="200" t="s">
        <v>61</v>
      </c>
      <c r="C12" s="186" t="str">
        <f t="shared" si="1"/>
        <v>USD1MD_SYNTH3M_Quote</v>
      </c>
      <c r="D12" s="186" t="str">
        <f>_xll.qlSimpleQuote(C12,,RateTickValue,Permanent,EvaluationDate,ObjectOverwrite)</f>
        <v>USD1MD_SYNTH3M_Quote#0000</v>
      </c>
      <c r="E12" s="199" t="str">
        <f>_xll.ohRangeRetrieveError(D12)</f>
        <v/>
      </c>
      <c r="F12" s="198"/>
      <c r="H12" s="189"/>
      <c r="I12" s="163" t="s">
        <v>61</v>
      </c>
      <c r="J12" s="218">
        <f>ROUND(Depo_Calculation!$H38,6)</f>
        <v>2.3140000000000001E-3</v>
      </c>
      <c r="K12" s="156"/>
      <c r="L12" s="166">
        <v>2.3140000000000001E-3</v>
      </c>
      <c r="M12" s="140"/>
      <c r="N12" s="169">
        <v>2.3140000000000001E-3</v>
      </c>
      <c r="O12" s="170">
        <f>_xll.qlSimpleQuoteSetValue(D12,ROUND(N12,6),EvaluationDate)</f>
        <v>0</v>
      </c>
      <c r="P12" s="190"/>
    </row>
    <row r="13" spans="1:16" x14ac:dyDescent="0.2">
      <c r="A13" s="205"/>
      <c r="B13" s="200" t="s">
        <v>76</v>
      </c>
      <c r="C13" s="186" t="str">
        <f t="shared" si="1"/>
        <v>USD2MD_SYNTH3M_Quote</v>
      </c>
      <c r="D13" s="186" t="str">
        <f>_xll.qlSimpleQuote(C13,,RateTickValue,Permanent,EvaluationDate,ObjectOverwrite)</f>
        <v>USD2MD_SYNTH3M_Quote#0000</v>
      </c>
      <c r="E13" s="199" t="str">
        <f>_xll.ohRangeRetrieveError(D13)</f>
        <v/>
      </c>
      <c r="F13" s="198"/>
      <c r="H13" s="189"/>
      <c r="I13" s="163" t="s">
        <v>76</v>
      </c>
      <c r="J13" s="218">
        <f>ROUND(Depo_Calculation!$H39,6)</f>
        <v>2.3249999999999998E-3</v>
      </c>
      <c r="K13" s="156"/>
      <c r="L13" s="166">
        <v>2.3249999999999998E-3</v>
      </c>
      <c r="M13" s="140"/>
      <c r="N13" s="169">
        <v>2.3249999999999998E-3</v>
      </c>
      <c r="O13" s="170">
        <f>_xll.qlSimpleQuoteSetValue(D13,ROUND(N13,6),EvaluationDate)</f>
        <v>0</v>
      </c>
      <c r="P13" s="190"/>
    </row>
    <row r="14" spans="1:16" ht="12" thickBot="1" x14ac:dyDescent="0.25">
      <c r="A14" s="207"/>
      <c r="B14" s="192" t="s">
        <v>77</v>
      </c>
      <c r="C14" s="193" t="str">
        <f t="shared" si="1"/>
        <v>USD3MD_SYNTH3M_Quote</v>
      </c>
      <c r="D14" s="193" t="str">
        <f>_xll.qlSimpleQuote(C14,,RateTickValue,Permanent,EvaluationDate,ObjectOverwrite)</f>
        <v>USD3MD_SYNTH3M_Quote#0000</v>
      </c>
      <c r="E14" s="208" t="str">
        <f>_xll.ohRangeRetrieveError(D14)</f>
        <v/>
      </c>
      <c r="F14" s="198"/>
      <c r="H14" s="206"/>
      <c r="I14" s="165" t="s">
        <v>77</v>
      </c>
      <c r="J14" s="219">
        <f>ROUND(Depo_Calculation!$H40,6)</f>
        <v>2.3310000000000002E-3</v>
      </c>
      <c r="K14" s="206"/>
      <c r="L14" s="168">
        <v>2.3310000000000002E-3</v>
      </c>
      <c r="M14" s="206"/>
      <c r="N14" s="172">
        <v>2.3310000000000002E-3</v>
      </c>
      <c r="O14" s="173">
        <f>_xll.qlSimpleQuoteSetValue(D14,ROUND(N14,6),EvaluationDate)</f>
        <v>0</v>
      </c>
      <c r="P14" s="206"/>
    </row>
    <row r="15" spans="1:16" x14ac:dyDescent="0.2">
      <c r="A15" s="203">
        <v>6</v>
      </c>
      <c r="B15" s="195" t="s">
        <v>57</v>
      </c>
      <c r="C15" s="186" t="str">
        <f t="shared" ref="C15:C39" si="2">Currency&amp;$B15&amp;"_SYNTH"&amp;Tenor6M&amp;QuoteSuffix</f>
        <v>USDSND_SYNTH6M_Quote</v>
      </c>
      <c r="D15" s="196" t="str">
        <f>_xll.qlSimpleQuote(C15,,RateTickValue,Permanent,EvaluationDate,ObjectOverwrite)</f>
        <v>USDSND_SYNTH6M_Quote#0000</v>
      </c>
      <c r="E15" s="197" t="str">
        <f>_xll.ohRangeRetrieveError(D15)</f>
        <v/>
      </c>
      <c r="F15" s="198"/>
      <c r="H15" s="189"/>
      <c r="I15" s="163" t="s">
        <v>57</v>
      </c>
      <c r="J15" s="217">
        <f>ROUND(Depo_Calculation!$I34,6)</f>
        <v>3.336E-3</v>
      </c>
      <c r="K15" s="156"/>
      <c r="L15" s="166">
        <v>3.336E-3</v>
      </c>
      <c r="M15" s="140"/>
      <c r="N15" s="169">
        <v>3.336E-3</v>
      </c>
      <c r="O15" s="170">
        <f>_xll.qlSimpleQuoteSetValue(D15,ROUND(N15,6),EvaluationDate)</f>
        <v>0</v>
      </c>
      <c r="P15" s="190">
        <f>_xll.ohTrigger(O15:O24)</f>
        <v>100</v>
      </c>
    </row>
    <row r="16" spans="1:16" x14ac:dyDescent="0.2">
      <c r="A16" s="201" t="str">
        <f>_xll.qlPeriodEquivalent(Months6M&amp;"M")</f>
        <v>6M</v>
      </c>
      <c r="B16" s="191" t="s">
        <v>58</v>
      </c>
      <c r="C16" s="186" t="str">
        <f t="shared" si="2"/>
        <v>USDSWD_SYNTH6M_Quote</v>
      </c>
      <c r="D16" s="186" t="str">
        <f>_xll.qlSimpleQuote(C16,,RateTickValue,Permanent,EvaluationDate,ObjectOverwrite)</f>
        <v>USDSWD_SYNTH6M_Quote#0000</v>
      </c>
      <c r="E16" s="199" t="str">
        <f>_xll.ohRangeRetrieveError(D16)</f>
        <v/>
      </c>
      <c r="F16" s="198"/>
      <c r="H16" s="189"/>
      <c r="I16" s="163" t="s">
        <v>58</v>
      </c>
      <c r="J16" s="218">
        <f>ROUND(Depo_Calculation!$I35,6)</f>
        <v>3.323E-3</v>
      </c>
      <c r="K16" s="156"/>
      <c r="L16" s="166">
        <v>3.323E-3</v>
      </c>
      <c r="M16" s="140"/>
      <c r="N16" s="169">
        <v>3.323E-3</v>
      </c>
      <c r="O16" s="170">
        <f>_xll.qlSimpleQuoteSetValue(D16,ROUND(N16,6),EvaluationDate)</f>
        <v>0</v>
      </c>
      <c r="P16" s="190"/>
    </row>
    <row r="17" spans="1:16" x14ac:dyDescent="0.2">
      <c r="A17" s="204"/>
      <c r="B17" s="200" t="s">
        <v>59</v>
      </c>
      <c r="C17" s="186" t="str">
        <f t="shared" si="2"/>
        <v>USD2WD_SYNTH6M_Quote</v>
      </c>
      <c r="D17" s="186" t="str">
        <f>_xll.qlSimpleQuote(C17,,RateTickValue,Permanent,EvaluationDate,ObjectOverwrite)</f>
        <v>USD2WD_SYNTH6M_Quote#0000</v>
      </c>
      <c r="E17" s="199" t="str">
        <f>_xll.ohRangeRetrieveError(D17)</f>
        <v/>
      </c>
      <c r="F17" s="198"/>
      <c r="H17" s="189"/>
      <c r="I17" s="163" t="s">
        <v>59</v>
      </c>
      <c r="J17" s="218">
        <f>ROUND(Depo_Calculation!$I36,6)</f>
        <v>3.3080000000000002E-3</v>
      </c>
      <c r="K17" s="156"/>
      <c r="L17" s="166">
        <v>3.3080000000000002E-3</v>
      </c>
      <c r="M17" s="140"/>
      <c r="N17" s="169">
        <v>3.3080000000000002E-3</v>
      </c>
      <c r="O17" s="170">
        <f>_xll.qlSimpleQuoteSetValue(D17,ROUND(N17,6),EvaluationDate)</f>
        <v>0</v>
      </c>
      <c r="P17" s="190"/>
    </row>
    <row r="18" spans="1:16" x14ac:dyDescent="0.2">
      <c r="A18" s="205"/>
      <c r="B18" s="200" t="s">
        <v>60</v>
      </c>
      <c r="C18" s="186" t="str">
        <f t="shared" si="2"/>
        <v>USD3WD_SYNTH6M_Quote</v>
      </c>
      <c r="D18" s="186" t="str">
        <f>_xll.qlSimpleQuote(C18,,RateTickValue,Permanent,EvaluationDate,ObjectOverwrite)</f>
        <v>USD3WD_SYNTH6M_Quote#0000</v>
      </c>
      <c r="E18" s="199" t="str">
        <f>_xll.ohRangeRetrieveError(D18)</f>
        <v/>
      </c>
      <c r="F18" s="198"/>
      <c r="H18" s="189"/>
      <c r="I18" s="163" t="s">
        <v>60</v>
      </c>
      <c r="J18" s="218">
        <f>ROUND(Depo_Calculation!$I37,6)</f>
        <v>3.297E-3</v>
      </c>
      <c r="K18" s="156"/>
      <c r="L18" s="166">
        <v>3.297E-3</v>
      </c>
      <c r="M18" s="140"/>
      <c r="N18" s="169">
        <v>3.297E-3</v>
      </c>
      <c r="O18" s="170">
        <f>_xll.qlSimpleQuoteSetValue(D18,ROUND(N18,6),EvaluationDate)</f>
        <v>0</v>
      </c>
      <c r="P18" s="190"/>
    </row>
    <row r="19" spans="1:16" x14ac:dyDescent="0.2">
      <c r="A19" s="205"/>
      <c r="B19" s="200" t="s">
        <v>61</v>
      </c>
      <c r="C19" s="186" t="str">
        <f t="shared" si="2"/>
        <v>USD1MD_SYNTH6M_Quote</v>
      </c>
      <c r="D19" s="186" t="str">
        <f>_xll.qlSimpleQuote(C19,,RateTickValue,Permanent,EvaluationDate,ObjectOverwrite)</f>
        <v>USD1MD_SYNTH6M_Quote#0000</v>
      </c>
      <c r="E19" s="199" t="str">
        <f>_xll.ohRangeRetrieveError(D19)</f>
        <v/>
      </c>
      <c r="F19" s="198"/>
      <c r="H19" s="189"/>
      <c r="I19" s="163" t="s">
        <v>61</v>
      </c>
      <c r="J19" s="218">
        <f>ROUND(Depo_Calculation!$I38,6)</f>
        <v>3.2789999999999998E-3</v>
      </c>
      <c r="K19" s="156"/>
      <c r="L19" s="166">
        <v>3.2789999999999998E-3</v>
      </c>
      <c r="M19" s="140"/>
      <c r="N19" s="169">
        <v>3.2789999999999998E-3</v>
      </c>
      <c r="O19" s="170">
        <f>_xll.qlSimpleQuoteSetValue(D19,ROUND(N19,6),EvaluationDate)</f>
        <v>0</v>
      </c>
      <c r="P19" s="190"/>
    </row>
    <row r="20" spans="1:16" x14ac:dyDescent="0.2">
      <c r="A20" s="205"/>
      <c r="B20" s="200" t="s">
        <v>76</v>
      </c>
      <c r="C20" s="186" t="str">
        <f t="shared" si="2"/>
        <v>USD2MD_SYNTH6M_Quote</v>
      </c>
      <c r="D20" s="186" t="str">
        <f>_xll.qlSimpleQuote(C20,,RateTickValue,Permanent,EvaluationDate,ObjectOverwrite)</f>
        <v>USD2MD_SYNTH6M_Quote#0000</v>
      </c>
      <c r="E20" s="199" t="str">
        <f>_xll.ohRangeRetrieveError(D20)</f>
        <v/>
      </c>
      <c r="F20" s="198"/>
      <c r="H20" s="189"/>
      <c r="I20" s="163" t="s">
        <v>76</v>
      </c>
      <c r="J20" s="218">
        <f>ROUND(Depo_Calculation!$I39,6)</f>
        <v>3.2499999999999999E-3</v>
      </c>
      <c r="K20" s="156"/>
      <c r="L20" s="166">
        <v>3.2499999999999999E-3</v>
      </c>
      <c r="M20" s="140"/>
      <c r="N20" s="169">
        <v>3.2499999999999999E-3</v>
      </c>
      <c r="O20" s="170">
        <f>_xll.qlSimpleQuoteSetValue(D20,ROUND(N20,6),EvaluationDate)</f>
        <v>0</v>
      </c>
      <c r="P20" s="190"/>
    </row>
    <row r="21" spans="1:16" x14ac:dyDescent="0.2">
      <c r="A21" s="205"/>
      <c r="B21" s="200" t="s">
        <v>77</v>
      </c>
      <c r="C21" s="186" t="str">
        <f t="shared" si="2"/>
        <v>USD3MD_SYNTH6M_Quote</v>
      </c>
      <c r="D21" s="186" t="str">
        <f>_xll.qlSimpleQuote(C21,,RateTickValue,Permanent,EvaluationDate,ObjectOverwrite)</f>
        <v>USD3MD_SYNTH6M_Quote#0000</v>
      </c>
      <c r="E21" s="199" t="str">
        <f>_xll.ohRangeRetrieveError(D21)</f>
        <v/>
      </c>
      <c r="F21" s="198"/>
      <c r="H21" s="189"/>
      <c r="I21" s="163" t="s">
        <v>77</v>
      </c>
      <c r="J21" s="218">
        <f>ROUND(Depo_Calculation!$I40,6)</f>
        <v>3.2260000000000001E-3</v>
      </c>
      <c r="K21" s="156"/>
      <c r="L21" s="166">
        <v>3.2260000000000001E-3</v>
      </c>
      <c r="M21" s="140"/>
      <c r="N21" s="169">
        <v>3.2260000000000001E-3</v>
      </c>
      <c r="O21" s="170">
        <f>_xll.qlSimpleQuoteSetValue(D21,ROUND(N21,6),EvaluationDate)</f>
        <v>0</v>
      </c>
      <c r="P21" s="190"/>
    </row>
    <row r="22" spans="1:16" x14ac:dyDescent="0.2">
      <c r="A22" s="205"/>
      <c r="B22" s="200" t="s">
        <v>78</v>
      </c>
      <c r="C22" s="186" t="str">
        <f t="shared" si="2"/>
        <v>USD4MD_SYNTH6M_Quote</v>
      </c>
      <c r="D22" s="186" t="str">
        <f>_xll.qlSimpleQuote(C22,,RateTickValue,Permanent,EvaluationDate,ObjectOverwrite)</f>
        <v>USD4MD_SYNTH6M_Quote#0000</v>
      </c>
      <c r="E22" s="199" t="str">
        <f>_xll.ohRangeRetrieveError(D22)</f>
        <v/>
      </c>
      <c r="F22" s="198"/>
      <c r="H22" s="189"/>
      <c r="I22" s="163" t="s">
        <v>78</v>
      </c>
      <c r="J22" s="218">
        <f>ROUND(Depo_Calculation!$I41,6)</f>
        <v>3.2209999999999999E-3</v>
      </c>
      <c r="K22" s="156"/>
      <c r="L22" s="166">
        <v>3.2209999999999999E-3</v>
      </c>
      <c r="M22" s="140"/>
      <c r="N22" s="169">
        <v>3.2209999999999999E-3</v>
      </c>
      <c r="O22" s="170">
        <f>_xll.qlSimpleQuoteSetValue(D22,ROUND(N22,6),EvaluationDate)</f>
        <v>0</v>
      </c>
      <c r="P22" s="190"/>
    </row>
    <row r="23" spans="1:16" x14ac:dyDescent="0.2">
      <c r="A23" s="205"/>
      <c r="B23" s="200" t="s">
        <v>79</v>
      </c>
      <c r="C23" s="186" t="str">
        <f t="shared" si="2"/>
        <v>USD5MD_SYNTH6M_Quote</v>
      </c>
      <c r="D23" s="186" t="str">
        <f>_xll.qlSimpleQuote(C23,,RateTickValue,Permanent,EvaluationDate,ObjectOverwrite)</f>
        <v>USD5MD_SYNTH6M_Quote#0000</v>
      </c>
      <c r="E23" s="199" t="str">
        <f>_xll.ohRangeRetrieveError(D23)</f>
        <v/>
      </c>
      <c r="F23" s="198"/>
      <c r="H23" s="189"/>
      <c r="I23" s="163" t="s">
        <v>79</v>
      </c>
      <c r="J23" s="218">
        <f>ROUND(Depo_Calculation!$I42,6)</f>
        <v>3.2460000000000002E-3</v>
      </c>
      <c r="K23" s="156"/>
      <c r="L23" s="166">
        <v>3.2460000000000002E-3</v>
      </c>
      <c r="M23" s="140"/>
      <c r="N23" s="169">
        <v>3.2460000000000002E-3</v>
      </c>
      <c r="O23" s="170">
        <f>_xll.qlSimpleQuoteSetValue(D23,ROUND(N23,6),EvaluationDate)</f>
        <v>0</v>
      </c>
      <c r="P23" s="190"/>
    </row>
    <row r="24" spans="1:16" ht="12" thickBot="1" x14ac:dyDescent="0.25">
      <c r="A24" s="207"/>
      <c r="B24" s="192" t="s">
        <v>80</v>
      </c>
      <c r="C24" s="193" t="str">
        <f t="shared" si="2"/>
        <v>USD6MD_SYNTH6M_Quote</v>
      </c>
      <c r="D24" s="186" t="str">
        <f>_xll.qlSimpleQuote(C24,,RateTickValue,Permanent,EvaluationDate,ObjectOverwrite)</f>
        <v>USD6MD_SYNTH6M_Quote#0000</v>
      </c>
      <c r="E24" s="208" t="str">
        <f>_xll.ohRangeRetrieveError(D24)</f>
        <v/>
      </c>
      <c r="F24" s="209"/>
      <c r="H24" s="206"/>
      <c r="I24" s="165" t="s">
        <v>80</v>
      </c>
      <c r="J24" s="219">
        <f>ROUND(Depo_Calculation!$I43,6)</f>
        <v>3.2829999999999999E-3</v>
      </c>
      <c r="K24" s="211"/>
      <c r="L24" s="168">
        <v>3.2829999999999999E-3</v>
      </c>
      <c r="M24" s="212"/>
      <c r="N24" s="172">
        <v>3.2829999999999999E-3</v>
      </c>
      <c r="O24" s="170">
        <f>_xll.qlSimpleQuoteSetValue(D24,ROUND(N24,6),EvaluationDate)</f>
        <v>0</v>
      </c>
      <c r="P24" s="213"/>
    </row>
    <row r="25" spans="1:16" s="303" customFormat="1" x14ac:dyDescent="0.2">
      <c r="A25" s="205">
        <v>7</v>
      </c>
      <c r="B25" s="191" t="str">
        <f t="shared" ref="B25:B39" si="3">A25&amp;"x"&amp;A25+Months6M&amp;"F"</f>
        <v>7x13F</v>
      </c>
      <c r="C25" s="196" t="str">
        <f t="shared" si="2"/>
        <v>USD7x13F_SYNTH6M_Quote</v>
      </c>
      <c r="D25" s="196" t="str">
        <f>_xll.qlSimpleQuote(C25,,RateTickValue,Permanent,EvaluationDate,ObjectOverwrite)</f>
        <v>USD7x13F_SYNTH6M_Quote#0000</v>
      </c>
      <c r="E25" s="311" t="str">
        <f>_xll.ohRangeRetrieveError(D25)</f>
        <v/>
      </c>
      <c r="F25" s="198"/>
      <c r="H25" s="189">
        <f>A25</f>
        <v>7</v>
      </c>
      <c r="I25" s="163" t="str">
        <f>B25</f>
        <v>7x13F</v>
      </c>
      <c r="J25" s="218">
        <f>'6M_FRA_Calculation'!O24</f>
        <v>5.2369499777521686E-3</v>
      </c>
      <c r="K25" s="305"/>
      <c r="L25" s="166">
        <v>5.2376673240387573E-3</v>
      </c>
      <c r="M25" s="306"/>
      <c r="N25" s="169">
        <v>5.2369499777521686E-3</v>
      </c>
      <c r="O25" s="317">
        <f>_xll.qlSimpleQuoteSetValue(D25,ROUND(N25,6),EvaluationDate)</f>
        <v>0</v>
      </c>
      <c r="P25" s="190"/>
    </row>
    <row r="26" spans="1:16" s="303" customFormat="1" x14ac:dyDescent="0.2">
      <c r="A26" s="205">
        <v>8</v>
      </c>
      <c r="B26" s="191" t="str">
        <f t="shared" si="3"/>
        <v>8x14F</v>
      </c>
      <c r="C26" s="186" t="str">
        <f t="shared" si="2"/>
        <v>USD8x14F_SYNTH6M_Quote</v>
      </c>
      <c r="D26" s="186" t="str">
        <f>_xll.qlSimpleQuote(C26,,RateTickValue,Permanent,EvaluationDate,ObjectOverwrite)</f>
        <v>USD8x14F_SYNTH6M_Quote#0000</v>
      </c>
      <c r="E26" s="188" t="str">
        <f>_xll.ohRangeRetrieveError(D26)</f>
        <v/>
      </c>
      <c r="F26" s="198"/>
      <c r="H26" s="189">
        <f t="shared" ref="H26:H39" si="4">A26</f>
        <v>8</v>
      </c>
      <c r="I26" s="163" t="str">
        <f t="shared" ref="I26:I39" si="5">B26</f>
        <v>8x14F</v>
      </c>
      <c r="J26" s="218">
        <f>'6M_FRA_Calculation'!O25</f>
        <v>5.8864991173709922E-3</v>
      </c>
      <c r="K26" s="305"/>
      <c r="L26" s="166">
        <v>5.8891978583765422E-3</v>
      </c>
      <c r="M26" s="306"/>
      <c r="N26" s="169">
        <v>5.8864991173709922E-3</v>
      </c>
      <c r="O26" s="170">
        <f>_xll.qlSimpleQuoteSetValue(D26,ROUND(N26,6),EvaluationDate)</f>
        <v>0</v>
      </c>
      <c r="P26" s="190"/>
    </row>
    <row r="27" spans="1:16" s="303" customFormat="1" x14ac:dyDescent="0.2">
      <c r="A27" s="205">
        <v>10</v>
      </c>
      <c r="B27" s="191" t="str">
        <f t="shared" si="3"/>
        <v>10x16F</v>
      </c>
      <c r="C27" s="186" t="str">
        <f t="shared" si="2"/>
        <v>USD10x16F_SYNTH6M_Quote</v>
      </c>
      <c r="D27" s="186" t="str">
        <f>_xll.qlSimpleQuote(C27,,RateTickValue,Permanent,EvaluationDate,ObjectOverwrite)</f>
        <v>USD10x16F_SYNTH6M_Quote#0000</v>
      </c>
      <c r="E27" s="188" t="str">
        <f>_xll.ohRangeRetrieveError(D27)</f>
        <v/>
      </c>
      <c r="F27" s="198"/>
      <c r="H27" s="189">
        <f t="shared" si="4"/>
        <v>10</v>
      </c>
      <c r="I27" s="163" t="str">
        <f t="shared" si="5"/>
        <v>10x16F</v>
      </c>
      <c r="J27" s="218">
        <f>'6M_FRA_Calculation'!O26</f>
        <v>7.1904014621774585E-3</v>
      </c>
      <c r="K27" s="305"/>
      <c r="L27" s="166">
        <v>7.1958725965951152E-3</v>
      </c>
      <c r="M27" s="306"/>
      <c r="N27" s="169">
        <v>7.1904014621774585E-3</v>
      </c>
      <c r="O27" s="170">
        <f>_xll.qlSimpleQuoteSetValue(D27,ROUND(N27,6),EvaluationDate)</f>
        <v>0</v>
      </c>
      <c r="P27" s="190"/>
    </row>
    <row r="28" spans="1:16" s="303" customFormat="1" x14ac:dyDescent="0.2">
      <c r="A28" s="205">
        <v>11</v>
      </c>
      <c r="B28" s="191" t="str">
        <f t="shared" si="3"/>
        <v>11x17F</v>
      </c>
      <c r="C28" s="186" t="str">
        <f t="shared" si="2"/>
        <v>USD11x17F_SYNTH6M_Quote</v>
      </c>
      <c r="D28" s="186" t="str">
        <f>_xll.qlSimpleQuote(C28,,RateTickValue,Permanent,EvaluationDate,ObjectOverwrite)</f>
        <v>USD11x17F_SYNTH6M_Quote#0000</v>
      </c>
      <c r="E28" s="188" t="str">
        <f>_xll.ohRangeRetrieveError(D28)</f>
        <v/>
      </c>
      <c r="F28" s="198"/>
      <c r="H28" s="189">
        <f t="shared" si="4"/>
        <v>11</v>
      </c>
      <c r="I28" s="163" t="str">
        <f t="shared" si="5"/>
        <v>11x17F</v>
      </c>
      <c r="J28" s="218">
        <f>'6M_FRA_Calculation'!O27</f>
        <v>7.9352122359719543E-3</v>
      </c>
      <c r="K28" s="305"/>
      <c r="L28" s="166">
        <v>7.9389069154142209E-3</v>
      </c>
      <c r="M28" s="306"/>
      <c r="N28" s="169">
        <v>7.9352122359719543E-3</v>
      </c>
      <c r="O28" s="170">
        <f>_xll.qlSimpleQuoteSetValue(D28,ROUND(N28,6),EvaluationDate)</f>
        <v>0</v>
      </c>
      <c r="P28" s="190"/>
    </row>
    <row r="29" spans="1:16" s="303" customFormat="1" x14ac:dyDescent="0.2">
      <c r="A29" s="205">
        <v>13</v>
      </c>
      <c r="B29" s="191" t="str">
        <f t="shared" si="3"/>
        <v>13x19F</v>
      </c>
      <c r="C29" s="186" t="str">
        <f t="shared" si="2"/>
        <v>USD13x19F_SYNTH6M_Quote</v>
      </c>
      <c r="D29" s="186" t="str">
        <f>_xll.qlSimpleQuote(C29,,RateTickValue,Permanent,EvaluationDate,ObjectOverwrite)</f>
        <v>USD13x19F_SYNTH6M_Quote#0000</v>
      </c>
      <c r="E29" s="188" t="str">
        <f>_xll.ohRangeRetrieveError(D29)</f>
        <v/>
      </c>
      <c r="F29" s="198"/>
      <c r="H29" s="189">
        <f t="shared" si="4"/>
        <v>13</v>
      </c>
      <c r="I29" s="163" t="str">
        <f t="shared" si="5"/>
        <v>13x19F</v>
      </c>
      <c r="J29" s="218">
        <f>'6M_FRA_Calculation'!O28</f>
        <v>9.3965116348908584E-3</v>
      </c>
      <c r="K29" s="305"/>
      <c r="L29" s="166">
        <v>9.4225254878032173E-3</v>
      </c>
      <c r="M29" s="306"/>
      <c r="N29" s="169">
        <v>9.3965116348908584E-3</v>
      </c>
      <c r="O29" s="170">
        <f>_xll.qlSimpleQuoteSetValue(D29,ROUND(N29,6),EvaluationDate)</f>
        <v>0</v>
      </c>
      <c r="P29" s="190"/>
    </row>
    <row r="30" spans="1:16" s="303" customFormat="1" x14ac:dyDescent="0.2">
      <c r="A30" s="205">
        <v>14</v>
      </c>
      <c r="B30" s="191" t="str">
        <f t="shared" si="3"/>
        <v>14x20F</v>
      </c>
      <c r="C30" s="186" t="str">
        <f t="shared" si="2"/>
        <v>USD14x20F_SYNTH6M_Quote</v>
      </c>
      <c r="D30" s="186" t="str">
        <f>_xll.qlSimpleQuote(C30,,RateTickValue,Permanent,EvaluationDate,ObjectOverwrite)</f>
        <v>USD14x20F_SYNTH6M_Quote#0000</v>
      </c>
      <c r="E30" s="188" t="str">
        <f>_xll.ohRangeRetrieveError(D30)</f>
        <v/>
      </c>
      <c r="F30" s="198"/>
      <c r="H30" s="189">
        <f t="shared" si="4"/>
        <v>14</v>
      </c>
      <c r="I30" s="163" t="str">
        <f t="shared" si="5"/>
        <v>14x20F</v>
      </c>
      <c r="J30" s="218">
        <f>'6M_FRA_Calculation'!O29</f>
        <v>1.0187018563807977E-2</v>
      </c>
      <c r="K30" s="305"/>
      <c r="L30" s="166">
        <v>1.0176244219058262E-2</v>
      </c>
      <c r="M30" s="306"/>
      <c r="N30" s="169">
        <v>1.0187018563807977E-2</v>
      </c>
      <c r="O30" s="170">
        <f>_xll.qlSimpleQuoteSetValue(D30,ROUND(N30,6),EvaluationDate)</f>
        <v>0</v>
      </c>
      <c r="P30" s="190"/>
    </row>
    <row r="31" spans="1:16" s="303" customFormat="1" x14ac:dyDescent="0.2">
      <c r="A31" s="205">
        <v>15</v>
      </c>
      <c r="B31" s="191" t="str">
        <f t="shared" si="3"/>
        <v>15x21F</v>
      </c>
      <c r="C31" s="186" t="str">
        <f t="shared" si="2"/>
        <v>USD15x21F_SYNTH6M_Quote</v>
      </c>
      <c r="D31" s="186" t="str">
        <f>_xll.qlSimpleQuote(C31,,RateTickValue,Permanent,EvaluationDate,ObjectOverwrite)</f>
        <v>USD15x21F_SYNTH6M_Quote#0000</v>
      </c>
      <c r="E31" s="188" t="str">
        <f>_xll.ohRangeRetrieveError(D31)</f>
        <v/>
      </c>
      <c r="F31" s="198"/>
      <c r="H31" s="189">
        <f t="shared" si="4"/>
        <v>15</v>
      </c>
      <c r="I31" s="163" t="str">
        <f t="shared" si="5"/>
        <v>15x21F</v>
      </c>
      <c r="J31" s="218">
        <f>'6M_FRA_Calculation'!O30</f>
        <v>1.0917613374549785E-2</v>
      </c>
      <c r="K31" s="305"/>
      <c r="L31" s="166">
        <v>1.0937122401033575E-2</v>
      </c>
      <c r="M31" s="306"/>
      <c r="N31" s="169">
        <v>1.0917613374549785E-2</v>
      </c>
      <c r="O31" s="170">
        <f>_xll.qlSimpleQuoteSetValue(D31,ROUND(N31,6),EvaluationDate)</f>
        <v>0</v>
      </c>
      <c r="P31" s="190"/>
    </row>
    <row r="32" spans="1:16" s="303" customFormat="1" x14ac:dyDescent="0.2">
      <c r="A32" s="205">
        <v>16</v>
      </c>
      <c r="B32" s="191" t="str">
        <f t="shared" si="3"/>
        <v>16x22F</v>
      </c>
      <c r="C32" s="186" t="str">
        <f t="shared" si="2"/>
        <v>USD16x22F_SYNTH6M_Quote</v>
      </c>
      <c r="D32" s="186" t="str">
        <f>_xll.qlSimpleQuote(C32,,RateTickValue,Permanent,EvaluationDate,ObjectOverwrite)</f>
        <v>USD16x22F_SYNTH6M_Quote#0000</v>
      </c>
      <c r="E32" s="188" t="str">
        <f>_xll.ohRangeRetrieveError(D32)</f>
        <v/>
      </c>
      <c r="F32" s="198"/>
      <c r="H32" s="189">
        <f t="shared" si="4"/>
        <v>16</v>
      </c>
      <c r="I32" s="163" t="str">
        <f t="shared" si="5"/>
        <v>16x22F</v>
      </c>
      <c r="J32" s="218">
        <f>'6M_FRA_Calculation'!O31</f>
        <v>1.1770652249565522E-2</v>
      </c>
      <c r="K32" s="305"/>
      <c r="L32" s="166">
        <v>1.1748804068936778E-2</v>
      </c>
      <c r="M32" s="306"/>
      <c r="N32" s="169">
        <v>1.1770652249565522E-2</v>
      </c>
      <c r="O32" s="170">
        <f>_xll.qlSimpleQuoteSetValue(D32,ROUND(N32,6),EvaluationDate)</f>
        <v>0</v>
      </c>
      <c r="P32" s="190"/>
    </row>
    <row r="33" spans="1:16" s="303" customFormat="1" x14ac:dyDescent="0.2">
      <c r="A33" s="205">
        <v>17</v>
      </c>
      <c r="B33" s="191" t="str">
        <f t="shared" si="3"/>
        <v>17x23F</v>
      </c>
      <c r="C33" s="186" t="str">
        <f t="shared" si="2"/>
        <v>USD17x23F_SYNTH6M_Quote</v>
      </c>
      <c r="D33" s="186" t="str">
        <f>_xll.qlSimpleQuote(C33,,RateTickValue,Permanent,EvaluationDate,ObjectOverwrite)</f>
        <v>USD17x23F_SYNTH6M_Quote#0000</v>
      </c>
      <c r="E33" s="188" t="str">
        <f>_xll.ohRangeRetrieveError(D33)</f>
        <v/>
      </c>
      <c r="F33" s="198"/>
      <c r="H33" s="189">
        <f t="shared" si="4"/>
        <v>17</v>
      </c>
      <c r="I33" s="163" t="str">
        <f t="shared" si="5"/>
        <v>17x23F</v>
      </c>
      <c r="J33" s="218">
        <f>'6M_FRA_Calculation'!O32</f>
        <v>1.25446077081774E-2</v>
      </c>
      <c r="K33" s="305"/>
      <c r="L33" s="166">
        <v>1.2514846496247251E-2</v>
      </c>
      <c r="M33" s="306"/>
      <c r="N33" s="169">
        <v>1.25446077081774E-2</v>
      </c>
      <c r="O33" s="170">
        <f>_xll.qlSimpleQuoteSetValue(D33,ROUND(N33,6),EvaluationDate)</f>
        <v>0</v>
      </c>
      <c r="P33" s="190"/>
    </row>
    <row r="34" spans="1:16" s="303" customFormat="1" x14ac:dyDescent="0.2">
      <c r="A34" s="205">
        <v>19</v>
      </c>
      <c r="B34" s="191" t="str">
        <f t="shared" si="3"/>
        <v>19x25F</v>
      </c>
      <c r="C34" s="186" t="str">
        <f t="shared" si="2"/>
        <v>USD19x25F_SYNTH6M_Quote</v>
      </c>
      <c r="D34" s="186" t="str">
        <f>_xll.qlSimpleQuote(C34,,RateTickValue,Permanent,EvaluationDate,ObjectOverwrite)</f>
        <v>USD19x25F_SYNTH6M_Quote#0000</v>
      </c>
      <c r="E34" s="188" t="str">
        <f>_xll.ohRangeRetrieveError(D34)</f>
        <v/>
      </c>
      <c r="F34" s="198"/>
      <c r="H34" s="189">
        <f t="shared" si="4"/>
        <v>19</v>
      </c>
      <c r="I34" s="163" t="str">
        <f t="shared" si="5"/>
        <v>19x25F</v>
      </c>
      <c r="J34" s="218">
        <f>'6M_FRA_Calculation'!O33</f>
        <v>1.4164977390632669E-2</v>
      </c>
      <c r="K34" s="305"/>
      <c r="L34" s="166">
        <v>1.415854152775543E-2</v>
      </c>
      <c r="M34" s="306"/>
      <c r="N34" s="169">
        <v>1.4164977390632669E-2</v>
      </c>
      <c r="O34" s="170">
        <f>_xll.qlSimpleQuoteSetValue(D34,ROUND(N34,6),EvaluationDate)</f>
        <v>0</v>
      </c>
      <c r="P34" s="190"/>
    </row>
    <row r="35" spans="1:16" s="303" customFormat="1" x14ac:dyDescent="0.2">
      <c r="A35" s="205">
        <v>20</v>
      </c>
      <c r="B35" s="191" t="str">
        <f t="shared" si="3"/>
        <v>20x26F</v>
      </c>
      <c r="C35" s="186" t="str">
        <f t="shared" si="2"/>
        <v>USD20x26F_SYNTH6M_Quote</v>
      </c>
      <c r="D35" s="186" t="str">
        <f>_xll.qlSimpleQuote(C35,,RateTickValue,Permanent,EvaluationDate,ObjectOverwrite)</f>
        <v>USD20x26F_SYNTH6M_Quote#0000</v>
      </c>
      <c r="E35" s="188" t="str">
        <f>_xll.ohRangeRetrieveError(D35)</f>
        <v/>
      </c>
      <c r="F35" s="198"/>
      <c r="H35" s="189">
        <f t="shared" si="4"/>
        <v>20</v>
      </c>
      <c r="I35" s="163" t="str">
        <f t="shared" si="5"/>
        <v>20x26F</v>
      </c>
      <c r="J35" s="218">
        <f>'6M_FRA_Calculation'!O34</f>
        <v>1.4938220482223871E-2</v>
      </c>
      <c r="K35" s="305"/>
      <c r="L35" s="166">
        <v>1.4975586067743477E-2</v>
      </c>
      <c r="M35" s="306"/>
      <c r="N35" s="169">
        <v>1.4938220482223871E-2</v>
      </c>
      <c r="O35" s="170">
        <f>_xll.qlSimpleQuoteSetValue(D35,ROUND(N35,6),EvaluationDate)</f>
        <v>0</v>
      </c>
      <c r="P35" s="190"/>
    </row>
    <row r="36" spans="1:16" s="303" customFormat="1" x14ac:dyDescent="0.2">
      <c r="A36" s="205">
        <v>21</v>
      </c>
      <c r="B36" s="191" t="str">
        <f t="shared" si="3"/>
        <v>21x27F</v>
      </c>
      <c r="C36" s="186" t="str">
        <f t="shared" si="2"/>
        <v>USD21x27F_SYNTH6M_Quote</v>
      </c>
      <c r="D36" s="186" t="str">
        <f>_xll.qlSimpleQuote(C36,,RateTickValue,Permanent,EvaluationDate,ObjectOverwrite)</f>
        <v>USD21x27F_SYNTH6M_Quote#0000</v>
      </c>
      <c r="E36" s="188" t="str">
        <f>_xll.ohRangeRetrieveError(D36)</f>
        <v/>
      </c>
      <c r="F36" s="198"/>
      <c r="H36" s="189">
        <f t="shared" si="4"/>
        <v>21</v>
      </c>
      <c r="I36" s="163" t="str">
        <f t="shared" si="5"/>
        <v>21x27F</v>
      </c>
      <c r="J36" s="218">
        <f>'6M_FRA_Calculation'!O35</f>
        <v>1.5794531824871876E-2</v>
      </c>
      <c r="K36" s="305"/>
      <c r="L36" s="166">
        <v>1.5801654141732333E-2</v>
      </c>
      <c r="M36" s="306"/>
      <c r="N36" s="169">
        <v>1.5794531824871876E-2</v>
      </c>
      <c r="O36" s="170">
        <f>_xll.qlSimpleQuoteSetValue(D36,ROUND(N36,6),EvaluationDate)</f>
        <v>0</v>
      </c>
      <c r="P36" s="190"/>
    </row>
    <row r="37" spans="1:16" s="303" customFormat="1" x14ac:dyDescent="0.2">
      <c r="A37" s="205">
        <v>22</v>
      </c>
      <c r="B37" s="191" t="str">
        <f t="shared" si="3"/>
        <v>22x28F</v>
      </c>
      <c r="C37" s="186" t="str">
        <f t="shared" si="2"/>
        <v>USD22x28F_SYNTH6M_Quote</v>
      </c>
      <c r="D37" s="186" t="str">
        <f>_xll.qlSimpleQuote(C37,,RateTickValue,Permanent,EvaluationDate,ObjectOverwrite)</f>
        <v>USD22x28F_SYNTH6M_Quote#0000</v>
      </c>
      <c r="E37" s="188" t="str">
        <f>_xll.ohRangeRetrieveError(D37)</f>
        <v/>
      </c>
      <c r="F37" s="198"/>
      <c r="H37" s="189">
        <f t="shared" si="4"/>
        <v>22</v>
      </c>
      <c r="I37" s="163" t="str">
        <f t="shared" si="5"/>
        <v>22x28F</v>
      </c>
      <c r="J37" s="218">
        <f>'6M_FRA_Calculation'!O36</f>
        <v>1.6577884406740212E-2</v>
      </c>
      <c r="K37" s="305"/>
      <c r="L37" s="166">
        <v>1.6621915466726256E-2</v>
      </c>
      <c r="M37" s="306"/>
      <c r="N37" s="169">
        <v>1.6577884406740212E-2</v>
      </c>
      <c r="O37" s="170">
        <f>_xll.qlSimpleQuoteSetValue(D37,ROUND(N37,6),EvaluationDate)</f>
        <v>0</v>
      </c>
      <c r="P37" s="190"/>
    </row>
    <row r="38" spans="1:16" s="303" customFormat="1" x14ac:dyDescent="0.2">
      <c r="A38" s="205">
        <v>23</v>
      </c>
      <c r="B38" s="191" t="str">
        <f t="shared" si="3"/>
        <v>23x29F</v>
      </c>
      <c r="C38" s="186" t="str">
        <f t="shared" si="2"/>
        <v>USD23x29F_SYNTH6M_Quote</v>
      </c>
      <c r="D38" s="186" t="str">
        <f>_xll.qlSimpleQuote(C38,,RateTickValue,Permanent,EvaluationDate,ObjectOverwrite)</f>
        <v>USD23x29F_SYNTH6M_Quote#0000</v>
      </c>
      <c r="E38" s="188" t="str">
        <f>_xll.ohRangeRetrieveError(D38)</f>
        <v/>
      </c>
      <c r="F38" s="198"/>
      <c r="H38" s="189">
        <f t="shared" si="4"/>
        <v>23</v>
      </c>
      <c r="I38" s="163" t="str">
        <f t="shared" si="5"/>
        <v>23x29F</v>
      </c>
      <c r="J38" s="218">
        <f>'6M_FRA_Calculation'!O37</f>
        <v>1.7308004459081764E-2</v>
      </c>
      <c r="K38" s="305"/>
      <c r="L38" s="166">
        <v>1.7350794237766906E-2</v>
      </c>
      <c r="M38" s="306"/>
      <c r="N38" s="169">
        <v>1.7308004459081764E-2</v>
      </c>
      <c r="O38" s="170">
        <f>_xll.qlSimpleQuoteSetValue(D38,ROUND(N38,6),EvaluationDate)</f>
        <v>0</v>
      </c>
      <c r="P38" s="190"/>
    </row>
    <row r="39" spans="1:16" s="303" customFormat="1" ht="12" thickBot="1" x14ac:dyDescent="0.25">
      <c r="A39" s="205">
        <v>24</v>
      </c>
      <c r="B39" s="191" t="str">
        <f t="shared" si="3"/>
        <v>24x30F</v>
      </c>
      <c r="C39" s="193" t="str">
        <f t="shared" si="2"/>
        <v>USD24x30F_SYNTH6M_Quote</v>
      </c>
      <c r="D39" s="193" t="str">
        <f>_xll.qlSimpleQuote(C39,,RateTickValue,Permanent,EvaluationDate,ObjectOverwrite)</f>
        <v>USD24x30F_SYNTH6M_Quote#0000</v>
      </c>
      <c r="E39" s="194" t="str">
        <f>_xll.ohRangeRetrieveError(D39)</f>
        <v/>
      </c>
      <c r="F39" s="198"/>
      <c r="H39" s="189">
        <f t="shared" si="4"/>
        <v>24</v>
      </c>
      <c r="I39" s="163" t="str">
        <f t="shared" si="5"/>
        <v>24x30F</v>
      </c>
      <c r="J39" s="218">
        <f>'6M_FRA_Calculation'!O38</f>
        <v>1.8112222010873001E-2</v>
      </c>
      <c r="K39" s="305"/>
      <c r="L39" s="166">
        <v>1.8114403977077278E-2</v>
      </c>
      <c r="M39" s="306"/>
      <c r="N39" s="169">
        <v>1.8112222010873001E-2</v>
      </c>
      <c r="O39" s="170">
        <f>_xll.qlSimpleQuoteSetValue(D39,ROUND(N39,6),EvaluationDate)</f>
        <v>0</v>
      </c>
      <c r="P39" s="190"/>
    </row>
    <row r="40" spans="1:16" s="303" customFormat="1" x14ac:dyDescent="0.2">
      <c r="A40" s="203">
        <v>12</v>
      </c>
      <c r="B40" s="195" t="s">
        <v>57</v>
      </c>
      <c r="C40" s="186" t="str">
        <f t="shared" ref="C40:C55" si="6">Currency&amp;$B40&amp;"_SYNTH"&amp;Tenor12M&amp;QuoteSuffix</f>
        <v>USDSND_SYNTH1Y_Quote</v>
      </c>
      <c r="D40" s="196" t="str">
        <f>_xll.qlSimpleQuote(C40,,RateTickValue,Permanent,EvaluationDate,ObjectOverwrite)</f>
        <v>USDSND_SYNTH1Y_Quote#0000</v>
      </c>
      <c r="E40" s="197" t="str">
        <f>_xll.ohRangeRetrieveError(D40)</f>
        <v/>
      </c>
      <c r="F40" s="312"/>
      <c r="G40" s="1"/>
      <c r="H40" s="313"/>
      <c r="I40" s="314" t="s">
        <v>57</v>
      </c>
      <c r="J40" s="217">
        <f>ROUND(Depo_Calculation!$J34,6)</f>
        <v>4.7140000000000003E-3</v>
      </c>
      <c r="K40" s="156"/>
      <c r="L40" s="315">
        <v>4.7140000000000003E-3</v>
      </c>
      <c r="M40" s="140"/>
      <c r="N40" s="316">
        <v>4.7140000000000003E-3</v>
      </c>
      <c r="O40" s="317">
        <f>_xll.qlSimpleQuoteSetValue(D40,ROUND(N40,6),EvaluationDate)</f>
        <v>0</v>
      </c>
      <c r="P40" s="190">
        <f>_xll.ohTrigger(O40:O55)</f>
        <v>100</v>
      </c>
    </row>
    <row r="41" spans="1:16" s="303" customFormat="1" x14ac:dyDescent="0.2">
      <c r="A41" s="201" t="str">
        <f>_xll.qlPeriodEquivalent(Months12M&amp;"M")</f>
        <v>1Y</v>
      </c>
      <c r="B41" s="191" t="s">
        <v>58</v>
      </c>
      <c r="C41" s="186" t="str">
        <f t="shared" si="6"/>
        <v>USDSWD_SYNTH1Y_Quote</v>
      </c>
      <c r="D41" s="186" t="str">
        <f>_xll.qlSimpleQuote(C41,,RateTickValue,Permanent,EvaluationDate,ObjectOverwrite)</f>
        <v>USDSWD_SYNTH1Y_Quote#0000</v>
      </c>
      <c r="E41" s="199" t="str">
        <f>_xll.ohRangeRetrieveError(D41)</f>
        <v/>
      </c>
      <c r="F41" s="198"/>
      <c r="G41" s="1"/>
      <c r="H41" s="189"/>
      <c r="I41" s="163" t="s">
        <v>58</v>
      </c>
      <c r="J41" s="218">
        <f>ROUND(Depo_Calculation!$J35,6)</f>
        <v>4.7140000000000003E-3</v>
      </c>
      <c r="K41" s="156"/>
      <c r="L41" s="166">
        <v>4.7140000000000003E-3</v>
      </c>
      <c r="M41" s="140"/>
      <c r="N41" s="169">
        <v>4.7140000000000003E-3</v>
      </c>
      <c r="O41" s="170">
        <f>_xll.qlSimpleQuoteSetValue(D41,ROUND(N41,6),EvaluationDate)</f>
        <v>0</v>
      </c>
      <c r="P41" s="190"/>
    </row>
    <row r="42" spans="1:16" s="303" customFormat="1" x14ac:dyDescent="0.2">
      <c r="A42" s="205"/>
      <c r="B42" s="200" t="s">
        <v>59</v>
      </c>
      <c r="C42" s="186" t="str">
        <f t="shared" si="6"/>
        <v>USD2WD_SYNTH1Y_Quote</v>
      </c>
      <c r="D42" s="186" t="str">
        <f>_xll.qlSimpleQuote(C42,,RateTickValue,Permanent,EvaluationDate,ObjectOverwrite)</f>
        <v>USD2WD_SYNTH1Y_Quote#0000</v>
      </c>
      <c r="E42" s="199" t="str">
        <f>_xll.ohRangeRetrieveError(D42)</f>
        <v/>
      </c>
      <c r="F42" s="198"/>
      <c r="G42" s="1"/>
      <c r="H42" s="189"/>
      <c r="I42" s="163" t="s">
        <v>59</v>
      </c>
      <c r="J42" s="218">
        <f>ROUND(Depo_Calculation!$J36,6)</f>
        <v>4.7140000000000003E-3</v>
      </c>
      <c r="K42" s="156"/>
      <c r="L42" s="166">
        <v>4.7140000000000003E-3</v>
      </c>
      <c r="M42" s="140"/>
      <c r="N42" s="169">
        <v>4.7140000000000003E-3</v>
      </c>
      <c r="O42" s="170">
        <f>_xll.qlSimpleQuoteSetValue(D42,ROUND(N42,6),EvaluationDate)</f>
        <v>0</v>
      </c>
      <c r="P42" s="190"/>
    </row>
    <row r="43" spans="1:16" x14ac:dyDescent="0.2">
      <c r="A43" s="205"/>
      <c r="B43" s="200" t="s">
        <v>60</v>
      </c>
      <c r="C43" s="186" t="str">
        <f t="shared" si="6"/>
        <v>USD3WD_SYNTH1Y_Quote</v>
      </c>
      <c r="D43" s="186" t="str">
        <f>_xll.qlSimpleQuote(C43,,RateTickValue,Permanent,EvaluationDate,ObjectOverwrite)</f>
        <v>USD3WD_SYNTH1Y_Quote#0000</v>
      </c>
      <c r="E43" s="199" t="str">
        <f>_xll.ohRangeRetrieveError(D43)</f>
        <v/>
      </c>
      <c r="F43" s="198"/>
      <c r="H43" s="189"/>
      <c r="I43" s="163" t="s">
        <v>60</v>
      </c>
      <c r="J43" s="218">
        <f>ROUND(Depo_Calculation!$J37,6)</f>
        <v>4.7140000000000003E-3</v>
      </c>
      <c r="K43" s="156"/>
      <c r="L43" s="166">
        <v>4.7140000000000003E-3</v>
      </c>
      <c r="M43" s="140"/>
      <c r="N43" s="169">
        <v>4.7140000000000003E-3</v>
      </c>
      <c r="O43" s="170">
        <f>_xll.qlSimpleQuoteSetValue(D43,ROUND(N43,6),EvaluationDate)</f>
        <v>0</v>
      </c>
      <c r="P43" s="190"/>
    </row>
    <row r="44" spans="1:16" x14ac:dyDescent="0.2">
      <c r="A44" s="205"/>
      <c r="B44" s="200" t="s">
        <v>61</v>
      </c>
      <c r="C44" s="186" t="str">
        <f t="shared" si="6"/>
        <v>USD1MD_SYNTH1Y_Quote</v>
      </c>
      <c r="D44" s="186" t="str">
        <f>_xll.qlSimpleQuote(C44,,RateTickValue,Permanent,EvaluationDate,ObjectOverwrite)</f>
        <v>USD1MD_SYNTH1Y_Quote#0000</v>
      </c>
      <c r="E44" s="199" t="str">
        <f>_xll.ohRangeRetrieveError(D44)</f>
        <v/>
      </c>
      <c r="F44" s="198"/>
      <c r="H44" s="189"/>
      <c r="I44" s="163" t="s">
        <v>61</v>
      </c>
      <c r="J44" s="218">
        <f>ROUND(Depo_Calculation!$J38,6)</f>
        <v>4.7140000000000003E-3</v>
      </c>
      <c r="K44" s="156"/>
      <c r="L44" s="166">
        <v>4.7140000000000003E-3</v>
      </c>
      <c r="M44" s="140"/>
      <c r="N44" s="169">
        <v>4.7140000000000003E-3</v>
      </c>
      <c r="O44" s="170">
        <f>_xll.qlSimpleQuoteSetValue(D44,ROUND(N44,6),EvaluationDate)</f>
        <v>0</v>
      </c>
      <c r="P44" s="190"/>
    </row>
    <row r="45" spans="1:16" x14ac:dyDescent="0.2">
      <c r="A45" s="205"/>
      <c r="B45" s="200" t="s">
        <v>76</v>
      </c>
      <c r="C45" s="186" t="str">
        <f t="shared" si="6"/>
        <v>USD2MD_SYNTH1Y_Quote</v>
      </c>
      <c r="D45" s="186" t="str">
        <f>_xll.qlSimpleQuote(C45,,RateTickValue,Permanent,EvaluationDate,ObjectOverwrite)</f>
        <v>USD2MD_SYNTH1Y_Quote#0000</v>
      </c>
      <c r="E45" s="199" t="str">
        <f>_xll.ohRangeRetrieveError(D45)</f>
        <v/>
      </c>
      <c r="F45" s="198"/>
      <c r="H45" s="189"/>
      <c r="I45" s="163" t="s">
        <v>76</v>
      </c>
      <c r="J45" s="218">
        <f>ROUND(Depo_Calculation!$J39,6)</f>
        <v>4.7340000000000004E-3</v>
      </c>
      <c r="K45" s="156"/>
      <c r="L45" s="166">
        <v>4.7340000000000004E-3</v>
      </c>
      <c r="M45" s="140"/>
      <c r="N45" s="169">
        <v>4.7340000000000004E-3</v>
      </c>
      <c r="O45" s="170">
        <f>_xll.qlSimpleQuoteSetValue(D45,ROUND(N45,6),EvaluationDate)</f>
        <v>0</v>
      </c>
      <c r="P45" s="190"/>
    </row>
    <row r="46" spans="1:16" x14ac:dyDescent="0.2">
      <c r="A46" s="205"/>
      <c r="B46" s="200" t="s">
        <v>77</v>
      </c>
      <c r="C46" s="186" t="str">
        <f t="shared" si="6"/>
        <v>USD3MD_SYNTH1Y_Quote</v>
      </c>
      <c r="D46" s="186" t="str">
        <f>_xll.qlSimpleQuote(C46,,RateTickValue,Permanent,EvaluationDate,ObjectOverwrite)</f>
        <v>USD3MD_SYNTH1Y_Quote#0000</v>
      </c>
      <c r="E46" s="199" t="str">
        <f>_xll.ohRangeRetrieveError(D46)</f>
        <v/>
      </c>
      <c r="F46" s="198"/>
      <c r="H46" s="189"/>
      <c r="I46" s="163" t="s">
        <v>77</v>
      </c>
      <c r="J46" s="218">
        <f>ROUND(Depo_Calculation!$J40,6)</f>
        <v>4.744E-3</v>
      </c>
      <c r="K46" s="156"/>
      <c r="L46" s="166">
        <v>4.744E-3</v>
      </c>
      <c r="M46" s="140"/>
      <c r="N46" s="169">
        <v>4.744E-3</v>
      </c>
      <c r="O46" s="170">
        <f>_xll.qlSimpleQuoteSetValue(D46,ROUND(N46,6),EvaluationDate)</f>
        <v>0</v>
      </c>
      <c r="P46" s="190"/>
    </row>
    <row r="47" spans="1:16" x14ac:dyDescent="0.2">
      <c r="A47" s="205"/>
      <c r="B47" s="200" t="s">
        <v>78</v>
      </c>
      <c r="C47" s="186" t="str">
        <f t="shared" si="6"/>
        <v>USD4MD_SYNTH1Y_Quote</v>
      </c>
      <c r="D47" s="186" t="str">
        <f>_xll.qlSimpleQuote(C47,,RateTickValue,Permanent,EvaluationDate,ObjectOverwrite)</f>
        <v>USD4MD_SYNTH1Y_Quote#0000</v>
      </c>
      <c r="E47" s="199" t="str">
        <f>_xll.ohRangeRetrieveError(D47)</f>
        <v/>
      </c>
      <c r="F47" s="198"/>
      <c r="H47" s="189"/>
      <c r="I47" s="163" t="s">
        <v>78</v>
      </c>
      <c r="J47" s="218">
        <f>ROUND(Depo_Calculation!$J41,6)</f>
        <v>4.764E-3</v>
      </c>
      <c r="K47" s="156"/>
      <c r="L47" s="166">
        <v>4.764E-3</v>
      </c>
      <c r="M47" s="140"/>
      <c r="N47" s="169">
        <v>4.764E-3</v>
      </c>
      <c r="O47" s="170">
        <f>_xll.qlSimpleQuoteSetValue(D47,ROUND(N47,6),EvaluationDate)</f>
        <v>0</v>
      </c>
      <c r="P47" s="190"/>
    </row>
    <row r="48" spans="1:16" x14ac:dyDescent="0.2">
      <c r="A48" s="205"/>
      <c r="B48" s="200" t="s">
        <v>79</v>
      </c>
      <c r="C48" s="186" t="str">
        <f t="shared" si="6"/>
        <v>USD5MD_SYNTH1Y_Quote</v>
      </c>
      <c r="D48" s="186" t="str">
        <f>_xll.qlSimpleQuote(C48,,RateTickValue,Permanent,EvaluationDate,ObjectOverwrite)</f>
        <v>USD5MD_SYNTH1Y_Quote#0000</v>
      </c>
      <c r="E48" s="199" t="str">
        <f>_xll.ohRangeRetrieveError(D48)</f>
        <v/>
      </c>
      <c r="F48" s="198"/>
      <c r="H48" s="189"/>
      <c r="I48" s="163" t="s">
        <v>79</v>
      </c>
      <c r="J48" s="218">
        <f>ROUND(Depo_Calculation!$J42,6)</f>
        <v>4.8040000000000001E-3</v>
      </c>
      <c r="K48" s="156"/>
      <c r="L48" s="166">
        <v>4.8040000000000001E-3</v>
      </c>
      <c r="M48" s="140"/>
      <c r="N48" s="169">
        <v>4.8040000000000001E-3</v>
      </c>
      <c r="O48" s="170">
        <f>_xll.qlSimpleQuoteSetValue(D48,ROUND(N48,6),EvaluationDate)</f>
        <v>0</v>
      </c>
      <c r="P48" s="190"/>
    </row>
    <row r="49" spans="1:16" x14ac:dyDescent="0.2">
      <c r="A49" s="205"/>
      <c r="B49" s="200" t="s">
        <v>80</v>
      </c>
      <c r="C49" s="186" t="str">
        <f t="shared" si="6"/>
        <v>USD6MD_SYNTH1Y_Quote</v>
      </c>
      <c r="D49" s="186" t="str">
        <f>_xll.qlSimpleQuote(C49,,RateTickValue,Permanent,EvaluationDate,ObjectOverwrite)</f>
        <v>USD6MD_SYNTH1Y_Quote#0000</v>
      </c>
      <c r="E49" s="199" t="str">
        <f>_xll.ohRangeRetrieveError(D49)</f>
        <v/>
      </c>
      <c r="F49" s="198"/>
      <c r="H49" s="189"/>
      <c r="I49" s="163" t="s">
        <v>80</v>
      </c>
      <c r="J49" s="218">
        <f>ROUND(Depo_Calculation!$J43,6)</f>
        <v>4.8440000000000002E-3</v>
      </c>
      <c r="K49" s="156"/>
      <c r="L49" s="166">
        <v>4.8440000000000002E-3</v>
      </c>
      <c r="M49" s="140"/>
      <c r="N49" s="169">
        <v>4.8440000000000002E-3</v>
      </c>
      <c r="O49" s="170">
        <f>_xll.qlSimpleQuoteSetValue(D49,ROUND(N49,6),EvaluationDate)</f>
        <v>0</v>
      </c>
      <c r="P49" s="190"/>
    </row>
    <row r="50" spans="1:16" x14ac:dyDescent="0.2">
      <c r="A50" s="205"/>
      <c r="B50" s="200" t="s">
        <v>82</v>
      </c>
      <c r="C50" s="186" t="str">
        <f t="shared" si="6"/>
        <v>USD7MD_SYNTH1Y_Quote</v>
      </c>
      <c r="D50" s="186" t="str">
        <f>_xll.qlSimpleQuote(C50,,RateTickValue,Permanent,EvaluationDate,ObjectOverwrite)</f>
        <v>USD7MD_SYNTH1Y_Quote#0000</v>
      </c>
      <c r="E50" s="199" t="str">
        <f>_xll.ohRangeRetrieveError(D50)</f>
        <v/>
      </c>
      <c r="F50" s="198"/>
      <c r="H50" s="189"/>
      <c r="I50" s="163" t="s">
        <v>82</v>
      </c>
      <c r="J50" s="218">
        <f>ROUND(Depo_Calculation!$J44,6)</f>
        <v>4.8939999999999999E-3</v>
      </c>
      <c r="K50" s="156"/>
      <c r="L50" s="166">
        <v>4.8939999999999999E-3</v>
      </c>
      <c r="M50" s="140"/>
      <c r="N50" s="169">
        <v>4.8939999999999999E-3</v>
      </c>
      <c r="O50" s="170">
        <f>_xll.qlSimpleQuoteSetValue(D50,ROUND(N50,6),EvaluationDate)</f>
        <v>0</v>
      </c>
      <c r="P50" s="190"/>
    </row>
    <row r="51" spans="1:16" x14ac:dyDescent="0.2">
      <c r="A51" s="205"/>
      <c r="B51" s="200" t="s">
        <v>83</v>
      </c>
      <c r="C51" s="186" t="str">
        <f t="shared" si="6"/>
        <v>USD8MD_SYNTH1Y_Quote</v>
      </c>
      <c r="D51" s="186" t="str">
        <f>_xll.qlSimpleQuote(C51,,RateTickValue,Permanent,EvaluationDate,ObjectOverwrite)</f>
        <v>USD8MD_SYNTH1Y_Quote#0000</v>
      </c>
      <c r="E51" s="199" t="str">
        <f>_xll.ohRangeRetrieveError(D51)</f>
        <v/>
      </c>
      <c r="F51" s="198"/>
      <c r="H51" s="189"/>
      <c r="I51" s="163" t="s">
        <v>83</v>
      </c>
      <c r="J51" s="218">
        <f>ROUND(Depo_Calculation!$J45,6)</f>
        <v>4.9839999999999997E-3</v>
      </c>
      <c r="K51" s="156"/>
      <c r="L51" s="166">
        <v>4.9839999999999997E-3</v>
      </c>
      <c r="M51" s="140"/>
      <c r="N51" s="169">
        <v>4.9839999999999997E-3</v>
      </c>
      <c r="O51" s="170">
        <f>_xll.qlSimpleQuoteSetValue(D51,ROUND(N51,6),EvaluationDate)</f>
        <v>0</v>
      </c>
      <c r="P51" s="190"/>
    </row>
    <row r="52" spans="1:16" x14ac:dyDescent="0.2">
      <c r="A52" s="205"/>
      <c r="B52" s="200" t="s">
        <v>84</v>
      </c>
      <c r="C52" s="186" t="str">
        <f t="shared" si="6"/>
        <v>USD9MD_SYNTH1Y_Quote</v>
      </c>
      <c r="D52" s="186" t="str">
        <f>_xll.qlSimpleQuote(C52,,RateTickValue,Permanent,EvaluationDate,ObjectOverwrite)</f>
        <v>USD9MD_SYNTH1Y_Quote#0000</v>
      </c>
      <c r="E52" s="199" t="str">
        <f>_xll.ohRangeRetrieveError(D52)</f>
        <v/>
      </c>
      <c r="F52" s="198"/>
      <c r="H52" s="189"/>
      <c r="I52" s="163" t="s">
        <v>84</v>
      </c>
      <c r="J52" s="218">
        <f>ROUND(Depo_Calculation!$J46,6)</f>
        <v>5.084E-3</v>
      </c>
      <c r="K52" s="156"/>
      <c r="L52" s="166">
        <v>5.084E-3</v>
      </c>
      <c r="M52" s="140"/>
      <c r="N52" s="169">
        <v>5.084E-3</v>
      </c>
      <c r="O52" s="170">
        <f>_xll.qlSimpleQuoteSetValue(D52,ROUND(N52,6),EvaluationDate)</f>
        <v>0</v>
      </c>
      <c r="P52" s="190"/>
    </row>
    <row r="53" spans="1:16" x14ac:dyDescent="0.2">
      <c r="A53" s="205"/>
      <c r="B53" s="200" t="s">
        <v>85</v>
      </c>
      <c r="C53" s="186" t="str">
        <f t="shared" si="6"/>
        <v>USD10MD_SYNTH1Y_Quote</v>
      </c>
      <c r="D53" s="186" t="str">
        <f>_xll.qlSimpleQuote(C53,,RateTickValue,Permanent,EvaluationDate,ObjectOverwrite)</f>
        <v>USD10MD_SYNTH1Y_Quote#0000</v>
      </c>
      <c r="E53" s="199" t="str">
        <f>_xll.ohRangeRetrieveError(D53)</f>
        <v/>
      </c>
      <c r="F53" s="198"/>
      <c r="H53" s="189"/>
      <c r="I53" s="163" t="s">
        <v>85</v>
      </c>
      <c r="J53" s="218">
        <f>ROUND(Depo_Calculation!$J47,6)</f>
        <v>5.1939999999999998E-3</v>
      </c>
      <c r="K53" s="156"/>
      <c r="L53" s="166">
        <v>5.1939999999999998E-3</v>
      </c>
      <c r="M53" s="140"/>
      <c r="N53" s="169">
        <v>5.1939999999999998E-3</v>
      </c>
      <c r="O53" s="170">
        <f>_xll.qlSimpleQuoteSetValue(D53,ROUND(N53,6),EvaluationDate)</f>
        <v>0</v>
      </c>
      <c r="P53" s="190"/>
    </row>
    <row r="54" spans="1:16" x14ac:dyDescent="0.2">
      <c r="A54" s="205"/>
      <c r="B54" s="200" t="s">
        <v>86</v>
      </c>
      <c r="C54" s="186" t="str">
        <f t="shared" si="6"/>
        <v>USD11MD_SYNTH1Y_Quote</v>
      </c>
      <c r="D54" s="186" t="str">
        <f>_xll.qlSimpleQuote(C54,,RateTickValue,Permanent,EvaluationDate,ObjectOverwrite)</f>
        <v>USD11MD_SYNTH1Y_Quote#0000</v>
      </c>
      <c r="E54" s="199" t="str">
        <f>_xll.ohRangeRetrieveError(D54)</f>
        <v/>
      </c>
      <c r="F54" s="198"/>
      <c r="H54" s="189"/>
      <c r="I54" s="163" t="s">
        <v>86</v>
      </c>
      <c r="J54" s="218">
        <f>ROUND(Depo_Calculation!$J48,6)</f>
        <v>5.3740000000000003E-3</v>
      </c>
      <c r="K54" s="156"/>
      <c r="L54" s="166">
        <v>5.3740000000000003E-3</v>
      </c>
      <c r="M54" s="140"/>
      <c r="N54" s="169">
        <v>5.3740000000000003E-3</v>
      </c>
      <c r="O54" s="170">
        <f>_xll.qlSimpleQuoteSetValue(D54,ROUND(N54,6),EvaluationDate)</f>
        <v>0</v>
      </c>
      <c r="P54" s="190"/>
    </row>
    <row r="55" spans="1:16" ht="12" thickBot="1" x14ac:dyDescent="0.25">
      <c r="A55" s="207"/>
      <c r="B55" s="192" t="s">
        <v>87</v>
      </c>
      <c r="C55" s="193" t="str">
        <f t="shared" si="6"/>
        <v>USD1YD_SYNTH1Y_Quote</v>
      </c>
      <c r="D55" s="193" t="str">
        <f>_xll.qlSimpleQuote(C55,,RateTickValue,Permanent,EvaluationDate,ObjectOverwrite)</f>
        <v>USD1YD_SYNTH1Y_Quote#0000</v>
      </c>
      <c r="E55" s="208" t="str">
        <f>_xll.ohRangeRetrieveError(D55)</f>
        <v/>
      </c>
      <c r="F55" s="209"/>
      <c r="H55" s="210"/>
      <c r="I55" s="165" t="s">
        <v>87</v>
      </c>
      <c r="J55" s="219">
        <f>ROUND(Depo_Calculation!$J49,6)</f>
        <v>5.5539999999999999E-3</v>
      </c>
      <c r="K55" s="211"/>
      <c r="L55" s="168">
        <v>5.5539999999999999E-3</v>
      </c>
      <c r="M55" s="212"/>
      <c r="N55" s="172">
        <v>5.5539999999999999E-3</v>
      </c>
      <c r="O55" s="170">
        <f>_xll.qlSimpleQuoteSetValue(D55,ROUND(N55,6),EvaluationDate)</f>
        <v>0</v>
      </c>
      <c r="P55" s="190"/>
    </row>
    <row r="56" spans="1:16" x14ac:dyDescent="0.2">
      <c r="A56" s="205">
        <v>7</v>
      </c>
      <c r="B56" s="200" t="str">
        <f t="shared" ref="B56:B92" si="7">A56&amp;"x"&amp;A56+Months12M&amp;"F"</f>
        <v>7x19F</v>
      </c>
      <c r="C56" s="186" t="str">
        <f t="shared" ref="C56:C92" si="8">Currency&amp;B56&amp;"_SYNTH"&amp;Tenor12M&amp;QuoteSuffix</f>
        <v>USD7x19F_SYNTH1Y_Quote</v>
      </c>
      <c r="D56" s="186" t="str">
        <f>_xll.qlSimpleQuote(C56,,RateTickValue,Permanent,Trigger,ObjectOverwrite)</f>
        <v>USD7x19F_SYNTH1Y_Quote#0000</v>
      </c>
      <c r="E56" s="199" t="str">
        <f>_xll.ohRangeRetrieveError(D56)</f>
        <v/>
      </c>
      <c r="F56" s="198"/>
      <c r="G56" s="303"/>
      <c r="H56" s="189">
        <v>7</v>
      </c>
      <c r="I56" s="163" t="s">
        <v>174</v>
      </c>
      <c r="J56" s="218" t="e">
        <f>'1Y_FRA_Calculation'!O19</f>
        <v>#VALUE!</v>
      </c>
      <c r="K56" s="305"/>
      <c r="L56" s="166" t="e">
        <v>#VALUE!</v>
      </c>
      <c r="M56" s="306"/>
      <c r="N56" s="169" t="e">
        <v>#VALUE!</v>
      </c>
      <c r="O56" s="317" t="e">
        <f>_xll.qlSimpleQuoteSetValue(D56,ROUND(N56,6),EvaluationDate)</f>
        <v>#NUM!</v>
      </c>
      <c r="P56" s="190"/>
    </row>
    <row r="57" spans="1:16" x14ac:dyDescent="0.2">
      <c r="A57" s="205">
        <v>8</v>
      </c>
      <c r="B57" s="200" t="str">
        <f t="shared" si="7"/>
        <v>8x20F</v>
      </c>
      <c r="C57" s="186" t="str">
        <f t="shared" si="8"/>
        <v>USD8x20F_SYNTH1Y_Quote</v>
      </c>
      <c r="D57" s="186" t="str">
        <f>_xll.qlSimpleQuote(C57,,RateTickValue,Permanent,Trigger,ObjectOverwrite)</f>
        <v>USD8x20F_SYNTH1Y_Quote#0000</v>
      </c>
      <c r="E57" s="199" t="str">
        <f>_xll.ohRangeRetrieveError(D57)</f>
        <v/>
      </c>
      <c r="F57" s="198"/>
      <c r="G57" s="303"/>
      <c r="H57" s="189">
        <v>8</v>
      </c>
      <c r="I57" s="163" t="s">
        <v>175</v>
      </c>
      <c r="J57" s="218" t="e">
        <f>'1Y_FRA_Calculation'!O20</f>
        <v>#VALUE!</v>
      </c>
      <c r="K57" s="305"/>
      <c r="L57" s="166" t="e">
        <v>#VALUE!</v>
      </c>
      <c r="M57" s="306"/>
      <c r="N57" s="169" t="e">
        <v>#VALUE!</v>
      </c>
      <c r="O57" s="170" t="e">
        <f>_xll.qlSimpleQuoteSetValue(D57,ROUND(N57,6),EvaluationDate)</f>
        <v>#NUM!</v>
      </c>
      <c r="P57" s="190"/>
    </row>
    <row r="58" spans="1:16" x14ac:dyDescent="0.2">
      <c r="A58" s="205">
        <v>10</v>
      </c>
      <c r="B58" s="200" t="str">
        <f t="shared" si="7"/>
        <v>10x22F</v>
      </c>
      <c r="C58" s="186" t="str">
        <f t="shared" si="8"/>
        <v>USD10x22F_SYNTH1Y_Quote</v>
      </c>
      <c r="D58" s="186" t="str">
        <f>_xll.qlSimpleQuote(C58,,RateTickValue,Permanent,Trigger,ObjectOverwrite)</f>
        <v>USD10x22F_SYNTH1Y_Quote#0000</v>
      </c>
      <c r="E58" s="199" t="str">
        <f>_xll.ohRangeRetrieveError(D58)</f>
        <v/>
      </c>
      <c r="F58" s="198"/>
      <c r="G58" s="303"/>
      <c r="H58" s="189">
        <v>10</v>
      </c>
      <c r="I58" s="163" t="s">
        <v>176</v>
      </c>
      <c r="J58" s="218" t="e">
        <f>'1Y_FRA_Calculation'!O21</f>
        <v>#VALUE!</v>
      </c>
      <c r="K58" s="305"/>
      <c r="L58" s="166" t="e">
        <v>#VALUE!</v>
      </c>
      <c r="M58" s="306"/>
      <c r="N58" s="169" t="e">
        <v>#VALUE!</v>
      </c>
      <c r="O58" s="170" t="e">
        <f>_xll.qlSimpleQuoteSetValue(D58,ROUND(N58,6),EvaluationDate)</f>
        <v>#NUM!</v>
      </c>
      <c r="P58" s="190"/>
    </row>
    <row r="59" spans="1:16" x14ac:dyDescent="0.2">
      <c r="A59" s="205">
        <v>11</v>
      </c>
      <c r="B59" s="200" t="str">
        <f t="shared" si="7"/>
        <v>11x23F</v>
      </c>
      <c r="C59" s="186" t="str">
        <f t="shared" si="8"/>
        <v>USD11x23F_SYNTH1Y_Quote</v>
      </c>
      <c r="D59" s="186" t="str">
        <f>_xll.qlSimpleQuote(C59,,RateTickValue,Permanent,Trigger,ObjectOverwrite)</f>
        <v>USD11x23F_SYNTH1Y_Quote#0000</v>
      </c>
      <c r="E59" s="199" t="str">
        <f>_xll.ohRangeRetrieveError(D59)</f>
        <v/>
      </c>
      <c r="F59" s="198"/>
      <c r="G59" s="303"/>
      <c r="H59" s="189">
        <v>11</v>
      </c>
      <c r="I59" s="163" t="s">
        <v>177</v>
      </c>
      <c r="J59" s="218" t="e">
        <f>'1Y_FRA_Calculation'!O22</f>
        <v>#VALUE!</v>
      </c>
      <c r="K59" s="305"/>
      <c r="L59" s="166" t="e">
        <v>#VALUE!</v>
      </c>
      <c r="M59" s="306"/>
      <c r="N59" s="169" t="e">
        <v>#VALUE!</v>
      </c>
      <c r="O59" s="170" t="e">
        <f>_xll.qlSimpleQuoteSetValue(D59,ROUND(N59,6),EvaluationDate)</f>
        <v>#NUM!</v>
      </c>
      <c r="P59" s="190"/>
    </row>
    <row r="60" spans="1:16" x14ac:dyDescent="0.2">
      <c r="A60" s="205">
        <v>13</v>
      </c>
      <c r="B60" s="200" t="str">
        <f t="shared" si="7"/>
        <v>13x25F</v>
      </c>
      <c r="C60" s="186" t="str">
        <f t="shared" si="8"/>
        <v>USD13x25F_SYNTH1Y_Quote</v>
      </c>
      <c r="D60" s="186" t="str">
        <f>_xll.qlSimpleQuote(C60,,RateTickValue,Permanent,Trigger,ObjectOverwrite)</f>
        <v>USD13x25F_SYNTH1Y_Quote#0000</v>
      </c>
      <c r="E60" s="199" t="str">
        <f>_xll.ohRangeRetrieveError(D60)</f>
        <v/>
      </c>
      <c r="F60" s="198"/>
      <c r="G60" s="303"/>
      <c r="H60" s="189">
        <v>13</v>
      </c>
      <c r="I60" s="163" t="s">
        <v>178</v>
      </c>
      <c r="J60" s="218" t="e">
        <f>'1Y_FRA_Calculation'!O23</f>
        <v>#VALUE!</v>
      </c>
      <c r="K60" s="305"/>
      <c r="L60" s="166" t="e">
        <v>#VALUE!</v>
      </c>
      <c r="M60" s="306"/>
      <c r="N60" s="169" t="e">
        <v>#VALUE!</v>
      </c>
      <c r="O60" s="170" t="e">
        <f>_xll.qlSimpleQuoteSetValue(D60,ROUND(N60,6),EvaluationDate)</f>
        <v>#NUM!</v>
      </c>
      <c r="P60" s="190"/>
    </row>
    <row r="61" spans="1:16" x14ac:dyDescent="0.2">
      <c r="A61" s="205">
        <v>14</v>
      </c>
      <c r="B61" s="200" t="str">
        <f t="shared" si="7"/>
        <v>14x26F</v>
      </c>
      <c r="C61" s="186" t="str">
        <f t="shared" si="8"/>
        <v>USD14x26F_SYNTH1Y_Quote</v>
      </c>
      <c r="D61" s="186" t="str">
        <f>_xll.qlSimpleQuote(C61,,RateTickValue,Permanent,Trigger,ObjectOverwrite)</f>
        <v>USD14x26F_SYNTH1Y_Quote#0000</v>
      </c>
      <c r="E61" s="199" t="str">
        <f>_xll.ohRangeRetrieveError(D61)</f>
        <v/>
      </c>
      <c r="F61" s="198"/>
      <c r="G61" s="303"/>
      <c r="H61" s="189">
        <v>14</v>
      </c>
      <c r="I61" s="163" t="s">
        <v>179</v>
      </c>
      <c r="J61" s="218" t="e">
        <f>'1Y_FRA_Calculation'!O24</f>
        <v>#VALUE!</v>
      </c>
      <c r="K61" s="305"/>
      <c r="L61" s="166" t="e">
        <v>#VALUE!</v>
      </c>
      <c r="M61" s="306"/>
      <c r="N61" s="169" t="e">
        <v>#VALUE!</v>
      </c>
      <c r="O61" s="170" t="e">
        <f>_xll.qlSimpleQuoteSetValue(D61,ROUND(N61,6),EvaluationDate)</f>
        <v>#NUM!</v>
      </c>
      <c r="P61" s="190"/>
    </row>
    <row r="62" spans="1:16" x14ac:dyDescent="0.2">
      <c r="A62" s="205">
        <v>15</v>
      </c>
      <c r="B62" s="200" t="str">
        <f t="shared" si="7"/>
        <v>15x27F</v>
      </c>
      <c r="C62" s="186" t="str">
        <f t="shared" si="8"/>
        <v>USD15x27F_SYNTH1Y_Quote</v>
      </c>
      <c r="D62" s="186" t="str">
        <f>_xll.qlSimpleQuote(C62,,RateTickValue,Permanent,Trigger,ObjectOverwrite)</f>
        <v>USD15x27F_SYNTH1Y_Quote#0000</v>
      </c>
      <c r="E62" s="199" t="str">
        <f>_xll.ohRangeRetrieveError(D62)</f>
        <v/>
      </c>
      <c r="F62" s="198"/>
      <c r="G62" s="303"/>
      <c r="H62" s="189">
        <v>15</v>
      </c>
      <c r="I62" s="163" t="s">
        <v>180</v>
      </c>
      <c r="J62" s="218" t="e">
        <f>'1Y_FRA_Calculation'!O25</f>
        <v>#VALUE!</v>
      </c>
      <c r="K62" s="305"/>
      <c r="L62" s="166" t="e">
        <v>#VALUE!</v>
      </c>
      <c r="M62" s="306"/>
      <c r="N62" s="169" t="e">
        <v>#VALUE!</v>
      </c>
      <c r="O62" s="170" t="e">
        <f>_xll.qlSimpleQuoteSetValue(D62,ROUND(N62,6),EvaluationDate)</f>
        <v>#NUM!</v>
      </c>
      <c r="P62" s="190"/>
    </row>
    <row r="63" spans="1:16" x14ac:dyDescent="0.2">
      <c r="A63" s="205">
        <v>16</v>
      </c>
      <c r="B63" s="200" t="str">
        <f t="shared" si="7"/>
        <v>16x28F</v>
      </c>
      <c r="C63" s="186" t="str">
        <f t="shared" si="8"/>
        <v>USD16x28F_SYNTH1Y_Quote</v>
      </c>
      <c r="D63" s="186" t="str">
        <f>_xll.qlSimpleQuote(C63,,RateTickValue,Permanent,Trigger,ObjectOverwrite)</f>
        <v>USD16x28F_SYNTH1Y_Quote#0000</v>
      </c>
      <c r="E63" s="199" t="str">
        <f>_xll.ohRangeRetrieveError(D63)</f>
        <v/>
      </c>
      <c r="F63" s="198"/>
      <c r="G63" s="303"/>
      <c r="H63" s="189">
        <v>16</v>
      </c>
      <c r="I63" s="163" t="s">
        <v>181</v>
      </c>
      <c r="J63" s="218" t="e">
        <f>'1Y_FRA_Calculation'!O26</f>
        <v>#VALUE!</v>
      </c>
      <c r="K63" s="305"/>
      <c r="L63" s="166" t="e">
        <v>#VALUE!</v>
      </c>
      <c r="M63" s="306"/>
      <c r="N63" s="169" t="e">
        <v>#VALUE!</v>
      </c>
      <c r="O63" s="170" t="e">
        <f>_xll.qlSimpleQuoteSetValue(D63,ROUND(N63,6),EvaluationDate)</f>
        <v>#NUM!</v>
      </c>
      <c r="P63" s="190"/>
    </row>
    <row r="64" spans="1:16" x14ac:dyDescent="0.2">
      <c r="A64" s="205">
        <v>17</v>
      </c>
      <c r="B64" s="200" t="str">
        <f t="shared" si="7"/>
        <v>17x29F</v>
      </c>
      <c r="C64" s="186" t="str">
        <f t="shared" si="8"/>
        <v>USD17x29F_SYNTH1Y_Quote</v>
      </c>
      <c r="D64" s="186" t="str">
        <f>_xll.qlSimpleQuote(C64,,RateTickValue,Permanent,Trigger,ObjectOverwrite)</f>
        <v>USD17x29F_SYNTH1Y_Quote#0000</v>
      </c>
      <c r="E64" s="199" t="str">
        <f>_xll.ohRangeRetrieveError(D64)</f>
        <v/>
      </c>
      <c r="F64" s="198"/>
      <c r="G64" s="303"/>
      <c r="H64" s="189">
        <v>17</v>
      </c>
      <c r="I64" s="163" t="s">
        <v>182</v>
      </c>
      <c r="J64" s="218" t="e">
        <f>'1Y_FRA_Calculation'!O27</f>
        <v>#VALUE!</v>
      </c>
      <c r="K64" s="305"/>
      <c r="L64" s="166" t="e">
        <v>#VALUE!</v>
      </c>
      <c r="M64" s="306"/>
      <c r="N64" s="169" t="e">
        <v>#VALUE!</v>
      </c>
      <c r="O64" s="170" t="e">
        <f>_xll.qlSimpleQuoteSetValue(D64,ROUND(N64,6),EvaluationDate)</f>
        <v>#NUM!</v>
      </c>
      <c r="P64" s="190"/>
    </row>
    <row r="65" spans="1:16" x14ac:dyDescent="0.2">
      <c r="A65" s="205">
        <v>18</v>
      </c>
      <c r="B65" s="200" t="str">
        <f t="shared" si="7"/>
        <v>18x30F</v>
      </c>
      <c r="C65" s="186" t="str">
        <f t="shared" si="8"/>
        <v>USD18x30F_SYNTH1Y_Quote</v>
      </c>
      <c r="D65" s="186" t="str">
        <f>_xll.qlSimpleQuote(C65,,RateTickValue,Permanent,Trigger,ObjectOverwrite)</f>
        <v>USD18x30F_SYNTH1Y_Quote#0000</v>
      </c>
      <c r="E65" s="199" t="str">
        <f>_xll.ohRangeRetrieveError(D65)</f>
        <v/>
      </c>
      <c r="F65" s="198"/>
      <c r="G65" s="303"/>
      <c r="H65" s="189">
        <v>18</v>
      </c>
      <c r="I65" s="163" t="s">
        <v>183</v>
      </c>
      <c r="J65" s="218" t="e">
        <f>'1Y_FRA_Calculation'!O28</f>
        <v>#VALUE!</v>
      </c>
      <c r="K65" s="305"/>
      <c r="L65" s="166" t="e">
        <v>#VALUE!</v>
      </c>
      <c r="M65" s="306"/>
      <c r="N65" s="169" t="e">
        <v>#VALUE!</v>
      </c>
      <c r="O65" s="170" t="e">
        <f>_xll.qlSimpleQuoteSetValue(D65,ROUND(N65,6),EvaluationDate)</f>
        <v>#NUM!</v>
      </c>
      <c r="P65" s="190"/>
    </row>
    <row r="66" spans="1:16" x14ac:dyDescent="0.2">
      <c r="A66" s="205">
        <v>19</v>
      </c>
      <c r="B66" s="200" t="str">
        <f t="shared" si="7"/>
        <v>19x31F</v>
      </c>
      <c r="C66" s="186" t="str">
        <f t="shared" si="8"/>
        <v>USD19x31F_SYNTH1Y_Quote</v>
      </c>
      <c r="D66" s="186" t="str">
        <f>_xll.qlSimpleQuote(C66,,RateTickValue,Permanent,Trigger,ObjectOverwrite)</f>
        <v>USD19x31F_SYNTH1Y_Quote#0000</v>
      </c>
      <c r="E66" s="199" t="str">
        <f>_xll.ohRangeRetrieveError(D66)</f>
        <v/>
      </c>
      <c r="F66" s="198"/>
      <c r="G66" s="303"/>
      <c r="H66" s="189">
        <v>19</v>
      </c>
      <c r="I66" s="163" t="s">
        <v>184</v>
      </c>
      <c r="J66" s="218" t="e">
        <f>'1Y_FRA_Calculation'!O29</f>
        <v>#VALUE!</v>
      </c>
      <c r="K66" s="305"/>
      <c r="L66" s="166" t="e">
        <v>#VALUE!</v>
      </c>
      <c r="M66" s="306"/>
      <c r="N66" s="169" t="e">
        <v>#VALUE!</v>
      </c>
      <c r="O66" s="170" t="e">
        <f>_xll.qlSimpleQuoteSetValue(D66,ROUND(N66,6),EvaluationDate)</f>
        <v>#NUM!</v>
      </c>
      <c r="P66" s="190"/>
    </row>
    <row r="67" spans="1:16" x14ac:dyDescent="0.2">
      <c r="A67" s="205">
        <v>20</v>
      </c>
      <c r="B67" s="200" t="str">
        <f t="shared" si="7"/>
        <v>20x32F</v>
      </c>
      <c r="C67" s="186" t="str">
        <f t="shared" si="8"/>
        <v>USD20x32F_SYNTH1Y_Quote</v>
      </c>
      <c r="D67" s="186" t="str">
        <f>_xll.qlSimpleQuote(C67,,RateTickValue,Permanent,Trigger,ObjectOverwrite)</f>
        <v>USD20x32F_SYNTH1Y_Quote#0000</v>
      </c>
      <c r="E67" s="199" t="str">
        <f>_xll.ohRangeRetrieveError(D67)</f>
        <v/>
      </c>
      <c r="F67" s="198"/>
      <c r="G67" s="303"/>
      <c r="H67" s="189">
        <v>20</v>
      </c>
      <c r="I67" s="163" t="s">
        <v>185</v>
      </c>
      <c r="J67" s="218" t="e">
        <f>'1Y_FRA_Calculation'!O30</f>
        <v>#VALUE!</v>
      </c>
      <c r="K67" s="305"/>
      <c r="L67" s="166" t="e">
        <v>#VALUE!</v>
      </c>
      <c r="M67" s="306"/>
      <c r="N67" s="169" t="e">
        <v>#VALUE!</v>
      </c>
      <c r="O67" s="170" t="e">
        <f>_xll.qlSimpleQuoteSetValue(D67,ROUND(N67,6),EvaluationDate)</f>
        <v>#NUM!</v>
      </c>
      <c r="P67" s="190"/>
    </row>
    <row r="68" spans="1:16" x14ac:dyDescent="0.2">
      <c r="A68" s="205">
        <v>21</v>
      </c>
      <c r="B68" s="200" t="str">
        <f t="shared" si="7"/>
        <v>21x33F</v>
      </c>
      <c r="C68" s="186" t="str">
        <f t="shared" si="8"/>
        <v>USD21x33F_SYNTH1Y_Quote</v>
      </c>
      <c r="D68" s="186" t="str">
        <f>_xll.qlSimpleQuote(C68,,RateTickValue,Permanent,Trigger,ObjectOverwrite)</f>
        <v>USD21x33F_SYNTH1Y_Quote#0000</v>
      </c>
      <c r="E68" s="199" t="str">
        <f>_xll.ohRangeRetrieveError(D68)</f>
        <v/>
      </c>
      <c r="F68" s="198"/>
      <c r="G68" s="303"/>
      <c r="H68" s="189">
        <v>21</v>
      </c>
      <c r="I68" s="163" t="s">
        <v>186</v>
      </c>
      <c r="J68" s="218" t="e">
        <f>'1Y_FRA_Calculation'!O31</f>
        <v>#VALUE!</v>
      </c>
      <c r="K68" s="305"/>
      <c r="L68" s="166" t="e">
        <v>#VALUE!</v>
      </c>
      <c r="M68" s="306"/>
      <c r="N68" s="169" t="e">
        <v>#VALUE!</v>
      </c>
      <c r="O68" s="170" t="e">
        <f>_xll.qlSimpleQuoteSetValue(D68,ROUND(N68,6),EvaluationDate)</f>
        <v>#NUM!</v>
      </c>
      <c r="P68" s="190"/>
    </row>
    <row r="69" spans="1:16" x14ac:dyDescent="0.2">
      <c r="A69" s="205">
        <v>22</v>
      </c>
      <c r="B69" s="200" t="str">
        <f t="shared" si="7"/>
        <v>22x34F</v>
      </c>
      <c r="C69" s="186" t="str">
        <f t="shared" si="8"/>
        <v>USD22x34F_SYNTH1Y_Quote</v>
      </c>
      <c r="D69" s="186" t="str">
        <f>_xll.qlSimpleQuote(C69,,RateTickValue,Permanent,Trigger,ObjectOverwrite)</f>
        <v>USD22x34F_SYNTH1Y_Quote#0000</v>
      </c>
      <c r="E69" s="199" t="str">
        <f>_xll.ohRangeRetrieveError(D69)</f>
        <v/>
      </c>
      <c r="F69" s="198"/>
      <c r="G69" s="303"/>
      <c r="H69" s="189">
        <v>22</v>
      </c>
      <c r="I69" s="163" t="s">
        <v>187</v>
      </c>
      <c r="J69" s="218" t="e">
        <f>'1Y_FRA_Calculation'!O32</f>
        <v>#VALUE!</v>
      </c>
      <c r="K69" s="305"/>
      <c r="L69" s="166" t="e">
        <v>#VALUE!</v>
      </c>
      <c r="M69" s="306"/>
      <c r="N69" s="169" t="e">
        <v>#VALUE!</v>
      </c>
      <c r="O69" s="170" t="e">
        <f>_xll.qlSimpleQuoteSetValue(D69,ROUND(N69,6),EvaluationDate)</f>
        <v>#NUM!</v>
      </c>
      <c r="P69" s="190"/>
    </row>
    <row r="70" spans="1:16" x14ac:dyDescent="0.2">
      <c r="A70" s="205">
        <v>23</v>
      </c>
      <c r="B70" s="200" t="str">
        <f t="shared" si="7"/>
        <v>23x35F</v>
      </c>
      <c r="C70" s="186" t="str">
        <f t="shared" si="8"/>
        <v>USD23x35F_SYNTH1Y_Quote</v>
      </c>
      <c r="D70" s="186" t="str">
        <f>_xll.qlSimpleQuote(C70,,RateTickValue,Permanent,Trigger,ObjectOverwrite)</f>
        <v>USD23x35F_SYNTH1Y_Quote#0000</v>
      </c>
      <c r="E70" s="199" t="str">
        <f>_xll.ohRangeRetrieveError(D70)</f>
        <v/>
      </c>
      <c r="F70" s="198"/>
      <c r="G70" s="303"/>
      <c r="H70" s="189">
        <v>23</v>
      </c>
      <c r="I70" s="163" t="s">
        <v>188</v>
      </c>
      <c r="J70" s="218" t="e">
        <f>'1Y_FRA_Calculation'!O33</f>
        <v>#VALUE!</v>
      </c>
      <c r="K70" s="305"/>
      <c r="L70" s="166" t="e">
        <v>#VALUE!</v>
      </c>
      <c r="M70" s="306"/>
      <c r="N70" s="169" t="e">
        <v>#VALUE!</v>
      </c>
      <c r="O70" s="170" t="e">
        <f>_xll.qlSimpleQuoteSetValue(D70,ROUND(N70,6),EvaluationDate)</f>
        <v>#NUM!</v>
      </c>
      <c r="P70" s="190"/>
    </row>
    <row r="71" spans="1:16" x14ac:dyDescent="0.2">
      <c r="A71" s="205">
        <v>25</v>
      </c>
      <c r="B71" s="200" t="str">
        <f t="shared" si="7"/>
        <v>25x37F</v>
      </c>
      <c r="C71" s="186" t="str">
        <f t="shared" si="8"/>
        <v>USD25x37F_SYNTH1Y_Quote</v>
      </c>
      <c r="D71" s="186" t="str">
        <f>_xll.qlSimpleQuote(C71,,RateTickValue,Permanent,Trigger,ObjectOverwrite)</f>
        <v>USD25x37F_SYNTH1Y_Quote#0000</v>
      </c>
      <c r="E71" s="199" t="str">
        <f>_xll.ohRangeRetrieveError(D71)</f>
        <v/>
      </c>
      <c r="F71" s="198"/>
      <c r="G71" s="303"/>
      <c r="H71" s="189">
        <v>25</v>
      </c>
      <c r="I71" s="163" t="s">
        <v>189</v>
      </c>
      <c r="J71" s="218" t="e">
        <f>'1Y_FRA_Calculation'!O34</f>
        <v>#VALUE!</v>
      </c>
      <c r="K71" s="305"/>
      <c r="L71" s="166" t="e">
        <v>#VALUE!</v>
      </c>
      <c r="M71" s="306"/>
      <c r="N71" s="169" t="e">
        <v>#VALUE!</v>
      </c>
      <c r="O71" s="170" t="e">
        <f>_xll.qlSimpleQuoteSetValue(D71,ROUND(N71,6),EvaluationDate)</f>
        <v>#NUM!</v>
      </c>
      <c r="P71" s="190"/>
    </row>
    <row r="72" spans="1:16" x14ac:dyDescent="0.2">
      <c r="A72" s="205">
        <v>26</v>
      </c>
      <c r="B72" s="200" t="str">
        <f t="shared" si="7"/>
        <v>26x38F</v>
      </c>
      <c r="C72" s="186" t="str">
        <f t="shared" si="8"/>
        <v>USD26x38F_SYNTH1Y_Quote</v>
      </c>
      <c r="D72" s="186" t="str">
        <f>_xll.qlSimpleQuote(C72,,RateTickValue,Permanent,Trigger,ObjectOverwrite)</f>
        <v>USD26x38F_SYNTH1Y_Quote#0000</v>
      </c>
      <c r="E72" s="199" t="str">
        <f>_xll.ohRangeRetrieveError(D72)</f>
        <v/>
      </c>
      <c r="F72" s="198"/>
      <c r="G72" s="303"/>
      <c r="H72" s="189">
        <v>26</v>
      </c>
      <c r="I72" s="163" t="s">
        <v>190</v>
      </c>
      <c r="J72" s="218" t="e">
        <f>'1Y_FRA_Calculation'!O35</f>
        <v>#VALUE!</v>
      </c>
      <c r="K72" s="305"/>
      <c r="L72" s="166" t="e">
        <v>#VALUE!</v>
      </c>
      <c r="M72" s="306"/>
      <c r="N72" s="169" t="e">
        <v>#VALUE!</v>
      </c>
      <c r="O72" s="170" t="e">
        <f>_xll.qlSimpleQuoteSetValue(D72,ROUND(N72,6),EvaluationDate)</f>
        <v>#NUM!</v>
      </c>
      <c r="P72" s="190"/>
    </row>
    <row r="73" spans="1:16" x14ac:dyDescent="0.2">
      <c r="A73" s="205">
        <v>27</v>
      </c>
      <c r="B73" s="200" t="str">
        <f t="shared" si="7"/>
        <v>27x39F</v>
      </c>
      <c r="C73" s="186" t="str">
        <f t="shared" si="8"/>
        <v>USD27x39F_SYNTH1Y_Quote</v>
      </c>
      <c r="D73" s="186" t="str">
        <f>_xll.qlSimpleQuote(C73,,RateTickValue,Permanent,Trigger,ObjectOverwrite)</f>
        <v>USD27x39F_SYNTH1Y_Quote#0000</v>
      </c>
      <c r="E73" s="199" t="str">
        <f>_xll.ohRangeRetrieveError(D73)</f>
        <v/>
      </c>
      <c r="F73" s="198"/>
      <c r="G73" s="303"/>
      <c r="H73" s="189">
        <v>27</v>
      </c>
      <c r="I73" s="163" t="s">
        <v>191</v>
      </c>
      <c r="J73" s="218" t="e">
        <f>'1Y_FRA_Calculation'!O36</f>
        <v>#VALUE!</v>
      </c>
      <c r="K73" s="305"/>
      <c r="L73" s="166" t="e">
        <v>#VALUE!</v>
      </c>
      <c r="M73" s="306"/>
      <c r="N73" s="169" t="e">
        <v>#VALUE!</v>
      </c>
      <c r="O73" s="170" t="e">
        <f>_xll.qlSimpleQuoteSetValue(D73,ROUND(N73,6),EvaluationDate)</f>
        <v>#NUM!</v>
      </c>
      <c r="P73" s="190"/>
    </row>
    <row r="74" spans="1:16" x14ac:dyDescent="0.2">
      <c r="A74" s="205">
        <v>28</v>
      </c>
      <c r="B74" s="200" t="str">
        <f t="shared" si="7"/>
        <v>28x40F</v>
      </c>
      <c r="C74" s="186" t="str">
        <f t="shared" si="8"/>
        <v>USD28x40F_SYNTH1Y_Quote</v>
      </c>
      <c r="D74" s="186" t="str">
        <f>_xll.qlSimpleQuote(C74,,RateTickValue,Permanent,Trigger,ObjectOverwrite)</f>
        <v>USD28x40F_SYNTH1Y_Quote#0000</v>
      </c>
      <c r="E74" s="199" t="str">
        <f>_xll.ohRangeRetrieveError(D74)</f>
        <v/>
      </c>
      <c r="F74" s="198"/>
      <c r="G74" s="303"/>
      <c r="H74" s="189">
        <v>28</v>
      </c>
      <c r="I74" s="163" t="s">
        <v>192</v>
      </c>
      <c r="J74" s="218" t="e">
        <f>'1Y_FRA_Calculation'!O37</f>
        <v>#VALUE!</v>
      </c>
      <c r="K74" s="305"/>
      <c r="L74" s="166" t="e">
        <v>#VALUE!</v>
      </c>
      <c r="M74" s="306"/>
      <c r="N74" s="169" t="e">
        <v>#VALUE!</v>
      </c>
      <c r="O74" s="170" t="e">
        <f>_xll.qlSimpleQuoteSetValue(D74,ROUND(N74,6),EvaluationDate)</f>
        <v>#NUM!</v>
      </c>
      <c r="P74" s="190"/>
    </row>
    <row r="75" spans="1:16" x14ac:dyDescent="0.2">
      <c r="A75" s="205">
        <v>29</v>
      </c>
      <c r="B75" s="200" t="str">
        <f t="shared" si="7"/>
        <v>29x41F</v>
      </c>
      <c r="C75" s="186" t="str">
        <f t="shared" si="8"/>
        <v>USD29x41F_SYNTH1Y_Quote</v>
      </c>
      <c r="D75" s="186" t="str">
        <f>_xll.qlSimpleQuote(C75,,RateTickValue,Permanent,Trigger,ObjectOverwrite)</f>
        <v>USD29x41F_SYNTH1Y_Quote#0000</v>
      </c>
      <c r="E75" s="199" t="str">
        <f>_xll.ohRangeRetrieveError(D75)</f>
        <v/>
      </c>
      <c r="F75" s="198"/>
      <c r="G75" s="303"/>
      <c r="H75" s="189">
        <v>29</v>
      </c>
      <c r="I75" s="163" t="s">
        <v>193</v>
      </c>
      <c r="J75" s="218" t="e">
        <f>'1Y_FRA_Calculation'!O38</f>
        <v>#VALUE!</v>
      </c>
      <c r="K75" s="305"/>
      <c r="L75" s="166" t="e">
        <v>#VALUE!</v>
      </c>
      <c r="M75" s="306"/>
      <c r="N75" s="169" t="e">
        <v>#VALUE!</v>
      </c>
      <c r="O75" s="170" t="e">
        <f>_xll.qlSimpleQuoteSetValue(D75,ROUND(N75,6),EvaluationDate)</f>
        <v>#NUM!</v>
      </c>
      <c r="P75" s="190"/>
    </row>
    <row r="76" spans="1:16" x14ac:dyDescent="0.2">
      <c r="A76" s="205">
        <v>30</v>
      </c>
      <c r="B76" s="200" t="str">
        <f t="shared" si="7"/>
        <v>30x42F</v>
      </c>
      <c r="C76" s="186" t="str">
        <f t="shared" si="8"/>
        <v>USD30x42F_SYNTH1Y_Quote</v>
      </c>
      <c r="D76" s="186" t="str">
        <f>_xll.qlSimpleQuote(C76,,RateTickValue,Permanent,Trigger,ObjectOverwrite)</f>
        <v>USD30x42F_SYNTH1Y_Quote#0000</v>
      </c>
      <c r="E76" s="199" t="str">
        <f>_xll.ohRangeRetrieveError(D76)</f>
        <v/>
      </c>
      <c r="F76" s="198"/>
      <c r="G76" s="303"/>
      <c r="H76" s="189">
        <v>30</v>
      </c>
      <c r="I76" s="163" t="s">
        <v>194</v>
      </c>
      <c r="J76" s="218" t="e">
        <f>'1Y_FRA_Calculation'!O39</f>
        <v>#VALUE!</v>
      </c>
      <c r="K76" s="305"/>
      <c r="L76" s="166" t="e">
        <v>#VALUE!</v>
      </c>
      <c r="M76" s="306"/>
      <c r="N76" s="169" t="e">
        <v>#VALUE!</v>
      </c>
      <c r="O76" s="170" t="e">
        <f>_xll.qlSimpleQuoteSetValue(D76,ROUND(N76,6),EvaluationDate)</f>
        <v>#NUM!</v>
      </c>
      <c r="P76" s="190"/>
    </row>
    <row r="77" spans="1:16" x14ac:dyDescent="0.2">
      <c r="A77" s="205">
        <v>31</v>
      </c>
      <c r="B77" s="200" t="str">
        <f t="shared" si="7"/>
        <v>31x43F</v>
      </c>
      <c r="C77" s="186" t="str">
        <f t="shared" si="8"/>
        <v>USD31x43F_SYNTH1Y_Quote</v>
      </c>
      <c r="D77" s="186" t="str">
        <f>_xll.qlSimpleQuote(C77,,RateTickValue,Permanent,Trigger,ObjectOverwrite)</f>
        <v>USD31x43F_SYNTH1Y_Quote#0000</v>
      </c>
      <c r="E77" s="199" t="str">
        <f>_xll.ohRangeRetrieveError(D77)</f>
        <v/>
      </c>
      <c r="F77" s="198"/>
      <c r="G77" s="303"/>
      <c r="H77" s="189">
        <v>31</v>
      </c>
      <c r="I77" s="163" t="s">
        <v>195</v>
      </c>
      <c r="J77" s="218" t="e">
        <f>'1Y_FRA_Calculation'!O40</f>
        <v>#VALUE!</v>
      </c>
      <c r="K77" s="305"/>
      <c r="L77" s="166" t="e">
        <v>#VALUE!</v>
      </c>
      <c r="M77" s="306"/>
      <c r="N77" s="169" t="e">
        <v>#VALUE!</v>
      </c>
      <c r="O77" s="170" t="e">
        <f>_xll.qlSimpleQuoteSetValue(D77,ROUND(N77,6),EvaluationDate)</f>
        <v>#NUM!</v>
      </c>
      <c r="P77" s="190"/>
    </row>
    <row r="78" spans="1:16" x14ac:dyDescent="0.2">
      <c r="A78" s="205">
        <v>32</v>
      </c>
      <c r="B78" s="200" t="str">
        <f t="shared" si="7"/>
        <v>32x44F</v>
      </c>
      <c r="C78" s="186" t="str">
        <f t="shared" si="8"/>
        <v>USD32x44F_SYNTH1Y_Quote</v>
      </c>
      <c r="D78" s="186" t="str">
        <f>_xll.qlSimpleQuote(C78,,RateTickValue,Permanent,Trigger,ObjectOverwrite)</f>
        <v>USD32x44F_SYNTH1Y_Quote#0000</v>
      </c>
      <c r="E78" s="199" t="str">
        <f>_xll.ohRangeRetrieveError(D78)</f>
        <v/>
      </c>
      <c r="F78" s="198"/>
      <c r="G78" s="303"/>
      <c r="H78" s="189">
        <v>32</v>
      </c>
      <c r="I78" s="163" t="s">
        <v>196</v>
      </c>
      <c r="J78" s="218" t="e">
        <f>'1Y_FRA_Calculation'!O41</f>
        <v>#VALUE!</v>
      </c>
      <c r="K78" s="305"/>
      <c r="L78" s="166" t="e">
        <v>#VALUE!</v>
      </c>
      <c r="M78" s="306"/>
      <c r="N78" s="169" t="e">
        <v>#VALUE!</v>
      </c>
      <c r="O78" s="170" t="e">
        <f>_xll.qlSimpleQuoteSetValue(D78,ROUND(N78,6),EvaluationDate)</f>
        <v>#NUM!</v>
      </c>
      <c r="P78" s="190"/>
    </row>
    <row r="79" spans="1:16" x14ac:dyDescent="0.2">
      <c r="A79" s="205">
        <v>33</v>
      </c>
      <c r="B79" s="200" t="str">
        <f t="shared" si="7"/>
        <v>33x45F</v>
      </c>
      <c r="C79" s="186" t="str">
        <f t="shared" si="8"/>
        <v>USD33x45F_SYNTH1Y_Quote</v>
      </c>
      <c r="D79" s="186" t="str">
        <f>_xll.qlSimpleQuote(C79,,RateTickValue,Permanent,Trigger,ObjectOverwrite)</f>
        <v>USD33x45F_SYNTH1Y_Quote#0000</v>
      </c>
      <c r="E79" s="199" t="str">
        <f>_xll.ohRangeRetrieveError(D79)</f>
        <v/>
      </c>
      <c r="F79" s="198"/>
      <c r="G79" s="303"/>
      <c r="H79" s="189">
        <v>33</v>
      </c>
      <c r="I79" s="163" t="s">
        <v>197</v>
      </c>
      <c r="J79" s="218" t="e">
        <f>'1Y_FRA_Calculation'!O42</f>
        <v>#VALUE!</v>
      </c>
      <c r="K79" s="305"/>
      <c r="L79" s="166" t="e">
        <v>#VALUE!</v>
      </c>
      <c r="M79" s="306"/>
      <c r="N79" s="169" t="e">
        <v>#VALUE!</v>
      </c>
      <c r="O79" s="170" t="e">
        <f>_xll.qlSimpleQuoteSetValue(D79,ROUND(N79,6),EvaluationDate)</f>
        <v>#NUM!</v>
      </c>
      <c r="P79" s="190"/>
    </row>
    <row r="80" spans="1:16" x14ac:dyDescent="0.2">
      <c r="A80" s="205">
        <v>34</v>
      </c>
      <c r="B80" s="200" t="str">
        <f t="shared" si="7"/>
        <v>34x46F</v>
      </c>
      <c r="C80" s="186" t="str">
        <f t="shared" si="8"/>
        <v>USD34x46F_SYNTH1Y_Quote</v>
      </c>
      <c r="D80" s="186" t="str">
        <f>_xll.qlSimpleQuote(C80,,RateTickValue,Permanent,Trigger,ObjectOverwrite)</f>
        <v>USD34x46F_SYNTH1Y_Quote#0000</v>
      </c>
      <c r="E80" s="199" t="str">
        <f>_xll.ohRangeRetrieveError(D80)</f>
        <v/>
      </c>
      <c r="F80" s="198"/>
      <c r="G80" s="303"/>
      <c r="H80" s="189">
        <v>34</v>
      </c>
      <c r="I80" s="163" t="s">
        <v>198</v>
      </c>
      <c r="J80" s="218" t="e">
        <f>'1Y_FRA_Calculation'!O43</f>
        <v>#VALUE!</v>
      </c>
      <c r="K80" s="305"/>
      <c r="L80" s="166" t="e">
        <v>#VALUE!</v>
      </c>
      <c r="M80" s="306"/>
      <c r="N80" s="169" t="e">
        <v>#VALUE!</v>
      </c>
      <c r="O80" s="170" t="e">
        <f>_xll.qlSimpleQuoteSetValue(D80,ROUND(N80,6),EvaluationDate)</f>
        <v>#NUM!</v>
      </c>
      <c r="P80" s="190"/>
    </row>
    <row r="81" spans="1:16" x14ac:dyDescent="0.2">
      <c r="A81" s="205">
        <v>35</v>
      </c>
      <c r="B81" s="200" t="str">
        <f t="shared" si="7"/>
        <v>35x47F</v>
      </c>
      <c r="C81" s="186" t="str">
        <f t="shared" si="8"/>
        <v>USD35x47F_SYNTH1Y_Quote</v>
      </c>
      <c r="D81" s="186" t="str">
        <f>_xll.qlSimpleQuote(C81,,RateTickValue,Permanent,Trigger,ObjectOverwrite)</f>
        <v>USD35x47F_SYNTH1Y_Quote#0000</v>
      </c>
      <c r="E81" s="199" t="str">
        <f>_xll.ohRangeRetrieveError(D81)</f>
        <v/>
      </c>
      <c r="F81" s="198"/>
      <c r="G81" s="303"/>
      <c r="H81" s="189">
        <v>35</v>
      </c>
      <c r="I81" s="163" t="s">
        <v>199</v>
      </c>
      <c r="J81" s="218" t="e">
        <f>'1Y_FRA_Calculation'!O44</f>
        <v>#VALUE!</v>
      </c>
      <c r="K81" s="305"/>
      <c r="L81" s="166" t="e">
        <v>#VALUE!</v>
      </c>
      <c r="M81" s="306"/>
      <c r="N81" s="169" t="e">
        <v>#VALUE!</v>
      </c>
      <c r="O81" s="170" t="e">
        <f>_xll.qlSimpleQuoteSetValue(D81,ROUND(N81,6),EvaluationDate)</f>
        <v>#NUM!</v>
      </c>
      <c r="P81" s="190"/>
    </row>
    <row r="82" spans="1:16" x14ac:dyDescent="0.2">
      <c r="A82" s="205">
        <v>37</v>
      </c>
      <c r="B82" s="200" t="str">
        <f t="shared" si="7"/>
        <v>37x49F</v>
      </c>
      <c r="C82" s="186" t="str">
        <f t="shared" si="8"/>
        <v>USD37x49F_SYNTH1Y_Quote</v>
      </c>
      <c r="D82" s="186" t="str">
        <f>_xll.qlSimpleQuote(C82,,RateTickValue,Permanent,Trigger,ObjectOverwrite)</f>
        <v>USD37x49F_SYNTH1Y_Quote#0000</v>
      </c>
      <c r="E82" s="199" t="str">
        <f>_xll.ohRangeRetrieveError(D82)</f>
        <v/>
      </c>
      <c r="F82" s="198"/>
      <c r="G82" s="303"/>
      <c r="H82" s="189">
        <v>37</v>
      </c>
      <c r="I82" s="163" t="s">
        <v>200</v>
      </c>
      <c r="J82" s="218" t="e">
        <f>'1Y_FRA_Calculation'!O45</f>
        <v>#VALUE!</v>
      </c>
      <c r="K82" s="305"/>
      <c r="L82" s="166" t="e">
        <v>#VALUE!</v>
      </c>
      <c r="M82" s="306"/>
      <c r="N82" s="169" t="e">
        <v>#VALUE!</v>
      </c>
      <c r="O82" s="170" t="e">
        <f>_xll.qlSimpleQuoteSetValue(D82,ROUND(N82,6),EvaluationDate)</f>
        <v>#NUM!</v>
      </c>
      <c r="P82" s="190"/>
    </row>
    <row r="83" spans="1:16" x14ac:dyDescent="0.2">
      <c r="A83" s="205">
        <v>38</v>
      </c>
      <c r="B83" s="200" t="str">
        <f t="shared" si="7"/>
        <v>38x50F</v>
      </c>
      <c r="C83" s="186" t="str">
        <f t="shared" si="8"/>
        <v>USD38x50F_SYNTH1Y_Quote</v>
      </c>
      <c r="D83" s="186" t="str">
        <f>_xll.qlSimpleQuote(C83,,RateTickValue,Permanent,Trigger,ObjectOverwrite)</f>
        <v>USD38x50F_SYNTH1Y_Quote#0000</v>
      </c>
      <c r="E83" s="199" t="str">
        <f>_xll.ohRangeRetrieveError(D83)</f>
        <v/>
      </c>
      <c r="F83" s="198"/>
      <c r="G83" s="303"/>
      <c r="H83" s="189">
        <v>38</v>
      </c>
      <c r="I83" s="163" t="s">
        <v>201</v>
      </c>
      <c r="J83" s="218" t="e">
        <f>'1Y_FRA_Calculation'!O46</f>
        <v>#VALUE!</v>
      </c>
      <c r="K83" s="305"/>
      <c r="L83" s="166" t="e">
        <v>#VALUE!</v>
      </c>
      <c r="M83" s="306"/>
      <c r="N83" s="169" t="e">
        <v>#VALUE!</v>
      </c>
      <c r="O83" s="170" t="e">
        <f>_xll.qlSimpleQuoteSetValue(D83,ROUND(N83,6),EvaluationDate)</f>
        <v>#NUM!</v>
      </c>
      <c r="P83" s="190"/>
    </row>
    <row r="84" spans="1:16" x14ac:dyDescent="0.2">
      <c r="A84" s="205">
        <v>39</v>
      </c>
      <c r="B84" s="200" t="str">
        <f t="shared" si="7"/>
        <v>39x51F</v>
      </c>
      <c r="C84" s="186" t="str">
        <f t="shared" si="8"/>
        <v>USD39x51F_SYNTH1Y_Quote</v>
      </c>
      <c r="D84" s="186" t="str">
        <f>_xll.qlSimpleQuote(C84,,RateTickValue,Permanent,Trigger,ObjectOverwrite)</f>
        <v>USD39x51F_SYNTH1Y_Quote#0000</v>
      </c>
      <c r="E84" s="199" t="str">
        <f>_xll.ohRangeRetrieveError(D84)</f>
        <v/>
      </c>
      <c r="F84" s="198"/>
      <c r="G84" s="303"/>
      <c r="H84" s="189">
        <v>39</v>
      </c>
      <c r="I84" s="163" t="s">
        <v>202</v>
      </c>
      <c r="J84" s="218" t="e">
        <f>'1Y_FRA_Calculation'!O47</f>
        <v>#VALUE!</v>
      </c>
      <c r="K84" s="305"/>
      <c r="L84" s="166" t="e">
        <v>#VALUE!</v>
      </c>
      <c r="M84" s="306"/>
      <c r="N84" s="169" t="e">
        <v>#VALUE!</v>
      </c>
      <c r="O84" s="170" t="e">
        <f>_xll.qlSimpleQuoteSetValue(D84,ROUND(N84,6),EvaluationDate)</f>
        <v>#NUM!</v>
      </c>
      <c r="P84" s="190"/>
    </row>
    <row r="85" spans="1:16" x14ac:dyDescent="0.2">
      <c r="A85" s="205">
        <v>40</v>
      </c>
      <c r="B85" s="200" t="str">
        <f t="shared" si="7"/>
        <v>40x52F</v>
      </c>
      <c r="C85" s="186" t="str">
        <f t="shared" si="8"/>
        <v>USD40x52F_SYNTH1Y_Quote</v>
      </c>
      <c r="D85" s="186" t="str">
        <f>_xll.qlSimpleQuote(C85,,RateTickValue,Permanent,Trigger,ObjectOverwrite)</f>
        <v>USD40x52F_SYNTH1Y_Quote#0000</v>
      </c>
      <c r="E85" s="199" t="str">
        <f>_xll.ohRangeRetrieveError(D85)</f>
        <v/>
      </c>
      <c r="F85" s="198"/>
      <c r="G85" s="303"/>
      <c r="H85" s="189">
        <v>40</v>
      </c>
      <c r="I85" s="163" t="s">
        <v>203</v>
      </c>
      <c r="J85" s="218" t="e">
        <f>'1Y_FRA_Calculation'!O48</f>
        <v>#VALUE!</v>
      </c>
      <c r="K85" s="305"/>
      <c r="L85" s="166" t="e">
        <v>#VALUE!</v>
      </c>
      <c r="M85" s="306"/>
      <c r="N85" s="169" t="e">
        <v>#VALUE!</v>
      </c>
      <c r="O85" s="170" t="e">
        <f>_xll.qlSimpleQuoteSetValue(D85,ROUND(N85,6),EvaluationDate)</f>
        <v>#NUM!</v>
      </c>
      <c r="P85" s="190"/>
    </row>
    <row r="86" spans="1:16" x14ac:dyDescent="0.2">
      <c r="A86" s="205">
        <v>41</v>
      </c>
      <c r="B86" s="200" t="str">
        <f t="shared" si="7"/>
        <v>41x53F</v>
      </c>
      <c r="C86" s="186" t="str">
        <f t="shared" si="8"/>
        <v>USD41x53F_SYNTH1Y_Quote</v>
      </c>
      <c r="D86" s="186" t="str">
        <f>_xll.qlSimpleQuote(C86,,RateTickValue,Permanent,Trigger,ObjectOverwrite)</f>
        <v>USD41x53F_SYNTH1Y_Quote#0000</v>
      </c>
      <c r="E86" s="199" t="str">
        <f>_xll.ohRangeRetrieveError(D86)</f>
        <v/>
      </c>
      <c r="F86" s="198"/>
      <c r="G86" s="303"/>
      <c r="H86" s="189">
        <v>41</v>
      </c>
      <c r="I86" s="163" t="s">
        <v>204</v>
      </c>
      <c r="J86" s="218" t="e">
        <f>'1Y_FRA_Calculation'!O49</f>
        <v>#VALUE!</v>
      </c>
      <c r="K86" s="305"/>
      <c r="L86" s="166" t="e">
        <v>#VALUE!</v>
      </c>
      <c r="M86" s="306"/>
      <c r="N86" s="169" t="e">
        <v>#VALUE!</v>
      </c>
      <c r="O86" s="170" t="e">
        <f>_xll.qlSimpleQuoteSetValue(D86,ROUND(N86,6),EvaluationDate)</f>
        <v>#NUM!</v>
      </c>
      <c r="P86" s="190"/>
    </row>
    <row r="87" spans="1:16" x14ac:dyDescent="0.2">
      <c r="A87" s="205">
        <v>42</v>
      </c>
      <c r="B87" s="200" t="str">
        <f t="shared" si="7"/>
        <v>42x54F</v>
      </c>
      <c r="C87" s="186" t="str">
        <f t="shared" si="8"/>
        <v>USD42x54F_SYNTH1Y_Quote</v>
      </c>
      <c r="D87" s="186" t="str">
        <f>_xll.qlSimpleQuote(C87,,RateTickValue,Permanent,Trigger,ObjectOverwrite)</f>
        <v>USD42x54F_SYNTH1Y_Quote#0000</v>
      </c>
      <c r="E87" s="199" t="str">
        <f>_xll.ohRangeRetrieveError(D87)</f>
        <v/>
      </c>
      <c r="F87" s="198"/>
      <c r="G87" s="303"/>
      <c r="H87" s="189">
        <v>42</v>
      </c>
      <c r="I87" s="163" t="s">
        <v>205</v>
      </c>
      <c r="J87" s="218" t="e">
        <f>'1Y_FRA_Calculation'!O50</f>
        <v>#VALUE!</v>
      </c>
      <c r="K87" s="305"/>
      <c r="L87" s="166" t="e">
        <v>#VALUE!</v>
      </c>
      <c r="M87" s="306"/>
      <c r="N87" s="169" t="e">
        <v>#VALUE!</v>
      </c>
      <c r="O87" s="170" t="e">
        <f>_xll.qlSimpleQuoteSetValue(D87,ROUND(N87,6),EvaluationDate)</f>
        <v>#NUM!</v>
      </c>
      <c r="P87" s="190"/>
    </row>
    <row r="88" spans="1:16" x14ac:dyDescent="0.2">
      <c r="A88" s="205">
        <v>43</v>
      </c>
      <c r="B88" s="200" t="str">
        <f t="shared" si="7"/>
        <v>43x55F</v>
      </c>
      <c r="C88" s="186" t="str">
        <f t="shared" si="8"/>
        <v>USD43x55F_SYNTH1Y_Quote</v>
      </c>
      <c r="D88" s="186" t="str">
        <f>_xll.qlSimpleQuote(C88,,RateTickValue,Permanent,Trigger,ObjectOverwrite)</f>
        <v>USD43x55F_SYNTH1Y_Quote#0000</v>
      </c>
      <c r="E88" s="199" t="str">
        <f>_xll.ohRangeRetrieveError(D88)</f>
        <v/>
      </c>
      <c r="F88" s="198"/>
      <c r="G88" s="303"/>
      <c r="H88" s="189">
        <v>43</v>
      </c>
      <c r="I88" s="163" t="s">
        <v>206</v>
      </c>
      <c r="J88" s="218" t="e">
        <f>'1Y_FRA_Calculation'!O51</f>
        <v>#VALUE!</v>
      </c>
      <c r="K88" s="305"/>
      <c r="L88" s="166" t="e">
        <v>#VALUE!</v>
      </c>
      <c r="M88" s="306"/>
      <c r="N88" s="169" t="e">
        <v>#VALUE!</v>
      </c>
      <c r="O88" s="170" t="e">
        <f>_xll.qlSimpleQuoteSetValue(D88,ROUND(N88,6),EvaluationDate)</f>
        <v>#NUM!</v>
      </c>
      <c r="P88" s="190"/>
    </row>
    <row r="89" spans="1:16" x14ac:dyDescent="0.2">
      <c r="A89" s="205">
        <v>44</v>
      </c>
      <c r="B89" s="200" t="str">
        <f t="shared" si="7"/>
        <v>44x56F</v>
      </c>
      <c r="C89" s="186" t="str">
        <f t="shared" si="8"/>
        <v>USD44x56F_SYNTH1Y_Quote</v>
      </c>
      <c r="D89" s="186" t="str">
        <f>_xll.qlSimpleQuote(C89,,RateTickValue,Permanent,Trigger,ObjectOverwrite)</f>
        <v>USD44x56F_SYNTH1Y_Quote#0000</v>
      </c>
      <c r="E89" s="199" t="str">
        <f>_xll.ohRangeRetrieveError(D89)</f>
        <v/>
      </c>
      <c r="F89" s="198"/>
      <c r="G89" s="303"/>
      <c r="H89" s="189">
        <v>44</v>
      </c>
      <c r="I89" s="163" t="s">
        <v>207</v>
      </c>
      <c r="J89" s="218" t="e">
        <f>'1Y_FRA_Calculation'!O52</f>
        <v>#VALUE!</v>
      </c>
      <c r="K89" s="305"/>
      <c r="L89" s="166" t="e">
        <v>#VALUE!</v>
      </c>
      <c r="M89" s="306"/>
      <c r="N89" s="169" t="e">
        <v>#VALUE!</v>
      </c>
      <c r="O89" s="170" t="e">
        <f>_xll.qlSimpleQuoteSetValue(D89,ROUND(N89,6),EvaluationDate)</f>
        <v>#NUM!</v>
      </c>
      <c r="P89" s="190"/>
    </row>
    <row r="90" spans="1:16" x14ac:dyDescent="0.2">
      <c r="A90" s="205">
        <v>45</v>
      </c>
      <c r="B90" s="200" t="str">
        <f t="shared" si="7"/>
        <v>45x57F</v>
      </c>
      <c r="C90" s="186" t="str">
        <f t="shared" si="8"/>
        <v>USD45x57F_SYNTH1Y_Quote</v>
      </c>
      <c r="D90" s="186" t="str">
        <f>_xll.qlSimpleQuote(C90,,RateTickValue,Permanent,Trigger,ObjectOverwrite)</f>
        <v>USD45x57F_SYNTH1Y_Quote#0000</v>
      </c>
      <c r="E90" s="199" t="str">
        <f>_xll.ohRangeRetrieveError(D90)</f>
        <v/>
      </c>
      <c r="F90" s="198"/>
      <c r="G90" s="303"/>
      <c r="H90" s="189">
        <v>45</v>
      </c>
      <c r="I90" s="163" t="s">
        <v>208</v>
      </c>
      <c r="J90" s="218" t="e">
        <f>'1Y_FRA_Calculation'!O53</f>
        <v>#VALUE!</v>
      </c>
      <c r="K90" s="305"/>
      <c r="L90" s="166" t="e">
        <v>#VALUE!</v>
      </c>
      <c r="M90" s="306"/>
      <c r="N90" s="169" t="e">
        <v>#VALUE!</v>
      </c>
      <c r="O90" s="170" t="e">
        <f>_xll.qlSimpleQuoteSetValue(D90,ROUND(N90,6),EvaluationDate)</f>
        <v>#NUM!</v>
      </c>
      <c r="P90" s="190"/>
    </row>
    <row r="91" spans="1:16" x14ac:dyDescent="0.2">
      <c r="A91" s="205">
        <v>46</v>
      </c>
      <c r="B91" s="200" t="str">
        <f t="shared" si="7"/>
        <v>46x58F</v>
      </c>
      <c r="C91" s="186" t="str">
        <f t="shared" si="8"/>
        <v>USD46x58F_SYNTH1Y_Quote</v>
      </c>
      <c r="D91" s="186" t="str">
        <f>_xll.qlSimpleQuote(C91,,RateTickValue,Permanent,Trigger,ObjectOverwrite)</f>
        <v>USD46x58F_SYNTH1Y_Quote#0000</v>
      </c>
      <c r="E91" s="199" t="str">
        <f>_xll.ohRangeRetrieveError(D91)</f>
        <v/>
      </c>
      <c r="F91" s="198"/>
      <c r="G91" s="303"/>
      <c r="H91" s="189">
        <v>46</v>
      </c>
      <c r="I91" s="163" t="s">
        <v>209</v>
      </c>
      <c r="J91" s="218" t="e">
        <f>'1Y_FRA_Calculation'!O54</f>
        <v>#VALUE!</v>
      </c>
      <c r="K91" s="305"/>
      <c r="L91" s="166" t="e">
        <v>#VALUE!</v>
      </c>
      <c r="M91" s="306"/>
      <c r="N91" s="169" t="e">
        <v>#VALUE!</v>
      </c>
      <c r="O91" s="170" t="e">
        <f>_xll.qlSimpleQuoteSetValue(D91,ROUND(N91,6),EvaluationDate)</f>
        <v>#NUM!</v>
      </c>
      <c r="P91" s="190"/>
    </row>
    <row r="92" spans="1:16" ht="12" thickBot="1" x14ac:dyDescent="0.25">
      <c r="A92" s="205">
        <v>47</v>
      </c>
      <c r="B92" s="200" t="str">
        <f t="shared" si="7"/>
        <v>47x59F</v>
      </c>
      <c r="C92" s="186" t="str">
        <f t="shared" si="8"/>
        <v>USD47x59F_SYNTH1Y_Quote</v>
      </c>
      <c r="D92" s="186" t="str">
        <f>_xll.qlSimpleQuote(C92,,RateTickValue,Permanent,Trigger,ObjectOverwrite)</f>
        <v>USD47x59F_SYNTH1Y_Quote#0000</v>
      </c>
      <c r="E92" s="199" t="str">
        <f>_xll.ohRangeRetrieveError(D92)</f>
        <v/>
      </c>
      <c r="F92" s="198"/>
      <c r="G92" s="303"/>
      <c r="H92" s="189">
        <v>47</v>
      </c>
      <c r="I92" s="163" t="s">
        <v>210</v>
      </c>
      <c r="J92" s="218" t="e">
        <f>'1Y_FRA_Calculation'!O55</f>
        <v>#VALUE!</v>
      </c>
      <c r="K92" s="305"/>
      <c r="L92" s="166" t="e">
        <v>#VALUE!</v>
      </c>
      <c r="M92" s="306"/>
      <c r="N92" s="169" t="e">
        <v>#VALUE!</v>
      </c>
      <c r="O92" s="170" t="e">
        <f>_xll.qlSimpleQuoteSetValue(D92,ROUND(N92,6),EvaluationDate)</f>
        <v>#NUM!</v>
      </c>
      <c r="P92" s="190"/>
    </row>
    <row r="93" spans="1:16" x14ac:dyDescent="0.2">
      <c r="A93" s="307"/>
      <c r="B93" s="307"/>
      <c r="C93" s="307"/>
      <c r="D93" s="307"/>
      <c r="E93" s="307"/>
      <c r="F93" s="307"/>
      <c r="G93" s="304"/>
      <c r="H93" s="307"/>
      <c r="I93" s="307"/>
      <c r="J93" s="307"/>
      <c r="K93" s="307"/>
      <c r="L93" s="307"/>
      <c r="M93" s="307"/>
      <c r="N93" s="307"/>
      <c r="O93" s="307"/>
      <c r="P93" s="30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7"/>
  <sheetViews>
    <sheetView workbookViewId="0">
      <selection activeCell="K3" sqref="K3"/>
    </sheetView>
  </sheetViews>
  <sheetFormatPr defaultRowHeight="11.25" x14ac:dyDescent="0.2"/>
  <cols>
    <col min="1" max="1" width="3.1640625" style="228" customWidth="1"/>
    <col min="2" max="2" width="4.5" style="228" bestFit="1" customWidth="1"/>
    <col min="3" max="3" width="3.83203125" style="228" bestFit="1" customWidth="1"/>
    <col min="4" max="4" width="3.1640625" style="228" bestFit="1" customWidth="1"/>
    <col min="5" max="5" width="7.33203125" style="228" customWidth="1"/>
    <col min="6" max="6" width="4.1640625" style="228" customWidth="1"/>
    <col min="7" max="7" width="3.5" style="228" bestFit="1" customWidth="1"/>
    <col min="8" max="8" width="20.1640625" style="228" bestFit="1" customWidth="1"/>
    <col min="9" max="9" width="33.33203125" style="228" bestFit="1" customWidth="1"/>
    <col min="10" max="10" width="32.83203125" style="228" bestFit="1" customWidth="1"/>
    <col min="11" max="11" width="33.33203125" style="228" bestFit="1" customWidth="1"/>
    <col min="12" max="12" width="35.6640625" style="228" customWidth="1"/>
    <col min="13" max="14" width="3.16406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3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customHeight="1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USD_020_SwAM3L_Spr6L3L.xml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308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6L</v>
      </c>
      <c r="G3" s="236" t="str">
        <f t="shared" ref="G3:G36" si="3">VLOOKUP(Currency,$O$3:$T$7,6)</f>
        <v>3L</v>
      </c>
      <c r="H3" s="309" t="str">
        <f t="shared" ref="H3:H36" si="4">IF(F3=0,0,Currency&amp;$F3&amp;$G3&amp;$B3&amp;QuoteSuffix)</f>
        <v>USD6L3L1Y_Quote</v>
      </c>
      <c r="I3" s="239" t="str">
        <f t="shared" ref="I3:I36" si="5">PROPER(Currency)&amp;FamilyName&amp;"SwapForBasisCalc"&amp;$B3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USDAM3L1Y_S6L3L_Quote</v>
      </c>
      <c r="K3" s="240" t="str">
        <f>_xll.qlForwardSwapQuote(J3,I3,H3,E3,Permanent,Trigger,ObjectOverwrite)</f>
        <v>USDAM3L1Y_S6L3L_Quote#0000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120</v>
      </c>
      <c r="R3" s="243" t="s">
        <v>107</v>
      </c>
      <c r="S3" s="243"/>
      <c r="T3" s="244"/>
    </row>
    <row r="4" spans="1:20" x14ac:dyDescent="0.2">
      <c r="A4" s="227"/>
      <c r="B4" s="308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6L</v>
      </c>
      <c r="G4" s="236" t="str">
        <f t="shared" si="3"/>
        <v>3L</v>
      </c>
      <c r="H4" s="309" t="str">
        <f t="shared" si="4"/>
        <v>USD6L3L2Y_Quote</v>
      </c>
      <c r="I4" s="245" t="str">
        <f t="shared" si="5"/>
        <v>UsdLiborSwapForBasisCalc2Y</v>
      </c>
      <c r="J4" s="240" t="str">
        <f t="shared" si="6"/>
        <v>USDAM3L2Y_S6L3L_Quote</v>
      </c>
      <c r="K4" s="240" t="str">
        <f>_xll.qlForwardSwapQuote(J4,I4,H4,E4,Permanent,Trigger,ObjectOverwrite)</f>
        <v>USDAM3L2Y_S6L3L_Quote#0000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310" t="s">
        <v>211</v>
      </c>
      <c r="R4" s="243" t="s">
        <v>107</v>
      </c>
      <c r="S4" s="243" t="s">
        <v>211</v>
      </c>
      <c r="T4" s="244" t="s">
        <v>111</v>
      </c>
    </row>
    <row r="5" spans="1:20" x14ac:dyDescent="0.2">
      <c r="A5" s="227"/>
      <c r="B5" s="308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6L</v>
      </c>
      <c r="G5" s="236" t="str">
        <f t="shared" si="3"/>
        <v>3L</v>
      </c>
      <c r="H5" s="309" t="str">
        <f t="shared" si="4"/>
        <v>USD6L3L3Y_Quote</v>
      </c>
      <c r="I5" s="245" t="str">
        <f t="shared" si="5"/>
        <v>UsdLiborSwapForBasisCalc3Y</v>
      </c>
      <c r="J5" s="240" t="str">
        <f t="shared" si="6"/>
        <v>USDAM3L3Y_S6L3L_Quote</v>
      </c>
      <c r="K5" s="240" t="str">
        <f>_xll.qlForwardSwapQuote(J5,I5,H5,E5,Permanent,Trigger,ObjectOverwrite)</f>
        <v>USDAM3L3Y_S6L3L_Quote#0000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120</v>
      </c>
      <c r="R5" s="243" t="s">
        <v>107</v>
      </c>
      <c r="S5" s="243"/>
      <c r="T5" s="244"/>
    </row>
    <row r="6" spans="1:20" x14ac:dyDescent="0.2">
      <c r="A6" s="227"/>
      <c r="B6" s="308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6L</v>
      </c>
      <c r="G6" s="236" t="str">
        <f t="shared" si="3"/>
        <v>3L</v>
      </c>
      <c r="H6" s="309" t="str">
        <f t="shared" si="4"/>
        <v>USD6L3L4Y_Quote</v>
      </c>
      <c r="I6" s="245" t="str">
        <f t="shared" si="5"/>
        <v>UsdLiborSwapForBasisCalc4Y</v>
      </c>
      <c r="J6" s="240" t="str">
        <f t="shared" si="6"/>
        <v>USDAM3L4Y_S6L3L_Quote</v>
      </c>
      <c r="K6" s="240" t="str">
        <f>_xll.qlForwardSwapQuote(J6,I6,H6,E6,Permanent,Trigger,ObjectOverwrite)</f>
        <v>USDAM3L4Y_S6L3L_Quote#0000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120</v>
      </c>
      <c r="R6" s="243" t="s">
        <v>107</v>
      </c>
      <c r="S6" s="243"/>
      <c r="T6" s="244"/>
    </row>
    <row r="7" spans="1:20" ht="12" thickBot="1" x14ac:dyDescent="0.25">
      <c r="A7" s="227"/>
      <c r="B7" s="308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6L</v>
      </c>
      <c r="G7" s="236" t="str">
        <f t="shared" si="3"/>
        <v>3L</v>
      </c>
      <c r="H7" s="309" t="str">
        <f t="shared" si="4"/>
        <v>USD6L3L5Y_Quote</v>
      </c>
      <c r="I7" s="245" t="str">
        <f t="shared" si="5"/>
        <v>UsdLiborSwapForBasisCalc5Y</v>
      </c>
      <c r="J7" s="240" t="str">
        <f t="shared" si="6"/>
        <v>USDAM3L5Y_S6L3L_Quote</v>
      </c>
      <c r="K7" s="240" t="str">
        <f>_xll.qlForwardSwapQuote(J7,I7,H7,E7,Permanent,Trigger,ObjectOverwrite)</f>
        <v>USDAM3L5Y_S6L3L_Quote#0000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106</v>
      </c>
      <c r="T7" s="248" t="s">
        <v>120</v>
      </c>
    </row>
    <row r="8" spans="1:20" x14ac:dyDescent="0.2">
      <c r="A8" s="227"/>
      <c r="B8" s="308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6L</v>
      </c>
      <c r="G8" s="236" t="str">
        <f t="shared" si="3"/>
        <v>3L</v>
      </c>
      <c r="H8" s="309" t="str">
        <f t="shared" si="4"/>
        <v>USD6L3L6Y_Quote</v>
      </c>
      <c r="I8" s="245" t="str">
        <f t="shared" si="5"/>
        <v>UsdLiborSwapForBasisCalc6Y</v>
      </c>
      <c r="J8" s="240" t="str">
        <f t="shared" si="6"/>
        <v>USDAM3L6Y_S6L3L_Quote</v>
      </c>
      <c r="K8" s="240" t="str">
        <f>_xll.qlForwardSwapQuote(J8,I8,H8,E8,Permanent,Trigger,ObjectOverwrite)</f>
        <v>USDAM3L6Y_S6L3L_Quote#0000</v>
      </c>
      <c r="L8" s="241" t="str">
        <f>_xll.ohRangeRetrieveError(K8)</f>
        <v/>
      </c>
      <c r="M8" s="222"/>
    </row>
    <row r="9" spans="1:20" x14ac:dyDescent="0.2">
      <c r="A9" s="227"/>
      <c r="B9" s="308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6L</v>
      </c>
      <c r="G9" s="236" t="str">
        <f t="shared" si="3"/>
        <v>3L</v>
      </c>
      <c r="H9" s="309" t="str">
        <f t="shared" si="4"/>
        <v>USD6L3L7Y_Quote</v>
      </c>
      <c r="I9" s="245" t="str">
        <f t="shared" si="5"/>
        <v>UsdLiborSwapForBasisCalc7Y</v>
      </c>
      <c r="J9" s="240" t="str">
        <f t="shared" si="6"/>
        <v>USDAM3L7Y_S6L3L_Quote</v>
      </c>
      <c r="K9" s="240" t="str">
        <f>_xll.qlForwardSwapQuote(J9,I9,H9,E9,Permanent,Trigger,ObjectOverwrite)</f>
        <v>USDAM3L7Y_S6L3L_Quote#0000</v>
      </c>
      <c r="L9" s="241" t="str">
        <f>_xll.ohRangeRetrieveError(K9)</f>
        <v/>
      </c>
      <c r="M9" s="222"/>
    </row>
    <row r="10" spans="1:20" x14ac:dyDescent="0.2">
      <c r="A10" s="227"/>
      <c r="B10" s="308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6L</v>
      </c>
      <c r="G10" s="236" t="str">
        <f t="shared" si="3"/>
        <v>3L</v>
      </c>
      <c r="H10" s="309" t="str">
        <f t="shared" si="4"/>
        <v>USD6L3L8Y_Quote</v>
      </c>
      <c r="I10" s="245" t="str">
        <f t="shared" si="5"/>
        <v>UsdLiborSwapForBasisCalc8Y</v>
      </c>
      <c r="J10" s="240" t="str">
        <f t="shared" si="6"/>
        <v>USDAM3L8Y_S6L3L_Quote</v>
      </c>
      <c r="K10" s="240" t="str">
        <f>_xll.qlForwardSwapQuote(J10,I10,H10,E10,Permanent,Trigger,ObjectOverwrite)</f>
        <v>USDAM3L8Y_S6L3L_Quote#0000</v>
      </c>
      <c r="L10" s="241" t="str">
        <f>_xll.ohRangeRetrieveError(K10)</f>
        <v/>
      </c>
      <c r="M10" s="222"/>
    </row>
    <row r="11" spans="1:20" x14ac:dyDescent="0.2">
      <c r="A11" s="227"/>
      <c r="B11" s="308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6L</v>
      </c>
      <c r="G11" s="236" t="str">
        <f t="shared" si="3"/>
        <v>3L</v>
      </c>
      <c r="H11" s="309" t="str">
        <f t="shared" si="4"/>
        <v>USD6L3L9Y_Quote</v>
      </c>
      <c r="I11" s="245" t="str">
        <f t="shared" si="5"/>
        <v>UsdLiborSwapForBasisCalc9Y</v>
      </c>
      <c r="J11" s="240" t="str">
        <f t="shared" si="6"/>
        <v>USDAM3L9Y_S6L3L_Quote</v>
      </c>
      <c r="K11" s="240" t="str">
        <f>_xll.qlForwardSwapQuote(J11,I11,H11,E11,Permanent,Trigger,ObjectOverwrite)</f>
        <v>USDAM3L9Y_S6L3L_Quote#0000</v>
      </c>
      <c r="L11" s="241" t="str">
        <f>_xll.ohRangeRetrieveError(K11)</f>
        <v/>
      </c>
      <c r="M11" s="222"/>
    </row>
    <row r="12" spans="1:20" x14ac:dyDescent="0.2">
      <c r="A12" s="227"/>
      <c r="B12" s="308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6L</v>
      </c>
      <c r="G12" s="236" t="str">
        <f t="shared" si="3"/>
        <v>3L</v>
      </c>
      <c r="H12" s="309" t="str">
        <f t="shared" si="4"/>
        <v>USD6L3L10Y_Quote</v>
      </c>
      <c r="I12" s="245" t="str">
        <f t="shared" si="5"/>
        <v>UsdLiborSwapForBasisCalc10Y</v>
      </c>
      <c r="J12" s="240" t="str">
        <f t="shared" si="6"/>
        <v>USDAM3L10Y_S6L3L_Quote</v>
      </c>
      <c r="K12" s="240" t="str">
        <f>_xll.qlForwardSwapQuote(J12,I12,H12,E12,Permanent,Trigger,ObjectOverwrite)</f>
        <v>USDAM3L10Y_S6L3L_Quote#0000</v>
      </c>
      <c r="L12" s="241" t="str">
        <f>_xll.ohRangeRetrieveError(K12)</f>
        <v/>
      </c>
      <c r="M12" s="222"/>
    </row>
    <row r="13" spans="1:20" x14ac:dyDescent="0.2">
      <c r="A13" s="227"/>
      <c r="B13" s="308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6L</v>
      </c>
      <c r="G13" s="236" t="str">
        <f t="shared" si="3"/>
        <v>3L</v>
      </c>
      <c r="H13" s="309" t="str">
        <f t="shared" si="4"/>
        <v>USD6L3L11Y_Quote</v>
      </c>
      <c r="I13" s="245" t="str">
        <f t="shared" si="5"/>
        <v>UsdLiborSwapForBasisCalc11Y</v>
      </c>
      <c r="J13" s="240" t="str">
        <f t="shared" si="6"/>
        <v>USDAM3L11Y_S6L3L_Quote</v>
      </c>
      <c r="K13" s="240" t="str">
        <f>_xll.qlForwardSwapQuote(J13,I13,H13,E13,Permanent,Trigger,ObjectOverwrite)</f>
        <v>USDAM3L11Y_S6L3L_Quote#0000</v>
      </c>
      <c r="L13" s="241" t="str">
        <f>_xll.ohRangeRetrieveError(K13)</f>
        <v/>
      </c>
      <c r="M13" s="222"/>
    </row>
    <row r="14" spans="1:20" x14ac:dyDescent="0.2">
      <c r="A14" s="227"/>
      <c r="B14" s="308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6L</v>
      </c>
      <c r="G14" s="236" t="str">
        <f t="shared" si="3"/>
        <v>3L</v>
      </c>
      <c r="H14" s="309" t="str">
        <f t="shared" si="4"/>
        <v>USD6L3L12Y_Quote</v>
      </c>
      <c r="I14" s="245" t="str">
        <f t="shared" si="5"/>
        <v>UsdLiborSwapForBasisCalc12Y</v>
      </c>
      <c r="J14" s="240" t="str">
        <f t="shared" si="6"/>
        <v>USDAM3L12Y_S6L3L_Quote</v>
      </c>
      <c r="K14" s="240" t="str">
        <f>_xll.qlForwardSwapQuote(J14,I14,H14,E14,Permanent,Trigger,ObjectOverwrite)</f>
        <v>USDAM3L12Y_S6L3L_Quote#0000</v>
      </c>
      <c r="L14" s="241" t="str">
        <f>_xll.ohRangeRetrieveError(K14)</f>
        <v/>
      </c>
      <c r="M14" s="222"/>
    </row>
    <row r="15" spans="1:20" x14ac:dyDescent="0.2">
      <c r="A15" s="227"/>
      <c r="B15" s="308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6L</v>
      </c>
      <c r="G15" s="236" t="str">
        <f t="shared" si="3"/>
        <v>3L</v>
      </c>
      <c r="H15" s="309" t="str">
        <f t="shared" si="4"/>
        <v>USD6L3L13Y_Quote</v>
      </c>
      <c r="I15" s="245" t="str">
        <f t="shared" si="5"/>
        <v>UsdLiborSwapForBasisCalc13Y</v>
      </c>
      <c r="J15" s="240" t="str">
        <f t="shared" si="6"/>
        <v>USDAM3L13Y_S6L3L_Quote</v>
      </c>
      <c r="K15" s="240" t="str">
        <f>_xll.qlForwardSwapQuote(J15,I15,H15,E15,Permanent,Trigger,ObjectOverwrite)</f>
        <v>USDAM3L13Y_S6L3L_Quote#0000</v>
      </c>
      <c r="L15" s="241" t="str">
        <f>_xll.ohRangeRetrieveError(K15)</f>
        <v/>
      </c>
      <c r="M15" s="222"/>
    </row>
    <row r="16" spans="1:20" x14ac:dyDescent="0.2">
      <c r="A16" s="227"/>
      <c r="B16" s="308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6L</v>
      </c>
      <c r="G16" s="236" t="str">
        <f t="shared" si="3"/>
        <v>3L</v>
      </c>
      <c r="H16" s="309" t="str">
        <f t="shared" si="4"/>
        <v>USD6L3L14Y_Quote</v>
      </c>
      <c r="I16" s="245" t="str">
        <f t="shared" si="5"/>
        <v>UsdLiborSwapForBasisCalc14Y</v>
      </c>
      <c r="J16" s="240" t="str">
        <f t="shared" si="6"/>
        <v>USDAM3L14Y_S6L3L_Quote</v>
      </c>
      <c r="K16" s="240" t="str">
        <f>_xll.qlForwardSwapQuote(J16,I16,H16,E16,Permanent,Trigger,ObjectOverwrite)</f>
        <v>USDAM3L14Y_S6L3L_Quote#0000</v>
      </c>
      <c r="L16" s="241" t="str">
        <f>_xll.ohRangeRetrieveError(K16)</f>
        <v/>
      </c>
      <c r="M16" s="222"/>
    </row>
    <row r="17" spans="1:13" x14ac:dyDescent="0.2">
      <c r="A17" s="227"/>
      <c r="B17" s="308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6L</v>
      </c>
      <c r="G17" s="236" t="str">
        <f t="shared" si="3"/>
        <v>3L</v>
      </c>
      <c r="H17" s="309" t="str">
        <f t="shared" si="4"/>
        <v>USD6L3L15Y_Quote</v>
      </c>
      <c r="I17" s="245" t="str">
        <f t="shared" si="5"/>
        <v>UsdLiborSwapForBasisCalc15Y</v>
      </c>
      <c r="J17" s="240" t="str">
        <f t="shared" si="6"/>
        <v>USDAM3L15Y_S6L3L_Quote</v>
      </c>
      <c r="K17" s="240" t="str">
        <f>_xll.qlForwardSwapQuote(J17,I17,H17,E17,Permanent,Trigger,ObjectOverwrite)</f>
        <v>USDAM3L15Y_S6L3L_Quote#0000</v>
      </c>
      <c r="L17" s="241" t="str">
        <f>_xll.ohRangeRetrieveError(K17)</f>
        <v/>
      </c>
      <c r="M17" s="222"/>
    </row>
    <row r="18" spans="1:13" x14ac:dyDescent="0.2">
      <c r="A18" s="227"/>
      <c r="B18" s="308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6L</v>
      </c>
      <c r="G18" s="236" t="str">
        <f t="shared" si="3"/>
        <v>3L</v>
      </c>
      <c r="H18" s="309" t="str">
        <f t="shared" si="4"/>
        <v>USD6L3L16Y_Quote</v>
      </c>
      <c r="I18" s="245" t="str">
        <f t="shared" si="5"/>
        <v>UsdLiborSwapForBasisCalc16Y</v>
      </c>
      <c r="J18" s="240" t="str">
        <f t="shared" si="6"/>
        <v>USDAM3L16Y_S6L3L_Quote</v>
      </c>
      <c r="K18" s="240" t="str">
        <f>_xll.qlForwardSwapQuote(J18,I18,H18,E18,Permanent,Trigger,ObjectOverwrite)</f>
        <v>USDAM3L16Y_S6L3L_Quote#0000</v>
      </c>
      <c r="L18" s="241" t="str">
        <f>_xll.ohRangeRetrieveError(K18)</f>
        <v/>
      </c>
      <c r="M18" s="222"/>
    </row>
    <row r="19" spans="1:13" x14ac:dyDescent="0.2">
      <c r="A19" s="227"/>
      <c r="B19" s="308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6L</v>
      </c>
      <c r="G19" s="236" t="str">
        <f t="shared" si="3"/>
        <v>3L</v>
      </c>
      <c r="H19" s="309" t="str">
        <f t="shared" si="4"/>
        <v>USD6L3L17Y_Quote</v>
      </c>
      <c r="I19" s="245" t="str">
        <f t="shared" si="5"/>
        <v>UsdLiborSwapForBasisCalc17Y</v>
      </c>
      <c r="J19" s="240" t="str">
        <f t="shared" si="6"/>
        <v>USDAM3L17Y_S6L3L_Quote</v>
      </c>
      <c r="K19" s="240" t="str">
        <f>_xll.qlForwardSwapQuote(J19,I19,H19,E19,Permanent,Trigger,ObjectOverwrite)</f>
        <v>USDAM3L17Y_S6L3L_Quote#0000</v>
      </c>
      <c r="L19" s="241" t="str">
        <f>_xll.ohRangeRetrieveError(K19)</f>
        <v/>
      </c>
      <c r="M19" s="222"/>
    </row>
    <row r="20" spans="1:13" x14ac:dyDescent="0.2">
      <c r="A20" s="227"/>
      <c r="B20" s="308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6L</v>
      </c>
      <c r="G20" s="236" t="str">
        <f t="shared" si="3"/>
        <v>3L</v>
      </c>
      <c r="H20" s="309" t="str">
        <f t="shared" si="4"/>
        <v>USD6L3L18Y_Quote</v>
      </c>
      <c r="I20" s="245" t="str">
        <f t="shared" si="5"/>
        <v>UsdLiborSwapForBasisCalc18Y</v>
      </c>
      <c r="J20" s="240" t="str">
        <f t="shared" si="6"/>
        <v>USDAM3L18Y_S6L3L_Quote</v>
      </c>
      <c r="K20" s="240" t="str">
        <f>_xll.qlForwardSwapQuote(J20,I20,H20,E20,Permanent,Trigger,ObjectOverwrite)</f>
        <v>USDAM3L18Y_S6L3L_Quote#0000</v>
      </c>
      <c r="L20" s="241" t="str">
        <f>_xll.ohRangeRetrieveError(K20)</f>
        <v/>
      </c>
      <c r="M20" s="222"/>
    </row>
    <row r="21" spans="1:13" x14ac:dyDescent="0.2">
      <c r="A21" s="227"/>
      <c r="B21" s="308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6L</v>
      </c>
      <c r="G21" s="236" t="str">
        <f t="shared" si="3"/>
        <v>3L</v>
      </c>
      <c r="H21" s="309" t="str">
        <f t="shared" si="4"/>
        <v>USD6L3L19Y_Quote</v>
      </c>
      <c r="I21" s="245" t="str">
        <f t="shared" si="5"/>
        <v>UsdLiborSwapForBasisCalc19Y</v>
      </c>
      <c r="J21" s="240" t="str">
        <f t="shared" si="6"/>
        <v>USDAM3L19Y_S6L3L_Quote</v>
      </c>
      <c r="K21" s="240" t="str">
        <f>_xll.qlForwardSwapQuote(J21,I21,H21,E21,Permanent,Trigger,ObjectOverwrite)</f>
        <v>USDAM3L19Y_S6L3L_Quote#0000</v>
      </c>
      <c r="L21" s="241" t="str">
        <f>_xll.ohRangeRetrieveError(K21)</f>
        <v/>
      </c>
      <c r="M21" s="222"/>
    </row>
    <row r="22" spans="1:13" x14ac:dyDescent="0.2">
      <c r="A22" s="227"/>
      <c r="B22" s="308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6L</v>
      </c>
      <c r="G22" s="236" t="str">
        <f t="shared" si="3"/>
        <v>3L</v>
      </c>
      <c r="H22" s="309" t="str">
        <f t="shared" si="4"/>
        <v>USD6L3L20Y_Quote</v>
      </c>
      <c r="I22" s="245" t="str">
        <f t="shared" si="5"/>
        <v>UsdLiborSwapForBasisCalc20Y</v>
      </c>
      <c r="J22" s="240" t="str">
        <f t="shared" si="6"/>
        <v>USDAM3L20Y_S6L3L_Quote</v>
      </c>
      <c r="K22" s="240" t="str">
        <f>_xll.qlForwardSwapQuote(J22,I22,H22,E22,Permanent,Trigger,ObjectOverwrite)</f>
        <v>USDAM3L20Y_S6L3L_Quote#0000</v>
      </c>
      <c r="L22" s="241" t="str">
        <f>_xll.ohRangeRetrieveError(K22)</f>
        <v/>
      </c>
      <c r="M22" s="222"/>
    </row>
    <row r="23" spans="1:13" x14ac:dyDescent="0.2">
      <c r="A23" s="227"/>
      <c r="B23" s="308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6L</v>
      </c>
      <c r="G23" s="236" t="str">
        <f t="shared" si="3"/>
        <v>3L</v>
      </c>
      <c r="H23" s="309" t="str">
        <f t="shared" si="4"/>
        <v>USD6L3L21Y_Quote</v>
      </c>
      <c r="I23" s="245" t="str">
        <f t="shared" si="5"/>
        <v>UsdLiborSwapForBasisCalc21Y</v>
      </c>
      <c r="J23" s="240" t="str">
        <f t="shared" si="6"/>
        <v>USDAM3L21Y_S6L3L_Quote</v>
      </c>
      <c r="K23" s="240" t="str">
        <f>_xll.qlForwardSwapQuote(J23,I23,H23,E23,Permanent,Trigger,ObjectOverwrite)</f>
        <v>USDAM3L21Y_S6L3L_Quote#0000</v>
      </c>
      <c r="L23" s="241" t="str">
        <f>_xll.ohRangeRetrieveError(K23)</f>
        <v/>
      </c>
      <c r="M23" s="222"/>
    </row>
    <row r="24" spans="1:13" x14ac:dyDescent="0.2">
      <c r="A24" s="227"/>
      <c r="B24" s="308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6L</v>
      </c>
      <c r="G24" s="236" t="str">
        <f t="shared" si="3"/>
        <v>3L</v>
      </c>
      <c r="H24" s="309" t="str">
        <f t="shared" si="4"/>
        <v>USD6L3L22Y_Quote</v>
      </c>
      <c r="I24" s="245" t="str">
        <f t="shared" si="5"/>
        <v>UsdLiborSwapForBasisCalc22Y</v>
      </c>
      <c r="J24" s="240" t="str">
        <f t="shared" si="6"/>
        <v>USDAM3L22Y_S6L3L_Quote</v>
      </c>
      <c r="K24" s="240" t="str">
        <f>_xll.qlForwardSwapQuote(J24,I24,H24,E24,Permanent,Trigger,ObjectOverwrite)</f>
        <v>USDAM3L22Y_S6L3L_Quote#0000</v>
      </c>
      <c r="L24" s="241" t="str">
        <f>_xll.ohRangeRetrieveError(K24)</f>
        <v/>
      </c>
      <c r="M24" s="222"/>
    </row>
    <row r="25" spans="1:13" x14ac:dyDescent="0.2">
      <c r="A25" s="227"/>
      <c r="B25" s="308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6L</v>
      </c>
      <c r="G25" s="236" t="str">
        <f t="shared" si="3"/>
        <v>3L</v>
      </c>
      <c r="H25" s="309" t="str">
        <f t="shared" si="4"/>
        <v>USD6L3L23Y_Quote</v>
      </c>
      <c r="I25" s="245" t="str">
        <f t="shared" si="5"/>
        <v>UsdLiborSwapForBasisCalc23Y</v>
      </c>
      <c r="J25" s="240" t="str">
        <f t="shared" si="6"/>
        <v>USDAM3L23Y_S6L3L_Quote</v>
      </c>
      <c r="K25" s="240" t="str">
        <f>_xll.qlForwardSwapQuote(J25,I25,H25,E25,Permanent,Trigger,ObjectOverwrite)</f>
        <v>USDAM3L23Y_S6L3L_Quote#0000</v>
      </c>
      <c r="L25" s="241" t="str">
        <f>_xll.ohRangeRetrieveError(K25)</f>
        <v/>
      </c>
      <c r="M25" s="222"/>
    </row>
    <row r="26" spans="1:13" x14ac:dyDescent="0.2">
      <c r="A26" s="227"/>
      <c r="B26" s="308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6L</v>
      </c>
      <c r="G26" s="236" t="str">
        <f t="shared" si="3"/>
        <v>3L</v>
      </c>
      <c r="H26" s="309" t="str">
        <f t="shared" si="4"/>
        <v>USD6L3L24Y_Quote</v>
      </c>
      <c r="I26" s="245" t="str">
        <f t="shared" si="5"/>
        <v>UsdLiborSwapForBasisCalc24Y</v>
      </c>
      <c r="J26" s="240" t="str">
        <f t="shared" si="6"/>
        <v>USDAM3L24Y_S6L3L_Quote</v>
      </c>
      <c r="K26" s="240" t="str">
        <f>_xll.qlForwardSwapQuote(J26,I26,H26,E26,Permanent,Trigger,ObjectOverwrite)</f>
        <v>USDAM3L24Y_S6L3L_Quote#0000</v>
      </c>
      <c r="L26" s="241" t="str">
        <f>_xll.ohRangeRetrieveError(K26)</f>
        <v/>
      </c>
      <c r="M26" s="222"/>
    </row>
    <row r="27" spans="1:13" x14ac:dyDescent="0.2">
      <c r="A27" s="227"/>
      <c r="B27" s="308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6L</v>
      </c>
      <c r="G27" s="236" t="str">
        <f t="shared" si="3"/>
        <v>3L</v>
      </c>
      <c r="H27" s="309" t="str">
        <f t="shared" si="4"/>
        <v>USD6L3L25Y_Quote</v>
      </c>
      <c r="I27" s="245" t="str">
        <f t="shared" si="5"/>
        <v>UsdLiborSwapForBasisCalc25Y</v>
      </c>
      <c r="J27" s="240" t="str">
        <f t="shared" si="6"/>
        <v>USDAM3L25Y_S6L3L_Quote</v>
      </c>
      <c r="K27" s="240" t="str">
        <f>_xll.qlForwardSwapQuote(J27,I27,H27,E27,Permanent,Trigger,ObjectOverwrite)</f>
        <v>USDAM3L25Y_S6L3L_Quote#0000</v>
      </c>
      <c r="L27" s="241" t="str">
        <f>_xll.ohRangeRetrieveError(K27)</f>
        <v/>
      </c>
      <c r="M27" s="222"/>
    </row>
    <row r="28" spans="1:13" x14ac:dyDescent="0.2">
      <c r="A28" s="227"/>
      <c r="B28" s="308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6L</v>
      </c>
      <c r="G28" s="236" t="str">
        <f t="shared" si="3"/>
        <v>3L</v>
      </c>
      <c r="H28" s="309" t="str">
        <f t="shared" si="4"/>
        <v>USD6L3L26Y_Quote</v>
      </c>
      <c r="I28" s="245" t="str">
        <f t="shared" si="5"/>
        <v>UsdLiborSwapForBasisCalc26Y</v>
      </c>
      <c r="J28" s="240" t="str">
        <f t="shared" si="6"/>
        <v>USDAM3L26Y_S6L3L_Quote</v>
      </c>
      <c r="K28" s="240" t="str">
        <f>_xll.qlForwardSwapQuote(J28,I28,H28,E28,Permanent,Trigger,ObjectOverwrite)</f>
        <v>USDAM3L26Y_S6L3L_Quote#0000</v>
      </c>
      <c r="L28" s="241" t="str">
        <f>_xll.ohRangeRetrieveError(K28)</f>
        <v/>
      </c>
      <c r="M28" s="222"/>
    </row>
    <row r="29" spans="1:13" x14ac:dyDescent="0.2">
      <c r="A29" s="227"/>
      <c r="B29" s="308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6L</v>
      </c>
      <c r="G29" s="236" t="str">
        <f t="shared" si="3"/>
        <v>3L</v>
      </c>
      <c r="H29" s="309" t="str">
        <f t="shared" si="4"/>
        <v>USD6L3L27Y_Quote</v>
      </c>
      <c r="I29" s="245" t="str">
        <f t="shared" si="5"/>
        <v>UsdLiborSwapForBasisCalc27Y</v>
      </c>
      <c r="J29" s="240" t="str">
        <f t="shared" si="6"/>
        <v>USDAM3L27Y_S6L3L_Quote</v>
      </c>
      <c r="K29" s="240" t="str">
        <f>_xll.qlForwardSwapQuote(J29,I29,H29,E29,Permanent,Trigger,ObjectOverwrite)</f>
        <v>USDAM3L27Y_S6L3L_Quote#0000</v>
      </c>
      <c r="L29" s="241" t="str">
        <f>_xll.ohRangeRetrieveError(K29)</f>
        <v/>
      </c>
      <c r="M29" s="222"/>
    </row>
    <row r="30" spans="1:13" x14ac:dyDescent="0.2">
      <c r="A30" s="227"/>
      <c r="B30" s="308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6L</v>
      </c>
      <c r="G30" s="236" t="str">
        <f t="shared" si="3"/>
        <v>3L</v>
      </c>
      <c r="H30" s="309" t="str">
        <f t="shared" si="4"/>
        <v>USD6L3L28Y_Quote</v>
      </c>
      <c r="I30" s="245" t="str">
        <f t="shared" si="5"/>
        <v>UsdLiborSwapForBasisCalc28Y</v>
      </c>
      <c r="J30" s="240" t="str">
        <f t="shared" si="6"/>
        <v>USDAM3L28Y_S6L3L_Quote</v>
      </c>
      <c r="K30" s="240" t="str">
        <f>_xll.qlForwardSwapQuote(J30,I30,H30,E30,Permanent,Trigger,ObjectOverwrite)</f>
        <v>USDAM3L28Y_S6L3L_Quote#0000</v>
      </c>
      <c r="L30" s="241" t="str">
        <f>_xll.ohRangeRetrieveError(K30)</f>
        <v/>
      </c>
      <c r="M30" s="222"/>
    </row>
    <row r="31" spans="1:13" x14ac:dyDescent="0.2">
      <c r="A31" s="227"/>
      <c r="B31" s="308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6L</v>
      </c>
      <c r="G31" s="236" t="str">
        <f t="shared" si="3"/>
        <v>3L</v>
      </c>
      <c r="H31" s="309" t="str">
        <f t="shared" si="4"/>
        <v>USD6L3L29Y_Quote</v>
      </c>
      <c r="I31" s="245" t="str">
        <f t="shared" si="5"/>
        <v>UsdLiborSwapForBasisCalc29Y</v>
      </c>
      <c r="J31" s="240" t="str">
        <f t="shared" si="6"/>
        <v>USDAM3L29Y_S6L3L_Quote</v>
      </c>
      <c r="K31" s="240" t="str">
        <f>_xll.qlForwardSwapQuote(J31,I31,H31,E31,Permanent,Trigger,ObjectOverwrite)</f>
        <v>USDAM3L29Y_S6L3L_Quote#0000</v>
      </c>
      <c r="L31" s="241" t="str">
        <f>_xll.ohRangeRetrieveError(K31)</f>
        <v/>
      </c>
      <c r="M31" s="222"/>
    </row>
    <row r="32" spans="1:13" x14ac:dyDescent="0.2">
      <c r="A32" s="227"/>
      <c r="B32" s="308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6L</v>
      </c>
      <c r="G32" s="236" t="str">
        <f t="shared" si="3"/>
        <v>3L</v>
      </c>
      <c r="H32" s="309" t="str">
        <f t="shared" si="4"/>
        <v>USD6L3L30Y_Quote</v>
      </c>
      <c r="I32" s="245" t="str">
        <f t="shared" si="5"/>
        <v>UsdLiborSwapForBasisCalc30Y</v>
      </c>
      <c r="J32" s="240" t="str">
        <f t="shared" si="6"/>
        <v>USDAM3L30Y_S6L3L_Quote</v>
      </c>
      <c r="K32" s="240" t="str">
        <f>_xll.qlForwardSwapQuote(J32,I32,H32,E32,Permanent,Trigger,ObjectOverwrite)</f>
        <v>USDAM3L30Y_S6L3L_Quote#0000</v>
      </c>
      <c r="L32" s="241" t="str">
        <f>_xll.ohRangeRetrieveError(K32)</f>
        <v/>
      </c>
      <c r="M32" s="222"/>
    </row>
    <row r="33" spans="1:13" x14ac:dyDescent="0.2">
      <c r="A33" s="227"/>
      <c r="B33" s="308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6L</v>
      </c>
      <c r="G33" s="236" t="str">
        <f t="shared" si="3"/>
        <v>3L</v>
      </c>
      <c r="H33" s="309" t="str">
        <f t="shared" si="4"/>
        <v>USD6L3L35Y_Quote</v>
      </c>
      <c r="I33" s="245" t="str">
        <f t="shared" si="5"/>
        <v>UsdLiborSwapForBasisCalc35Y</v>
      </c>
      <c r="J33" s="240" t="str">
        <f t="shared" si="6"/>
        <v>USDAM3L35Y_S6L3L_Quote</v>
      </c>
      <c r="K33" s="240" t="str">
        <f>_xll.qlForwardSwapQuote(J33,I33,H33,E33,Permanent,Trigger,ObjectOverwrite)</f>
        <v>USDAM3L35Y_S6L3L_Quote#0000</v>
      </c>
      <c r="L33" s="241" t="str">
        <f>_xll.ohRangeRetrieveError(K33)</f>
        <v/>
      </c>
      <c r="M33" s="222"/>
    </row>
    <row r="34" spans="1:13" x14ac:dyDescent="0.2">
      <c r="A34" s="227"/>
      <c r="B34" s="308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6L</v>
      </c>
      <c r="G34" s="236" t="str">
        <f t="shared" si="3"/>
        <v>3L</v>
      </c>
      <c r="H34" s="309" t="str">
        <f t="shared" si="4"/>
        <v>USD6L3L40Y_Quote</v>
      </c>
      <c r="I34" s="245" t="str">
        <f t="shared" si="5"/>
        <v>UsdLiborSwapForBasisCalc40Y</v>
      </c>
      <c r="J34" s="240" t="str">
        <f t="shared" si="6"/>
        <v>USDAM3L40Y_S6L3L_Quote</v>
      </c>
      <c r="K34" s="240" t="str">
        <f>_xll.qlForwardSwapQuote(J34,I34,H34,E34,Permanent,Trigger,ObjectOverwrite)</f>
        <v>USDAM3L40Y_S6L3L_Quote#0000</v>
      </c>
      <c r="L34" s="241" t="str">
        <f>_xll.ohRangeRetrieveError(K34)</f>
        <v/>
      </c>
      <c r="M34" s="222"/>
    </row>
    <row r="35" spans="1:13" x14ac:dyDescent="0.2">
      <c r="A35" s="227"/>
      <c r="B35" s="308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6L</v>
      </c>
      <c r="G35" s="236" t="str">
        <f t="shared" si="3"/>
        <v>3L</v>
      </c>
      <c r="H35" s="309" t="str">
        <f t="shared" si="4"/>
        <v>USD6L3L50Y_Quote</v>
      </c>
      <c r="I35" s="245" t="str">
        <f t="shared" si="5"/>
        <v>UsdLiborSwapForBasisCalc50Y</v>
      </c>
      <c r="J35" s="240" t="str">
        <f t="shared" si="6"/>
        <v>USDAM3L50Y_S6L3L_Quote</v>
      </c>
      <c r="K35" s="240" t="str">
        <f>_xll.qlForwardSwapQuote(J35,I35,H35,E35,Permanent,Trigger,ObjectOverwrite)</f>
        <v>USDAM3L50Y_S6L3L_Quote#0000</v>
      </c>
      <c r="L35" s="241" t="str">
        <f>_xll.ohRangeRetrieveError(K35)</f>
        <v/>
      </c>
      <c r="M35" s="222"/>
    </row>
    <row r="36" spans="1:13" x14ac:dyDescent="0.2">
      <c r="A36" s="227"/>
      <c r="B36" s="308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6L</v>
      </c>
      <c r="G36" s="236" t="str">
        <f t="shared" si="3"/>
        <v>3L</v>
      </c>
      <c r="H36" s="309" t="str">
        <f t="shared" si="4"/>
        <v>USD6L3L60Y_Quote</v>
      </c>
      <c r="I36" s="245" t="str">
        <f t="shared" si="5"/>
        <v>UsdLiborSwapForBasisCalc60Y</v>
      </c>
      <c r="J36" s="240" t="str">
        <f t="shared" si="6"/>
        <v>USDAM3L60Y_S6L3L_Quote</v>
      </c>
      <c r="K36" s="240" t="str">
        <f>_xll.qlForwardSwapQuote(J36,I36,H36,E36,Permanent,Trigger,ObjectOverwrite)</f>
        <v>USDAM3L60Y_S6L3L_Quote#0000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H32" sqref="H32"/>
    </sheetView>
  </sheetViews>
  <sheetFormatPr defaultRowHeight="11.25" x14ac:dyDescent="0.2"/>
  <cols>
    <col min="1" max="1" width="3.1640625" style="228" customWidth="1"/>
    <col min="2" max="2" width="4.6640625" style="228" bestFit="1" customWidth="1"/>
    <col min="3" max="4" width="3.5" style="228" bestFit="1" customWidth="1"/>
    <col min="5" max="5" width="8.33203125" style="228" customWidth="1"/>
    <col min="6" max="6" width="4.6640625" style="228" bestFit="1" customWidth="1"/>
    <col min="7" max="7" width="3.5" style="228" bestFit="1" customWidth="1"/>
    <col min="8" max="8" width="21.33203125" style="228" bestFit="1" customWidth="1"/>
    <col min="9" max="9" width="33.33203125" style="228" bestFit="1" customWidth="1"/>
    <col min="10" max="10" width="34" style="228" bestFit="1" customWidth="1"/>
    <col min="11" max="11" width="34.6640625" style="228" bestFit="1" customWidth="1"/>
    <col min="12" max="12" width="24.6640625" style="228" customWidth="1"/>
    <col min="13" max="14" width="3.33203125" style="228" customWidth="1"/>
    <col min="15" max="15" width="4.6640625" style="228" bestFit="1" customWidth="1"/>
    <col min="16" max="16" width="3.6640625" style="228" bestFit="1" customWidth="1"/>
    <col min="17" max="17" width="3.1640625" style="228" bestFit="1" customWidth="1"/>
    <col min="18" max="18" width="3.83203125" style="228" bestFit="1" customWidth="1"/>
    <col min="19" max="20" width="4.1640625" style="228" bestFit="1" customWidth="1"/>
    <col min="21" max="16384" width="9.33203125" style="228"/>
  </cols>
  <sheetData>
    <row r="1" spans="1:20" ht="12" thickBot="1" x14ac:dyDescent="0.25">
      <c r="A1" s="232" t="s">
        <v>99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0"/>
      <c r="M1" s="229"/>
    </row>
    <row r="2" spans="1:20" ht="22.5" x14ac:dyDescent="0.2">
      <c r="A2" s="227"/>
      <c r="B2" s="226"/>
      <c r="C2" s="226"/>
      <c r="D2" s="226"/>
      <c r="E2" s="226" t="s">
        <v>100</v>
      </c>
      <c r="F2" s="226"/>
      <c r="G2" s="226"/>
      <c r="H2" s="226" t="s">
        <v>101</v>
      </c>
      <c r="I2" s="226" t="s">
        <v>102</v>
      </c>
      <c r="J2" s="225" t="str">
        <f>Currency&amp;"_020_Sw"&amp;$C$3&amp;$D$3&amp;IF(H3=0,,"_Spr"&amp;$F3&amp;$G3)&amp;".xml"</f>
        <v>USD_020_SwAM3L_Spr12L3L.xml</v>
      </c>
      <c r="K2" s="224" t="str">
        <f>IF(Serialize,_xll.ohObjectSave(K3:K36,SerializationPath&amp;J2,FileOverwrite,Serialize),"---")</f>
        <v>---</v>
      </c>
      <c r="L2" s="221" t="str">
        <f>_xll.ohRangeRetrieveError(K2)</f>
        <v/>
      </c>
      <c r="M2" s="222"/>
      <c r="O2" s="223"/>
      <c r="P2" s="233"/>
      <c r="Q2" s="233"/>
      <c r="R2" s="233"/>
      <c r="S2" s="233"/>
      <c r="T2" s="234"/>
    </row>
    <row r="3" spans="1:20" x14ac:dyDescent="0.2">
      <c r="A3" s="227"/>
      <c r="B3" s="235" t="s">
        <v>24</v>
      </c>
      <c r="C3" s="236" t="str">
        <f t="shared" ref="C3:C36" si="0">VLOOKUP(Currency,$O$3:$T$7,2)</f>
        <v>AM</v>
      </c>
      <c r="D3" s="236" t="str">
        <f t="shared" ref="D3:D36" si="1">VLOOKUP(Currency,$O$3:$T$7,3)</f>
        <v>3L</v>
      </c>
      <c r="E3" s="237" t="s">
        <v>103</v>
      </c>
      <c r="F3" s="236" t="str">
        <f t="shared" ref="F3:F36" si="2">VLOOKUP(Currency,$O$3:$T$7,5)</f>
        <v>12L</v>
      </c>
      <c r="G3" s="236" t="str">
        <f t="shared" ref="G3:G36" si="3">VLOOKUP(Currency,$O$3:$T$7,6)</f>
        <v>3L</v>
      </c>
      <c r="H3" s="238" t="str">
        <f t="shared" ref="H3:H36" si="4">IF(F3=0,0,Currency&amp;$F3&amp;$G3&amp;$B3&amp;QuoteSuffix)</f>
        <v>USD12L3L1Y_Quote</v>
      </c>
      <c r="I3" s="239" t="str">
        <f t="shared" ref="I3:I36" si="5">Currency&amp;FamilyName&amp;"SwapForBasisCalc"&amp;$B3</f>
        <v>USDLiborSwapForBasisCalc1Y</v>
      </c>
      <c r="J3" s="240" t="str">
        <f t="shared" ref="J3:J36" si="6">Currency&amp;$C3&amp;$D3&amp;$B3&amp;IF(H3=0,,"_S"&amp;$F3&amp;$G3)&amp;QuoteSuffix</f>
        <v>USDAM3L1Y_S12L3L_Quote</v>
      </c>
      <c r="K3" s="240" t="str">
        <f>_xll.qlForwardSwapQuote(J3,I3,H3,E3,Permanent,Trigger,ObjectOverwrite)</f>
        <v>USDAM3L1Y_S12L3L_Quote#0000</v>
      </c>
      <c r="L3" s="241" t="str">
        <f>_xll.ohRangeRetrieveError(K3)</f>
        <v/>
      </c>
      <c r="M3" s="222"/>
      <c r="O3" s="242" t="s">
        <v>104</v>
      </c>
      <c r="P3" s="243" t="s">
        <v>105</v>
      </c>
      <c r="Q3" s="243" t="s">
        <v>106</v>
      </c>
      <c r="R3" s="243" t="s">
        <v>107</v>
      </c>
      <c r="S3" s="243" t="s">
        <v>106</v>
      </c>
      <c r="T3" s="244" t="s">
        <v>108</v>
      </c>
    </row>
    <row r="4" spans="1:20" x14ac:dyDescent="0.2">
      <c r="A4" s="227"/>
      <c r="B4" s="235" t="s">
        <v>109</v>
      </c>
      <c r="C4" s="236" t="str">
        <f t="shared" si="0"/>
        <v>AM</v>
      </c>
      <c r="D4" s="236" t="str">
        <f t="shared" si="1"/>
        <v>3L</v>
      </c>
      <c r="E4" s="236" t="str">
        <f t="shared" ref="E4:E36" si="7">E3</f>
        <v>0D</v>
      </c>
      <c r="F4" s="236" t="str">
        <f t="shared" si="2"/>
        <v>12L</v>
      </c>
      <c r="G4" s="236" t="str">
        <f t="shared" si="3"/>
        <v>3L</v>
      </c>
      <c r="H4" s="238" t="str">
        <f t="shared" si="4"/>
        <v>USD12L3L2Y_Quote</v>
      </c>
      <c r="I4" s="245" t="str">
        <f t="shared" si="5"/>
        <v>USDLiborSwapForBasisCalc2Y</v>
      </c>
      <c r="J4" s="240" t="str">
        <f t="shared" si="6"/>
        <v>USDAM3L2Y_S12L3L_Quote</v>
      </c>
      <c r="K4" s="240" t="str">
        <f>_xll.qlForwardSwapQuote(J4,I4,H4,E4,Permanent,Trigger,ObjectOverwrite)</f>
        <v>USDAM3L2Y_S12L3L_Quote#0000</v>
      </c>
      <c r="L4" s="241" t="str">
        <f>_xll.ohRangeRetrieveError(K4)</f>
        <v/>
      </c>
      <c r="M4" s="222"/>
      <c r="O4" s="242" t="s">
        <v>110</v>
      </c>
      <c r="P4" s="243" t="s">
        <v>105</v>
      </c>
      <c r="Q4" s="243" t="s">
        <v>111</v>
      </c>
      <c r="R4" s="243" t="s">
        <v>107</v>
      </c>
      <c r="S4" s="243" t="s">
        <v>111</v>
      </c>
      <c r="T4" s="244" t="s">
        <v>112</v>
      </c>
    </row>
    <row r="5" spans="1:20" x14ac:dyDescent="0.2">
      <c r="A5" s="227"/>
      <c r="B5" s="235" t="s">
        <v>113</v>
      </c>
      <c r="C5" s="236" t="str">
        <f t="shared" si="0"/>
        <v>AM</v>
      </c>
      <c r="D5" s="236" t="str">
        <f t="shared" si="1"/>
        <v>3L</v>
      </c>
      <c r="E5" s="236" t="str">
        <f t="shared" si="7"/>
        <v>0D</v>
      </c>
      <c r="F5" s="236" t="str">
        <f t="shared" si="2"/>
        <v>12L</v>
      </c>
      <c r="G5" s="236" t="str">
        <f t="shared" si="3"/>
        <v>3L</v>
      </c>
      <c r="H5" s="238" t="str">
        <f t="shared" si="4"/>
        <v>USD12L3L3Y_Quote</v>
      </c>
      <c r="I5" s="245" t="str">
        <f t="shared" si="5"/>
        <v>USDLiborSwapForBasisCalc3Y</v>
      </c>
      <c r="J5" s="240" t="str">
        <f t="shared" si="6"/>
        <v>USDAM3L3Y_S12L3L_Quote</v>
      </c>
      <c r="K5" s="240" t="str">
        <f>_xll.qlForwardSwapQuote(J5,I5,H5,E5,Permanent,Trigger,ObjectOverwrite)</f>
        <v>USDAM3L3Y_S12L3L_Quote#0000</v>
      </c>
      <c r="L5" s="241" t="str">
        <f>_xll.ohRangeRetrieveError(K5)</f>
        <v/>
      </c>
      <c r="M5" s="222"/>
      <c r="O5" s="242" t="s">
        <v>114</v>
      </c>
      <c r="P5" s="243" t="s">
        <v>115</v>
      </c>
      <c r="Q5" s="243" t="s">
        <v>106</v>
      </c>
      <c r="R5" s="243" t="s">
        <v>107</v>
      </c>
      <c r="S5" s="243" t="s">
        <v>106</v>
      </c>
      <c r="T5" s="244" t="s">
        <v>108</v>
      </c>
    </row>
    <row r="6" spans="1:20" x14ac:dyDescent="0.2">
      <c r="A6" s="227"/>
      <c r="B6" s="235" t="s">
        <v>116</v>
      </c>
      <c r="C6" s="236" t="str">
        <f t="shared" si="0"/>
        <v>AM</v>
      </c>
      <c r="D6" s="236" t="str">
        <f t="shared" si="1"/>
        <v>3L</v>
      </c>
      <c r="E6" s="236" t="str">
        <f t="shared" si="7"/>
        <v>0D</v>
      </c>
      <c r="F6" s="236" t="str">
        <f t="shared" si="2"/>
        <v>12L</v>
      </c>
      <c r="G6" s="236" t="str">
        <f t="shared" si="3"/>
        <v>3L</v>
      </c>
      <c r="H6" s="238" t="str">
        <f t="shared" si="4"/>
        <v>USD12L3L4Y_Quote</v>
      </c>
      <c r="I6" s="245" t="str">
        <f t="shared" si="5"/>
        <v>USDLiborSwapForBasisCalc4Y</v>
      </c>
      <c r="J6" s="240" t="str">
        <f t="shared" si="6"/>
        <v>USDAM3L4Y_S12L3L_Quote</v>
      </c>
      <c r="K6" s="240" t="str">
        <f>_xll.qlForwardSwapQuote(J6,I6,H6,E6,Permanent,Trigger,ObjectOverwrite)</f>
        <v>USDAM3L4Y_S12L3L_Quote#0000</v>
      </c>
      <c r="L6" s="241" t="str">
        <f>_xll.ohRangeRetrieveError(K6)</f>
        <v/>
      </c>
      <c r="M6" s="222"/>
      <c r="O6" s="242" t="s">
        <v>117</v>
      </c>
      <c r="P6" s="243" t="s">
        <v>115</v>
      </c>
      <c r="Q6" s="243" t="s">
        <v>106</v>
      </c>
      <c r="R6" s="243" t="s">
        <v>107</v>
      </c>
      <c r="S6" s="243" t="s">
        <v>106</v>
      </c>
      <c r="T6" s="244" t="s">
        <v>108</v>
      </c>
    </row>
    <row r="7" spans="1:20" ht="12" thickBot="1" x14ac:dyDescent="0.25">
      <c r="A7" s="227"/>
      <c r="B7" s="235" t="s">
        <v>118</v>
      </c>
      <c r="C7" s="236" t="str">
        <f t="shared" si="0"/>
        <v>AM</v>
      </c>
      <c r="D7" s="236" t="str">
        <f t="shared" si="1"/>
        <v>3L</v>
      </c>
      <c r="E7" s="236" t="str">
        <f t="shared" si="7"/>
        <v>0D</v>
      </c>
      <c r="F7" s="236" t="str">
        <f t="shared" si="2"/>
        <v>12L</v>
      </c>
      <c r="G7" s="236" t="str">
        <f t="shared" si="3"/>
        <v>3L</v>
      </c>
      <c r="H7" s="238" t="str">
        <f t="shared" si="4"/>
        <v>USD12L3L5Y_Quote</v>
      </c>
      <c r="I7" s="245" t="str">
        <f t="shared" si="5"/>
        <v>USDLiborSwapForBasisCalc5Y</v>
      </c>
      <c r="J7" s="240" t="str">
        <f t="shared" si="6"/>
        <v>USDAM3L5Y_S12L3L_Quote</v>
      </c>
      <c r="K7" s="240" t="str">
        <f>_xll.qlForwardSwapQuote(J7,I7,H7,E7,Permanent,Trigger,ObjectOverwrite)</f>
        <v>USDAM3L5Y_S12L3L_Quote#0000</v>
      </c>
      <c r="L7" s="241" t="str">
        <f>_xll.ohRangeRetrieveError(K7)</f>
        <v/>
      </c>
      <c r="M7" s="222"/>
      <c r="O7" s="246" t="s">
        <v>51</v>
      </c>
      <c r="P7" s="247" t="s">
        <v>119</v>
      </c>
      <c r="Q7" s="247" t="s">
        <v>120</v>
      </c>
      <c r="R7" s="247" t="s">
        <v>107</v>
      </c>
      <c r="S7" s="247" t="s">
        <v>108</v>
      </c>
      <c r="T7" s="248" t="s">
        <v>120</v>
      </c>
    </row>
    <row r="8" spans="1:20" x14ac:dyDescent="0.2">
      <c r="A8" s="227"/>
      <c r="B8" s="235" t="s">
        <v>121</v>
      </c>
      <c r="C8" s="236" t="str">
        <f t="shared" si="0"/>
        <v>AM</v>
      </c>
      <c r="D8" s="236" t="str">
        <f t="shared" si="1"/>
        <v>3L</v>
      </c>
      <c r="E8" s="236" t="str">
        <f t="shared" si="7"/>
        <v>0D</v>
      </c>
      <c r="F8" s="236" t="str">
        <f t="shared" si="2"/>
        <v>12L</v>
      </c>
      <c r="G8" s="236" t="str">
        <f t="shared" si="3"/>
        <v>3L</v>
      </c>
      <c r="H8" s="238" t="str">
        <f t="shared" si="4"/>
        <v>USD12L3L6Y_Quote</v>
      </c>
      <c r="I8" s="245" t="str">
        <f t="shared" si="5"/>
        <v>USDLiborSwapForBasisCalc6Y</v>
      </c>
      <c r="J8" s="240" t="str">
        <f t="shared" si="6"/>
        <v>USDAM3L6Y_S12L3L_Quote</v>
      </c>
      <c r="K8" s="240" t="str">
        <f>_xll.qlForwardSwapQuote(J8,I8,H8,E8,Permanent,Trigger,ObjectOverwrite)</f>
        <v>USDAM3L6Y_S12L3L_Quote#0000</v>
      </c>
      <c r="L8" s="241" t="str">
        <f>_xll.ohRangeRetrieveError(K8)</f>
        <v/>
      </c>
      <c r="M8" s="222"/>
    </row>
    <row r="9" spans="1:20" x14ac:dyDescent="0.2">
      <c r="A9" s="227"/>
      <c r="B9" s="235" t="s">
        <v>122</v>
      </c>
      <c r="C9" s="236" t="str">
        <f t="shared" si="0"/>
        <v>AM</v>
      </c>
      <c r="D9" s="236" t="str">
        <f t="shared" si="1"/>
        <v>3L</v>
      </c>
      <c r="E9" s="236" t="str">
        <f t="shared" si="7"/>
        <v>0D</v>
      </c>
      <c r="F9" s="236" t="str">
        <f t="shared" si="2"/>
        <v>12L</v>
      </c>
      <c r="G9" s="236" t="str">
        <f t="shared" si="3"/>
        <v>3L</v>
      </c>
      <c r="H9" s="238" t="str">
        <f t="shared" si="4"/>
        <v>USD12L3L7Y_Quote</v>
      </c>
      <c r="I9" s="245" t="str">
        <f t="shared" si="5"/>
        <v>USDLiborSwapForBasisCalc7Y</v>
      </c>
      <c r="J9" s="240" t="str">
        <f t="shared" si="6"/>
        <v>USDAM3L7Y_S12L3L_Quote</v>
      </c>
      <c r="K9" s="240" t="str">
        <f>_xll.qlForwardSwapQuote(J9,I9,H9,E9,Permanent,Trigger,ObjectOverwrite)</f>
        <v>USDAM3L7Y_S12L3L_Quote#0000</v>
      </c>
      <c r="L9" s="241" t="str">
        <f>_xll.ohRangeRetrieveError(K9)</f>
        <v/>
      </c>
      <c r="M9" s="222"/>
    </row>
    <row r="10" spans="1:20" x14ac:dyDescent="0.2">
      <c r="A10" s="227"/>
      <c r="B10" s="235" t="s">
        <v>123</v>
      </c>
      <c r="C10" s="236" t="str">
        <f t="shared" si="0"/>
        <v>AM</v>
      </c>
      <c r="D10" s="236" t="str">
        <f t="shared" si="1"/>
        <v>3L</v>
      </c>
      <c r="E10" s="236" t="str">
        <f t="shared" si="7"/>
        <v>0D</v>
      </c>
      <c r="F10" s="236" t="str">
        <f t="shared" si="2"/>
        <v>12L</v>
      </c>
      <c r="G10" s="236" t="str">
        <f t="shared" si="3"/>
        <v>3L</v>
      </c>
      <c r="H10" s="238" t="str">
        <f t="shared" si="4"/>
        <v>USD12L3L8Y_Quote</v>
      </c>
      <c r="I10" s="245" t="str">
        <f t="shared" si="5"/>
        <v>USDLiborSwapForBasisCalc8Y</v>
      </c>
      <c r="J10" s="240" t="str">
        <f t="shared" si="6"/>
        <v>USDAM3L8Y_S12L3L_Quote</v>
      </c>
      <c r="K10" s="240" t="str">
        <f>_xll.qlForwardSwapQuote(J10,I10,H10,E10,Permanent,Trigger,ObjectOverwrite)</f>
        <v>USDAM3L8Y_S12L3L_Quote#0000</v>
      </c>
      <c r="L10" s="241" t="str">
        <f>_xll.ohRangeRetrieveError(K10)</f>
        <v/>
      </c>
      <c r="M10" s="222"/>
    </row>
    <row r="11" spans="1:20" x14ac:dyDescent="0.2">
      <c r="A11" s="227"/>
      <c r="B11" s="235" t="s">
        <v>124</v>
      </c>
      <c r="C11" s="236" t="str">
        <f t="shared" si="0"/>
        <v>AM</v>
      </c>
      <c r="D11" s="236" t="str">
        <f t="shared" si="1"/>
        <v>3L</v>
      </c>
      <c r="E11" s="236" t="str">
        <f t="shared" si="7"/>
        <v>0D</v>
      </c>
      <c r="F11" s="236" t="str">
        <f t="shared" si="2"/>
        <v>12L</v>
      </c>
      <c r="G11" s="236" t="str">
        <f t="shared" si="3"/>
        <v>3L</v>
      </c>
      <c r="H11" s="238" t="str">
        <f t="shared" si="4"/>
        <v>USD12L3L9Y_Quote</v>
      </c>
      <c r="I11" s="245" t="str">
        <f t="shared" si="5"/>
        <v>USDLiborSwapForBasisCalc9Y</v>
      </c>
      <c r="J11" s="240" t="str">
        <f t="shared" si="6"/>
        <v>USDAM3L9Y_S12L3L_Quote</v>
      </c>
      <c r="K11" s="240" t="str">
        <f>_xll.qlForwardSwapQuote(J11,I11,H11,E11,Permanent,Trigger,ObjectOverwrite)</f>
        <v>USDAM3L9Y_S12L3L_Quote#0000</v>
      </c>
      <c r="L11" s="241" t="str">
        <f>_xll.ohRangeRetrieveError(K11)</f>
        <v/>
      </c>
      <c r="M11" s="222"/>
    </row>
    <row r="12" spans="1:20" x14ac:dyDescent="0.2">
      <c r="A12" s="227"/>
      <c r="B12" s="235" t="s">
        <v>125</v>
      </c>
      <c r="C12" s="236" t="str">
        <f t="shared" si="0"/>
        <v>AM</v>
      </c>
      <c r="D12" s="236" t="str">
        <f t="shared" si="1"/>
        <v>3L</v>
      </c>
      <c r="E12" s="236" t="str">
        <f t="shared" si="7"/>
        <v>0D</v>
      </c>
      <c r="F12" s="236" t="str">
        <f t="shared" si="2"/>
        <v>12L</v>
      </c>
      <c r="G12" s="236" t="str">
        <f t="shared" si="3"/>
        <v>3L</v>
      </c>
      <c r="H12" s="238" t="str">
        <f t="shared" si="4"/>
        <v>USD12L3L10Y_Quote</v>
      </c>
      <c r="I12" s="245" t="str">
        <f t="shared" si="5"/>
        <v>USDLiborSwapForBasisCalc10Y</v>
      </c>
      <c r="J12" s="240" t="str">
        <f t="shared" si="6"/>
        <v>USDAM3L10Y_S12L3L_Quote</v>
      </c>
      <c r="K12" s="240" t="str">
        <f>_xll.qlForwardSwapQuote(J12,I12,H12,E12,Permanent,Trigger,ObjectOverwrite)</f>
        <v>USDAM3L10Y_S12L3L_Quote#0000</v>
      </c>
      <c r="L12" s="241" t="str">
        <f>_xll.ohRangeRetrieveError(K12)</f>
        <v/>
      </c>
      <c r="M12" s="222"/>
    </row>
    <row r="13" spans="1:20" x14ac:dyDescent="0.2">
      <c r="A13" s="227"/>
      <c r="B13" s="235" t="s">
        <v>126</v>
      </c>
      <c r="C13" s="236" t="str">
        <f t="shared" si="0"/>
        <v>AM</v>
      </c>
      <c r="D13" s="236" t="str">
        <f t="shared" si="1"/>
        <v>3L</v>
      </c>
      <c r="E13" s="236" t="str">
        <f t="shared" si="7"/>
        <v>0D</v>
      </c>
      <c r="F13" s="236" t="str">
        <f t="shared" si="2"/>
        <v>12L</v>
      </c>
      <c r="G13" s="236" t="str">
        <f t="shared" si="3"/>
        <v>3L</v>
      </c>
      <c r="H13" s="238" t="str">
        <f t="shared" si="4"/>
        <v>USD12L3L11Y_Quote</v>
      </c>
      <c r="I13" s="245" t="str">
        <f t="shared" si="5"/>
        <v>USDLiborSwapForBasisCalc11Y</v>
      </c>
      <c r="J13" s="240" t="str">
        <f t="shared" si="6"/>
        <v>USDAM3L11Y_S12L3L_Quote</v>
      </c>
      <c r="K13" s="240" t="str">
        <f>_xll.qlForwardSwapQuote(J13,I13,H13,E13,Permanent,Trigger,ObjectOverwrite)</f>
        <v>USDAM3L11Y_S12L3L_Quote#0000</v>
      </c>
      <c r="L13" s="241" t="str">
        <f>_xll.ohRangeRetrieveError(K13)</f>
        <v/>
      </c>
      <c r="M13" s="222"/>
    </row>
    <row r="14" spans="1:20" x14ac:dyDescent="0.2">
      <c r="A14" s="227"/>
      <c r="B14" s="235" t="s">
        <v>127</v>
      </c>
      <c r="C14" s="236" t="str">
        <f t="shared" si="0"/>
        <v>AM</v>
      </c>
      <c r="D14" s="236" t="str">
        <f t="shared" si="1"/>
        <v>3L</v>
      </c>
      <c r="E14" s="236" t="str">
        <f t="shared" si="7"/>
        <v>0D</v>
      </c>
      <c r="F14" s="236" t="str">
        <f t="shared" si="2"/>
        <v>12L</v>
      </c>
      <c r="G14" s="236" t="str">
        <f t="shared" si="3"/>
        <v>3L</v>
      </c>
      <c r="H14" s="238" t="str">
        <f t="shared" si="4"/>
        <v>USD12L3L12Y_Quote</v>
      </c>
      <c r="I14" s="245" t="str">
        <f t="shared" si="5"/>
        <v>USDLiborSwapForBasisCalc12Y</v>
      </c>
      <c r="J14" s="240" t="str">
        <f t="shared" si="6"/>
        <v>USDAM3L12Y_S12L3L_Quote</v>
      </c>
      <c r="K14" s="240" t="str">
        <f>_xll.qlForwardSwapQuote(J14,I14,H14,E14,Permanent,Trigger,ObjectOverwrite)</f>
        <v>USDAM3L12Y_S12L3L_Quote#0000</v>
      </c>
      <c r="L14" s="241" t="str">
        <f>_xll.ohRangeRetrieveError(K14)</f>
        <v/>
      </c>
      <c r="M14" s="222"/>
    </row>
    <row r="15" spans="1:20" x14ac:dyDescent="0.2">
      <c r="A15" s="227"/>
      <c r="B15" s="235" t="s">
        <v>128</v>
      </c>
      <c r="C15" s="236" t="str">
        <f t="shared" si="0"/>
        <v>AM</v>
      </c>
      <c r="D15" s="236" t="str">
        <f t="shared" si="1"/>
        <v>3L</v>
      </c>
      <c r="E15" s="236" t="str">
        <f t="shared" si="7"/>
        <v>0D</v>
      </c>
      <c r="F15" s="236" t="str">
        <f t="shared" si="2"/>
        <v>12L</v>
      </c>
      <c r="G15" s="236" t="str">
        <f t="shared" si="3"/>
        <v>3L</v>
      </c>
      <c r="H15" s="238" t="str">
        <f t="shared" si="4"/>
        <v>USD12L3L13Y_Quote</v>
      </c>
      <c r="I15" s="245" t="str">
        <f t="shared" si="5"/>
        <v>USDLiborSwapForBasisCalc13Y</v>
      </c>
      <c r="J15" s="240" t="str">
        <f t="shared" si="6"/>
        <v>USDAM3L13Y_S12L3L_Quote</v>
      </c>
      <c r="K15" s="240" t="str">
        <f>_xll.qlForwardSwapQuote(J15,I15,H15,E15,Permanent,Trigger,ObjectOverwrite)</f>
        <v>USDAM3L13Y_S12L3L_Quote#0000</v>
      </c>
      <c r="L15" s="241" t="str">
        <f>_xll.ohRangeRetrieveError(K15)</f>
        <v/>
      </c>
      <c r="M15" s="222"/>
    </row>
    <row r="16" spans="1:20" x14ac:dyDescent="0.2">
      <c r="A16" s="227"/>
      <c r="B16" s="235" t="s">
        <v>129</v>
      </c>
      <c r="C16" s="236" t="str">
        <f t="shared" si="0"/>
        <v>AM</v>
      </c>
      <c r="D16" s="236" t="str">
        <f t="shared" si="1"/>
        <v>3L</v>
      </c>
      <c r="E16" s="236" t="str">
        <f t="shared" si="7"/>
        <v>0D</v>
      </c>
      <c r="F16" s="236" t="str">
        <f t="shared" si="2"/>
        <v>12L</v>
      </c>
      <c r="G16" s="236" t="str">
        <f t="shared" si="3"/>
        <v>3L</v>
      </c>
      <c r="H16" s="238" t="str">
        <f t="shared" si="4"/>
        <v>USD12L3L14Y_Quote</v>
      </c>
      <c r="I16" s="245" t="str">
        <f t="shared" si="5"/>
        <v>USDLiborSwapForBasisCalc14Y</v>
      </c>
      <c r="J16" s="240" t="str">
        <f t="shared" si="6"/>
        <v>USDAM3L14Y_S12L3L_Quote</v>
      </c>
      <c r="K16" s="240" t="str">
        <f>_xll.qlForwardSwapQuote(J16,I16,H16,E16,Permanent,Trigger,ObjectOverwrite)</f>
        <v>USDAM3L14Y_S12L3L_Quote#0000</v>
      </c>
      <c r="L16" s="241" t="str">
        <f>_xll.ohRangeRetrieveError(K16)</f>
        <v/>
      </c>
      <c r="M16" s="222"/>
    </row>
    <row r="17" spans="1:13" x14ac:dyDescent="0.2">
      <c r="A17" s="227"/>
      <c r="B17" s="235" t="s">
        <v>130</v>
      </c>
      <c r="C17" s="236" t="str">
        <f t="shared" si="0"/>
        <v>AM</v>
      </c>
      <c r="D17" s="236" t="str">
        <f t="shared" si="1"/>
        <v>3L</v>
      </c>
      <c r="E17" s="236" t="str">
        <f t="shared" si="7"/>
        <v>0D</v>
      </c>
      <c r="F17" s="236" t="str">
        <f t="shared" si="2"/>
        <v>12L</v>
      </c>
      <c r="G17" s="236" t="str">
        <f t="shared" si="3"/>
        <v>3L</v>
      </c>
      <c r="H17" s="238" t="str">
        <f t="shared" si="4"/>
        <v>USD12L3L15Y_Quote</v>
      </c>
      <c r="I17" s="245" t="str">
        <f t="shared" si="5"/>
        <v>USDLiborSwapForBasisCalc15Y</v>
      </c>
      <c r="J17" s="240" t="str">
        <f t="shared" si="6"/>
        <v>USDAM3L15Y_S12L3L_Quote</v>
      </c>
      <c r="K17" s="240" t="str">
        <f>_xll.qlForwardSwapQuote(J17,I17,H17,E17,Permanent,Trigger,ObjectOverwrite)</f>
        <v>USDAM3L15Y_S12L3L_Quote#0000</v>
      </c>
      <c r="L17" s="241" t="str">
        <f>_xll.ohRangeRetrieveError(K17)</f>
        <v/>
      </c>
      <c r="M17" s="222"/>
    </row>
    <row r="18" spans="1:13" x14ac:dyDescent="0.2">
      <c r="A18" s="227"/>
      <c r="B18" s="235" t="s">
        <v>131</v>
      </c>
      <c r="C18" s="236" t="str">
        <f t="shared" si="0"/>
        <v>AM</v>
      </c>
      <c r="D18" s="236" t="str">
        <f t="shared" si="1"/>
        <v>3L</v>
      </c>
      <c r="E18" s="236" t="str">
        <f t="shared" si="7"/>
        <v>0D</v>
      </c>
      <c r="F18" s="236" t="str">
        <f t="shared" si="2"/>
        <v>12L</v>
      </c>
      <c r="G18" s="236" t="str">
        <f t="shared" si="3"/>
        <v>3L</v>
      </c>
      <c r="H18" s="238" t="str">
        <f t="shared" si="4"/>
        <v>USD12L3L16Y_Quote</v>
      </c>
      <c r="I18" s="245" t="str">
        <f t="shared" si="5"/>
        <v>USDLiborSwapForBasisCalc16Y</v>
      </c>
      <c r="J18" s="240" t="str">
        <f t="shared" si="6"/>
        <v>USDAM3L16Y_S12L3L_Quote</v>
      </c>
      <c r="K18" s="240" t="str">
        <f>_xll.qlForwardSwapQuote(J18,I18,H18,E18,Permanent,Trigger,ObjectOverwrite)</f>
        <v>USDAM3L16Y_S12L3L_Quote#0000</v>
      </c>
      <c r="L18" s="241" t="str">
        <f>_xll.ohRangeRetrieveError(K18)</f>
        <v/>
      </c>
      <c r="M18" s="222"/>
    </row>
    <row r="19" spans="1:13" x14ac:dyDescent="0.2">
      <c r="A19" s="227"/>
      <c r="B19" s="235" t="s">
        <v>132</v>
      </c>
      <c r="C19" s="236" t="str">
        <f t="shared" si="0"/>
        <v>AM</v>
      </c>
      <c r="D19" s="236" t="str">
        <f t="shared" si="1"/>
        <v>3L</v>
      </c>
      <c r="E19" s="236" t="str">
        <f t="shared" si="7"/>
        <v>0D</v>
      </c>
      <c r="F19" s="236" t="str">
        <f t="shared" si="2"/>
        <v>12L</v>
      </c>
      <c r="G19" s="236" t="str">
        <f t="shared" si="3"/>
        <v>3L</v>
      </c>
      <c r="H19" s="238" t="str">
        <f t="shared" si="4"/>
        <v>USD12L3L17Y_Quote</v>
      </c>
      <c r="I19" s="245" t="str">
        <f t="shared" si="5"/>
        <v>USDLiborSwapForBasisCalc17Y</v>
      </c>
      <c r="J19" s="240" t="str">
        <f t="shared" si="6"/>
        <v>USDAM3L17Y_S12L3L_Quote</v>
      </c>
      <c r="K19" s="240" t="str">
        <f>_xll.qlForwardSwapQuote(J19,I19,H19,E19,Permanent,Trigger,ObjectOverwrite)</f>
        <v>USDAM3L17Y_S12L3L_Quote#0000</v>
      </c>
      <c r="L19" s="241" t="str">
        <f>_xll.ohRangeRetrieveError(K19)</f>
        <v/>
      </c>
      <c r="M19" s="222"/>
    </row>
    <row r="20" spans="1:13" x14ac:dyDescent="0.2">
      <c r="A20" s="227"/>
      <c r="B20" s="235" t="s">
        <v>133</v>
      </c>
      <c r="C20" s="236" t="str">
        <f t="shared" si="0"/>
        <v>AM</v>
      </c>
      <c r="D20" s="236" t="str">
        <f t="shared" si="1"/>
        <v>3L</v>
      </c>
      <c r="E20" s="236" t="str">
        <f t="shared" si="7"/>
        <v>0D</v>
      </c>
      <c r="F20" s="236" t="str">
        <f t="shared" si="2"/>
        <v>12L</v>
      </c>
      <c r="G20" s="236" t="str">
        <f t="shared" si="3"/>
        <v>3L</v>
      </c>
      <c r="H20" s="238" t="str">
        <f t="shared" si="4"/>
        <v>USD12L3L18Y_Quote</v>
      </c>
      <c r="I20" s="245" t="str">
        <f t="shared" si="5"/>
        <v>USDLiborSwapForBasisCalc18Y</v>
      </c>
      <c r="J20" s="240" t="str">
        <f t="shared" si="6"/>
        <v>USDAM3L18Y_S12L3L_Quote</v>
      </c>
      <c r="K20" s="240" t="str">
        <f>_xll.qlForwardSwapQuote(J20,I20,H20,E20,Permanent,Trigger,ObjectOverwrite)</f>
        <v>USDAM3L18Y_S12L3L_Quote#0000</v>
      </c>
      <c r="L20" s="241" t="str">
        <f>_xll.ohRangeRetrieveError(K20)</f>
        <v/>
      </c>
      <c r="M20" s="222"/>
    </row>
    <row r="21" spans="1:13" x14ac:dyDescent="0.2">
      <c r="A21" s="227"/>
      <c r="B21" s="235" t="s">
        <v>134</v>
      </c>
      <c r="C21" s="236" t="str">
        <f t="shared" si="0"/>
        <v>AM</v>
      </c>
      <c r="D21" s="236" t="str">
        <f t="shared" si="1"/>
        <v>3L</v>
      </c>
      <c r="E21" s="236" t="str">
        <f t="shared" si="7"/>
        <v>0D</v>
      </c>
      <c r="F21" s="236" t="str">
        <f t="shared" si="2"/>
        <v>12L</v>
      </c>
      <c r="G21" s="236" t="str">
        <f t="shared" si="3"/>
        <v>3L</v>
      </c>
      <c r="H21" s="238" t="str">
        <f t="shared" si="4"/>
        <v>USD12L3L19Y_Quote</v>
      </c>
      <c r="I21" s="245" t="str">
        <f t="shared" si="5"/>
        <v>USDLiborSwapForBasisCalc19Y</v>
      </c>
      <c r="J21" s="240" t="str">
        <f t="shared" si="6"/>
        <v>USDAM3L19Y_S12L3L_Quote</v>
      </c>
      <c r="K21" s="240" t="str">
        <f>_xll.qlForwardSwapQuote(J21,I21,H21,E21,Permanent,Trigger,ObjectOverwrite)</f>
        <v>USDAM3L19Y_S12L3L_Quote#0000</v>
      </c>
      <c r="L21" s="241" t="str">
        <f>_xll.ohRangeRetrieveError(K21)</f>
        <v/>
      </c>
      <c r="M21" s="222"/>
    </row>
    <row r="22" spans="1:13" x14ac:dyDescent="0.2">
      <c r="A22" s="227"/>
      <c r="B22" s="235" t="s">
        <v>135</v>
      </c>
      <c r="C22" s="236" t="str">
        <f t="shared" si="0"/>
        <v>AM</v>
      </c>
      <c r="D22" s="236" t="str">
        <f t="shared" si="1"/>
        <v>3L</v>
      </c>
      <c r="E22" s="236" t="str">
        <f t="shared" si="7"/>
        <v>0D</v>
      </c>
      <c r="F22" s="236" t="str">
        <f t="shared" si="2"/>
        <v>12L</v>
      </c>
      <c r="G22" s="236" t="str">
        <f t="shared" si="3"/>
        <v>3L</v>
      </c>
      <c r="H22" s="238" t="str">
        <f t="shared" si="4"/>
        <v>USD12L3L20Y_Quote</v>
      </c>
      <c r="I22" s="245" t="str">
        <f t="shared" si="5"/>
        <v>USDLiborSwapForBasisCalc20Y</v>
      </c>
      <c r="J22" s="240" t="str">
        <f t="shared" si="6"/>
        <v>USDAM3L20Y_S12L3L_Quote</v>
      </c>
      <c r="K22" s="240" t="str">
        <f>_xll.qlForwardSwapQuote(J22,I22,H22,E22,Permanent,Trigger,ObjectOverwrite)</f>
        <v>USDAM3L20Y_S12L3L_Quote#0000</v>
      </c>
      <c r="L22" s="241" t="str">
        <f>_xll.ohRangeRetrieveError(K22)</f>
        <v/>
      </c>
      <c r="M22" s="222"/>
    </row>
    <row r="23" spans="1:13" x14ac:dyDescent="0.2">
      <c r="A23" s="227"/>
      <c r="B23" s="235" t="s">
        <v>136</v>
      </c>
      <c r="C23" s="236" t="str">
        <f t="shared" si="0"/>
        <v>AM</v>
      </c>
      <c r="D23" s="236" t="str">
        <f t="shared" si="1"/>
        <v>3L</v>
      </c>
      <c r="E23" s="236" t="str">
        <f t="shared" si="7"/>
        <v>0D</v>
      </c>
      <c r="F23" s="236" t="str">
        <f t="shared" si="2"/>
        <v>12L</v>
      </c>
      <c r="G23" s="236" t="str">
        <f t="shared" si="3"/>
        <v>3L</v>
      </c>
      <c r="H23" s="238" t="str">
        <f t="shared" si="4"/>
        <v>USD12L3L21Y_Quote</v>
      </c>
      <c r="I23" s="245" t="str">
        <f t="shared" si="5"/>
        <v>USDLiborSwapForBasisCalc21Y</v>
      </c>
      <c r="J23" s="240" t="str">
        <f t="shared" si="6"/>
        <v>USDAM3L21Y_S12L3L_Quote</v>
      </c>
      <c r="K23" s="240" t="str">
        <f>_xll.qlForwardSwapQuote(J23,I23,H23,E23,Permanent,Trigger,ObjectOverwrite)</f>
        <v>USDAM3L21Y_S12L3L_Quote#0000</v>
      </c>
      <c r="L23" s="241" t="str">
        <f>_xll.ohRangeRetrieveError(K23)</f>
        <v/>
      </c>
      <c r="M23" s="222"/>
    </row>
    <row r="24" spans="1:13" x14ac:dyDescent="0.2">
      <c r="A24" s="227"/>
      <c r="B24" s="235" t="s">
        <v>137</v>
      </c>
      <c r="C24" s="236" t="str">
        <f t="shared" si="0"/>
        <v>AM</v>
      </c>
      <c r="D24" s="236" t="str">
        <f t="shared" si="1"/>
        <v>3L</v>
      </c>
      <c r="E24" s="236" t="str">
        <f t="shared" si="7"/>
        <v>0D</v>
      </c>
      <c r="F24" s="236" t="str">
        <f t="shared" si="2"/>
        <v>12L</v>
      </c>
      <c r="G24" s="236" t="str">
        <f t="shared" si="3"/>
        <v>3L</v>
      </c>
      <c r="H24" s="238" t="str">
        <f t="shared" si="4"/>
        <v>USD12L3L22Y_Quote</v>
      </c>
      <c r="I24" s="245" t="str">
        <f t="shared" si="5"/>
        <v>USDLiborSwapForBasisCalc22Y</v>
      </c>
      <c r="J24" s="240" t="str">
        <f t="shared" si="6"/>
        <v>USDAM3L22Y_S12L3L_Quote</v>
      </c>
      <c r="K24" s="240" t="str">
        <f>_xll.qlForwardSwapQuote(J24,I24,H24,E24,Permanent,Trigger,ObjectOverwrite)</f>
        <v>USDAM3L22Y_S12L3L_Quote#0000</v>
      </c>
      <c r="L24" s="241" t="str">
        <f>_xll.ohRangeRetrieveError(K24)</f>
        <v/>
      </c>
      <c r="M24" s="222"/>
    </row>
    <row r="25" spans="1:13" x14ac:dyDescent="0.2">
      <c r="A25" s="227"/>
      <c r="B25" s="235" t="s">
        <v>138</v>
      </c>
      <c r="C25" s="236" t="str">
        <f t="shared" si="0"/>
        <v>AM</v>
      </c>
      <c r="D25" s="236" t="str">
        <f t="shared" si="1"/>
        <v>3L</v>
      </c>
      <c r="E25" s="236" t="str">
        <f t="shared" si="7"/>
        <v>0D</v>
      </c>
      <c r="F25" s="236" t="str">
        <f t="shared" si="2"/>
        <v>12L</v>
      </c>
      <c r="G25" s="236" t="str">
        <f t="shared" si="3"/>
        <v>3L</v>
      </c>
      <c r="H25" s="238" t="str">
        <f t="shared" si="4"/>
        <v>USD12L3L23Y_Quote</v>
      </c>
      <c r="I25" s="245" t="str">
        <f t="shared" si="5"/>
        <v>USDLiborSwapForBasisCalc23Y</v>
      </c>
      <c r="J25" s="240" t="str">
        <f t="shared" si="6"/>
        <v>USDAM3L23Y_S12L3L_Quote</v>
      </c>
      <c r="K25" s="240" t="str">
        <f>_xll.qlForwardSwapQuote(J25,I25,H25,E25,Permanent,Trigger,ObjectOverwrite)</f>
        <v>USDAM3L23Y_S12L3L_Quote#0000</v>
      </c>
      <c r="L25" s="241" t="str">
        <f>_xll.ohRangeRetrieveError(K25)</f>
        <v/>
      </c>
      <c r="M25" s="222"/>
    </row>
    <row r="26" spans="1:13" x14ac:dyDescent="0.2">
      <c r="A26" s="227"/>
      <c r="B26" s="235" t="s">
        <v>139</v>
      </c>
      <c r="C26" s="236" t="str">
        <f t="shared" si="0"/>
        <v>AM</v>
      </c>
      <c r="D26" s="236" t="str">
        <f t="shared" si="1"/>
        <v>3L</v>
      </c>
      <c r="E26" s="236" t="str">
        <f t="shared" si="7"/>
        <v>0D</v>
      </c>
      <c r="F26" s="236" t="str">
        <f t="shared" si="2"/>
        <v>12L</v>
      </c>
      <c r="G26" s="236" t="str">
        <f t="shared" si="3"/>
        <v>3L</v>
      </c>
      <c r="H26" s="238" t="str">
        <f t="shared" si="4"/>
        <v>USD12L3L24Y_Quote</v>
      </c>
      <c r="I26" s="245" t="str">
        <f t="shared" si="5"/>
        <v>USDLiborSwapForBasisCalc24Y</v>
      </c>
      <c r="J26" s="240" t="str">
        <f t="shared" si="6"/>
        <v>USDAM3L24Y_S12L3L_Quote</v>
      </c>
      <c r="K26" s="240" t="str">
        <f>_xll.qlForwardSwapQuote(J26,I26,H26,E26,Permanent,Trigger,ObjectOverwrite)</f>
        <v>USDAM3L24Y_S12L3L_Quote#0000</v>
      </c>
      <c r="L26" s="241" t="str">
        <f>_xll.ohRangeRetrieveError(K26)</f>
        <v/>
      </c>
      <c r="M26" s="222"/>
    </row>
    <row r="27" spans="1:13" x14ac:dyDescent="0.2">
      <c r="A27" s="227"/>
      <c r="B27" s="235" t="s">
        <v>140</v>
      </c>
      <c r="C27" s="236" t="str">
        <f t="shared" si="0"/>
        <v>AM</v>
      </c>
      <c r="D27" s="236" t="str">
        <f t="shared" si="1"/>
        <v>3L</v>
      </c>
      <c r="E27" s="236" t="str">
        <f t="shared" si="7"/>
        <v>0D</v>
      </c>
      <c r="F27" s="236" t="str">
        <f t="shared" si="2"/>
        <v>12L</v>
      </c>
      <c r="G27" s="236" t="str">
        <f t="shared" si="3"/>
        <v>3L</v>
      </c>
      <c r="H27" s="238" t="str">
        <f t="shared" si="4"/>
        <v>USD12L3L25Y_Quote</v>
      </c>
      <c r="I27" s="245" t="str">
        <f t="shared" si="5"/>
        <v>USDLiborSwapForBasisCalc25Y</v>
      </c>
      <c r="J27" s="240" t="str">
        <f t="shared" si="6"/>
        <v>USDAM3L25Y_S12L3L_Quote</v>
      </c>
      <c r="K27" s="240" t="str">
        <f>_xll.qlForwardSwapQuote(J27,I27,H27,E27,Permanent,Trigger,ObjectOverwrite)</f>
        <v>USDAM3L25Y_S12L3L_Quote#0000</v>
      </c>
      <c r="L27" s="241" t="str">
        <f>_xll.ohRangeRetrieveError(K27)</f>
        <v/>
      </c>
      <c r="M27" s="222"/>
    </row>
    <row r="28" spans="1:13" x14ac:dyDescent="0.2">
      <c r="A28" s="227"/>
      <c r="B28" s="235" t="s">
        <v>141</v>
      </c>
      <c r="C28" s="236" t="str">
        <f t="shared" si="0"/>
        <v>AM</v>
      </c>
      <c r="D28" s="236" t="str">
        <f t="shared" si="1"/>
        <v>3L</v>
      </c>
      <c r="E28" s="236" t="str">
        <f t="shared" si="7"/>
        <v>0D</v>
      </c>
      <c r="F28" s="236" t="str">
        <f t="shared" si="2"/>
        <v>12L</v>
      </c>
      <c r="G28" s="236" t="str">
        <f t="shared" si="3"/>
        <v>3L</v>
      </c>
      <c r="H28" s="238" t="str">
        <f t="shared" si="4"/>
        <v>USD12L3L26Y_Quote</v>
      </c>
      <c r="I28" s="245" t="str">
        <f t="shared" si="5"/>
        <v>USDLiborSwapForBasisCalc26Y</v>
      </c>
      <c r="J28" s="240" t="str">
        <f t="shared" si="6"/>
        <v>USDAM3L26Y_S12L3L_Quote</v>
      </c>
      <c r="K28" s="240" t="str">
        <f>_xll.qlForwardSwapQuote(J28,I28,H28,E28,Permanent,Trigger,ObjectOverwrite)</f>
        <v>USDAM3L26Y_S12L3L_Quote#0000</v>
      </c>
      <c r="L28" s="241" t="str">
        <f>_xll.ohRangeRetrieveError(K28)</f>
        <v/>
      </c>
      <c r="M28" s="222"/>
    </row>
    <row r="29" spans="1:13" x14ac:dyDescent="0.2">
      <c r="A29" s="227"/>
      <c r="B29" s="235" t="s">
        <v>142</v>
      </c>
      <c r="C29" s="236" t="str">
        <f t="shared" si="0"/>
        <v>AM</v>
      </c>
      <c r="D29" s="236" t="str">
        <f t="shared" si="1"/>
        <v>3L</v>
      </c>
      <c r="E29" s="236" t="str">
        <f t="shared" si="7"/>
        <v>0D</v>
      </c>
      <c r="F29" s="236" t="str">
        <f t="shared" si="2"/>
        <v>12L</v>
      </c>
      <c r="G29" s="236" t="str">
        <f t="shared" si="3"/>
        <v>3L</v>
      </c>
      <c r="H29" s="238" t="str">
        <f t="shared" si="4"/>
        <v>USD12L3L27Y_Quote</v>
      </c>
      <c r="I29" s="245" t="str">
        <f t="shared" si="5"/>
        <v>USDLiborSwapForBasisCalc27Y</v>
      </c>
      <c r="J29" s="240" t="str">
        <f t="shared" si="6"/>
        <v>USDAM3L27Y_S12L3L_Quote</v>
      </c>
      <c r="K29" s="240" t="str">
        <f>_xll.qlForwardSwapQuote(J29,I29,H29,E29,Permanent,Trigger,ObjectOverwrite)</f>
        <v>USDAM3L27Y_S12L3L_Quote#0000</v>
      </c>
      <c r="L29" s="241" t="str">
        <f>_xll.ohRangeRetrieveError(K29)</f>
        <v/>
      </c>
      <c r="M29" s="222"/>
    </row>
    <row r="30" spans="1:13" x14ac:dyDescent="0.2">
      <c r="A30" s="227"/>
      <c r="B30" s="235" t="s">
        <v>143</v>
      </c>
      <c r="C30" s="236" t="str">
        <f t="shared" si="0"/>
        <v>AM</v>
      </c>
      <c r="D30" s="236" t="str">
        <f t="shared" si="1"/>
        <v>3L</v>
      </c>
      <c r="E30" s="236" t="str">
        <f t="shared" si="7"/>
        <v>0D</v>
      </c>
      <c r="F30" s="236" t="str">
        <f t="shared" si="2"/>
        <v>12L</v>
      </c>
      <c r="G30" s="236" t="str">
        <f t="shared" si="3"/>
        <v>3L</v>
      </c>
      <c r="H30" s="238" t="str">
        <f t="shared" si="4"/>
        <v>USD12L3L28Y_Quote</v>
      </c>
      <c r="I30" s="245" t="str">
        <f t="shared" si="5"/>
        <v>USDLiborSwapForBasisCalc28Y</v>
      </c>
      <c r="J30" s="240" t="str">
        <f t="shared" si="6"/>
        <v>USDAM3L28Y_S12L3L_Quote</v>
      </c>
      <c r="K30" s="240" t="str">
        <f>_xll.qlForwardSwapQuote(J30,I30,H30,E30,Permanent,Trigger,ObjectOverwrite)</f>
        <v>USDAM3L28Y_S12L3L_Quote#0000</v>
      </c>
      <c r="L30" s="241" t="str">
        <f>_xll.ohRangeRetrieveError(K30)</f>
        <v/>
      </c>
      <c r="M30" s="222"/>
    </row>
    <row r="31" spans="1:13" x14ac:dyDescent="0.2">
      <c r="A31" s="227"/>
      <c r="B31" s="235" t="s">
        <v>144</v>
      </c>
      <c r="C31" s="236" t="str">
        <f t="shared" si="0"/>
        <v>AM</v>
      </c>
      <c r="D31" s="236" t="str">
        <f t="shared" si="1"/>
        <v>3L</v>
      </c>
      <c r="E31" s="236" t="str">
        <f t="shared" si="7"/>
        <v>0D</v>
      </c>
      <c r="F31" s="236" t="str">
        <f t="shared" si="2"/>
        <v>12L</v>
      </c>
      <c r="G31" s="236" t="str">
        <f t="shared" si="3"/>
        <v>3L</v>
      </c>
      <c r="H31" s="238" t="str">
        <f t="shared" si="4"/>
        <v>USD12L3L29Y_Quote</v>
      </c>
      <c r="I31" s="245" t="str">
        <f t="shared" si="5"/>
        <v>USDLiborSwapForBasisCalc29Y</v>
      </c>
      <c r="J31" s="240" t="str">
        <f t="shared" si="6"/>
        <v>USDAM3L29Y_S12L3L_Quote</v>
      </c>
      <c r="K31" s="240" t="str">
        <f>_xll.qlForwardSwapQuote(J31,I31,H31,E31,Permanent,Trigger,ObjectOverwrite)</f>
        <v>USDAM3L29Y_S12L3L_Quote#0000</v>
      </c>
      <c r="L31" s="241" t="str">
        <f>_xll.ohRangeRetrieveError(K31)</f>
        <v/>
      </c>
      <c r="M31" s="222"/>
    </row>
    <row r="32" spans="1:13" x14ac:dyDescent="0.2">
      <c r="A32" s="227"/>
      <c r="B32" s="235" t="s">
        <v>145</v>
      </c>
      <c r="C32" s="236" t="str">
        <f t="shared" si="0"/>
        <v>AM</v>
      </c>
      <c r="D32" s="236" t="str">
        <f t="shared" si="1"/>
        <v>3L</v>
      </c>
      <c r="E32" s="236" t="str">
        <f t="shared" si="7"/>
        <v>0D</v>
      </c>
      <c r="F32" s="236" t="str">
        <f t="shared" si="2"/>
        <v>12L</v>
      </c>
      <c r="G32" s="236" t="str">
        <f t="shared" si="3"/>
        <v>3L</v>
      </c>
      <c r="H32" s="238" t="str">
        <f t="shared" si="4"/>
        <v>USD12L3L30Y_Quote</v>
      </c>
      <c r="I32" s="245" t="str">
        <f t="shared" si="5"/>
        <v>USDLiborSwapForBasisCalc30Y</v>
      </c>
      <c r="J32" s="240" t="str">
        <f t="shared" si="6"/>
        <v>USDAM3L30Y_S12L3L_Quote</v>
      </c>
      <c r="K32" s="240" t="str">
        <f>_xll.qlForwardSwapQuote(J32,I32,H32,E32,Permanent,Trigger,ObjectOverwrite)</f>
        <v>USDAM3L30Y_S12L3L_Quote#0000</v>
      </c>
      <c r="L32" s="241" t="str">
        <f>_xll.ohRangeRetrieveError(K32)</f>
        <v/>
      </c>
      <c r="M32" s="222"/>
    </row>
    <row r="33" spans="1:13" x14ac:dyDescent="0.2">
      <c r="A33" s="227"/>
      <c r="B33" s="235" t="s">
        <v>146</v>
      </c>
      <c r="C33" s="236" t="str">
        <f t="shared" si="0"/>
        <v>AM</v>
      </c>
      <c r="D33" s="236" t="str">
        <f t="shared" si="1"/>
        <v>3L</v>
      </c>
      <c r="E33" s="236" t="str">
        <f t="shared" si="7"/>
        <v>0D</v>
      </c>
      <c r="F33" s="236" t="str">
        <f t="shared" si="2"/>
        <v>12L</v>
      </c>
      <c r="G33" s="236" t="str">
        <f t="shared" si="3"/>
        <v>3L</v>
      </c>
      <c r="H33" s="238" t="str">
        <f t="shared" si="4"/>
        <v>USD12L3L35Y_Quote</v>
      </c>
      <c r="I33" s="245" t="str">
        <f t="shared" si="5"/>
        <v>USDLiborSwapForBasisCalc35Y</v>
      </c>
      <c r="J33" s="240" t="str">
        <f t="shared" si="6"/>
        <v>USDAM3L35Y_S12L3L_Quote</v>
      </c>
      <c r="K33" s="240" t="str">
        <f>_xll.qlForwardSwapQuote(J33,I33,H33,E33,Permanent,Trigger,ObjectOverwrite)</f>
        <v>USDAM3L35Y_S12L3L_Quote#0000</v>
      </c>
      <c r="L33" s="241" t="str">
        <f>_xll.ohRangeRetrieveError(K33)</f>
        <v/>
      </c>
      <c r="M33" s="222"/>
    </row>
    <row r="34" spans="1:13" x14ac:dyDescent="0.2">
      <c r="A34" s="227"/>
      <c r="B34" s="235" t="s">
        <v>147</v>
      </c>
      <c r="C34" s="236" t="str">
        <f t="shared" si="0"/>
        <v>AM</v>
      </c>
      <c r="D34" s="236" t="str">
        <f t="shared" si="1"/>
        <v>3L</v>
      </c>
      <c r="E34" s="236" t="str">
        <f t="shared" si="7"/>
        <v>0D</v>
      </c>
      <c r="F34" s="236" t="str">
        <f t="shared" si="2"/>
        <v>12L</v>
      </c>
      <c r="G34" s="236" t="str">
        <f t="shared" si="3"/>
        <v>3L</v>
      </c>
      <c r="H34" s="238" t="str">
        <f t="shared" si="4"/>
        <v>USD12L3L40Y_Quote</v>
      </c>
      <c r="I34" s="245" t="str">
        <f t="shared" si="5"/>
        <v>USDLiborSwapForBasisCalc40Y</v>
      </c>
      <c r="J34" s="240" t="str">
        <f t="shared" si="6"/>
        <v>USDAM3L40Y_S12L3L_Quote</v>
      </c>
      <c r="K34" s="240" t="str">
        <f>_xll.qlForwardSwapQuote(J34,I34,H34,E34,Permanent,Trigger,ObjectOverwrite)</f>
        <v>USDAM3L40Y_S12L3L_Quote#0000</v>
      </c>
      <c r="L34" s="241" t="str">
        <f>_xll.ohRangeRetrieveError(K34)</f>
        <v/>
      </c>
      <c r="M34" s="222"/>
    </row>
    <row r="35" spans="1:13" x14ac:dyDescent="0.2">
      <c r="A35" s="227"/>
      <c r="B35" s="235" t="s">
        <v>148</v>
      </c>
      <c r="C35" s="236" t="str">
        <f t="shared" si="0"/>
        <v>AM</v>
      </c>
      <c r="D35" s="236" t="str">
        <f t="shared" si="1"/>
        <v>3L</v>
      </c>
      <c r="E35" s="236" t="str">
        <f t="shared" si="7"/>
        <v>0D</v>
      </c>
      <c r="F35" s="236" t="str">
        <f t="shared" si="2"/>
        <v>12L</v>
      </c>
      <c r="G35" s="236" t="str">
        <f t="shared" si="3"/>
        <v>3L</v>
      </c>
      <c r="H35" s="238" t="str">
        <f t="shared" si="4"/>
        <v>USD12L3L50Y_Quote</v>
      </c>
      <c r="I35" s="245" t="str">
        <f t="shared" si="5"/>
        <v>USDLiborSwapForBasisCalc50Y</v>
      </c>
      <c r="J35" s="240" t="str">
        <f t="shared" si="6"/>
        <v>USDAM3L50Y_S12L3L_Quote</v>
      </c>
      <c r="K35" s="240" t="str">
        <f>_xll.qlForwardSwapQuote(J35,I35,H35,E35,Permanent,Trigger,ObjectOverwrite)</f>
        <v>USDAM3L50Y_S12L3L_Quote#0000</v>
      </c>
      <c r="L35" s="241" t="str">
        <f>_xll.ohRangeRetrieveError(K35)</f>
        <v/>
      </c>
      <c r="M35" s="222"/>
    </row>
    <row r="36" spans="1:13" x14ac:dyDescent="0.2">
      <c r="A36" s="227"/>
      <c r="B36" s="235" t="s">
        <v>149</v>
      </c>
      <c r="C36" s="236" t="str">
        <f t="shared" si="0"/>
        <v>AM</v>
      </c>
      <c r="D36" s="236" t="str">
        <f t="shared" si="1"/>
        <v>3L</v>
      </c>
      <c r="E36" s="236" t="str">
        <f t="shared" si="7"/>
        <v>0D</v>
      </c>
      <c r="F36" s="236" t="str">
        <f t="shared" si="2"/>
        <v>12L</v>
      </c>
      <c r="G36" s="236" t="str">
        <f t="shared" si="3"/>
        <v>3L</v>
      </c>
      <c r="H36" s="238" t="str">
        <f t="shared" si="4"/>
        <v>USD12L3L60Y_Quote</v>
      </c>
      <c r="I36" s="245" t="str">
        <f t="shared" si="5"/>
        <v>USDLiborSwapForBasisCalc60Y</v>
      </c>
      <c r="J36" s="240" t="str">
        <f t="shared" si="6"/>
        <v>USDAM3L60Y_S12L3L_Quote</v>
      </c>
      <c r="K36" s="240" t="str">
        <f>_xll.qlForwardSwapQuote(J36,I36,H36,E36,Permanent,Trigger,ObjectOverwrite)</f>
        <v>USDAM3L60Y_S12L3L_Quote#0000</v>
      </c>
      <c r="L36" s="241" t="str">
        <f>_xll.ohRangeRetrieveError(K36)</f>
        <v/>
      </c>
      <c r="M36" s="222"/>
    </row>
    <row r="37" spans="1:13" ht="12" thickBot="1" x14ac:dyDescent="0.25">
      <c r="A37" s="249"/>
      <c r="B37" s="250"/>
      <c r="C37" s="250"/>
      <c r="D37" s="250"/>
      <c r="E37" s="250"/>
      <c r="F37" s="250"/>
      <c r="G37" s="250"/>
      <c r="H37" s="250"/>
      <c r="I37" s="250"/>
      <c r="J37" s="250"/>
      <c r="K37" s="251"/>
      <c r="L37" s="251"/>
      <c r="M37" s="25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54</vt:i4>
      </vt:variant>
    </vt:vector>
  </HeadingPairs>
  <TitlesOfParts>
    <vt:vector size="62" baseType="lpstr">
      <vt:lpstr>General Settings</vt:lpstr>
      <vt:lpstr>Depo_Calculation</vt:lpstr>
      <vt:lpstr>FRA_RateHelpers</vt:lpstr>
      <vt:lpstr>6M_FRA_Calculation</vt:lpstr>
      <vt:lpstr>1Y_FRA_Calculation</vt:lpstr>
      <vt:lpstr>Contribution</vt:lpstr>
      <vt:lpstr>6M_LiborSwapForBasisCalc</vt:lpstr>
      <vt:lpstr>1Y_LiborSwapForBasisCalc</vt:lpstr>
      <vt:lpstr>Accuracy</vt:lpstr>
      <vt:lpstr>AllTriggers</vt:lpstr>
      <vt:lpstr>BasisInterpolation</vt:lpstr>
      <vt:lpstr>BasisInterpolator1Y</vt:lpstr>
      <vt:lpstr>BasisInterpolator6M</vt:lpstr>
      <vt:lpstr>Calendar</vt:lpstr>
      <vt:lpstr>Currency</vt:lpstr>
      <vt:lpstr>DayCounter</vt:lpstr>
      <vt:lpstr>EvaluationDate</vt:lpstr>
      <vt:lpstr>FamilyName</vt:lpstr>
      <vt:lpstr>FileOverwrite</vt:lpstr>
      <vt:lpstr>HolidayCheck</vt:lpstr>
      <vt:lpstr>IborIndex1Y</vt:lpstr>
      <vt:lpstr>IborIndex6M</vt:lpstr>
      <vt:lpstr>IborTenor1Y</vt:lpstr>
      <vt:lpstr>IborTenor6M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Tenor1Y</vt:lpstr>
      <vt:lpstr>Contribution!Tenor3M</vt:lpstr>
      <vt:lpstr>Contribution!Tenor6M</vt:lpstr>
      <vt:lpstr>Tenor6M</vt:lpstr>
      <vt:lpstr>TraitsID</vt:lpstr>
      <vt:lpstr>Trigger</vt:lpstr>
      <vt:lpstr>YieldCurve1Y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2008-10-02T09:42:40Z</cp:lastPrinted>
  <dcterms:created xsi:type="dcterms:W3CDTF">2007-10-30T15:41:10Z</dcterms:created>
  <dcterms:modified xsi:type="dcterms:W3CDTF">2014-08-07T15:43:18Z</dcterms:modified>
</cp:coreProperties>
</file>