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1535"/>
  </bookViews>
  <sheets>
    <sheet name="GeneralSettings" sheetId="1" r:id="rId1"/>
    <sheet name="JPYON" sheetId="14" r:id="rId2"/>
    <sheet name="JPY3M" sheetId="15" r:id="rId3"/>
    <sheet name="JPY6M" sheetId="16" r:id="rId4"/>
  </sheets>
  <externalReferences>
    <externalReference r:id="rId5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HolidayCheck">GeneralSettings!$I$11</definedName>
    <definedName name="IncludeFlag" localSheetId="2">JPY3M!$P$3:$P$79</definedName>
    <definedName name="IncludeFlag" localSheetId="3">JPY6M!$P$3:$P$58</definedName>
    <definedName name="IncludeFlag" localSheetId="1">JPYON!$L$3:$L$59</definedName>
    <definedName name="JoinCalendar">GeneralSettings!$I$10</definedName>
    <definedName name="JumpDates_3M">JPY3M!$AF$11:$AF$23</definedName>
    <definedName name="JumpDates_6M">JPY6M!$AF$11:$AF$23</definedName>
    <definedName name="JumpDates_ON">JPYON!$AB$11:$AB$23</definedName>
    <definedName name="JumpQuotes_3M">JPY3M!$AL$11:$AL$23</definedName>
    <definedName name="JumpQuotes_6M">JPY6M!$AL$11:$AL$23</definedName>
    <definedName name="JumpQuotes_ON">JPYON!$AH$11:$AH$23</definedName>
    <definedName name="JumpSuffix">GeneralSettings!$D$10</definedName>
    <definedName name="LiborCalendar">GeneralSettings!$I$8</definedName>
    <definedName name="LiborFixingDate">GeneralSettings!$I$5</definedName>
    <definedName name="LiborSettlementDate">GeneralSettings!$I$6</definedName>
    <definedName name="LocalCalendar">GeneralSettings!$I$9</definedName>
    <definedName name="MinDistance" localSheetId="2">JPY3M!$R$3:$R$79</definedName>
    <definedName name="MinDistance" localSheetId="3">JPY6M!$R$3:$R$58</definedName>
    <definedName name="MinDistance" localSheetId="1">JPYON!$N$3:$N$59</definedName>
    <definedName name="ObjectOverwrite">GeneralSettings!$D$6</definedName>
    <definedName name="Permanent">GeneralSettings!$D$4</definedName>
    <definedName name="PillarDate">GeneralSettings!$D$11</definedName>
    <definedName name="Priority" localSheetId="2">JPY3M!$Q$3:$Q$79</definedName>
    <definedName name="Priority" localSheetId="3">JPY6M!$Q$3:$Q$58</definedName>
    <definedName name="Priority" localSheetId="1">JPYON!$M$3:$M$59</definedName>
    <definedName name="QuoteSuffix">GeneralSettings!$D$9</definedName>
    <definedName name="RateHelpers" localSheetId="2">JPY3M!$M$3:$M$79</definedName>
    <definedName name="RateHelpers" localSheetId="3">JPY6M!$M$3:$M$58</definedName>
    <definedName name="RateHelpers" localSheetId="1">JPYON!$I$3:$I$59</definedName>
    <definedName name="Settlementdate">GeneralSettings!$I$4</definedName>
    <definedName name="SwapForwardStart">GeneralSettings!$I$11</definedName>
    <definedName name="Tenor" localSheetId="2">JPY3M!$G$1</definedName>
    <definedName name="Tenor" localSheetId="3">JPY6M!$G$1</definedName>
    <definedName name="Tenor" localSheetId="1">JPYON!$D$1</definedName>
    <definedName name="Trigger">GeneralSettings!$D$5</definedName>
    <definedName name="YieldCurve_3M">GeneralSettings!$I$15</definedName>
    <definedName name="YieldCurve_6M">GeneralSettings!$D$30</definedName>
    <definedName name="YieldCurve_ON">GeneralSettings!$D$15</definedName>
  </definedNames>
  <calcPr calcId="145621"/>
</workbook>
</file>

<file path=xl/calcChain.xml><?xml version="1.0" encoding="utf-8"?>
<calcChain xmlns="http://schemas.openxmlformats.org/spreadsheetml/2006/main">
  <c r="C40" i="1" l="1"/>
  <c r="H25" i="1"/>
  <c r="C25" i="1"/>
  <c r="I3" i="1"/>
  <c r="I5" i="1"/>
  <c r="I4" i="1"/>
  <c r="AC23" i="14" l="1"/>
  <c r="AC22" i="14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AH23" i="14"/>
  <c r="AH22" i="14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AG12" i="16"/>
  <c r="AL12" i="16" s="1"/>
  <c r="AG13" i="16"/>
  <c r="AL13" i="16" s="1"/>
  <c r="AG14" i="16"/>
  <c r="AL14" i="16" s="1"/>
  <c r="AG15" i="16"/>
  <c r="AL15" i="16" s="1"/>
  <c r="AG16" i="16"/>
  <c r="AL16" i="16" s="1"/>
  <c r="AG17" i="16"/>
  <c r="AL17" i="16" s="1"/>
  <c r="AG18" i="16"/>
  <c r="AL18" i="16" s="1"/>
  <c r="AG19" i="16"/>
  <c r="AL19" i="16" s="1"/>
  <c r="AG20" i="16"/>
  <c r="AL20" i="16" s="1"/>
  <c r="AG21" i="16"/>
  <c r="AL21" i="16" s="1"/>
  <c r="AG22" i="16"/>
  <c r="AL22" i="16" s="1"/>
  <c r="AG23" i="16"/>
  <c r="AL23" i="16" s="1"/>
  <c r="AG11" i="16"/>
  <c r="AL11" i="16" s="1"/>
  <c r="AE19" i="14"/>
  <c r="AE11" i="14"/>
  <c r="AI15" i="16"/>
  <c r="AI13" i="16"/>
  <c r="AI11" i="15"/>
  <c r="AI20" i="15"/>
  <c r="AI17" i="16"/>
  <c r="AI22" i="16"/>
  <c r="AI22" i="15"/>
  <c r="AI14" i="15"/>
  <c r="AI23" i="16"/>
  <c r="AI16" i="16"/>
  <c r="AE20" i="14"/>
  <c r="AE22" i="14"/>
  <c r="AE21" i="14"/>
  <c r="AI16" i="15"/>
  <c r="AI19" i="16"/>
  <c r="AI21" i="16"/>
  <c r="AI18" i="15"/>
  <c r="AI23" i="15"/>
  <c r="AI12" i="16"/>
  <c r="AE14" i="14"/>
  <c r="AI12" i="15"/>
  <c r="AE13" i="14"/>
  <c r="AE16" i="14"/>
  <c r="AI17" i="15"/>
  <c r="AE12" i="14"/>
  <c r="AI21" i="15"/>
  <c r="AE15" i="14"/>
  <c r="AI11" i="16"/>
  <c r="AI13" i="15"/>
  <c r="AI14" i="16"/>
  <c r="AI19" i="15"/>
  <c r="AE23" i="14"/>
  <c r="AI18" i="16"/>
  <c r="AE18" i="14"/>
  <c r="AE17" i="14"/>
  <c r="AI20" i="16"/>
  <c r="AI15" i="15"/>
  <c r="L56" i="16" l="1"/>
  <c r="L57" i="16"/>
  <c r="L58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26" i="16"/>
  <c r="G60" i="16"/>
  <c r="G3" i="16"/>
  <c r="H85" i="15" l="1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49" i="15"/>
  <c r="G3" i="15"/>
  <c r="V1" i="16" l="1"/>
  <c r="C23" i="16"/>
  <c r="C22" i="16"/>
  <c r="C21" i="16"/>
  <c r="C20" i="16"/>
  <c r="C19" i="16"/>
  <c r="C18" i="16"/>
  <c r="C17" i="16"/>
  <c r="C16" i="16"/>
  <c r="C15" i="16"/>
  <c r="G62" i="16"/>
  <c r="G61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V1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C22" i="15"/>
  <c r="C21" i="15"/>
  <c r="C20" i="15"/>
  <c r="C19" i="15"/>
  <c r="C18" i="15"/>
  <c r="C17" i="15"/>
  <c r="C16" i="15"/>
  <c r="C15" i="15"/>
  <c r="C14" i="15"/>
  <c r="C13" i="15"/>
  <c r="C12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J31" i="16"/>
  <c r="J35" i="16"/>
  <c r="J38" i="16"/>
  <c r="J30" i="16"/>
  <c r="J53" i="16"/>
  <c r="J37" i="16"/>
  <c r="J36" i="16"/>
  <c r="J28" i="16"/>
  <c r="J43" i="16"/>
  <c r="J58" i="16"/>
  <c r="J34" i="16"/>
  <c r="J48" i="16"/>
  <c r="J40" i="16"/>
  <c r="J32" i="16"/>
  <c r="J33" i="16"/>
  <c r="J71" i="15"/>
  <c r="J55" i="15"/>
  <c r="J65" i="15"/>
  <c r="J54" i="15"/>
  <c r="J61" i="15"/>
  <c r="J53" i="15"/>
  <c r="J60" i="15"/>
  <c r="J57" i="15"/>
  <c r="J59" i="15"/>
  <c r="J66" i="15"/>
  <c r="J58" i="15"/>
  <c r="J56" i="15"/>
  <c r="J81" i="15"/>
  <c r="D32" i="1" l="1"/>
  <c r="I17" i="1"/>
  <c r="D17" i="1"/>
  <c r="H56" i="14" l="1"/>
  <c r="H57" i="14"/>
  <c r="H58" i="14"/>
  <c r="H59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22" i="16"/>
  <c r="L21" i="16"/>
  <c r="L14" i="16"/>
  <c r="L15" i="16"/>
  <c r="L16" i="16"/>
  <c r="L17" i="16"/>
  <c r="L18" i="16"/>
  <c r="L19" i="16"/>
  <c r="L20" i="16"/>
  <c r="L13" i="16"/>
  <c r="L10" i="16"/>
  <c r="L11" i="16"/>
  <c r="L12" i="16"/>
  <c r="H22" i="16"/>
  <c r="H23" i="16"/>
  <c r="C10" i="16"/>
  <c r="C11" i="16"/>
  <c r="C1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G5" i="16"/>
  <c r="J16" i="16"/>
  <c r="J17" i="16"/>
  <c r="J18" i="16"/>
  <c r="J19" i="16"/>
  <c r="J20" i="16"/>
  <c r="G6" i="16"/>
  <c r="G10" i="16"/>
  <c r="M21" i="16" l="1"/>
  <c r="H11" i="16"/>
  <c r="H12" i="16"/>
  <c r="H10" i="16"/>
  <c r="H4" i="16"/>
  <c r="H9" i="16"/>
  <c r="H3" i="16"/>
  <c r="H7" i="16"/>
  <c r="H6" i="16"/>
  <c r="H5" i="16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3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21" i="15"/>
  <c r="L11" i="15"/>
  <c r="L12" i="15"/>
  <c r="L13" i="15"/>
  <c r="L14" i="15"/>
  <c r="L15" i="15"/>
  <c r="L16" i="15"/>
  <c r="L17" i="15"/>
  <c r="L18" i="15"/>
  <c r="L19" i="15"/>
  <c r="L20" i="15"/>
  <c r="L10" i="15"/>
  <c r="L4" i="15"/>
  <c r="L5" i="15"/>
  <c r="L6" i="15"/>
  <c r="L7" i="15"/>
  <c r="L8" i="15"/>
  <c r="L9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12" i="15"/>
  <c r="F48" i="14"/>
  <c r="F15" i="14"/>
  <c r="F11" i="14"/>
  <c r="F4" i="14"/>
  <c r="F54" i="14"/>
  <c r="J22" i="15"/>
  <c r="F42" i="14"/>
  <c r="F53" i="14"/>
  <c r="F57" i="14"/>
  <c r="F14" i="14"/>
  <c r="F19" i="14"/>
  <c r="F38" i="14"/>
  <c r="J16" i="15"/>
  <c r="F34" i="14"/>
  <c r="F13" i="14"/>
  <c r="J18" i="15"/>
  <c r="J17" i="15"/>
  <c r="J14" i="15"/>
  <c r="F12" i="14"/>
  <c r="F49" i="14"/>
  <c r="F52" i="14"/>
  <c r="F22" i="14"/>
  <c r="F47" i="14"/>
  <c r="F16" i="14"/>
  <c r="F3" i="14"/>
  <c r="J13" i="15"/>
  <c r="J15" i="15"/>
  <c r="J21" i="15"/>
  <c r="F51" i="14"/>
  <c r="F55" i="14"/>
  <c r="J19" i="15"/>
  <c r="F50" i="14"/>
  <c r="F46" i="14"/>
  <c r="F5" i="14"/>
  <c r="F28" i="14"/>
  <c r="J20" i="15"/>
  <c r="I34" i="14" l="1"/>
  <c r="I25" i="14"/>
  <c r="I33" i="14"/>
  <c r="I42" i="14"/>
  <c r="I58" i="14"/>
  <c r="I35" i="14"/>
  <c r="I28" i="14"/>
  <c r="I21" i="14"/>
  <c r="I37" i="14"/>
  <c r="I22" i="14"/>
  <c r="I24" i="14"/>
  <c r="I56" i="14"/>
  <c r="I41" i="14"/>
  <c r="I27" i="14"/>
  <c r="I43" i="14"/>
  <c r="I4" i="14"/>
  <c r="I30" i="14"/>
  <c r="I38" i="14"/>
  <c r="I54" i="14"/>
  <c r="I5" i="14"/>
  <c r="I31" i="14"/>
  <c r="I39" i="14"/>
  <c r="M4" i="15"/>
  <c r="M10" i="15"/>
  <c r="M17" i="15"/>
  <c r="M15" i="15"/>
  <c r="M14" i="15"/>
  <c r="M13" i="15"/>
  <c r="M20" i="15"/>
  <c r="M12" i="15"/>
  <c r="M18" i="15"/>
  <c r="M16" i="15"/>
  <c r="M19" i="15"/>
  <c r="M11" i="15"/>
  <c r="H8" i="15"/>
  <c r="H7" i="15"/>
  <c r="H5" i="15"/>
  <c r="H6" i="15"/>
  <c r="I10" i="1"/>
  <c r="K34" i="14"/>
  <c r="G5" i="15"/>
  <c r="O4" i="16"/>
  <c r="J21" i="14"/>
  <c r="T4" i="15"/>
  <c r="K27" i="14"/>
  <c r="N19" i="15"/>
  <c r="P56" i="14"/>
  <c r="O24" i="14"/>
  <c r="N4" i="16"/>
  <c r="S21" i="16"/>
  <c r="P28" i="14"/>
  <c r="P22" i="14"/>
  <c r="K39" i="14"/>
  <c r="N10" i="15"/>
  <c r="S4" i="15"/>
  <c r="O3" i="16"/>
  <c r="T19" i="15"/>
  <c r="P34" i="14"/>
  <c r="O17" i="15"/>
  <c r="J58" i="14"/>
  <c r="J31" i="14"/>
  <c r="P24" i="14"/>
  <c r="K24" i="14"/>
  <c r="S14" i="15"/>
  <c r="K58" i="14"/>
  <c r="T4" i="16"/>
  <c r="S4" i="16"/>
  <c r="J27" i="14"/>
  <c r="O25" i="14"/>
  <c r="J56" i="14"/>
  <c r="T6" i="16"/>
  <c r="T5" i="16"/>
  <c r="P30" i="14"/>
  <c r="N17" i="15"/>
  <c r="O16" i="15"/>
  <c r="S3" i="16"/>
  <c r="O4" i="15"/>
  <c r="O38" i="14"/>
  <c r="S16" i="15"/>
  <c r="J24" i="14"/>
  <c r="K28" i="14"/>
  <c r="P58" i="14"/>
  <c r="N21" i="16"/>
  <c r="J7" i="15"/>
  <c r="T18" i="15"/>
  <c r="T14" i="15"/>
  <c r="T21" i="16"/>
  <c r="O30" i="14"/>
  <c r="N18" i="15"/>
  <c r="N14" i="15"/>
  <c r="K38" i="14"/>
  <c r="N11" i="15"/>
  <c r="O21" i="16"/>
  <c r="J34" i="14"/>
  <c r="K25" i="14"/>
  <c r="P38" i="14"/>
  <c r="P39" i="14"/>
  <c r="K30" i="14"/>
  <c r="J12" i="16"/>
  <c r="N4" i="15"/>
  <c r="J35" i="14"/>
  <c r="S17" i="15"/>
  <c r="J9" i="16"/>
  <c r="G6" i="15"/>
  <c r="K35" i="14"/>
  <c r="S6" i="16"/>
  <c r="K56" i="14"/>
  <c r="J10" i="16"/>
  <c r="T11" i="15"/>
  <c r="N15" i="15"/>
  <c r="T17" i="15"/>
  <c r="O12" i="15"/>
  <c r="J8" i="15"/>
  <c r="N5" i="16"/>
  <c r="O10" i="15"/>
  <c r="K31" i="14"/>
  <c r="T20" i="15"/>
  <c r="P25" i="14"/>
  <c r="K22" i="14"/>
  <c r="P27" i="14"/>
  <c r="O28" i="14"/>
  <c r="G11" i="16"/>
  <c r="O20" i="15"/>
  <c r="S19" i="15"/>
  <c r="T12" i="15"/>
  <c r="J25" i="14"/>
  <c r="O21" i="14"/>
  <c r="J39" i="14"/>
  <c r="O56" i="14"/>
  <c r="O5" i="16"/>
  <c r="S20" i="15"/>
  <c r="N16" i="15"/>
  <c r="N6" i="16"/>
  <c r="S15" i="15"/>
  <c r="J9" i="15"/>
  <c r="J30" i="14"/>
  <c r="I6" i="1"/>
  <c r="J22" i="14"/>
  <c r="S18" i="15"/>
  <c r="O18" i="15"/>
  <c r="O27" i="14"/>
  <c r="O35" i="14"/>
  <c r="S10" i="15"/>
  <c r="S11" i="15"/>
  <c r="O14" i="15"/>
  <c r="P18" i="15"/>
  <c r="S13" i="15"/>
  <c r="N12" i="15"/>
  <c r="O19" i="15"/>
  <c r="J28" i="14"/>
  <c r="T3" i="16"/>
  <c r="O6" i="16"/>
  <c r="P35" i="14"/>
  <c r="O13" i="15"/>
  <c r="P21" i="14"/>
  <c r="J15" i="16"/>
  <c r="T15" i="15"/>
  <c r="T16" i="15"/>
  <c r="O15" i="15"/>
  <c r="N13" i="15"/>
  <c r="T13" i="15"/>
  <c r="P31" i="14"/>
  <c r="S12" i="15"/>
  <c r="O22" i="14"/>
  <c r="O58" i="14"/>
  <c r="O11" i="15"/>
  <c r="T10" i="15"/>
  <c r="N3" i="16"/>
  <c r="N20" i="15"/>
  <c r="O31" i="14"/>
  <c r="J38" i="14"/>
  <c r="S5" i="16"/>
  <c r="K21" i="14"/>
  <c r="O39" i="14"/>
  <c r="O34" i="14"/>
  <c r="D33" i="1" l="1"/>
  <c r="I18" i="1"/>
  <c r="M13" i="16"/>
  <c r="M14" i="16"/>
  <c r="M17" i="16"/>
  <c r="M10" i="16"/>
  <c r="M20" i="16"/>
  <c r="I3" i="14"/>
  <c r="M18" i="16"/>
  <c r="M16" i="16"/>
  <c r="M19" i="16"/>
  <c r="M15" i="16"/>
  <c r="M9" i="16"/>
  <c r="M12" i="16"/>
  <c r="M9" i="15"/>
  <c r="M6" i="15"/>
  <c r="M3" i="15"/>
  <c r="M5" i="15"/>
  <c r="M7" i="15"/>
  <c r="M8" i="15"/>
  <c r="D7" i="1"/>
  <c r="J8" i="16"/>
  <c r="O15" i="16"/>
  <c r="T10" i="16"/>
  <c r="N19" i="16"/>
  <c r="T20" i="16"/>
  <c r="S14" i="16"/>
  <c r="S3" i="15"/>
  <c r="N18" i="16"/>
  <c r="S9" i="16"/>
  <c r="O9" i="15"/>
  <c r="N16" i="16"/>
  <c r="N6" i="15"/>
  <c r="O20" i="16"/>
  <c r="S19" i="16"/>
  <c r="T7" i="15"/>
  <c r="N17" i="16"/>
  <c r="S9" i="15"/>
  <c r="T6" i="15"/>
  <c r="J11" i="16"/>
  <c r="O18" i="16"/>
  <c r="T15" i="16"/>
  <c r="O8" i="15"/>
  <c r="J7" i="16"/>
  <c r="N13" i="16"/>
  <c r="S16" i="16"/>
  <c r="S5" i="15"/>
  <c r="S15" i="16"/>
  <c r="N7" i="15"/>
  <c r="O3" i="15"/>
  <c r="O14" i="16"/>
  <c r="N3" i="15"/>
  <c r="O19" i="16"/>
  <c r="N10" i="16"/>
  <c r="N9" i="15"/>
  <c r="T9" i="15"/>
  <c r="T14" i="16"/>
  <c r="S18" i="16"/>
  <c r="T16" i="16"/>
  <c r="N8" i="15"/>
  <c r="T13" i="16"/>
  <c r="O5" i="15"/>
  <c r="T19" i="16"/>
  <c r="N5" i="15"/>
  <c r="N9" i="16"/>
  <c r="T12" i="16"/>
  <c r="O12" i="16"/>
  <c r="N15" i="16"/>
  <c r="N12" i="16"/>
  <c r="S8" i="15"/>
  <c r="T17" i="16"/>
  <c r="S7" i="15"/>
  <c r="O17" i="16"/>
  <c r="T18" i="16"/>
  <c r="O6" i="15"/>
  <c r="N14" i="16"/>
  <c r="S20" i="16"/>
  <c r="T8" i="15"/>
  <c r="T5" i="15"/>
  <c r="S13" i="16"/>
  <c r="O9" i="16"/>
  <c r="T9" i="16"/>
  <c r="O7" i="15"/>
  <c r="S6" i="15"/>
  <c r="O16" i="16"/>
  <c r="S17" i="16"/>
  <c r="O10" i="16"/>
  <c r="O13" i="16"/>
  <c r="T3" i="15"/>
  <c r="S10" i="16"/>
  <c r="S12" i="16"/>
  <c r="N20" i="16"/>
  <c r="M11" i="16" l="1"/>
  <c r="M47" i="16"/>
  <c r="M48" i="16"/>
  <c r="M22" i="16"/>
  <c r="M40" i="16"/>
  <c r="M58" i="16"/>
  <c r="M42" i="16"/>
  <c r="M35" i="16"/>
  <c r="M38" i="16"/>
  <c r="M57" i="16"/>
  <c r="M50" i="16"/>
  <c r="M43" i="16"/>
  <c r="M37" i="16"/>
  <c r="M45" i="16"/>
  <c r="M58" i="15"/>
  <c r="M45" i="15"/>
  <c r="M74" i="15"/>
  <c r="M67" i="15"/>
  <c r="M68" i="15"/>
  <c r="M62" i="15"/>
  <c r="M66" i="15"/>
  <c r="M43" i="15"/>
  <c r="M44" i="15"/>
  <c r="M76" i="15"/>
  <c r="M61" i="15"/>
  <c r="M69" i="15"/>
  <c r="M46" i="15"/>
  <c r="M78" i="15"/>
  <c r="M63" i="15"/>
  <c r="M71" i="15"/>
  <c r="M56" i="15"/>
  <c r="M64" i="15"/>
  <c r="M72" i="15"/>
  <c r="M73" i="15"/>
  <c r="M56" i="16"/>
  <c r="M7" i="16"/>
  <c r="M8" i="16"/>
  <c r="M51" i="16"/>
  <c r="M52" i="16"/>
  <c r="M53" i="16"/>
  <c r="M46" i="16"/>
  <c r="M55" i="16"/>
  <c r="M41" i="16"/>
  <c r="M23" i="16"/>
  <c r="M25" i="16"/>
  <c r="M57" i="15"/>
  <c r="M77" i="15"/>
  <c r="M79" i="15"/>
  <c r="M70" i="15"/>
  <c r="O40" i="16"/>
  <c r="S66" i="15"/>
  <c r="N42" i="16"/>
  <c r="S61" i="15"/>
  <c r="O42" i="16"/>
  <c r="T48" i="16"/>
  <c r="O50" i="16"/>
  <c r="T66" i="15"/>
  <c r="N50" i="16"/>
  <c r="N56" i="16"/>
  <c r="S48" i="16"/>
  <c r="S72" i="15"/>
  <c r="O72" i="15"/>
  <c r="S74" i="15"/>
  <c r="N67" i="15"/>
  <c r="N11" i="16"/>
  <c r="O57" i="16"/>
  <c r="N45" i="16"/>
  <c r="T58" i="16"/>
  <c r="N72" i="15"/>
  <c r="T73" i="15"/>
  <c r="N48" i="16"/>
  <c r="T69" i="15"/>
  <c r="N62" i="15"/>
  <c r="N47" i="16"/>
  <c r="T72" i="15"/>
  <c r="N58" i="15"/>
  <c r="T44" i="15"/>
  <c r="N35" i="16"/>
  <c r="S35" i="16"/>
  <c r="S7" i="16"/>
  <c r="T61" i="15"/>
  <c r="N38" i="16"/>
  <c r="O68" i="15"/>
  <c r="O37" i="16"/>
  <c r="N45" i="15"/>
  <c r="S11" i="16"/>
  <c r="T50" i="16"/>
  <c r="T37" i="16"/>
  <c r="S64" i="15"/>
  <c r="O43" i="16"/>
  <c r="T11" i="16"/>
  <c r="S40" i="16"/>
  <c r="S38" i="16"/>
  <c r="N61" i="15"/>
  <c r="S22" i="16"/>
  <c r="O38" i="16"/>
  <c r="O47" i="16"/>
  <c r="N78" i="15"/>
  <c r="T56" i="16"/>
  <c r="O73" i="15"/>
  <c r="N8" i="16"/>
  <c r="S63" i="15"/>
  <c r="S71" i="15"/>
  <c r="S50" i="16"/>
  <c r="T43" i="16"/>
  <c r="O48" i="16"/>
  <c r="N63" i="15"/>
  <c r="O45" i="16"/>
  <c r="T47" i="16"/>
  <c r="S56" i="16"/>
  <c r="N68" i="15"/>
  <c r="T67" i="15"/>
  <c r="S67" i="15"/>
  <c r="N58" i="16"/>
  <c r="T40" i="16"/>
  <c r="S68" i="15"/>
  <c r="S58" i="16"/>
  <c r="O62" i="15"/>
  <c r="S45" i="15"/>
  <c r="O43" i="15"/>
  <c r="O45" i="15"/>
  <c r="O11" i="16"/>
  <c r="T45" i="15"/>
  <c r="S42" i="16"/>
  <c r="T64" i="15"/>
  <c r="N46" i="15"/>
  <c r="S76" i="15"/>
  <c r="O71" i="15"/>
  <c r="S78" i="15"/>
  <c r="N71" i="15"/>
  <c r="S57" i="16"/>
  <c r="T63" i="15"/>
  <c r="S46" i="15"/>
  <c r="T42" i="16"/>
  <c r="S47" i="16"/>
  <c r="N44" i="15"/>
  <c r="O46" i="15"/>
  <c r="N40" i="16"/>
  <c r="N7" i="16"/>
  <c r="O58" i="16"/>
  <c r="N66" i="15"/>
  <c r="T57" i="16"/>
  <c r="O66" i="15"/>
  <c r="O35" i="16"/>
  <c r="N43" i="15"/>
  <c r="S69" i="15"/>
  <c r="T46" i="15"/>
  <c r="T7" i="16"/>
  <c r="S43" i="16"/>
  <c r="T45" i="16"/>
  <c r="T22" i="16"/>
  <c r="O58" i="15"/>
  <c r="O78" i="15"/>
  <c r="T35" i="16"/>
  <c r="N76" i="15"/>
  <c r="O56" i="15"/>
  <c r="T78" i="15"/>
  <c r="S44" i="15"/>
  <c r="O74" i="15"/>
  <c r="O7" i="16"/>
  <c r="N56" i="15"/>
  <c r="O69" i="15"/>
  <c r="T76" i="15"/>
  <c r="S56" i="15"/>
  <c r="T8" i="16"/>
  <c r="N57" i="16"/>
  <c r="S73" i="15"/>
  <c r="T68" i="15"/>
  <c r="T38" i="16"/>
  <c r="S58" i="15"/>
  <c r="T43" i="15"/>
  <c r="O44" i="15"/>
  <c r="T74" i="15"/>
  <c r="S45" i="16"/>
  <c r="O64" i="15"/>
  <c r="N64" i="15"/>
  <c r="T62" i="15"/>
  <c r="S8" i="16"/>
  <c r="O63" i="15"/>
  <c r="O8" i="16"/>
  <c r="N37" i="16"/>
  <c r="S62" i="15"/>
  <c r="O61" i="15"/>
  <c r="N73" i="15"/>
  <c r="T56" i="15"/>
  <c r="O76" i="15"/>
  <c r="O22" i="16"/>
  <c r="O56" i="16"/>
  <c r="T71" i="15"/>
  <c r="O67" i="15"/>
  <c r="N43" i="16"/>
  <c r="T58" i="15"/>
  <c r="N74" i="15"/>
  <c r="S43" i="15"/>
  <c r="N69" i="15"/>
  <c r="N22" i="16"/>
  <c r="S37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I48" i="14" l="1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T52" i="16"/>
  <c r="O41" i="14"/>
  <c r="T79" i="15"/>
  <c r="J41" i="14"/>
  <c r="N46" i="16"/>
  <c r="O37" i="14"/>
  <c r="N57" i="15"/>
  <c r="S70" i="15"/>
  <c r="P41" i="14"/>
  <c r="T57" i="15"/>
  <c r="O53" i="16"/>
  <c r="O41" i="16"/>
  <c r="O46" i="16"/>
  <c r="O70" i="15"/>
  <c r="O57" i="15"/>
  <c r="O77" i="15"/>
  <c r="J42" i="14"/>
  <c r="O52" i="16"/>
  <c r="O33" i="14"/>
  <c r="J54" i="14"/>
  <c r="K42" i="14"/>
  <c r="O25" i="16"/>
  <c r="J43" i="14"/>
  <c r="N23" i="16"/>
  <c r="T46" i="16"/>
  <c r="S41" i="16"/>
  <c r="N70" i="15"/>
  <c r="S77" i="15"/>
  <c r="O43" i="14"/>
  <c r="T53" i="16"/>
  <c r="N51" i="16"/>
  <c r="S55" i="16"/>
  <c r="T41" i="16"/>
  <c r="K41" i="14"/>
  <c r="N25" i="16"/>
  <c r="O54" i="14"/>
  <c r="N53" i="16"/>
  <c r="K33" i="14"/>
  <c r="N79" i="15"/>
  <c r="T70" i="15"/>
  <c r="K43" i="14"/>
  <c r="S51" i="16"/>
  <c r="S57" i="15"/>
  <c r="O55" i="16"/>
  <c r="S52" i="16"/>
  <c r="K37" i="14"/>
  <c r="N41" i="16"/>
  <c r="T55" i="16"/>
  <c r="T51" i="16"/>
  <c r="T25" i="16"/>
  <c r="P42" i="14"/>
  <c r="O79" i="15"/>
  <c r="O51" i="16"/>
  <c r="N77" i="15"/>
  <c r="P43" i="14"/>
  <c r="K54" i="14"/>
  <c r="T77" i="15"/>
  <c r="O23" i="16"/>
  <c r="N55" i="16"/>
  <c r="N52" i="16"/>
  <c r="P33" i="14"/>
  <c r="P54" i="14"/>
  <c r="S79" i="15"/>
  <c r="J37" i="14"/>
  <c r="O42" i="14"/>
  <c r="S46" i="16"/>
  <c r="S53" i="16"/>
  <c r="S25" i="16"/>
  <c r="P37" i="14"/>
  <c r="T23" i="16"/>
  <c r="S23" i="16"/>
  <c r="J33" i="14"/>
  <c r="I20" i="14" l="1"/>
  <c r="I13" i="14"/>
  <c r="I15" i="14"/>
  <c r="I19" i="14"/>
  <c r="I17" i="14"/>
  <c r="I16" i="14"/>
  <c r="I10" i="14"/>
  <c r="I11" i="14"/>
  <c r="I9" i="14"/>
  <c r="I12" i="14"/>
  <c r="I18" i="14"/>
  <c r="I14" i="14"/>
  <c r="I8" i="14"/>
  <c r="I7" i="14"/>
  <c r="K4" i="14"/>
  <c r="O36" i="14"/>
  <c r="O50" i="14"/>
  <c r="J23" i="14"/>
  <c r="K36" i="14"/>
  <c r="P5" i="14"/>
  <c r="J53" i="14"/>
  <c r="K29" i="14"/>
  <c r="O15" i="14"/>
  <c r="P16" i="14"/>
  <c r="K57" i="14"/>
  <c r="K11" i="14"/>
  <c r="J12" i="14"/>
  <c r="K23" i="14"/>
  <c r="P7" i="14"/>
  <c r="K45" i="14"/>
  <c r="O10" i="14"/>
  <c r="P29" i="14"/>
  <c r="J45" i="14"/>
  <c r="J55" i="14"/>
  <c r="O48" i="14"/>
  <c r="K18" i="14"/>
  <c r="J47" i="14"/>
  <c r="K20" i="14"/>
  <c r="K3" i="14"/>
  <c r="O18" i="14"/>
  <c r="J7" i="14"/>
  <c r="O55" i="14"/>
  <c r="K52" i="14"/>
  <c r="J49" i="14"/>
  <c r="J4" i="14"/>
  <c r="P59" i="14"/>
  <c r="J19" i="14"/>
  <c r="J8" i="14"/>
  <c r="K51" i="14"/>
  <c r="K13" i="14"/>
  <c r="O4" i="14"/>
  <c r="P53" i="14"/>
  <c r="J18" i="14"/>
  <c r="P52" i="14"/>
  <c r="O29" i="14"/>
  <c r="P23" i="14"/>
  <c r="K7" i="14"/>
  <c r="O5" i="14"/>
  <c r="K5" i="14"/>
  <c r="P26" i="14"/>
  <c r="K14" i="14"/>
  <c r="O13" i="14"/>
  <c r="K46" i="14"/>
  <c r="J9" i="14"/>
  <c r="O14" i="14"/>
  <c r="K16" i="14"/>
  <c r="P19" i="14"/>
  <c r="J40" i="14"/>
  <c r="P18" i="14"/>
  <c r="J20" i="14"/>
  <c r="O23" i="14"/>
  <c r="O57" i="14"/>
  <c r="O7" i="14"/>
  <c r="J57" i="14"/>
  <c r="J17" i="14"/>
  <c r="O59" i="14"/>
  <c r="J52" i="14"/>
  <c r="O3" i="14"/>
  <c r="J13" i="14"/>
  <c r="P15" i="14"/>
  <c r="J50" i="14"/>
  <c r="O49" i="14"/>
  <c r="K50" i="14"/>
  <c r="K12" i="14"/>
  <c r="P12" i="14"/>
  <c r="P50" i="14"/>
  <c r="J3" i="14"/>
  <c r="P32" i="14"/>
  <c r="J48" i="14"/>
  <c r="P3" i="14"/>
  <c r="O51" i="14"/>
  <c r="K19" i="14"/>
  <c r="P14" i="14"/>
  <c r="O52" i="14"/>
  <c r="P17" i="14"/>
  <c r="K48" i="14"/>
  <c r="P48" i="14"/>
  <c r="J14" i="14"/>
  <c r="O11" i="14"/>
  <c r="J29" i="14"/>
  <c r="J59" i="14"/>
  <c r="P57" i="14"/>
  <c r="K9" i="14"/>
  <c r="J26" i="14"/>
  <c r="K10" i="14"/>
  <c r="K55" i="14"/>
  <c r="O20" i="14"/>
  <c r="O44" i="14"/>
  <c r="O8" i="14"/>
  <c r="O45" i="14"/>
  <c r="P49" i="14"/>
  <c r="O26" i="14"/>
  <c r="P36" i="14"/>
  <c r="P20" i="14"/>
  <c r="P51" i="14"/>
  <c r="O19" i="14"/>
  <c r="J11" i="14"/>
  <c r="J10" i="14"/>
  <c r="J16" i="14"/>
  <c r="K40" i="14"/>
  <c r="J46" i="14"/>
  <c r="P44" i="14"/>
  <c r="C25" i="15"/>
  <c r="P45" i="14"/>
  <c r="P13" i="14"/>
  <c r="P4" i="14"/>
  <c r="K49" i="14"/>
  <c r="P8" i="14"/>
  <c r="K17" i="14"/>
  <c r="K26" i="14"/>
  <c r="K15" i="14"/>
  <c r="J32" i="14"/>
  <c r="P9" i="14"/>
  <c r="K47" i="14"/>
  <c r="P46" i="14"/>
  <c r="O17" i="14"/>
  <c r="J5" i="14"/>
  <c r="P10" i="14"/>
  <c r="J51" i="14"/>
  <c r="P47" i="14"/>
  <c r="K44" i="14"/>
  <c r="J15" i="14"/>
  <c r="O16" i="14"/>
  <c r="P40" i="14"/>
  <c r="O32" i="14"/>
  <c r="J44" i="14"/>
  <c r="O40" i="14"/>
  <c r="O53" i="14"/>
  <c r="K59" i="14"/>
  <c r="P55" i="14"/>
  <c r="O12" i="14"/>
  <c r="O46" i="14"/>
  <c r="P11" i="14"/>
  <c r="O9" i="14"/>
  <c r="K32" i="14"/>
  <c r="K8" i="14"/>
  <c r="K53" i="14"/>
  <c r="O47" i="14"/>
  <c r="J36" i="14"/>
  <c r="I25" i="15" l="1"/>
  <c r="H25" i="15"/>
  <c r="I6" i="14"/>
  <c r="M35" i="15"/>
  <c r="M23" i="15"/>
  <c r="M24" i="15"/>
  <c r="M28" i="15"/>
  <c r="M32" i="15"/>
  <c r="M36" i="15"/>
  <c r="M40" i="15"/>
  <c r="M22" i="15"/>
  <c r="M25" i="15"/>
  <c r="M41" i="15"/>
  <c r="M31" i="15"/>
  <c r="M21" i="15"/>
  <c r="M29" i="15"/>
  <c r="M33" i="15"/>
  <c r="M37" i="15"/>
  <c r="M27" i="15"/>
  <c r="M26" i="15"/>
  <c r="M34" i="15"/>
  <c r="M42" i="15"/>
  <c r="M39" i="15"/>
  <c r="M30" i="15"/>
  <c r="M38" i="15"/>
  <c r="S22" i="15"/>
  <c r="T35" i="15"/>
  <c r="T39" i="15"/>
  <c r="S35" i="15"/>
  <c r="N24" i="15"/>
  <c r="S28" i="15"/>
  <c r="T30" i="15"/>
  <c r="T38" i="15"/>
  <c r="S21" i="15"/>
  <c r="O21" i="15"/>
  <c r="T27" i="15"/>
  <c r="N35" i="15"/>
  <c r="O41" i="15"/>
  <c r="N34" i="15"/>
  <c r="S41" i="15"/>
  <c r="T24" i="15"/>
  <c r="N38" i="15"/>
  <c r="O42" i="15"/>
  <c r="N23" i="15"/>
  <c r="N26" i="15"/>
  <c r="T33" i="15"/>
  <c r="N27" i="15"/>
  <c r="S36" i="15"/>
  <c r="T34" i="15"/>
  <c r="N42" i="15"/>
  <c r="O29" i="15"/>
  <c r="O22" i="15"/>
  <c r="S34" i="15"/>
  <c r="N22" i="15"/>
  <c r="T29" i="15"/>
  <c r="N25" i="15"/>
  <c r="S38" i="15"/>
  <c r="O39" i="15"/>
  <c r="O6" i="14"/>
  <c r="O33" i="15"/>
  <c r="O27" i="15"/>
  <c r="T26" i="15"/>
  <c r="S25" i="15"/>
  <c r="S23" i="15"/>
  <c r="N33" i="15"/>
  <c r="T41" i="15"/>
  <c r="S40" i="15"/>
  <c r="T40" i="15"/>
  <c r="T31" i="15"/>
  <c r="N37" i="15"/>
  <c r="T25" i="15"/>
  <c r="S42" i="15"/>
  <c r="O37" i="15"/>
  <c r="S29" i="15"/>
  <c r="N29" i="15"/>
  <c r="S31" i="15"/>
  <c r="O35" i="15"/>
  <c r="O28" i="15"/>
  <c r="T36" i="15"/>
  <c r="O25" i="15"/>
  <c r="S26" i="15"/>
  <c r="T28" i="15"/>
  <c r="S37" i="15"/>
  <c r="O38" i="15"/>
  <c r="N30" i="15"/>
  <c r="T32" i="15"/>
  <c r="S30" i="15"/>
  <c r="O26" i="15"/>
  <c r="T23" i="15"/>
  <c r="N40" i="15"/>
  <c r="S33" i="15"/>
  <c r="O40" i="15"/>
  <c r="O32" i="15"/>
  <c r="O36" i="15"/>
  <c r="N32" i="15"/>
  <c r="S27" i="15"/>
  <c r="T37" i="15"/>
  <c r="N36" i="15"/>
  <c r="S32" i="15"/>
  <c r="P6" i="14"/>
  <c r="O30" i="15"/>
  <c r="O34" i="15"/>
  <c r="O31" i="15"/>
  <c r="O24" i="15"/>
  <c r="J6" i="14"/>
  <c r="T22" i="15"/>
  <c r="N39" i="15"/>
  <c r="K6" i="14"/>
  <c r="S39" i="15"/>
  <c r="N31" i="15"/>
  <c r="O23" i="15"/>
  <c r="T42" i="15"/>
  <c r="T21" i="15"/>
  <c r="S24" i="15"/>
  <c r="C26" i="15"/>
  <c r="N41" i="15"/>
  <c r="N21" i="15"/>
  <c r="N28" i="15"/>
  <c r="M59" i="15" l="1"/>
  <c r="M51" i="15"/>
  <c r="M49" i="15"/>
  <c r="M48" i="15"/>
  <c r="M55" i="15"/>
  <c r="M52" i="15"/>
  <c r="M75" i="15"/>
  <c r="M50" i="15"/>
  <c r="M60" i="15"/>
  <c r="M54" i="15"/>
  <c r="M65" i="15"/>
  <c r="M53" i="15"/>
  <c r="M47" i="15"/>
  <c r="M54" i="16"/>
  <c r="M49" i="16"/>
  <c r="M44" i="16"/>
  <c r="M39" i="16"/>
  <c r="M36" i="16"/>
  <c r="M34" i="16"/>
  <c r="M28" i="16"/>
  <c r="M33" i="16"/>
  <c r="M32" i="16"/>
  <c r="M31" i="16"/>
  <c r="M30" i="16"/>
  <c r="M29" i="16"/>
  <c r="M27" i="16"/>
  <c r="M26" i="16"/>
  <c r="M24" i="16"/>
  <c r="H26" i="15"/>
  <c r="I26" i="15"/>
  <c r="N59" i="15"/>
  <c r="N27" i="16"/>
  <c r="N24" i="16"/>
  <c r="N30" i="16"/>
  <c r="AB21" i="14"/>
  <c r="O52" i="15"/>
  <c r="T33" i="16"/>
  <c r="S75" i="15"/>
  <c r="T54" i="16"/>
  <c r="C27" i="15"/>
  <c r="N48" i="15"/>
  <c r="S49" i="15"/>
  <c r="AF17" i="15"/>
  <c r="O47" i="15"/>
  <c r="O54" i="16"/>
  <c r="O27" i="16"/>
  <c r="O28" i="16"/>
  <c r="T44" i="16"/>
  <c r="AF19" i="15"/>
  <c r="T59" i="15"/>
  <c r="W3" i="16" a="1"/>
  <c r="S59" i="15"/>
  <c r="O49" i="15"/>
  <c r="T26" i="16"/>
  <c r="N44" i="16"/>
  <c r="T34" i="16"/>
  <c r="AF20" i="15"/>
  <c r="S33" i="16"/>
  <c r="N49" i="15"/>
  <c r="S48" i="15"/>
  <c r="T53" i="15"/>
  <c r="W3" i="15" a="1"/>
  <c r="AF13" i="15"/>
  <c r="N53" i="15"/>
  <c r="AB17" i="14"/>
  <c r="O34" i="16"/>
  <c r="AF22" i="15"/>
  <c r="N52" i="15"/>
  <c r="S50" i="15"/>
  <c r="T39" i="16"/>
  <c r="O59" i="15"/>
  <c r="T48" i="15"/>
  <c r="O24" i="16"/>
  <c r="N39" i="16"/>
  <c r="AF12" i="15"/>
  <c r="AH12" i="15" s="1"/>
  <c r="O65" i="15"/>
  <c r="T75" i="15"/>
  <c r="N32" i="16"/>
  <c r="AB13" i="14"/>
  <c r="AB11" i="14"/>
  <c r="O48" i="15"/>
  <c r="S32" i="16"/>
  <c r="N47" i="15"/>
  <c r="T50" i="15"/>
  <c r="N34" i="16"/>
  <c r="AB20" i="14"/>
  <c r="T28" i="16"/>
  <c r="N36" i="16"/>
  <c r="S30" i="16"/>
  <c r="S54" i="16"/>
  <c r="O30" i="16"/>
  <c r="S28" i="16"/>
  <c r="O53" i="15"/>
  <c r="N33" i="16"/>
  <c r="O36" i="16"/>
  <c r="T49" i="16"/>
  <c r="T60" i="15"/>
  <c r="O31" i="16"/>
  <c r="S34" i="16"/>
  <c r="N54" i="16"/>
  <c r="S24" i="16"/>
  <c r="S47" i="15"/>
  <c r="T36" i="16"/>
  <c r="N60" i="15"/>
  <c r="T52" i="15"/>
  <c r="AB18" i="14"/>
  <c r="S65" i="15"/>
  <c r="N55" i="15"/>
  <c r="O51" i="15"/>
  <c r="N51" i="15"/>
  <c r="AD11" i="14"/>
  <c r="AF15" i="15"/>
  <c r="S55" i="15"/>
  <c r="T47" i="15"/>
  <c r="O39" i="16"/>
  <c r="S26" i="16"/>
  <c r="N50" i="15"/>
  <c r="AB12" i="14"/>
  <c r="O50" i="15"/>
  <c r="S44" i="16"/>
  <c r="T49" i="15"/>
  <c r="S60" i="15"/>
  <c r="O44" i="16"/>
  <c r="AF16" i="15"/>
  <c r="T54" i="15"/>
  <c r="N75" i="15"/>
  <c r="AF21" i="15"/>
  <c r="O54" i="15"/>
  <c r="T65" i="15"/>
  <c r="S36" i="16"/>
  <c r="S39" i="16"/>
  <c r="N65" i="15"/>
  <c r="T24" i="16"/>
  <c r="N26" i="16"/>
  <c r="O55" i="15"/>
  <c r="T31" i="16"/>
  <c r="T55" i="15"/>
  <c r="AB14" i="14"/>
  <c r="N54" i="15"/>
  <c r="N49" i="16"/>
  <c r="S54" i="15"/>
  <c r="S27" i="16"/>
  <c r="O60" i="15"/>
  <c r="AB19" i="14"/>
  <c r="T51" i="15"/>
  <c r="AB22" i="14"/>
  <c r="O33" i="16"/>
  <c r="S51" i="15"/>
  <c r="O75" i="15"/>
  <c r="AF18" i="15"/>
  <c r="S53" i="15"/>
  <c r="O49" i="16"/>
  <c r="AB15" i="14"/>
  <c r="N31" i="16"/>
  <c r="AF11" i="15"/>
  <c r="AB16" i="14"/>
  <c r="AF14" i="15"/>
  <c r="S52" i="15"/>
  <c r="O26" i="16"/>
  <c r="AF11" i="16"/>
  <c r="N28" i="16"/>
  <c r="O32" i="16"/>
  <c r="T27" i="16"/>
  <c r="S29" i="16"/>
  <c r="N29" i="16"/>
  <c r="O29" i="16"/>
  <c r="T30" i="16"/>
  <c r="T29" i="16"/>
  <c r="T32" i="16"/>
  <c r="S31" i="16"/>
  <c r="S49" i="16"/>
  <c r="AJ12" i="15" l="1"/>
  <c r="H27" i="15"/>
  <c r="I27" i="15"/>
  <c r="W60" i="15"/>
  <c r="W48" i="15"/>
  <c r="W36" i="15"/>
  <c r="W28" i="15"/>
  <c r="W39" i="15"/>
  <c r="W79" i="15"/>
  <c r="W67" i="15"/>
  <c r="W14" i="15"/>
  <c r="W40" i="15"/>
  <c r="W62" i="15"/>
  <c r="W19" i="15"/>
  <c r="W7" i="15"/>
  <c r="W74" i="15"/>
  <c r="W25" i="15"/>
  <c r="W12" i="15"/>
  <c r="W38" i="15"/>
  <c r="W26" i="15"/>
  <c r="W52" i="15"/>
  <c r="W78" i="15"/>
  <c r="W65" i="15"/>
  <c r="W45" i="15"/>
  <c r="W41" i="15"/>
  <c r="W21" i="15"/>
  <c r="W54" i="15"/>
  <c r="W73" i="15"/>
  <c r="W64" i="15"/>
  <c r="W11" i="15"/>
  <c r="W37" i="15"/>
  <c r="W43" i="15"/>
  <c r="W4" i="15"/>
  <c r="W71" i="15"/>
  <c r="W59" i="15"/>
  <c r="W58" i="15"/>
  <c r="W77" i="15"/>
  <c r="W23" i="15"/>
  <c r="W57" i="15"/>
  <c r="W75" i="15"/>
  <c r="W66" i="15"/>
  <c r="W32" i="15"/>
  <c r="W27" i="15"/>
  <c r="W30" i="15"/>
  <c r="W18" i="15"/>
  <c r="W6" i="15"/>
  <c r="W33" i="15"/>
  <c r="W5" i="15"/>
  <c r="W3" i="15"/>
  <c r="W50" i="15"/>
  <c r="W47" i="15"/>
  <c r="W63" i="15"/>
  <c r="W68" i="15"/>
  <c r="W49" i="15"/>
  <c r="W55" i="15"/>
  <c r="W46" i="15"/>
  <c r="W22" i="15"/>
  <c r="W13" i="15"/>
  <c r="W9" i="15"/>
  <c r="W8" i="15"/>
  <c r="W17" i="15"/>
  <c r="W16" i="15"/>
  <c r="W31" i="15"/>
  <c r="W61" i="15"/>
  <c r="W51" i="15"/>
  <c r="W56" i="15"/>
  <c r="W70" i="15"/>
  <c r="W20" i="15"/>
  <c r="W10" i="15"/>
  <c r="W15" i="15"/>
  <c r="W29" i="15"/>
  <c r="W76" i="15"/>
  <c r="W69" i="15"/>
  <c r="W53" i="15"/>
  <c r="W35" i="15"/>
  <c r="W34" i="15"/>
  <c r="W42" i="15"/>
  <c r="W44" i="15"/>
  <c r="W24" i="15"/>
  <c r="W72" i="15"/>
  <c r="W3" i="16"/>
  <c r="W11" i="16"/>
  <c r="W28" i="16"/>
  <c r="W8" i="16"/>
  <c r="W33" i="16"/>
  <c r="W22" i="16"/>
  <c r="W34" i="16"/>
  <c r="W12" i="16"/>
  <c r="W20" i="16"/>
  <c r="W37" i="16"/>
  <c r="W54" i="16"/>
  <c r="W51" i="16"/>
  <c r="W40" i="16"/>
  <c r="W35" i="16"/>
  <c r="W21" i="16"/>
  <c r="W29" i="16"/>
  <c r="W46" i="16"/>
  <c r="W42" i="16"/>
  <c r="W5" i="16"/>
  <c r="W49" i="16"/>
  <c r="W44" i="16"/>
  <c r="W30" i="16"/>
  <c r="W38" i="16"/>
  <c r="W55" i="16"/>
  <c r="W43" i="16"/>
  <c r="W14" i="16"/>
  <c r="W17" i="16"/>
  <c r="W53" i="16"/>
  <c r="W39" i="16"/>
  <c r="W47" i="16"/>
  <c r="W9" i="16"/>
  <c r="W52" i="16"/>
  <c r="W23" i="16"/>
  <c r="W32" i="16"/>
  <c r="W7" i="16"/>
  <c r="W48" i="16"/>
  <c r="W56" i="16"/>
  <c r="W27" i="16"/>
  <c r="W6" i="16"/>
  <c r="W41" i="16"/>
  <c r="W13" i="16"/>
  <c r="W16" i="16"/>
  <c r="W57" i="16"/>
  <c r="W18" i="16"/>
  <c r="W36" i="16"/>
  <c r="W15" i="16"/>
  <c r="W58" i="16"/>
  <c r="W31" i="16"/>
  <c r="W25" i="16"/>
  <c r="W10" i="16"/>
  <c r="W19" i="16"/>
  <c r="W45" i="16"/>
  <c r="W24" i="16"/>
  <c r="W4" i="16"/>
  <c r="W26" i="16"/>
  <c r="W50" i="16"/>
  <c r="AF11" i="14"/>
  <c r="AB9" i="16"/>
  <c r="AH14" i="15"/>
  <c r="AA33" i="15"/>
  <c r="X17" i="15"/>
  <c r="AA19" i="16"/>
  <c r="Z11" i="16"/>
  <c r="Y54" i="16"/>
  <c r="AA19" i="15"/>
  <c r="AB50" i="15"/>
  <c r="AB43" i="15"/>
  <c r="Y11" i="16"/>
  <c r="X3" i="16"/>
  <c r="Z70" i="15"/>
  <c r="AB10" i="16"/>
  <c r="X27" i="16"/>
  <c r="AD12" i="14"/>
  <c r="AB59" i="15"/>
  <c r="X47" i="15"/>
  <c r="AB8" i="15"/>
  <c r="Z59" i="15"/>
  <c r="Y56" i="15"/>
  <c r="X52" i="16"/>
  <c r="AA70" i="15"/>
  <c r="AB12" i="15"/>
  <c r="AA21" i="15"/>
  <c r="AB14" i="16"/>
  <c r="Y53" i="16"/>
  <c r="Y69" i="15"/>
  <c r="Y13" i="15"/>
  <c r="Z44" i="16"/>
  <c r="Y72" i="15"/>
  <c r="AH20" i="15"/>
  <c r="X4" i="15"/>
  <c r="Z45" i="15"/>
  <c r="AA30" i="16"/>
  <c r="Y28" i="16"/>
  <c r="Z35" i="15"/>
  <c r="X14" i="16"/>
  <c r="AA23" i="16"/>
  <c r="X34" i="16"/>
  <c r="X3" i="15"/>
  <c r="AB47" i="16"/>
  <c r="AA5" i="15"/>
  <c r="Y26" i="15"/>
  <c r="Y48" i="15"/>
  <c r="AB63" i="15"/>
  <c r="AB49" i="16"/>
  <c r="X21" i="15"/>
  <c r="C28" i="15"/>
  <c r="Z53" i="16"/>
  <c r="Z26" i="16"/>
  <c r="X37" i="15"/>
  <c r="X69" i="15"/>
  <c r="AB45" i="16"/>
  <c r="AA66" i="15"/>
  <c r="X10" i="16"/>
  <c r="AB29" i="15"/>
  <c r="Y13" i="16"/>
  <c r="Z54" i="16"/>
  <c r="X33" i="16"/>
  <c r="Y35" i="15"/>
  <c r="X54" i="15"/>
  <c r="Z68" i="15"/>
  <c r="AA58" i="15"/>
  <c r="AB47" i="15"/>
  <c r="AB33" i="15"/>
  <c r="AD21" i="14"/>
  <c r="AA8" i="16"/>
  <c r="AA50" i="16"/>
  <c r="AA33" i="16"/>
  <c r="Y27" i="15"/>
  <c r="Y17" i="15"/>
  <c r="AA23" i="15"/>
  <c r="Y41" i="15"/>
  <c r="AA13" i="16"/>
  <c r="Y5" i="16"/>
  <c r="AA34" i="16"/>
  <c r="AB10" i="15"/>
  <c r="Y24" i="15"/>
  <c r="Y51" i="15"/>
  <c r="X6" i="16"/>
  <c r="AA12" i="16"/>
  <c r="X56" i="15"/>
  <c r="AB40" i="15"/>
  <c r="AA48" i="16"/>
  <c r="Z61" i="15"/>
  <c r="X53" i="16"/>
  <c r="Y9" i="15"/>
  <c r="X12" i="16"/>
  <c r="Y51" i="16"/>
  <c r="Z36" i="16"/>
  <c r="Z5" i="16"/>
  <c r="X48" i="16"/>
  <c r="X71" i="15"/>
  <c r="AB54" i="15"/>
  <c r="Y3" i="15"/>
  <c r="AA21" i="16"/>
  <c r="Z4" i="15"/>
  <c r="Y58" i="15"/>
  <c r="AA4" i="15"/>
  <c r="AA46" i="16"/>
  <c r="X72" i="15"/>
  <c r="AH21" i="15"/>
  <c r="Y31" i="16"/>
  <c r="AA26" i="15"/>
  <c r="AA54" i="15"/>
  <c r="AH19" i="15"/>
  <c r="AB7" i="15"/>
  <c r="AF23" i="15"/>
  <c r="AA74" i="15"/>
  <c r="Z77" i="15"/>
  <c r="Z28" i="16"/>
  <c r="Y47" i="15"/>
  <c r="AB20" i="16"/>
  <c r="X31" i="16"/>
  <c r="AB25" i="15"/>
  <c r="AA54" i="16"/>
  <c r="Z22" i="16"/>
  <c r="X27" i="15"/>
  <c r="Y52" i="15"/>
  <c r="AB57" i="16"/>
  <c r="Z51" i="15"/>
  <c r="X24" i="15"/>
  <c r="Z33" i="16"/>
  <c r="Z19" i="16"/>
  <c r="Y66" i="15"/>
  <c r="AB74" i="15"/>
  <c r="AD17" i="14"/>
  <c r="Z13" i="16"/>
  <c r="AA34" i="15"/>
  <c r="AB6" i="16"/>
  <c r="AB27" i="15"/>
  <c r="S3" i="14" a="1"/>
  <c r="AB79" i="15"/>
  <c r="Z25" i="15"/>
  <c r="Y38" i="15"/>
  <c r="Z55" i="16"/>
  <c r="X38" i="16"/>
  <c r="X21" i="16"/>
  <c r="Z64" i="15"/>
  <c r="X35" i="16"/>
  <c r="X19" i="15"/>
  <c r="AB26" i="16"/>
  <c r="AB58" i="15"/>
  <c r="X44" i="16"/>
  <c r="AA62" i="15"/>
  <c r="AA40" i="15"/>
  <c r="Y26" i="16"/>
  <c r="Z8" i="16"/>
  <c r="Z42" i="15"/>
  <c r="X45" i="15"/>
  <c r="AA51" i="16"/>
  <c r="AA32" i="15"/>
  <c r="Y35" i="16"/>
  <c r="X5" i="16"/>
  <c r="AF12" i="16"/>
  <c r="X9" i="16"/>
  <c r="Y79" i="15"/>
  <c r="AB72" i="15"/>
  <c r="Y22" i="15"/>
  <c r="AA25" i="16"/>
  <c r="AF23" i="16"/>
  <c r="AB23" i="15"/>
  <c r="Z11" i="15"/>
  <c r="AB41" i="16"/>
  <c r="Y30" i="15"/>
  <c r="AA78" i="15"/>
  <c r="AB34" i="16"/>
  <c r="Z23" i="15"/>
  <c r="X57" i="16"/>
  <c r="AB3" i="15"/>
  <c r="X16" i="15"/>
  <c r="AB55" i="16"/>
  <c r="X59" i="15"/>
  <c r="Z35" i="16"/>
  <c r="AA20" i="16"/>
  <c r="Y6" i="16"/>
  <c r="Z53" i="15"/>
  <c r="Y4" i="15"/>
  <c r="AB8" i="16"/>
  <c r="Z49" i="16"/>
  <c r="Y60" i="15"/>
  <c r="AA50" i="15"/>
  <c r="Z22" i="15"/>
  <c r="AB71" i="15"/>
  <c r="AB77" i="15"/>
  <c r="Z58" i="15"/>
  <c r="AB56" i="15"/>
  <c r="X65" i="15"/>
  <c r="AA45" i="16"/>
  <c r="AA40" i="16"/>
  <c r="Y40" i="16"/>
  <c r="AB53" i="16"/>
  <c r="AB51" i="16"/>
  <c r="Y45" i="16"/>
  <c r="X8" i="15"/>
  <c r="Z62" i="15"/>
  <c r="AA39" i="15"/>
  <c r="AA39" i="16"/>
  <c r="AA35" i="16"/>
  <c r="X30" i="15"/>
  <c r="AB13" i="16"/>
  <c r="AA51" i="15"/>
  <c r="AA7" i="16"/>
  <c r="AA59" i="15"/>
  <c r="Z5" i="15"/>
  <c r="X74" i="15"/>
  <c r="Z43" i="16"/>
  <c r="Y32" i="16"/>
  <c r="X38" i="15"/>
  <c r="X26" i="16"/>
  <c r="AB16" i="16"/>
  <c r="Y46" i="15"/>
  <c r="Z43" i="15"/>
  <c r="Y73" i="15"/>
  <c r="Y4" i="16"/>
  <c r="X39" i="15"/>
  <c r="AA42" i="16"/>
  <c r="X12" i="15"/>
  <c r="Y67" i="15"/>
  <c r="AB9" i="15"/>
  <c r="AA64" i="15"/>
  <c r="Z60" i="15"/>
  <c r="X32" i="15"/>
  <c r="AA53" i="15"/>
  <c r="Z47" i="16"/>
  <c r="Y18" i="16"/>
  <c r="AB34" i="15"/>
  <c r="X14" i="15"/>
  <c r="Y59" i="15"/>
  <c r="AA16" i="16"/>
  <c r="Z28" i="15"/>
  <c r="AB38" i="15"/>
  <c r="AA57" i="15"/>
  <c r="AB14" i="15"/>
  <c r="X31" i="15"/>
  <c r="Y74" i="15"/>
  <c r="AH11" i="16"/>
  <c r="Z41" i="15"/>
  <c r="X18" i="16"/>
  <c r="Z69" i="15"/>
  <c r="X75" i="15"/>
  <c r="Z27" i="15"/>
  <c r="AB24" i="16"/>
  <c r="Y7" i="15"/>
  <c r="Y42" i="15"/>
  <c r="Y9" i="16"/>
  <c r="AA56" i="15"/>
  <c r="Y12" i="15"/>
  <c r="Y15" i="16"/>
  <c r="Z17" i="16"/>
  <c r="Y45" i="15"/>
  <c r="AB4" i="15"/>
  <c r="AD18" i="14"/>
  <c r="Z41" i="16"/>
  <c r="Y50" i="16"/>
  <c r="Y16" i="16"/>
  <c r="AB4" i="16"/>
  <c r="Z42" i="16"/>
  <c r="AB55" i="15"/>
  <c r="Z27" i="16"/>
  <c r="AA75" i="15"/>
  <c r="AB19" i="16"/>
  <c r="Y25" i="15"/>
  <c r="AA27" i="16"/>
  <c r="AD20" i="14"/>
  <c r="Y56" i="16"/>
  <c r="X45" i="16"/>
  <c r="AA43" i="16"/>
  <c r="Z7" i="16"/>
  <c r="X25" i="15"/>
  <c r="AB32" i="16"/>
  <c r="Z76" i="15"/>
  <c r="AB16" i="15"/>
  <c r="Y43" i="16"/>
  <c r="Z52" i="15"/>
  <c r="AA27" i="15"/>
  <c r="X25" i="16"/>
  <c r="Y53" i="15"/>
  <c r="X29" i="15"/>
  <c r="AA49" i="15"/>
  <c r="Y55" i="16"/>
  <c r="X15" i="15"/>
  <c r="AB66" i="15"/>
  <c r="AH11" i="15"/>
  <c r="AA47" i="16"/>
  <c r="AA24" i="15"/>
  <c r="AB42" i="16"/>
  <c r="AB31" i="15"/>
  <c r="AA37" i="16"/>
  <c r="Y31" i="15"/>
  <c r="X18" i="15"/>
  <c r="AB35" i="16"/>
  <c r="Z39" i="16"/>
  <c r="AH17" i="15"/>
  <c r="X57" i="15"/>
  <c r="AB37" i="15"/>
  <c r="Z10" i="16"/>
  <c r="AB44" i="16"/>
  <c r="AA20" i="15"/>
  <c r="X48" i="15"/>
  <c r="Y76" i="15"/>
  <c r="AB57" i="15"/>
  <c r="Y5" i="15"/>
  <c r="Y75" i="15"/>
  <c r="AB38" i="16"/>
  <c r="Y36" i="16"/>
  <c r="AH15" i="15"/>
  <c r="X50" i="16"/>
  <c r="X36" i="16"/>
  <c r="X66" i="15"/>
  <c r="Y62" i="15"/>
  <c r="Z36" i="15"/>
  <c r="AA15" i="15"/>
  <c r="AB18" i="16"/>
  <c r="Y34" i="15"/>
  <c r="AB43" i="16"/>
  <c r="X79" i="15"/>
  <c r="Z12" i="15"/>
  <c r="Z25" i="16"/>
  <c r="X28" i="15"/>
  <c r="Y68" i="15"/>
  <c r="AA29" i="16"/>
  <c r="Z78" i="15"/>
  <c r="Y16" i="15"/>
  <c r="AH13" i="15"/>
  <c r="Z39" i="15"/>
  <c r="Z16" i="16"/>
  <c r="Z45" i="16"/>
  <c r="Y49" i="16"/>
  <c r="Y70" i="15"/>
  <c r="Z20" i="16"/>
  <c r="AA6" i="15"/>
  <c r="AA14" i="15"/>
  <c r="AA31" i="15"/>
  <c r="AB64" i="15"/>
  <c r="AA3" i="15"/>
  <c r="X11" i="16"/>
  <c r="X55" i="15"/>
  <c r="AA79" i="15"/>
  <c r="X32" i="16"/>
  <c r="Z32" i="16"/>
  <c r="Y44" i="15"/>
  <c r="AA38" i="15"/>
  <c r="Y10" i="16"/>
  <c r="Y38" i="16"/>
  <c r="AB21" i="15"/>
  <c r="AA36" i="15"/>
  <c r="AB37" i="16"/>
  <c r="Z20" i="15"/>
  <c r="AA10" i="15"/>
  <c r="Z6" i="15"/>
  <c r="AA8" i="15"/>
  <c r="Y63" i="15"/>
  <c r="X36" i="15"/>
  <c r="Z46" i="15"/>
  <c r="AB33" i="16"/>
  <c r="Y52" i="16"/>
  <c r="AA41" i="16"/>
  <c r="AD16" i="14"/>
  <c r="Z49" i="15"/>
  <c r="X58" i="16"/>
  <c r="X20" i="15"/>
  <c r="AB78" i="15"/>
  <c r="AA22" i="16"/>
  <c r="AA77" i="15"/>
  <c r="AB49" i="15"/>
  <c r="AB46" i="15"/>
  <c r="X8" i="16"/>
  <c r="Y14" i="16"/>
  <c r="AA25" i="15"/>
  <c r="Z12" i="16"/>
  <c r="Y49" i="15"/>
  <c r="AB11" i="15"/>
  <c r="Y65" i="15"/>
  <c r="X73" i="15"/>
  <c r="AA73" i="15"/>
  <c r="Z66" i="15"/>
  <c r="AB44" i="15"/>
  <c r="AA12" i="15"/>
  <c r="Z21" i="16"/>
  <c r="Z37" i="16"/>
  <c r="Y15" i="15"/>
  <c r="AA43" i="15"/>
  <c r="X24" i="16"/>
  <c r="X63" i="15"/>
  <c r="AA7" i="15"/>
  <c r="AB52" i="16"/>
  <c r="Z18" i="16"/>
  <c r="X62" i="15"/>
  <c r="Z10" i="15"/>
  <c r="Z29" i="15"/>
  <c r="Z40" i="16"/>
  <c r="X61" i="15"/>
  <c r="Y50" i="15"/>
  <c r="AB11" i="16"/>
  <c r="X47" i="16"/>
  <c r="Z33" i="15"/>
  <c r="Z24" i="16"/>
  <c r="AA46" i="15"/>
  <c r="Z14" i="16"/>
  <c r="AA48" i="15"/>
  <c r="X28" i="16"/>
  <c r="AA13" i="15"/>
  <c r="Y12" i="16"/>
  <c r="X44" i="15"/>
  <c r="X55" i="16"/>
  <c r="AB62" i="15"/>
  <c r="X51" i="16"/>
  <c r="AA3" i="16"/>
  <c r="AA67" i="15"/>
  <c r="Y34" i="16"/>
  <c r="Y41" i="16"/>
  <c r="Z52" i="16"/>
  <c r="AB17" i="15"/>
  <c r="Y23" i="15"/>
  <c r="Y40" i="15"/>
  <c r="AB27" i="16"/>
  <c r="X33" i="15"/>
  <c r="AH18" i="15"/>
  <c r="AB18" i="15"/>
  <c r="AB75" i="15"/>
  <c r="Y30" i="16"/>
  <c r="AA18" i="16"/>
  <c r="AA53" i="16"/>
  <c r="AB13" i="15"/>
  <c r="X10" i="15"/>
  <c r="X23" i="15"/>
  <c r="Y18" i="15"/>
  <c r="Y78" i="15"/>
  <c r="X42" i="15"/>
  <c r="X40" i="16"/>
  <c r="X9" i="15"/>
  <c r="Y61" i="15"/>
  <c r="AA69" i="15"/>
  <c r="Y6" i="15"/>
  <c r="X46" i="15"/>
  <c r="AA38" i="16"/>
  <c r="AB54" i="16"/>
  <c r="X5" i="15"/>
  <c r="X7" i="15"/>
  <c r="AB41" i="15"/>
  <c r="Z31" i="16"/>
  <c r="AB28" i="16"/>
  <c r="AA14" i="16"/>
  <c r="AA35" i="15"/>
  <c r="AA44" i="15"/>
  <c r="Z31" i="15"/>
  <c r="Y21" i="15"/>
  <c r="Z65" i="15"/>
  <c r="AD15" i="14"/>
  <c r="AA52" i="16"/>
  <c r="AB5" i="16"/>
  <c r="AB30" i="16"/>
  <c r="Y25" i="16"/>
  <c r="AA6" i="16"/>
  <c r="AB12" i="16"/>
  <c r="X76" i="15"/>
  <c r="X50" i="15"/>
  <c r="AA11" i="15"/>
  <c r="AD13" i="14"/>
  <c r="Y37" i="16"/>
  <c r="Z44" i="15"/>
  <c r="Z74" i="15"/>
  <c r="X68" i="15"/>
  <c r="AA57" i="16"/>
  <c r="X35" i="15"/>
  <c r="AA36" i="16"/>
  <c r="Z17" i="15"/>
  <c r="X78" i="15"/>
  <c r="Z16" i="15"/>
  <c r="Z56" i="16"/>
  <c r="AA17" i="16"/>
  <c r="Y21" i="16"/>
  <c r="Z7" i="15"/>
  <c r="AB7" i="16"/>
  <c r="Z29" i="16"/>
  <c r="X51" i="15"/>
  <c r="AA61" i="15"/>
  <c r="Z26" i="15"/>
  <c r="AA31" i="16"/>
  <c r="Y64" i="15"/>
  <c r="AA4" i="16"/>
  <c r="Y8" i="16"/>
  <c r="Y24" i="16"/>
  <c r="AB42" i="15"/>
  <c r="Z6" i="16"/>
  <c r="AA56" i="16"/>
  <c r="Y33" i="15"/>
  <c r="X67" i="15"/>
  <c r="AB73" i="15"/>
  <c r="X41" i="16"/>
  <c r="AB22" i="15"/>
  <c r="AA37" i="15"/>
  <c r="AA11" i="16"/>
  <c r="Z50" i="16"/>
  <c r="X60" i="15"/>
  <c r="AA9" i="15"/>
  <c r="Y47" i="16"/>
  <c r="Z38" i="16"/>
  <c r="AB39" i="15"/>
  <c r="AD14" i="14"/>
  <c r="X13" i="16"/>
  <c r="AA41" i="15"/>
  <c r="X54" i="16"/>
  <c r="AB48" i="15"/>
  <c r="AF13" i="16"/>
  <c r="Z54" i="15"/>
  <c r="AA30" i="15"/>
  <c r="AB25" i="16"/>
  <c r="Y11" i="15"/>
  <c r="AA55" i="15"/>
  <c r="AA44" i="16"/>
  <c r="AB45" i="15"/>
  <c r="Z56" i="15"/>
  <c r="Y42" i="16"/>
  <c r="AA55" i="16"/>
  <c r="X22" i="15"/>
  <c r="AB24" i="15"/>
  <c r="Y57" i="16"/>
  <c r="X43" i="16"/>
  <c r="AA68" i="15"/>
  <c r="Z34" i="15"/>
  <c r="AB29" i="16"/>
  <c r="AB23" i="14"/>
  <c r="Z24" i="15"/>
  <c r="X53" i="15"/>
  <c r="AH22" i="15"/>
  <c r="Y27" i="16"/>
  <c r="X13" i="15"/>
  <c r="X49" i="15"/>
  <c r="AB15" i="16"/>
  <c r="AB67" i="15"/>
  <c r="AB68" i="15"/>
  <c r="Z38" i="15"/>
  <c r="AB39" i="16"/>
  <c r="AB52" i="15"/>
  <c r="AB15" i="15"/>
  <c r="Z32" i="15"/>
  <c r="X6" i="15"/>
  <c r="AB23" i="16"/>
  <c r="AB60" i="15"/>
  <c r="Y28" i="15"/>
  <c r="AA49" i="16"/>
  <c r="X15" i="16"/>
  <c r="Z30" i="15"/>
  <c r="Z57" i="16"/>
  <c r="X56" i="16"/>
  <c r="X64" i="15"/>
  <c r="Y3" i="16"/>
  <c r="X77" i="15"/>
  <c r="Z79" i="15"/>
  <c r="AA42" i="15"/>
  <c r="AA18" i="15"/>
  <c r="AB22" i="16"/>
  <c r="AA47" i="15"/>
  <c r="AA32" i="16"/>
  <c r="X34" i="15"/>
  <c r="AB46" i="16"/>
  <c r="AB6" i="15"/>
  <c r="Z71" i="15"/>
  <c r="Z55" i="15"/>
  <c r="Z21" i="15"/>
  <c r="AB50" i="16"/>
  <c r="Z72" i="15"/>
  <c r="Z48" i="15"/>
  <c r="AB26" i="15"/>
  <c r="AH16" i="15"/>
  <c r="Y77" i="15"/>
  <c r="Z3" i="16"/>
  <c r="AA65" i="15"/>
  <c r="AB56" i="16"/>
  <c r="Y37" i="15"/>
  <c r="AA15" i="16"/>
  <c r="Y46" i="16"/>
  <c r="Y58" i="16"/>
  <c r="AB61" i="15"/>
  <c r="X46" i="16"/>
  <c r="Z4" i="16"/>
  <c r="X70" i="15"/>
  <c r="X52" i="15"/>
  <c r="Y71" i="15"/>
  <c r="AB28" i="15"/>
  <c r="Z47" i="15"/>
  <c r="AA16" i="15"/>
  <c r="X11" i="15"/>
  <c r="AA63" i="15"/>
  <c r="AD19" i="14"/>
  <c r="AB30" i="15"/>
  <c r="AB31" i="16"/>
  <c r="Z63" i="15"/>
  <c r="Y22" i="16"/>
  <c r="Z15" i="15"/>
  <c r="AB51" i="15"/>
  <c r="Y20" i="15"/>
  <c r="Z40" i="15"/>
  <c r="Y17" i="16"/>
  <c r="AB70" i="15"/>
  <c r="AA29" i="15"/>
  <c r="Y43" i="15"/>
  <c r="AD22" i="14"/>
  <c r="Y57" i="15"/>
  <c r="X20" i="16"/>
  <c r="Y10" i="15"/>
  <c r="AA52" i="15"/>
  <c r="Z48" i="16"/>
  <c r="AB32" i="15"/>
  <c r="Z9" i="16"/>
  <c r="AA60" i="15"/>
  <c r="X7" i="16"/>
  <c r="Z14" i="15"/>
  <c r="X17" i="16"/>
  <c r="AB36" i="15"/>
  <c r="AB35" i="15"/>
  <c r="Y39" i="15"/>
  <c r="Z46" i="16"/>
  <c r="AA24" i="16"/>
  <c r="AB58" i="16"/>
  <c r="X40" i="15"/>
  <c r="Z30" i="16"/>
  <c r="AA26" i="16"/>
  <c r="Z15" i="16"/>
  <c r="Z51" i="16"/>
  <c r="X19" i="16"/>
  <c r="Z73" i="15"/>
  <c r="AA71" i="15"/>
  <c r="Z3" i="15"/>
  <c r="Z18" i="15"/>
  <c r="AB21" i="16"/>
  <c r="Y55" i="15"/>
  <c r="AA5" i="16"/>
  <c r="AA10" i="16"/>
  <c r="AB20" i="15"/>
  <c r="X39" i="16"/>
  <c r="Z37" i="15"/>
  <c r="X4" i="16"/>
  <c r="Y39" i="16"/>
  <c r="AA17" i="15"/>
  <c r="Z19" i="15"/>
  <c r="Y7" i="16"/>
  <c r="AA58" i="16"/>
  <c r="AA72" i="15"/>
  <c r="Y23" i="16"/>
  <c r="X22" i="16"/>
  <c r="X43" i="15"/>
  <c r="AB53" i="15"/>
  <c r="AB48" i="16"/>
  <c r="Z75" i="15"/>
  <c r="Y48" i="16"/>
  <c r="AA28" i="15"/>
  <c r="AA22" i="15"/>
  <c r="Y36" i="15"/>
  <c r="X42" i="16"/>
  <c r="AB3" i="16"/>
  <c r="AA9" i="16"/>
  <c r="Y54" i="15"/>
  <c r="Y32" i="15"/>
  <c r="X30" i="16"/>
  <c r="Z13" i="15"/>
  <c r="AA45" i="15"/>
  <c r="X26" i="15"/>
  <c r="AB5" i="15"/>
  <c r="AA76" i="15"/>
  <c r="Y33" i="16"/>
  <c r="X23" i="16"/>
  <c r="AB17" i="16"/>
  <c r="X58" i="15"/>
  <c r="Y29" i="15"/>
  <c r="Y44" i="16"/>
  <c r="AB65" i="15"/>
  <c r="X16" i="16"/>
  <c r="Z67" i="15"/>
  <c r="Y14" i="15"/>
  <c r="Y29" i="16"/>
  <c r="Y20" i="16"/>
  <c r="Z9" i="15"/>
  <c r="AB19" i="15"/>
  <c r="X41" i="15"/>
  <c r="Z8" i="15"/>
  <c r="AB76" i="15"/>
  <c r="Z57" i="15"/>
  <c r="X37" i="16"/>
  <c r="AB40" i="16"/>
  <c r="X29" i="16"/>
  <c r="AA28" i="16"/>
  <c r="Z58" i="16"/>
  <c r="Y19" i="16"/>
  <c r="AB69" i="15"/>
  <c r="Y8" i="15"/>
  <c r="Y19" i="15"/>
  <c r="Z50" i="15"/>
  <c r="AB36" i="16"/>
  <c r="Z23" i="16"/>
  <c r="X49" i="16"/>
  <c r="Z34" i="16"/>
  <c r="AF17" i="14" l="1"/>
  <c r="AJ14" i="15"/>
  <c r="AJ20" i="15"/>
  <c r="AF14" i="14"/>
  <c r="AF18" i="14"/>
  <c r="AJ18" i="15"/>
  <c r="AJ21" i="15"/>
  <c r="AJ16" i="15"/>
  <c r="AF12" i="14"/>
  <c r="AF16" i="14"/>
  <c r="AJ17" i="15"/>
  <c r="AF15" i="14"/>
  <c r="AJ19" i="15"/>
  <c r="AF20" i="14"/>
  <c r="AJ15" i="15"/>
  <c r="AJ11" i="15"/>
  <c r="AF21" i="14"/>
  <c r="AJ13" i="15"/>
  <c r="AF19" i="14"/>
  <c r="AF13" i="14"/>
  <c r="AJ11" i="16"/>
  <c r="H28" i="15"/>
  <c r="I28" i="15"/>
  <c r="AJ22" i="15"/>
  <c r="AF22" i="14"/>
  <c r="V19" i="16"/>
  <c r="V57" i="16"/>
  <c r="V7" i="16"/>
  <c r="V17" i="16"/>
  <c r="V5" i="16"/>
  <c r="V54" i="16"/>
  <c r="V28" i="16"/>
  <c r="V35" i="15"/>
  <c r="V70" i="15"/>
  <c r="V9" i="15"/>
  <c r="V47" i="15"/>
  <c r="V27" i="15"/>
  <c r="V59" i="15"/>
  <c r="V54" i="15"/>
  <c r="V38" i="15"/>
  <c r="V14" i="15"/>
  <c r="V10" i="16"/>
  <c r="V16" i="16"/>
  <c r="V32" i="16"/>
  <c r="V14" i="16"/>
  <c r="V42" i="16"/>
  <c r="V37" i="16"/>
  <c r="V11" i="16"/>
  <c r="V53" i="15"/>
  <c r="V56" i="15"/>
  <c r="V13" i="15"/>
  <c r="V50" i="15"/>
  <c r="V32" i="15"/>
  <c r="V71" i="15"/>
  <c r="V21" i="15"/>
  <c r="V12" i="15"/>
  <c r="V67" i="15"/>
  <c r="V25" i="16"/>
  <c r="V13" i="16"/>
  <c r="V23" i="16"/>
  <c r="V43" i="16"/>
  <c r="V46" i="16"/>
  <c r="V20" i="16"/>
  <c r="V3" i="16"/>
  <c r="V69" i="15"/>
  <c r="V51" i="15"/>
  <c r="V22" i="15"/>
  <c r="V3" i="15"/>
  <c r="V66" i="15"/>
  <c r="V4" i="15"/>
  <c r="V41" i="15"/>
  <c r="V25" i="15"/>
  <c r="V79" i="15"/>
  <c r="V50" i="16"/>
  <c r="V31" i="16"/>
  <c r="V41" i="16"/>
  <c r="V52" i="16"/>
  <c r="V55" i="16"/>
  <c r="V29" i="16"/>
  <c r="V12" i="16"/>
  <c r="V72" i="15"/>
  <c r="V76" i="15"/>
  <c r="V61" i="15"/>
  <c r="V46" i="15"/>
  <c r="V5" i="15"/>
  <c r="V75" i="15"/>
  <c r="V43" i="15"/>
  <c r="V45" i="15"/>
  <c r="V74" i="15"/>
  <c r="V39" i="15"/>
  <c r="V26" i="16"/>
  <c r="V58" i="16"/>
  <c r="V6" i="16"/>
  <c r="V9" i="16"/>
  <c r="V38" i="16"/>
  <c r="V21" i="16"/>
  <c r="V34" i="16"/>
  <c r="V24" i="15"/>
  <c r="V29" i="15"/>
  <c r="V31" i="15"/>
  <c r="V55" i="15"/>
  <c r="V33" i="15"/>
  <c r="V57" i="15"/>
  <c r="V37" i="15"/>
  <c r="V65" i="15"/>
  <c r="V7" i="15"/>
  <c r="V28" i="15"/>
  <c r="V4" i="16"/>
  <c r="V15" i="16"/>
  <c r="V27" i="16"/>
  <c r="V47" i="16"/>
  <c r="V30" i="16"/>
  <c r="V35" i="16"/>
  <c r="V22" i="16"/>
  <c r="V44" i="15"/>
  <c r="V15" i="15"/>
  <c r="V16" i="15"/>
  <c r="V49" i="15"/>
  <c r="V6" i="15"/>
  <c r="V23" i="15"/>
  <c r="V11" i="15"/>
  <c r="V78" i="15"/>
  <c r="V19" i="15"/>
  <c r="V36" i="15"/>
  <c r="V24" i="16"/>
  <c r="V36" i="16"/>
  <c r="V56" i="16"/>
  <c r="V39" i="16"/>
  <c r="V44" i="16"/>
  <c r="V40" i="16"/>
  <c r="V33" i="16"/>
  <c r="V42" i="15"/>
  <c r="V10" i="15"/>
  <c r="V17" i="15"/>
  <c r="V68" i="15"/>
  <c r="V18" i="15"/>
  <c r="V77" i="15"/>
  <c r="V64" i="15"/>
  <c r="V52" i="15"/>
  <c r="V62" i="15"/>
  <c r="V48" i="15"/>
  <c r="V45" i="16"/>
  <c r="V18" i="16"/>
  <c r="V48" i="16"/>
  <c r="V53" i="16"/>
  <c r="V49" i="16"/>
  <c r="V51" i="16"/>
  <c r="V8" i="16"/>
  <c r="V34" i="15"/>
  <c r="V20" i="15"/>
  <c r="V8" i="15"/>
  <c r="V63" i="15"/>
  <c r="V30" i="15"/>
  <c r="V58" i="15"/>
  <c r="V73" i="15"/>
  <c r="V26" i="15"/>
  <c r="V40" i="15"/>
  <c r="V60" i="15"/>
  <c r="S11" i="14"/>
  <c r="S19" i="14"/>
  <c r="S28" i="14"/>
  <c r="S45" i="14"/>
  <c r="S7" i="14"/>
  <c r="S40" i="14"/>
  <c r="S15" i="14"/>
  <c r="S21" i="14"/>
  <c r="S29" i="14"/>
  <c r="S46" i="14"/>
  <c r="S8" i="14"/>
  <c r="S25" i="14"/>
  <c r="S14" i="14"/>
  <c r="S23" i="14"/>
  <c r="S30" i="14"/>
  <c r="S38" i="14"/>
  <c r="S55" i="14"/>
  <c r="S17" i="14"/>
  <c r="S50" i="14"/>
  <c r="S33" i="14"/>
  <c r="S52" i="14"/>
  <c r="S42" i="14"/>
  <c r="S12" i="14"/>
  <c r="S20" i="14"/>
  <c r="S37" i="14"/>
  <c r="S54" i="14"/>
  <c r="S16" i="14"/>
  <c r="S3" i="14"/>
  <c r="S49" i="14"/>
  <c r="S39" i="14"/>
  <c r="S47" i="14"/>
  <c r="S9" i="14"/>
  <c r="S13" i="14"/>
  <c r="S51" i="14"/>
  <c r="S24" i="14"/>
  <c r="S18" i="14"/>
  <c r="S44" i="14"/>
  <c r="S4" i="14"/>
  <c r="S48" i="14"/>
  <c r="S57" i="14"/>
  <c r="S43" i="14"/>
  <c r="S59" i="14"/>
  <c r="S56" i="14"/>
  <c r="S53" i="14"/>
  <c r="S31" i="14"/>
  <c r="S26" i="14"/>
  <c r="S32" i="14"/>
  <c r="S5" i="14"/>
  <c r="S27" i="14"/>
  <c r="S58" i="14"/>
  <c r="S34" i="14"/>
  <c r="S6" i="14"/>
  <c r="S22" i="14"/>
  <c r="S10" i="14"/>
  <c r="S35" i="14"/>
  <c r="S36" i="14"/>
  <c r="S41" i="14"/>
  <c r="X6" i="14"/>
  <c r="U28" i="14"/>
  <c r="W7" i="14"/>
  <c r="T44" i="14"/>
  <c r="U9" i="14"/>
  <c r="V25" i="14"/>
  <c r="W48" i="14"/>
  <c r="V52" i="14"/>
  <c r="X27" i="14"/>
  <c r="V22" i="14"/>
  <c r="V44" i="14"/>
  <c r="T45" i="14"/>
  <c r="T48" i="14"/>
  <c r="T43" i="14"/>
  <c r="U17" i="14"/>
  <c r="V15" i="14"/>
  <c r="T38" i="14"/>
  <c r="AH12" i="16"/>
  <c r="U27" i="14"/>
  <c r="W26" i="14"/>
  <c r="T49" i="14"/>
  <c r="W28" i="14"/>
  <c r="X13" i="14"/>
  <c r="U12" i="14"/>
  <c r="V12" i="14"/>
  <c r="X19" i="14"/>
  <c r="U41" i="14"/>
  <c r="W35" i="14"/>
  <c r="T29" i="14"/>
  <c r="V6" i="14"/>
  <c r="V47" i="14"/>
  <c r="W56" i="14"/>
  <c r="U16" i="14"/>
  <c r="U44" i="14"/>
  <c r="U32" i="14"/>
  <c r="X22" i="14"/>
  <c r="W46" i="14"/>
  <c r="W10" i="14"/>
  <c r="W6" i="14"/>
  <c r="V37" i="14"/>
  <c r="X40" i="14"/>
  <c r="T37" i="14"/>
  <c r="U30" i="14"/>
  <c r="T41" i="14"/>
  <c r="U3" i="14"/>
  <c r="W20" i="14"/>
  <c r="X53" i="14"/>
  <c r="V3" i="14"/>
  <c r="V41" i="14"/>
  <c r="T18" i="14"/>
  <c r="AH13" i="16"/>
  <c r="W39" i="14"/>
  <c r="V26" i="14"/>
  <c r="V27" i="14"/>
  <c r="W19" i="14"/>
  <c r="T59" i="14"/>
  <c r="T31" i="14"/>
  <c r="X17" i="14"/>
  <c r="W43" i="14"/>
  <c r="V35" i="14"/>
  <c r="W29" i="14"/>
  <c r="T7" i="14"/>
  <c r="V39" i="14"/>
  <c r="X9" i="14"/>
  <c r="X8" i="14"/>
  <c r="T19" i="14"/>
  <c r="U23" i="14"/>
  <c r="AH23" i="16"/>
  <c r="X26" i="14"/>
  <c r="V54" i="14"/>
  <c r="X5" i="14"/>
  <c r="T35" i="14"/>
  <c r="U15" i="14"/>
  <c r="U58" i="14"/>
  <c r="V40" i="14"/>
  <c r="U11" i="14"/>
  <c r="W12" i="14"/>
  <c r="V48" i="14"/>
  <c r="T51" i="14"/>
  <c r="T46" i="14"/>
  <c r="X37" i="14"/>
  <c r="X41" i="14"/>
  <c r="U59" i="14"/>
  <c r="V53" i="14"/>
  <c r="U48" i="14"/>
  <c r="U52" i="14"/>
  <c r="W4" i="14"/>
  <c r="X18" i="14"/>
  <c r="V49" i="14"/>
  <c r="U18" i="14"/>
  <c r="T8" i="14"/>
  <c r="U38" i="14"/>
  <c r="X24" i="14"/>
  <c r="W16" i="14"/>
  <c r="U26" i="14"/>
  <c r="W40" i="14"/>
  <c r="X23" i="14"/>
  <c r="U6" i="14"/>
  <c r="W13" i="14"/>
  <c r="T23" i="14"/>
  <c r="V4" i="14"/>
  <c r="X58" i="14"/>
  <c r="V19" i="14"/>
  <c r="U20" i="14"/>
  <c r="W37" i="14"/>
  <c r="X35" i="14"/>
  <c r="X32" i="14"/>
  <c r="T21" i="14"/>
  <c r="T33" i="14"/>
  <c r="U42" i="14"/>
  <c r="T54" i="14"/>
  <c r="T22" i="14"/>
  <c r="X34" i="14"/>
  <c r="T34" i="14"/>
  <c r="V11" i="14"/>
  <c r="T50" i="14"/>
  <c r="X30" i="14"/>
  <c r="V36" i="14"/>
  <c r="AF14" i="16"/>
  <c r="W3" i="14"/>
  <c r="U37" i="14"/>
  <c r="T47" i="14"/>
  <c r="W52" i="14"/>
  <c r="W25" i="14"/>
  <c r="U34" i="14"/>
  <c r="U7" i="14"/>
  <c r="X12" i="14"/>
  <c r="T53" i="14"/>
  <c r="X39" i="14"/>
  <c r="U36" i="14"/>
  <c r="T3" i="14"/>
  <c r="X20" i="14"/>
  <c r="V50" i="14"/>
  <c r="V38" i="14"/>
  <c r="V18" i="14"/>
  <c r="V43" i="14"/>
  <c r="U29" i="14"/>
  <c r="W58" i="14"/>
  <c r="W36" i="14"/>
  <c r="X10" i="14"/>
  <c r="U10" i="14"/>
  <c r="X43" i="14"/>
  <c r="V20" i="14"/>
  <c r="U47" i="14"/>
  <c r="U19" i="14"/>
  <c r="V13" i="14"/>
  <c r="U14" i="14"/>
  <c r="T40" i="14"/>
  <c r="T36" i="14"/>
  <c r="T26" i="14"/>
  <c r="V17" i="14"/>
  <c r="U4" i="14"/>
  <c r="X54" i="14"/>
  <c r="T11" i="14"/>
  <c r="T15" i="14"/>
  <c r="AH23" i="15"/>
  <c r="X28" i="14"/>
  <c r="V59" i="14"/>
  <c r="C29" i="15"/>
  <c r="U53" i="14"/>
  <c r="U40" i="14"/>
  <c r="W47" i="14"/>
  <c r="T14" i="14"/>
  <c r="X46" i="14"/>
  <c r="X44" i="14"/>
  <c r="W30" i="14"/>
  <c r="W50" i="14"/>
  <c r="U25" i="14"/>
  <c r="V14" i="14"/>
  <c r="W14" i="14"/>
  <c r="W34" i="14"/>
  <c r="U33" i="14"/>
  <c r="U49" i="14"/>
  <c r="W49" i="14"/>
  <c r="W55" i="14"/>
  <c r="T12" i="14"/>
  <c r="T55" i="14"/>
  <c r="V34" i="14"/>
  <c r="V45" i="14"/>
  <c r="V21" i="14"/>
  <c r="V57" i="14"/>
  <c r="V46" i="14"/>
  <c r="V42" i="14"/>
  <c r="T9" i="14"/>
  <c r="W57" i="14"/>
  <c r="U8" i="14"/>
  <c r="X11" i="14"/>
  <c r="X3" i="14"/>
  <c r="X56" i="14"/>
  <c r="V16" i="14"/>
  <c r="U57" i="14"/>
  <c r="V23" i="14"/>
  <c r="W33" i="14"/>
  <c r="W17" i="14"/>
  <c r="W21" i="14"/>
  <c r="V33" i="14"/>
  <c r="X49" i="14"/>
  <c r="W15" i="14"/>
  <c r="W41" i="14"/>
  <c r="X50" i="14"/>
  <c r="U21" i="14"/>
  <c r="U39" i="14"/>
  <c r="V28" i="14"/>
  <c r="V10" i="14"/>
  <c r="X29" i="14"/>
  <c r="W42" i="14"/>
  <c r="W27" i="14"/>
  <c r="X52" i="14"/>
  <c r="W38" i="14"/>
  <c r="W18" i="14"/>
  <c r="V56" i="14"/>
  <c r="X25" i="14"/>
  <c r="X55" i="14"/>
  <c r="X45" i="14"/>
  <c r="W23" i="14"/>
  <c r="W44" i="14"/>
  <c r="T52" i="14"/>
  <c r="V32" i="14"/>
  <c r="V58" i="14"/>
  <c r="W31" i="14"/>
  <c r="X21" i="14"/>
  <c r="V51" i="14"/>
  <c r="W51" i="14"/>
  <c r="W53" i="14"/>
  <c r="T10" i="14"/>
  <c r="U54" i="14"/>
  <c r="X14" i="14"/>
  <c r="X48" i="14"/>
  <c r="C30" i="15"/>
  <c r="V55" i="14"/>
  <c r="T13" i="14"/>
  <c r="W9" i="14"/>
  <c r="T16" i="14"/>
  <c r="U45" i="14"/>
  <c r="W24" i="14"/>
  <c r="U5" i="14"/>
  <c r="U51" i="14"/>
  <c r="U13" i="14"/>
  <c r="T28" i="14"/>
  <c r="T57" i="14"/>
  <c r="T24" i="14"/>
  <c r="W8" i="14"/>
  <c r="X57" i="14"/>
  <c r="U50" i="14"/>
  <c r="T5" i="14"/>
  <c r="X33" i="14"/>
  <c r="T17" i="14"/>
  <c r="V9" i="14"/>
  <c r="W45" i="14"/>
  <c r="T30" i="14"/>
  <c r="U22" i="14"/>
  <c r="V7" i="14"/>
  <c r="W22" i="14"/>
  <c r="W11" i="14"/>
  <c r="V5" i="14"/>
  <c r="T20" i="14"/>
  <c r="X47" i="14"/>
  <c r="X38" i="14"/>
  <c r="X42" i="14"/>
  <c r="AD23" i="14"/>
  <c r="W54" i="14"/>
  <c r="X15" i="14"/>
  <c r="U43" i="14"/>
  <c r="X7" i="14"/>
  <c r="T27" i="14"/>
  <c r="V24" i="14"/>
  <c r="T42" i="14"/>
  <c r="V31" i="14"/>
  <c r="X51" i="14"/>
  <c r="W59" i="14"/>
  <c r="T56" i="14"/>
  <c r="U56" i="14"/>
  <c r="V29" i="14"/>
  <c r="X16" i="14"/>
  <c r="U24" i="14"/>
  <c r="T4" i="14"/>
  <c r="U35" i="14"/>
  <c r="W5" i="14"/>
  <c r="V30" i="14"/>
  <c r="U46" i="14"/>
  <c r="T32" i="14"/>
  <c r="T6" i="14"/>
  <c r="T25" i="14"/>
  <c r="T39" i="14"/>
  <c r="X59" i="14"/>
  <c r="X36" i="14"/>
  <c r="V8" i="14"/>
  <c r="X31" i="14"/>
  <c r="X4" i="14"/>
  <c r="U55" i="14"/>
  <c r="T58" i="14"/>
  <c r="W32" i="14"/>
  <c r="U31" i="14"/>
  <c r="I29" i="15" l="1"/>
  <c r="H29" i="15"/>
  <c r="AJ12" i="16"/>
  <c r="I30" i="15"/>
  <c r="H30" i="15"/>
  <c r="AJ23" i="15"/>
  <c r="AF23" i="14"/>
  <c r="AJ13" i="16"/>
  <c r="AJ23" i="16"/>
  <c r="R36" i="14"/>
  <c r="R5" i="14"/>
  <c r="R57" i="14"/>
  <c r="R9" i="14"/>
  <c r="R20" i="14"/>
  <c r="R38" i="14"/>
  <c r="R21" i="14"/>
  <c r="R35" i="14"/>
  <c r="R32" i="14"/>
  <c r="R48" i="14"/>
  <c r="R47" i="14"/>
  <c r="R12" i="14"/>
  <c r="R30" i="14"/>
  <c r="R15" i="14"/>
  <c r="R10" i="14"/>
  <c r="R26" i="14"/>
  <c r="R4" i="14"/>
  <c r="R39" i="14"/>
  <c r="R42" i="14"/>
  <c r="R23" i="14"/>
  <c r="R40" i="14"/>
  <c r="R22" i="14"/>
  <c r="R31" i="14"/>
  <c r="R44" i="14"/>
  <c r="R49" i="14"/>
  <c r="R52" i="14"/>
  <c r="R14" i="14"/>
  <c r="R7" i="14"/>
  <c r="R6" i="14"/>
  <c r="R53" i="14"/>
  <c r="R18" i="14"/>
  <c r="R3" i="14"/>
  <c r="R33" i="14"/>
  <c r="R25" i="14"/>
  <c r="R45" i="14"/>
  <c r="R34" i="14"/>
  <c r="R56" i="14"/>
  <c r="R24" i="14"/>
  <c r="R16" i="14"/>
  <c r="R50" i="14"/>
  <c r="R8" i="14"/>
  <c r="R28" i="14"/>
  <c r="R58" i="14"/>
  <c r="R59" i="14"/>
  <c r="R51" i="14"/>
  <c r="R54" i="14"/>
  <c r="R17" i="14"/>
  <c r="R46" i="14"/>
  <c r="R19" i="14"/>
  <c r="R41" i="14"/>
  <c r="R27" i="14"/>
  <c r="R43" i="14"/>
  <c r="R13" i="14"/>
  <c r="R37" i="14"/>
  <c r="R55" i="14"/>
  <c r="R29" i="14"/>
  <c r="R11" i="14"/>
  <c r="C31" i="15"/>
  <c r="C32" i="15" s="1"/>
  <c r="AF15" i="16"/>
  <c r="AH14" i="16"/>
  <c r="I31" i="15" l="1"/>
  <c r="H31" i="15"/>
  <c r="AJ14" i="16"/>
  <c r="H32" i="15"/>
  <c r="I32" i="15"/>
  <c r="C33" i="15"/>
  <c r="AH15" i="16"/>
  <c r="AF16" i="16"/>
  <c r="AJ15" i="16" l="1"/>
  <c r="H33" i="15"/>
  <c r="I33" i="15"/>
  <c r="C34" i="15"/>
  <c r="AH16" i="16"/>
  <c r="AF17" i="16"/>
  <c r="AJ16" i="16" l="1"/>
  <c r="H34" i="15"/>
  <c r="I34" i="15"/>
  <c r="AH17" i="16"/>
  <c r="AF18" i="16"/>
  <c r="C35" i="15"/>
  <c r="AJ17" i="16" l="1"/>
  <c r="I35" i="15"/>
  <c r="H35" i="15"/>
  <c r="AH18" i="16"/>
  <c r="C36" i="15"/>
  <c r="AF19" i="16"/>
  <c r="AJ18" i="16" l="1"/>
  <c r="H36" i="15"/>
  <c r="I36" i="15"/>
  <c r="AH19" i="16"/>
  <c r="C37" i="15"/>
  <c r="AF20" i="16"/>
  <c r="AJ19" i="16" l="1"/>
  <c r="I37" i="15"/>
  <c r="H37" i="15"/>
  <c r="AH20" i="16"/>
  <c r="C38" i="15"/>
  <c r="AF21" i="16"/>
  <c r="AH21" i="16"/>
  <c r="AJ20" i="16" l="1"/>
  <c r="AJ21" i="16"/>
  <c r="I38" i="15"/>
  <c r="H38" i="15"/>
  <c r="AF22" i="16"/>
  <c r="C39" i="15"/>
  <c r="I39" i="15" l="1"/>
  <c r="H39" i="15"/>
  <c r="AH22" i="16"/>
  <c r="C40" i="15"/>
  <c r="AJ22" i="16" l="1"/>
  <c r="H40" i="15"/>
  <c r="I40" i="15"/>
  <c r="C41" i="15"/>
  <c r="H41" i="15" l="1"/>
  <c r="I41" i="15"/>
  <c r="C42" i="15"/>
  <c r="H42" i="15" l="1"/>
  <c r="I42" i="15"/>
  <c r="C43" i="15"/>
  <c r="I43" i="15" l="1"/>
  <c r="H43" i="15"/>
  <c r="C44" i="15"/>
  <c r="H44" i="15" l="1"/>
  <c r="I44" i="15"/>
  <c r="C45" i="15"/>
  <c r="I45" i="15" l="1"/>
  <c r="H45" i="15"/>
  <c r="C46" i="15"/>
  <c r="I46" i="15" l="1"/>
  <c r="H46" i="15"/>
  <c r="D15" i="1"/>
  <c r="D16" i="1"/>
  <c r="C23" i="1"/>
  <c r="Y2" i="14" a="1"/>
  <c r="C24" i="1"/>
  <c r="D24" i="1"/>
  <c r="D25" i="1"/>
  <c r="Y38" i="14" l="1"/>
  <c r="Y18" i="14"/>
  <c r="Y9" i="14"/>
  <c r="Y55" i="14"/>
  <c r="Y16" i="14"/>
  <c r="Y49" i="14"/>
  <c r="Y27" i="14"/>
  <c r="Y35" i="14"/>
  <c r="Y17" i="14"/>
  <c r="Y25" i="14"/>
  <c r="Y30" i="14"/>
  <c r="Y45" i="14"/>
  <c r="Y36" i="14"/>
  <c r="Y44" i="14"/>
  <c r="Y8" i="14"/>
  <c r="Y14" i="14"/>
  <c r="Y12" i="14"/>
  <c r="Y22" i="14"/>
  <c r="Y23" i="14"/>
  <c r="Y59" i="14"/>
  <c r="Y47" i="14"/>
  <c r="Y52" i="14"/>
  <c r="Y39" i="14"/>
  <c r="Y29" i="14"/>
  <c r="Y37" i="14"/>
  <c r="Y48" i="14"/>
  <c r="Y15" i="14"/>
  <c r="Y2" i="14"/>
  <c r="Y54" i="14"/>
  <c r="Y50" i="14"/>
  <c r="Y4" i="14"/>
  <c r="Y26" i="14"/>
  <c r="Y43" i="14"/>
  <c r="Y53" i="14"/>
  <c r="Y28" i="14"/>
  <c r="Y21" i="14"/>
  <c r="Y11" i="14"/>
  <c r="Y34" i="14"/>
  <c r="Y56" i="14"/>
  <c r="Y24" i="14"/>
  <c r="Y58" i="14"/>
  <c r="Y10" i="14"/>
  <c r="Y7" i="14"/>
  <c r="Y6" i="14"/>
  <c r="Y46" i="14"/>
  <c r="Y57" i="14"/>
  <c r="Y13" i="14"/>
  <c r="Y40" i="14"/>
  <c r="Y32" i="14"/>
  <c r="Y20" i="14"/>
  <c r="Y41" i="14"/>
  <c r="Y33" i="14"/>
  <c r="Y3" i="14"/>
  <c r="Y31" i="14"/>
  <c r="Y51" i="14"/>
  <c r="Y19" i="14"/>
  <c r="Y5" i="14"/>
  <c r="Y42" i="14"/>
  <c r="D26" i="1"/>
  <c r="D23" i="1"/>
  <c r="D30" i="1" l="1"/>
  <c r="I15" i="1"/>
  <c r="C38" i="1"/>
  <c r="D38" i="1"/>
  <c r="C39" i="1"/>
  <c r="D39" i="1"/>
  <c r="AC2" i="16" a="1"/>
  <c r="D31" i="1"/>
  <c r="D40" i="1"/>
  <c r="AC45" i="16" l="1"/>
  <c r="AC28" i="16"/>
  <c r="AC9" i="16"/>
  <c r="AC11" i="16"/>
  <c r="AC48" i="16"/>
  <c r="AC16" i="16"/>
  <c r="AC43" i="16"/>
  <c r="AC47" i="16"/>
  <c r="AC40" i="16"/>
  <c r="AC54" i="16"/>
  <c r="AC10" i="16"/>
  <c r="AC3" i="16"/>
  <c r="AC17" i="16"/>
  <c r="AC56" i="16"/>
  <c r="AC57" i="16"/>
  <c r="AC14" i="16"/>
  <c r="AC13" i="16"/>
  <c r="AC34" i="16"/>
  <c r="AC33" i="16"/>
  <c r="AC23" i="16"/>
  <c r="AC24" i="16"/>
  <c r="AC55" i="16"/>
  <c r="AC27" i="16"/>
  <c r="AC18" i="16"/>
  <c r="AC20" i="16"/>
  <c r="AC50" i="16"/>
  <c r="AC51" i="16"/>
  <c r="AC58" i="16"/>
  <c r="AC29" i="16"/>
  <c r="AC4" i="16"/>
  <c r="AC2" i="16"/>
  <c r="AC19" i="16"/>
  <c r="AC46" i="16"/>
  <c r="AC30" i="16"/>
  <c r="AC31" i="16"/>
  <c r="AC12" i="16"/>
  <c r="AC41" i="16"/>
  <c r="AC44" i="16"/>
  <c r="AC21" i="16"/>
  <c r="AC15" i="16"/>
  <c r="AC36" i="16"/>
  <c r="AC53" i="16"/>
  <c r="AC6" i="16"/>
  <c r="AC22" i="16"/>
  <c r="AC42" i="16"/>
  <c r="AC5" i="16"/>
  <c r="AC35" i="16"/>
  <c r="AC25" i="16"/>
  <c r="AC49" i="16"/>
  <c r="AC32" i="16"/>
  <c r="AC37" i="16"/>
  <c r="AC26" i="16"/>
  <c r="AC38" i="16"/>
  <c r="AC8" i="16"/>
  <c r="AC7" i="16"/>
  <c r="AC39" i="16"/>
  <c r="AC52" i="16"/>
  <c r="AC2" i="15" a="1"/>
  <c r="AC25" i="15" l="1"/>
  <c r="AC7" i="15"/>
  <c r="AC54" i="15"/>
  <c r="AC15" i="15"/>
  <c r="AC58" i="15"/>
  <c r="AC36" i="15"/>
  <c r="AC27" i="15"/>
  <c r="AC38" i="15"/>
  <c r="AC9" i="15"/>
  <c r="AC30" i="15"/>
  <c r="AC51" i="15"/>
  <c r="AC64" i="15"/>
  <c r="AC75" i="15"/>
  <c r="AC22" i="15"/>
  <c r="AC62" i="15"/>
  <c r="AC31" i="15"/>
  <c r="AC41" i="15"/>
  <c r="AC24" i="15"/>
  <c r="AC65" i="15"/>
  <c r="AC26" i="15"/>
  <c r="AC59" i="15"/>
  <c r="AC76" i="15"/>
  <c r="AC10" i="15"/>
  <c r="AC68" i="15"/>
  <c r="AC47" i="15"/>
  <c r="AC14" i="15"/>
  <c r="AC71" i="15"/>
  <c r="AC66" i="15"/>
  <c r="AC52" i="15"/>
  <c r="AC12" i="15"/>
  <c r="AC53" i="15"/>
  <c r="AC29" i="15"/>
  <c r="AC6" i="15"/>
  <c r="AC13" i="15"/>
  <c r="AC40" i="15"/>
  <c r="AC20" i="15"/>
  <c r="AC49" i="15"/>
  <c r="AC2" i="15"/>
  <c r="AC16" i="15"/>
  <c r="AC45" i="15"/>
  <c r="AC35" i="15"/>
  <c r="AC61" i="15"/>
  <c r="AC48" i="15"/>
  <c r="AC56" i="15"/>
  <c r="AC57" i="15"/>
  <c r="AC78" i="15"/>
  <c r="AC23" i="15"/>
  <c r="AC79" i="15"/>
  <c r="AC42" i="15"/>
  <c r="AC46" i="15"/>
  <c r="AC8" i="15"/>
  <c r="AC39" i="15"/>
  <c r="AC37" i="15"/>
  <c r="AC18" i="15"/>
  <c r="AC4" i="15"/>
  <c r="AC19" i="15"/>
  <c r="AC69" i="15"/>
  <c r="AC17" i="15"/>
  <c r="AC3" i="15"/>
  <c r="AC74" i="15"/>
  <c r="AC72" i="15"/>
  <c r="AC60" i="15"/>
  <c r="AC63" i="15"/>
  <c r="AC67" i="15"/>
  <c r="AC44" i="15"/>
  <c r="AC50" i="15"/>
  <c r="AC33" i="15"/>
  <c r="AC11" i="15"/>
  <c r="AC21" i="15"/>
  <c r="AC5" i="15"/>
  <c r="AC70" i="15"/>
  <c r="AC43" i="15"/>
  <c r="AC73" i="15"/>
  <c r="AC34" i="15"/>
  <c r="AC55" i="15"/>
  <c r="AC32" i="15"/>
  <c r="AC28" i="15"/>
  <c r="AC77" i="15"/>
  <c r="I16" i="1"/>
  <c r="H24" i="1"/>
  <c r="I24" i="1"/>
  <c r="H23" i="1"/>
  <c r="I23" i="1"/>
  <c r="I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<sst xmlns="http://schemas.openxmlformats.org/spreadsheetml/2006/main" count="875" uniqueCount="170">
  <si>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</si>
  <si>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</si>
  <si>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</si>
  <si>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</si>
  <si>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</si>
  <si>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</si>
  <si>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</si>
  <si>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</si>
  <si>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</si>
  <si>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</si>
  <si>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</si>
  <si>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</si>
  <si>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</si>
  <si>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</si>
  <si>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</si>
  <si>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</si>
  <si>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</si>
  <si>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</si>
  <si>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</si>
  <si>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</si>
  <si>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</si>
  <si>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</si>
  <si>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</si>
  <si>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</si>
  <si>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</si>
  <si>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</si>
  <si>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</si>
  <si>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</si>
  <si>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</si>
  <si>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</si>
  <si>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</si>
  <si>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</si>
  <si>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</si>
  <si>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</si>
  <si>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</si>
  <si>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</si>
  <si>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</si>
  <si>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</si>
  <si>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</si>
  <si>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</si>
  <si>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</si>
  <si>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</si>
  <si>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</si>
  <si>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</si>
  <si>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</si>
  <si>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</si>
  <si>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</si>
  <si>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</si>
  <si>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</si>
  <si>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</si>
  <si>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</si>
  <si>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</si>
  <si>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</si>
  <si>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</si>
  <si>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</si>
  <si>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</si>
  <si>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</si>
  <si>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</si>
  <si>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</si>
  <si>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</si>
  <si>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</si>
  <si>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</si>
  <si>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</si>
  <si>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</si>
  <si>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</si>
  <si>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</si>
  <si>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</si>
  <si>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</si>
  <si>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</si>
  <si>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</si>
  <si>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</si>
  <si>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</si>
  <si>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</si>
  <si>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</si>
  <si>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</si>
  <si>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</si>
  <si>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</si>
  <si>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</si>
  <si>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</si>
  <si>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</si>
  <si>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</si>
  <si>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</si>
  <si>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</si>
  <si>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</si>
  <si>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</si>
  <si>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</si>
  <si>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</si>
  <si>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</si>
  <si>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</si>
  <si>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</si>
  <si>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</si>
  <si>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</si>
  <si>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</si>
  <si>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</si>
  <si>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</si>
  <si>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</si>
  <si>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</si>
  <si>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</si>
  <si>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</si>
  <si>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</si>
  <si>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</si>
  <si>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</si>
  <si>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</si>
  <si>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</si>
  <si>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</si>
  <si>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</si>
  <si>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</si>
  <si>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</si>
  <si>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</si>
  <si>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</si>
  <si>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</si>
  <si>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</si>
  <si>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</si>
  <si>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</si>
  <si>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</si>
  <si>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</si>
  <si>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</si>
  <si>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</si>
  <si>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</si>
  <si>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</si>
  <si>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</si>
  <si>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</si>
  <si>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</si>
  <si>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</si>
  <si>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</si>
  <si>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</si>
  <si>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</si>
  <si>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</si>
  <si>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</si>
  <si>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</si>
  <si>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</si>
  <si>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</si>
  <si>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</si>
  <si>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</si>
  <si>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</si>
  <si>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</si>
  <si>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</si>
  <si>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</si>
  <si>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</si>
  <si>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</si>
  <si>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</si>
  <si>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3L</t>
  </si>
  <si>
    <t>fwd</t>
  </si>
  <si>
    <t>Day Count</t>
  </si>
  <si>
    <t>6L</t>
  </si>
  <si>
    <t>Extrapolation</t>
  </si>
  <si>
    <t>JPY</t>
  </si>
  <si>
    <t>JP Calendar</t>
  </si>
  <si>
    <t>Japan</t>
  </si>
  <si>
    <t>Tonar</t>
  </si>
  <si>
    <t>qlFuturesRateHelper(,H25,$H$23,C25,G25,I25,Permanent,Trigger,ObjectOverwrite)</t>
  </si>
  <si>
    <t>BasSW</t>
  </si>
  <si>
    <t>SB</t>
  </si>
  <si>
    <t>Semiannual</t>
  </si>
  <si>
    <t>Actual/365 (Fixed)</t>
  </si>
  <si>
    <t>Jump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</si>
  <si>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</si>
  <si>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</si>
  <si>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</si>
  <si>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</si>
  <si>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</si>
  <si>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</si>
  <si>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</si>
  <si>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</si>
  <si>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JumpSuffix</t>
  </si>
  <si>
    <t>_SYNTHON</t>
  </si>
  <si>
    <t>LiborSettlementDate</t>
  </si>
  <si>
    <t>FirstLiborFixingDate</t>
  </si>
  <si>
    <t>CurveCalendar</t>
  </si>
  <si>
    <t>NullCalendar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</si>
</sst>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1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5" fillId="3" borderId="8" xfId="0" applyFont="1" applyFill="1" applyBorder="1"/>
    <xf numFmtId="167" fontId="5" fillId="3" borderId="8" xfId="0" applyNumberFormat="1" applyFont="1" applyFill="1" applyBorder="1"/>
    <xf numFmtId="179" fontId="5" fillId="3" borderId="8" xfId="0" applyNumberFormat="1" applyFont="1" applyFill="1" applyBorder="1"/>
    <xf numFmtId="166" fontId="5" fillId="3" borderId="8" xfId="0" applyNumberFormat="1" applyFont="1" applyFill="1" applyBorder="1"/>
    <xf numFmtId="10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79" fontId="5" fillId="3" borderId="6" xfId="0" applyNumberFormat="1" applyFont="1" applyFill="1" applyBorder="1"/>
    <xf numFmtId="166" fontId="5" fillId="3" borderId="6" xfId="0" applyNumberFormat="1" applyFont="1" applyFill="1" applyBorder="1"/>
    <xf numFmtId="10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79" fontId="5" fillId="3" borderId="1" xfId="0" applyNumberFormat="1" applyFont="1" applyFill="1" applyBorder="1"/>
    <xf numFmtId="166" fontId="5" fillId="3" borderId="1" xfId="0" applyNumberFormat="1" applyFont="1" applyFill="1" applyBorder="1"/>
    <xf numFmtId="10" fontId="5" fillId="3" borderId="1" xfId="0" applyNumberFormat="1" applyFont="1" applyFill="1" applyBorder="1"/>
    <xf numFmtId="166" fontId="5" fillId="6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14" fontId="5" fillId="8" borderId="0" xfId="0" applyNumberFormat="1" applyFont="1" applyFill="1"/>
    <xf numFmtId="167" fontId="3" fillId="2" borderId="15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vertic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sheetDataSet>
      <sheetData sheetId="0"/>
      <sheetData sheetId="1">
        <row r="4">
          <cell r="D4" t="str">
            <v>JPYON#0000</v>
          </cell>
        </row>
        <row r="9">
          <cell r="D9" t="str">
            <v>JPY3M#0000</v>
          </cell>
        </row>
        <row r="10">
          <cell r="D10" t="str">
            <v>JPY6M#0000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L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1.42578125" style="51" bestFit="1" customWidth="1"/>
    <col min="9" max="9" width="30.7109375" style="51" customWidth="1"/>
    <col min="10" max="10" width="2.7109375" style="51" customWidth="1"/>
    <col min="11" max="11" width="9.140625" style="51"/>
    <col min="12" max="12" width="11" style="51" bestFit="1" customWidth="1"/>
    <col min="13" max="13" width="9.140625" style="51"/>
    <col min="14" max="14" width="9.7109375" style="51" bestFit="1" customWidth="1"/>
    <col min="15" max="16384" width="9.140625" style="51"/>
  </cols>
  <sheetData>
    <row r="2" spans="1:12" x14ac:dyDescent="0.2">
      <c r="B2" s="89"/>
      <c r="C2" s="90"/>
      <c r="D2" s="90"/>
      <c r="E2" s="91"/>
      <c r="G2" s="89"/>
      <c r="H2" s="90"/>
      <c r="I2" s="90"/>
      <c r="J2" s="91"/>
    </row>
    <row r="3" spans="1:12" ht="11.25" customHeight="1" x14ac:dyDescent="0.2">
      <c r="B3" s="94"/>
      <c r="C3" s="14" t="s">
        <v>20</v>
      </c>
      <c r="D3" s="87" t="s">
        <v>146</v>
      </c>
      <c r="E3" s="92"/>
      <c r="G3" s="94"/>
      <c r="H3" s="14" t="s">
        <v>28</v>
      </c>
      <c r="I3" s="15">
        <f>_xll.qlSettingsEvaluationDate(Trigger)</f>
        <v>42492</v>
      </c>
      <c r="J3" s="92"/>
      <c r="L3" s="204"/>
    </row>
    <row r="4" spans="1:12" ht="11.25" customHeight="1" x14ac:dyDescent="0.2">
      <c r="B4" s="94"/>
      <c r="C4" s="16" t="s">
        <v>17</v>
      </c>
      <c r="D4" s="18" t="b">
        <v>1</v>
      </c>
      <c r="E4" s="92"/>
      <c r="G4" s="94"/>
      <c r="H4" s="16" t="s">
        <v>29</v>
      </c>
      <c r="I4" s="17">
        <f>_xll.qlCalendarAdvance(LocalCalendar,I5,"2D","F",,Trigger)</f>
        <v>42499</v>
      </c>
      <c r="J4" s="92"/>
    </row>
    <row r="5" spans="1:12" ht="11.25" customHeight="1" x14ac:dyDescent="0.2">
      <c r="A5" s="53"/>
      <c r="B5" s="95"/>
      <c r="C5" s="22" t="s">
        <v>16</v>
      </c>
      <c r="D5" s="23"/>
      <c r="E5" s="92"/>
      <c r="G5" s="94"/>
      <c r="H5" s="14" t="s">
        <v>167</v>
      </c>
      <c r="I5" s="15">
        <f>_xll.qlCalendarAdjust(LiborCalendar,Evaluationdate,,Trigger)</f>
        <v>42493</v>
      </c>
      <c r="J5" s="92"/>
    </row>
    <row r="6" spans="1:12" ht="11.25" customHeight="1" x14ac:dyDescent="0.2">
      <c r="A6" s="53"/>
      <c r="B6" s="95"/>
      <c r="C6" s="16" t="s">
        <v>18</v>
      </c>
      <c r="D6" s="18" t="b">
        <v>1</v>
      </c>
      <c r="E6" s="92"/>
      <c r="G6" s="94"/>
      <c r="H6" s="20" t="s">
        <v>166</v>
      </c>
      <c r="I6" s="88">
        <f>_xll.qlCalendarAdjust(JoinCalendar,_xll.qlCalendarAdvance(LiborCalendar,I5,"2D","F",,Trigger),,Trigger)</f>
        <v>42496</v>
      </c>
      <c r="J6" s="92"/>
    </row>
    <row r="7" spans="1:12" ht="11.25" customHeight="1" x14ac:dyDescent="0.2">
      <c r="A7" s="53"/>
      <c r="B7" s="95"/>
      <c r="C7" s="16" t="s">
        <v>19</v>
      </c>
      <c r="D7" s="19" t="str">
        <f>Currency&amp;"ON"</f>
        <v>JPYON</v>
      </c>
      <c r="E7" s="92"/>
      <c r="G7" s="94"/>
      <c r="H7" s="22" t="s">
        <v>33</v>
      </c>
      <c r="I7" s="205" t="s">
        <v>34</v>
      </c>
      <c r="J7" s="92"/>
    </row>
    <row r="8" spans="1:12" ht="11.25" customHeight="1" x14ac:dyDescent="0.2">
      <c r="A8" s="53"/>
      <c r="B8" s="95"/>
      <c r="C8" s="16" t="s">
        <v>37</v>
      </c>
      <c r="D8" s="19" t="s">
        <v>38</v>
      </c>
      <c r="E8" s="92"/>
      <c r="G8" s="94"/>
      <c r="H8" s="14" t="s">
        <v>35</v>
      </c>
      <c r="I8" s="15" t="s">
        <v>39</v>
      </c>
      <c r="J8" s="92" t="s">
        <v>40</v>
      </c>
    </row>
    <row r="9" spans="1:12" ht="11.25" customHeight="1" x14ac:dyDescent="0.2">
      <c r="B9" s="96"/>
      <c r="C9" s="16" t="s">
        <v>94</v>
      </c>
      <c r="D9" s="19" t="s">
        <v>95</v>
      </c>
      <c r="E9" s="92"/>
      <c r="G9" s="94"/>
      <c r="H9" s="16" t="s">
        <v>147</v>
      </c>
      <c r="I9" s="17" t="s">
        <v>148</v>
      </c>
      <c r="J9" s="92"/>
    </row>
    <row r="10" spans="1:12" ht="11.25" customHeight="1" x14ac:dyDescent="0.2">
      <c r="B10" s="96"/>
      <c r="C10" s="20" t="s">
        <v>164</v>
      </c>
      <c r="D10" s="21" t="s">
        <v>165</v>
      </c>
      <c r="E10" s="92"/>
      <c r="G10" s="94"/>
      <c r="H10" s="20" t="s">
        <v>36</v>
      </c>
      <c r="I10" s="207" t="str">
        <f>I7&amp;"("&amp;I8&amp;","&amp;I9&amp;")"</f>
        <v>JoinHolidays(UnitedKingdom::Exchange,Japan)</v>
      </c>
      <c r="J10" s="92"/>
    </row>
    <row r="11" spans="1:12" ht="11.25" customHeight="1" x14ac:dyDescent="0.2">
      <c r="B11" s="96"/>
      <c r="C11" s="20" t="s">
        <v>101</v>
      </c>
      <c r="D11" s="167" t="s">
        <v>102</v>
      </c>
      <c r="E11" s="92"/>
      <c r="G11" s="94"/>
      <c r="H11" s="20" t="s">
        <v>168</v>
      </c>
      <c r="I11" s="206" t="s">
        <v>169</v>
      </c>
      <c r="J11" s="92"/>
    </row>
    <row r="12" spans="1:12" ht="11.25" customHeight="1" x14ac:dyDescent="0.2">
      <c r="B12" s="97"/>
      <c r="C12" s="98"/>
      <c r="D12" s="99"/>
      <c r="E12" s="93"/>
      <c r="G12" s="100"/>
      <c r="H12" s="98"/>
      <c r="I12" s="101"/>
      <c r="J12" s="93"/>
    </row>
    <row r="13" spans="1:12" ht="11.25" customHeight="1" x14ac:dyDescent="0.2"/>
    <row r="14" spans="1:12" x14ac:dyDescent="0.2">
      <c r="B14" s="40"/>
      <c r="C14" s="41"/>
      <c r="D14" s="41"/>
      <c r="E14" s="42"/>
      <c r="G14" s="40"/>
      <c r="H14" s="41"/>
      <c r="I14" s="41"/>
      <c r="J14" s="42"/>
    </row>
    <row r="15" spans="1:12" x14ac:dyDescent="0.2">
      <c r="B15" s="25"/>
      <c r="C15" s="24" t="s">
        <v>9</v>
      </c>
      <c r="D15" s="44" t="str">
        <f>_xll.qlPiecewiseYieldCurve($D$17,$D$18,LocalCalendar,_xll.ohPack(JPYON!S3:S56),,,,D19,D20,D21,Permanent,,ObjectOverwrite)</f>
        <v>_JPYON#0003</v>
      </c>
      <c r="E15" s="45"/>
      <c r="G15" s="25"/>
      <c r="H15" s="24" t="s">
        <v>9</v>
      </c>
      <c r="I15" s="44" t="str">
        <f>_xll.qlPiecewiseYieldCurve(I17,I18,CurveCalendar,_xll.ohPack(JPY3M!W3:W79),,,,I19,I20,I21,Permanent,,ObjectOverwrite)</f>
        <v>_JPY3M#0006</v>
      </c>
      <c r="J15" s="45"/>
    </row>
    <row r="16" spans="1:12" x14ac:dyDescent="0.2">
      <c r="B16" s="25"/>
      <c r="C16" s="26" t="s">
        <v>10</v>
      </c>
      <c r="D16" s="46" t="str">
        <f>_xll.ohRangeRetrieveError(YieldCurve_ON)</f>
        <v/>
      </c>
      <c r="E16" s="45"/>
      <c r="G16" s="25"/>
      <c r="H16" s="26" t="s">
        <v>10</v>
      </c>
      <c r="I16" s="46" t="str">
        <f>_xll.ohRangeRetrieveError(YieldCurve_3M)</f>
        <v/>
      </c>
      <c r="J16" s="45"/>
    </row>
    <row r="17" spans="1:10" x14ac:dyDescent="0.2">
      <c r="B17" s="25"/>
      <c r="C17" s="24" t="s">
        <v>11</v>
      </c>
      <c r="D17" s="27" t="str">
        <f>"_"&amp;Currency&amp;"ON"</f>
        <v>_JPYON</v>
      </c>
      <c r="E17" s="45"/>
      <c r="G17" s="25"/>
      <c r="H17" s="24" t="s">
        <v>11</v>
      </c>
      <c r="I17" s="27" t="str">
        <f>"_"&amp;Currency&amp;"3M"</f>
        <v>_JPY3M</v>
      </c>
      <c r="J17" s="45"/>
    </row>
    <row r="18" spans="1:10" x14ac:dyDescent="0.2">
      <c r="B18" s="25"/>
      <c r="C18" s="28" t="s">
        <v>12</v>
      </c>
      <c r="D18" s="29">
        <v>0</v>
      </c>
      <c r="E18" s="45"/>
      <c r="G18" s="25"/>
      <c r="H18" s="28" t="s">
        <v>12</v>
      </c>
      <c r="I18" s="29">
        <f>LiborSettlementDate-Evaluationdate</f>
        <v>4</v>
      </c>
      <c r="J18" s="45"/>
    </row>
    <row r="19" spans="1:10" x14ac:dyDescent="0.2">
      <c r="B19" s="25"/>
      <c r="C19" s="28" t="s">
        <v>13</v>
      </c>
      <c r="D19" s="30"/>
      <c r="E19" s="45"/>
      <c r="G19" s="25"/>
      <c r="H19" s="28" t="s">
        <v>13</v>
      </c>
      <c r="I19" s="30"/>
      <c r="J19" s="45"/>
    </row>
    <row r="20" spans="1:10" x14ac:dyDescent="0.2">
      <c r="B20" s="25"/>
      <c r="C20" s="28" t="s">
        <v>14</v>
      </c>
      <c r="D20" s="31" t="s">
        <v>30</v>
      </c>
      <c r="E20" s="45"/>
      <c r="G20" s="25"/>
      <c r="H20" s="28" t="s">
        <v>14</v>
      </c>
      <c r="I20" s="31" t="s">
        <v>30</v>
      </c>
      <c r="J20" s="45"/>
    </row>
    <row r="21" spans="1:10" x14ac:dyDescent="0.2">
      <c r="B21" s="25"/>
      <c r="C21" s="26" t="s">
        <v>15</v>
      </c>
      <c r="D21" s="32" t="s">
        <v>41</v>
      </c>
      <c r="E21" s="45"/>
      <c r="G21" s="25"/>
      <c r="H21" s="26" t="s">
        <v>15</v>
      </c>
      <c r="I21" s="32" t="s">
        <v>41</v>
      </c>
      <c r="J21" s="45"/>
    </row>
    <row r="22" spans="1:10" x14ac:dyDescent="0.2">
      <c r="B22" s="25"/>
      <c r="C22" s="33"/>
      <c r="D22" s="33"/>
      <c r="E22" s="45"/>
      <c r="G22" s="25"/>
      <c r="H22" s="33"/>
      <c r="I22" s="33"/>
      <c r="J22" s="45"/>
    </row>
    <row r="23" spans="1:10" x14ac:dyDescent="0.2">
      <c r="B23" s="25"/>
      <c r="C23" s="34">
        <f>_xll.qlTermStructureReferenceDate(YieldCurve_ON)</f>
        <v>42492</v>
      </c>
      <c r="D23" s="35">
        <f>_xll.qlYieldTSDiscount(YieldCurve_ON,C23,,Trigger)</f>
        <v>1</v>
      </c>
      <c r="E23" s="45"/>
      <c r="G23" s="25"/>
      <c r="H23" s="34">
        <f>_xll.qlTermStructureReferenceDate(YieldCurve_3M)</f>
        <v>42496</v>
      </c>
      <c r="I23" s="35">
        <f>_xll.qlYieldTSDiscount(YieldCurve_3M,H23,,Trigger)</f>
        <v>1</v>
      </c>
      <c r="J23" s="45"/>
    </row>
    <row r="24" spans="1:10" x14ac:dyDescent="0.2">
      <c r="B24" s="25"/>
      <c r="C24" s="36">
        <f>_xll.qlTermStructureMaxDate(YieldCurve_ON,Trigger)</f>
        <v>53456</v>
      </c>
      <c r="D24" s="37">
        <f>_xll.qlYieldTSDiscount(YieldCurve_ON,C24,,Trigger)</f>
        <v>0.86887050972025248</v>
      </c>
      <c r="E24" s="45"/>
      <c r="G24" s="25"/>
      <c r="H24" s="36">
        <f>_xll.qlTermStructureMaxDate(YieldCurve_3M,Trigger)</f>
        <v>53457</v>
      </c>
      <c r="I24" s="37">
        <f>_xll.qlYieldTSDiscount(YieldCurve_3M,H24,,Trigger)</f>
        <v>0.82898381401723165</v>
      </c>
      <c r="J24" s="45"/>
    </row>
    <row r="25" spans="1:10" x14ac:dyDescent="0.2">
      <c r="B25" s="25"/>
      <c r="C25" s="36" t="str">
        <f>[1]JPYLibor!$D$4</f>
        <v>JPYON#0000</v>
      </c>
      <c r="D25" s="37" t="b">
        <f>_xll.qlRelinkableHandleLinkTo(C25,D15,Trigger)</f>
        <v>1</v>
      </c>
      <c r="E25" s="45"/>
      <c r="G25" s="25"/>
      <c r="H25" s="36" t="str">
        <f>[1]JPYLibor!$D$9</f>
        <v>JPY3M#0000</v>
      </c>
      <c r="I25" s="37" t="b">
        <f>_xll.qlRelinkableHandleLinkTo(H25,I15,Trigger)</f>
        <v>1</v>
      </c>
      <c r="J25" s="45"/>
    </row>
    <row r="26" spans="1:10" x14ac:dyDescent="0.2">
      <c r="B26" s="25"/>
      <c r="C26" s="38" t="s">
        <v>145</v>
      </c>
      <c r="D26" s="39" t="b">
        <f>_xll.qlExtrapolatorEnableExtrapolation(D15,TRUE,Trigger)</f>
        <v>1</v>
      </c>
      <c r="E26" s="45"/>
      <c r="G26" s="25"/>
      <c r="H26" s="38" t="s">
        <v>145</v>
      </c>
      <c r="I26" s="39" t="b">
        <v>0</v>
      </c>
      <c r="J26" s="45"/>
    </row>
    <row r="27" spans="1:10" x14ac:dyDescent="0.2">
      <c r="B27" s="47"/>
      <c r="C27" s="48"/>
      <c r="D27" s="48"/>
      <c r="E27" s="49"/>
      <c r="G27" s="47"/>
      <c r="H27" s="48"/>
      <c r="I27" s="48"/>
      <c r="J27" s="49"/>
    </row>
    <row r="28" spans="1:10" x14ac:dyDescent="0.2">
      <c r="A28" s="53"/>
      <c r="B28" s="53"/>
      <c r="C28" s="53"/>
      <c r="D28" s="53"/>
      <c r="E28" s="53"/>
      <c r="G28" s="53"/>
      <c r="H28" s="53"/>
      <c r="I28" s="53"/>
      <c r="J28" s="53"/>
    </row>
    <row r="29" spans="1:10" x14ac:dyDescent="0.2">
      <c r="B29" s="40"/>
      <c r="C29" s="50"/>
      <c r="D29" s="50"/>
      <c r="E29" s="42"/>
      <c r="F29" s="52"/>
    </row>
    <row r="30" spans="1:10" x14ac:dyDescent="0.2">
      <c r="B30" s="43"/>
      <c r="C30" s="24" t="s">
        <v>9</v>
      </c>
      <c r="D30" s="44" t="str">
        <f>_xll.qlPiecewiseYieldCurve(D32,D33,CurveCalendar,_xll.ohPack(JPY6M!W3:W58),,,,D34,D35,D36,Permanent,,ObjectOverwrite)</f>
        <v>_JPY6M#0006</v>
      </c>
      <c r="E30" s="45"/>
      <c r="F30" s="52"/>
    </row>
    <row r="31" spans="1:10" x14ac:dyDescent="0.2">
      <c r="B31" s="43"/>
      <c r="C31" s="26" t="s">
        <v>10</v>
      </c>
      <c r="D31" s="46" t="str">
        <f>_xll.ohRangeRetrieveError(YieldCurve_6M)</f>
        <v/>
      </c>
      <c r="E31" s="45"/>
      <c r="F31" s="52"/>
    </row>
    <row r="32" spans="1:10" x14ac:dyDescent="0.2">
      <c r="B32" s="25"/>
      <c r="C32" s="24" t="s">
        <v>11</v>
      </c>
      <c r="D32" s="27" t="str">
        <f>"_"&amp;Currency&amp;"6M"</f>
        <v>_JPY6M</v>
      </c>
      <c r="E32" s="45"/>
      <c r="F32" s="52"/>
    </row>
    <row r="33" spans="2:6" x14ac:dyDescent="0.2">
      <c r="B33" s="25"/>
      <c r="C33" s="28" t="s">
        <v>12</v>
      </c>
      <c r="D33" s="29">
        <f>LiborSettlementDate-Evaluationdate</f>
        <v>4</v>
      </c>
      <c r="E33" s="45"/>
      <c r="F33" s="52"/>
    </row>
    <row r="34" spans="2:6" x14ac:dyDescent="0.2">
      <c r="B34" s="25"/>
      <c r="C34" s="28" t="s">
        <v>13</v>
      </c>
      <c r="D34" s="30"/>
      <c r="E34" s="45"/>
      <c r="F34" s="52"/>
    </row>
    <row r="35" spans="2:6" x14ac:dyDescent="0.2">
      <c r="B35" s="25"/>
      <c r="C35" s="28" t="s">
        <v>14</v>
      </c>
      <c r="D35" s="31" t="s">
        <v>30</v>
      </c>
      <c r="E35" s="45"/>
      <c r="F35" s="52"/>
    </row>
    <row r="36" spans="2:6" x14ac:dyDescent="0.2">
      <c r="B36" s="25"/>
      <c r="C36" s="26" t="s">
        <v>15</v>
      </c>
      <c r="D36" s="32" t="s">
        <v>41</v>
      </c>
      <c r="E36" s="45"/>
      <c r="F36" s="52"/>
    </row>
    <row r="37" spans="2:6" x14ac:dyDescent="0.2">
      <c r="B37" s="25"/>
      <c r="C37" s="33"/>
      <c r="D37" s="33"/>
      <c r="E37" s="45"/>
      <c r="F37" s="52"/>
    </row>
    <row r="38" spans="2:6" x14ac:dyDescent="0.2">
      <c r="B38" s="25"/>
      <c r="C38" s="34">
        <f>_xll.qlTermStructureReferenceDate(YieldCurve_6M)</f>
        <v>42496</v>
      </c>
      <c r="D38" s="35">
        <f>_xll.qlYieldTSDiscount(YieldCurve_6M,C38,,Trigger)</f>
        <v>1</v>
      </c>
      <c r="E38" s="45"/>
      <c r="F38" s="52"/>
    </row>
    <row r="39" spans="2:6" x14ac:dyDescent="0.2">
      <c r="B39" s="25"/>
      <c r="C39" s="36">
        <f>_xll.qlTermStructureMaxDate(YieldCurve_6M,Trigger)</f>
        <v>53457</v>
      </c>
      <c r="D39" s="37">
        <f>_xll.qlYieldTSDiscount(YieldCurve_6M,C39,,Trigger)</f>
        <v>0.82716605785653452</v>
      </c>
      <c r="E39" s="45"/>
      <c r="F39" s="52"/>
    </row>
    <row r="40" spans="2:6" x14ac:dyDescent="0.2">
      <c r="B40" s="25"/>
      <c r="C40" s="36" t="str">
        <f>[1]JPYLibor!$D$10</f>
        <v>JPY6M#0000</v>
      </c>
      <c r="D40" s="37" t="b">
        <f>_xll.qlRelinkableHandleLinkTo(C40,D30,Trigger)</f>
        <v>1</v>
      </c>
      <c r="E40" s="45"/>
      <c r="F40" s="52"/>
    </row>
    <row r="41" spans="2:6" x14ac:dyDescent="0.2">
      <c r="B41" s="25"/>
      <c r="C41" s="38" t="s">
        <v>145</v>
      </c>
      <c r="D41" s="39" t="b">
        <v>0</v>
      </c>
      <c r="E41" s="45"/>
      <c r="F41" s="52"/>
    </row>
    <row r="42" spans="2:6" x14ac:dyDescent="0.2">
      <c r="B42" s="47"/>
      <c r="C42" s="48"/>
      <c r="D42" s="48"/>
      <c r="E42" s="49"/>
      <c r="F42" s="52"/>
    </row>
    <row r="43" spans="2:6" x14ac:dyDescent="0.2">
      <c r="F43" s="52"/>
    </row>
    <row r="44" spans="2:6" x14ac:dyDescent="0.2">
      <c r="F44" s="52"/>
    </row>
    <row r="45" spans="2:6" x14ac:dyDescent="0.2">
      <c r="F45" s="52"/>
    </row>
  </sheetData>
  <dataValidations disablePrompts="1" count="6">
    <dataValidation type="list" allowBlank="1" showInputMessage="1" showErrorMessage="1" sqref="D35 D20 I20">
      <formula1>"Discount,ZeroYield,ForwardRate"</formula1>
    </dataValidation>
    <dataValidation type="list" allowBlank="1" showInputMessage="1" showErrorMessage="1" sqref="D36 D21 I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2" hidden="1" customWidth="1" outlineLevel="1"/>
    <col min="10" max="10" width="16.140625" style="112" hidden="1" customWidth="1" outlineLevel="1"/>
    <col min="11" max="11" width="12" style="112" hidden="1" customWidth="1" outlineLevel="1"/>
    <col min="12" max="12" width="7.85546875" style="112" hidden="1" customWidth="1" outlineLevel="1"/>
    <col min="13" max="13" width="9" style="112" hidden="1" customWidth="1" outlineLevel="1"/>
    <col min="14" max="14" width="5.85546875" style="112" hidden="1" customWidth="1" outlineLevel="1"/>
    <col min="15" max="16" width="10.7109375" style="112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7" width="2.7109375" style="182" customWidth="1"/>
    <col min="28" max="28" width="24.42578125" style="51" bestFit="1" customWidth="1"/>
    <col min="29" max="29" width="24.42578125" style="51" hidden="1" customWidth="1" outlineLevel="1"/>
    <col min="30" max="30" width="7" style="51" hidden="1" customWidth="1" outlineLevel="1"/>
    <col min="31" max="31" width="8.85546875" style="51" hidden="1" customWidth="1" outlineLevel="1"/>
    <col min="32" max="32" width="9" style="51" bestFit="1" customWidth="1" collapsed="1"/>
    <col min="33" max="33" width="10" style="51" bestFit="1" customWidth="1"/>
    <col min="34" max="34" width="24.42578125" style="51" bestFit="1" customWidth="1"/>
    <col min="35" max="16384" width="9.140625" style="51"/>
  </cols>
  <sheetData>
    <row r="1" spans="1:34" ht="18" customHeight="1" x14ac:dyDescent="0.2">
      <c r="D1" s="55" t="s">
        <v>149</v>
      </c>
      <c r="H1" s="73" t="s">
        <v>23</v>
      </c>
      <c r="I1" s="115"/>
      <c r="J1" s="115"/>
      <c r="K1" s="115"/>
      <c r="L1" s="115"/>
      <c r="M1" s="115"/>
      <c r="N1" s="115"/>
      <c r="O1" s="115"/>
      <c r="P1" s="105"/>
      <c r="Q1" s="102"/>
      <c r="R1" s="81" t="str">
        <f>Currency&amp;Tenor</f>
        <v>JPYTonar</v>
      </c>
      <c r="S1" s="72"/>
      <c r="T1" s="72"/>
      <c r="U1" s="75"/>
      <c r="V1" s="75"/>
      <c r="W1" s="72"/>
      <c r="X1" s="72"/>
      <c r="Y1" s="79" t="s">
        <v>30</v>
      </c>
    </row>
    <row r="2" spans="1:34" ht="21.75" customHeight="1" x14ac:dyDescent="0.2">
      <c r="A2" s="71" t="s">
        <v>8</v>
      </c>
      <c r="B2" s="71" t="s">
        <v>27</v>
      </c>
      <c r="C2" s="71" t="s">
        <v>100</v>
      </c>
      <c r="D2" s="71" t="s">
        <v>4</v>
      </c>
      <c r="E2" s="71" t="s">
        <v>1</v>
      </c>
      <c r="F2" s="71" t="s">
        <v>23</v>
      </c>
      <c r="H2" s="80" t="s">
        <v>8</v>
      </c>
      <c r="I2" s="80" t="s">
        <v>23</v>
      </c>
      <c r="J2" s="80" t="s">
        <v>104</v>
      </c>
      <c r="K2" s="80" t="s">
        <v>107</v>
      </c>
      <c r="L2" s="80" t="s">
        <v>105</v>
      </c>
      <c r="M2" s="80" t="s">
        <v>106</v>
      </c>
      <c r="N2" s="80" t="s">
        <v>108</v>
      </c>
      <c r="O2" s="80" t="s">
        <v>21</v>
      </c>
      <c r="P2" s="80" t="s">
        <v>101</v>
      </c>
      <c r="Q2" s="102"/>
      <c r="R2" s="80" t="s">
        <v>8</v>
      </c>
      <c r="S2" s="80" t="s">
        <v>23</v>
      </c>
      <c r="T2" s="80" t="s">
        <v>104</v>
      </c>
      <c r="U2" s="82" t="s">
        <v>22</v>
      </c>
      <c r="V2" s="82" t="s">
        <v>109</v>
      </c>
      <c r="W2" s="80" t="s">
        <v>21</v>
      </c>
      <c r="X2" s="80" t="s">
        <v>101</v>
      </c>
      <c r="Y2" s="83">
        <f t="array" ref="Y2:Y59">_xll.qlPiecewiseYieldCurveData(YieldCurve_ON,Trigger)</f>
        <v>1</v>
      </c>
      <c r="AB2" s="208" t="s">
        <v>110</v>
      </c>
      <c r="AC2" s="209"/>
      <c r="AD2" s="209"/>
      <c r="AE2" s="209"/>
      <c r="AF2" s="210"/>
    </row>
    <row r="3" spans="1:34" ht="11.25" customHeight="1" x14ac:dyDescent="0.2">
      <c r="A3" s="58" t="s">
        <v>25</v>
      </c>
      <c r="B3" s="59" t="s">
        <v>42</v>
      </c>
      <c r="C3" s="61" t="s">
        <v>6</v>
      </c>
      <c r="D3" s="60" t="str">
        <f>Currency&amp;Tenor</f>
        <v>JPYTonar</v>
      </c>
      <c r="E3" s="62" t="str">
        <f>Currency&amp;$B3&amp;"D"&amp;QuoteSuffix</f>
        <v>JPYOND_Quote</v>
      </c>
      <c r="F3" s="63" t="e">
        <f>_xll.qlDepositRateHelper(,E3,D3,Permanent,Trigger,ObjectOverwrite)</f>
        <v>#NUM!</v>
      </c>
      <c r="G3" s="54"/>
      <c r="H3" s="11" t="str">
        <f>A3</f>
        <v>Dp</v>
      </c>
      <c r="I3" s="103" t="e">
        <f>IF(ISBLANK(F3),"--",F3)</f>
        <v>#NUM!</v>
      </c>
      <c r="J3" s="106" t="str">
        <f>IFERROR(_xll.qlRateHelperQuoteName(I3,Trigger),"--")</f>
        <v>--</v>
      </c>
      <c r="K3" s="107" t="str">
        <f>IFERROR(_xll.qlRateHelperQuoteValue($I3,Trigger),"--")</f>
        <v>--</v>
      </c>
      <c r="L3" s="106" t="b">
        <v>0</v>
      </c>
      <c r="M3" s="103">
        <v>70</v>
      </c>
      <c r="N3" s="103">
        <v>1</v>
      </c>
      <c r="O3" s="108" t="str">
        <f>IFERROR(_xll.qlRateHelperEarliestDate(I3,Trigger),"--")</f>
        <v>--</v>
      </c>
      <c r="P3" s="108" t="str">
        <f>IFERROR(_xll.qlRateHelperPillarDate(I3,Trigger),"--")</f>
        <v>--</v>
      </c>
      <c r="R3" s="4" t="str">
        <f>IFERROR(INDEX($H$3:$H$59,MATCH(T3,$J$3:$J$59,0),1),"")</f>
        <v>OIS</v>
      </c>
      <c r="S3" s="4" t="str">
        <f t="array" ref="S3:S59">_xll.qlRateHelperSelection(_xll.ohFilter(RateHelpers,IncludeFlag),_xll.ohFilter(Priority,IncludeFlag),$AF$3,$AF$4,$AF$5,$AF$6,_xll.ohFilter(MinDistance,IncludeFlag),Trigger)</f>
        <v>obj_001bd</v>
      </c>
      <c r="T3" s="4" t="str">
        <f>IFERROR(_xll.qlRateHelperQuoteName(S3,Trigger),"")</f>
        <v>JPYOIS1M_Quote</v>
      </c>
      <c r="U3" s="76">
        <f>IFERROR(_xll.qlRateHelperRate(S3,Trigger),"")</f>
        <v>-7.5000000000000012E-4</v>
      </c>
      <c r="V3" s="113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42499</v>
      </c>
      <c r="X3" s="5">
        <f>IFERROR(_xll.qlRateHelperPillarDate(S3,Trigger),"")</f>
        <v>42530</v>
      </c>
      <c r="Y3" s="84">
        <v>1.0000773022483662</v>
      </c>
      <c r="AB3" s="201" t="s">
        <v>111</v>
      </c>
      <c r="AF3" s="202">
        <v>0</v>
      </c>
    </row>
    <row r="4" spans="1:34" ht="11.25" customHeight="1" x14ac:dyDescent="0.2">
      <c r="A4" s="58" t="s">
        <v>25</v>
      </c>
      <c r="B4" s="59" t="s">
        <v>96</v>
      </c>
      <c r="C4" s="61" t="s">
        <v>98</v>
      </c>
      <c r="D4" s="60" t="str">
        <f>Currency&amp;Tenor</f>
        <v>JPYTonar</v>
      </c>
      <c r="E4" s="62" t="str">
        <f>Currency&amp;$B4&amp;"D"&amp;QuoteSuffix</f>
        <v>JPYTND_Quote</v>
      </c>
      <c r="F4" s="63" t="e">
        <f>_xll.qlFraRateHelper(,E4,C4,D4,PillarDate,,Permanent,Trigger,ObjectOverwrite)</f>
        <v>#NUM!</v>
      </c>
      <c r="G4" s="53"/>
      <c r="H4" s="11" t="str">
        <f>A4</f>
        <v>Dp</v>
      </c>
      <c r="I4" s="103" t="e">
        <f t="shared" ref="I4:I5" si="0">IF(ISBLANK(F4),"--",F4)</f>
        <v>#NUM!</v>
      </c>
      <c r="J4" s="106" t="str">
        <f>IFERROR(_xll.qlRateHelperQuoteName(I4,Trigger),"--")</f>
        <v>--</v>
      </c>
      <c r="K4" s="107" t="str">
        <f>IFERROR(_xll.qlRateHelperQuoteValue($I4,Trigger),"--")</f>
        <v>--</v>
      </c>
      <c r="L4" s="106" t="b">
        <v>0</v>
      </c>
      <c r="M4" s="103">
        <v>70</v>
      </c>
      <c r="N4" s="103">
        <v>1</v>
      </c>
      <c r="O4" s="108" t="str">
        <f>IFERROR(_xll.qlRateHelperEarliestDate(I4,Trigger),"--")</f>
        <v>--</v>
      </c>
      <c r="P4" s="108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obj_001cc</v>
      </c>
      <c r="T4" s="4" t="str">
        <f>IFERROR(_xll.qlRateHelperQuoteName(S4,Trigger),"")</f>
        <v>JPYOIS2M_Quote</v>
      </c>
      <c r="U4" s="76">
        <f>IFERROR(_xll.qlRateHelperRate(S4,Trigger),"")</f>
        <v>-8.5000000000000006E-4</v>
      </c>
      <c r="V4" s="113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42499</v>
      </c>
      <c r="X4" s="5">
        <f>IFERROR(_xll.qlRateHelperPillarDate(S4,Trigger),"")</f>
        <v>42562</v>
      </c>
      <c r="Y4" s="84">
        <v>1.0001603345459258</v>
      </c>
      <c r="AB4" s="116" t="s">
        <v>112</v>
      </c>
      <c r="AF4" s="117">
        <v>0</v>
      </c>
    </row>
    <row r="5" spans="1:34" ht="11.25" customHeight="1" x14ac:dyDescent="0.2">
      <c r="A5" s="1" t="s">
        <v>25</v>
      </c>
      <c r="B5" s="9" t="s">
        <v>97</v>
      </c>
      <c r="C5" s="10" t="s">
        <v>99</v>
      </c>
      <c r="D5" s="7" t="str">
        <f>Currency&amp;Tenor</f>
        <v>JPYTonar</v>
      </c>
      <c r="E5" s="2" t="str">
        <f>Currency&amp;$B5&amp;"D"&amp;QuoteSuffix</f>
        <v>JPYSND_Quote</v>
      </c>
      <c r="F5" s="3" t="str">
        <f>_xll.qlFraRateHelper(,E5,C5,D5,PillarDate,,Permanent,Trigger,ObjectOverwrite)</f>
        <v>obj_001da#0003</v>
      </c>
      <c r="G5" s="53"/>
      <c r="H5" s="12" t="str">
        <f>A5</f>
        <v>Dp</v>
      </c>
      <c r="I5" s="104" t="str">
        <f t="shared" si="0"/>
        <v>obj_001da#0003</v>
      </c>
      <c r="J5" s="109" t="str">
        <f>IFERROR(_xll.qlRateHelperQuoteName(I5,Trigger),"--")</f>
        <v>JPYSND_Quote</v>
      </c>
      <c r="K5" s="110">
        <f>IFERROR(_xll.qlRateHelperQuoteValue($I5,Trigger),"--")</f>
        <v>-2.2710000000000002E-4</v>
      </c>
      <c r="L5" s="109" t="b">
        <v>0</v>
      </c>
      <c r="M5" s="104">
        <v>70</v>
      </c>
      <c r="N5" s="104">
        <v>1</v>
      </c>
      <c r="O5" s="111">
        <f>IFERROR(_xll.qlRateHelperEarliestDate(I5,Trigger),"--")</f>
        <v>42499</v>
      </c>
      <c r="P5" s="111">
        <f>IFERROR(_xll.qlRateHelperPillarDate(I5,Trigger),"--")</f>
        <v>42500</v>
      </c>
      <c r="R5" s="4" t="str">
        <f t="shared" si="1"/>
        <v>OIS</v>
      </c>
      <c r="S5" s="4" t="str">
        <v>obj_001c8</v>
      </c>
      <c r="T5" s="4" t="str">
        <f>IFERROR(_xll.qlRateHelperQuoteName(S5,Trigger),"")</f>
        <v>JPYOIS3M_Quote</v>
      </c>
      <c r="U5" s="76">
        <f>IFERROR(_xll.qlRateHelperRate(S5,Trigger),"")</f>
        <v>-1E-3</v>
      </c>
      <c r="V5" s="113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42499</v>
      </c>
      <c r="X5" s="5">
        <f>IFERROR(_xll.qlRateHelperPillarDate(S5,Trigger),"")</f>
        <v>42591</v>
      </c>
      <c r="Y5" s="84">
        <v>1.0002657204653109</v>
      </c>
      <c r="AB5" s="116" t="s">
        <v>113</v>
      </c>
      <c r="AF5" s="117">
        <v>0</v>
      </c>
    </row>
    <row r="6" spans="1:34" ht="11.25" customHeight="1" x14ac:dyDescent="0.2">
      <c r="G6" s="53"/>
      <c r="H6" s="11" t="str">
        <f t="shared" ref="H6:H37" si="2">A8</f>
        <v>OIS</v>
      </c>
      <c r="I6" s="103" t="str">
        <f>IF(ISBLANK(F8),"--",F8)</f>
        <v>--</v>
      </c>
      <c r="J6" s="106" t="str">
        <f>IFERROR(_xll.qlRateHelperQuoteName(I6,Trigger),"--")</f>
        <v>--</v>
      </c>
      <c r="K6" s="107" t="str">
        <f>IFERROR(_xll.qlRateHelperQuoteValue($I6,Trigger),"--")</f>
        <v>--</v>
      </c>
      <c r="L6" s="106" t="b">
        <v>0</v>
      </c>
      <c r="M6" s="103">
        <v>50</v>
      </c>
      <c r="N6" s="103">
        <v>1</v>
      </c>
      <c r="O6" s="108" t="str">
        <f>IFERROR(_xll.qlRateHelperEarliestDate(I6,Trigger),"--")</f>
        <v>--</v>
      </c>
      <c r="P6" s="108" t="str">
        <f>IFERROR(_xll.qlRateHelperPillarDate(I6,Trigger),"--")</f>
        <v>--</v>
      </c>
      <c r="R6" s="4" t="str">
        <f t="shared" si="1"/>
        <v>OIS</v>
      </c>
      <c r="S6" s="4" t="str">
        <v>obj_001c3</v>
      </c>
      <c r="T6" s="4" t="str">
        <f>IFERROR(_xll.qlRateHelperQuoteName(S6,Trigger),"")</f>
        <v>JPYOIS4M_Quote</v>
      </c>
      <c r="U6" s="76">
        <f>IFERROR(_xll.qlRateHelperRate(S6,Trigger),"")</f>
        <v>-1.15E-3</v>
      </c>
      <c r="V6" s="113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42499</v>
      </c>
      <c r="X6" s="5">
        <f>IFERROR(_xll.qlRateHelperPillarDate(S6,Trigger),"")</f>
        <v>42622</v>
      </c>
      <c r="Y6" s="84">
        <v>1.0004012884543794</v>
      </c>
      <c r="AB6" s="116" t="s">
        <v>114</v>
      </c>
      <c r="AF6" s="118" t="s">
        <v>115</v>
      </c>
    </row>
    <row r="7" spans="1:34" ht="11.25" customHeight="1" x14ac:dyDescent="0.2">
      <c r="A7" s="71" t="s">
        <v>8</v>
      </c>
      <c r="B7" s="71" t="s">
        <v>27</v>
      </c>
      <c r="C7" s="71" t="s">
        <v>103</v>
      </c>
      <c r="D7" s="71" t="s">
        <v>4</v>
      </c>
      <c r="E7" s="71" t="s">
        <v>1</v>
      </c>
      <c r="F7" s="71" t="s">
        <v>23</v>
      </c>
      <c r="G7" s="53"/>
      <c r="H7" s="11" t="str">
        <f t="shared" si="2"/>
        <v>OIS</v>
      </c>
      <c r="I7" s="103" t="str">
        <f t="shared" ref="I7:I55" si="3">IF(ISBLANK(F9),"--",F9)</f>
        <v>--</v>
      </c>
      <c r="J7" s="106" t="str">
        <f>IFERROR(_xll.qlRateHelperQuoteName(I7,Trigger),"--")</f>
        <v>--</v>
      </c>
      <c r="K7" s="107" t="str">
        <f>IFERROR(_xll.qlRateHelperQuoteValue($I7,Trigger),"--")</f>
        <v>--</v>
      </c>
      <c r="L7" s="106" t="b">
        <v>0</v>
      </c>
      <c r="M7" s="103">
        <v>50</v>
      </c>
      <c r="N7" s="103">
        <v>1</v>
      </c>
      <c r="O7" s="108" t="str">
        <f>IFERROR(_xll.qlRateHelperEarliestDate(I7,Trigger),"--")</f>
        <v>--</v>
      </c>
      <c r="P7" s="108" t="str">
        <f>IFERROR(_xll.qlRateHelperPillarDate(I7,Trigger),"--")</f>
        <v>--</v>
      </c>
      <c r="R7" s="4" t="str">
        <f t="shared" si="1"/>
        <v>OIS</v>
      </c>
      <c r="S7" s="4" t="str">
        <v>obj_001bc</v>
      </c>
      <c r="T7" s="4" t="str">
        <f>IFERROR(_xll.qlRateHelperQuoteName(S7,Trigger),"")</f>
        <v>JPYOIS5M_Quote</v>
      </c>
      <c r="U7" s="76">
        <f>IFERROR(_xll.qlRateHelperRate(S7,Trigger),"")</f>
        <v>-1.25E-3</v>
      </c>
      <c r="V7" s="113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42499</v>
      </c>
      <c r="X7" s="5">
        <f>IFERROR(_xll.qlRateHelperPillarDate(S7,Trigger),"")</f>
        <v>42654</v>
      </c>
      <c r="Y7" s="84">
        <v>1.0005447097564391</v>
      </c>
    </row>
    <row r="8" spans="1:34" ht="11.25" customHeight="1" x14ac:dyDescent="0.2">
      <c r="A8" s="58" t="s">
        <v>93</v>
      </c>
      <c r="B8" s="59" t="s">
        <v>43</v>
      </c>
      <c r="C8" s="60">
        <f>IF(B8="O/N",0,IF(B8="T/N",1,2))</f>
        <v>2</v>
      </c>
      <c r="D8" s="67" t="str">
        <f t="shared" ref="D8:D39" si="4">Currency&amp;Tenor</f>
        <v>JPYTonar</v>
      </c>
      <c r="E8" s="62" t="str">
        <f t="shared" ref="E8:E39" si="5">Currency&amp;$A8&amp;IF($B8="1W","SW",$B8)&amp;QuoteSuffix</f>
        <v>JPYOISSW_Quote</v>
      </c>
      <c r="F8" s="63"/>
      <c r="G8" s="53"/>
      <c r="H8" s="11" t="str">
        <f t="shared" si="2"/>
        <v>OIS</v>
      </c>
      <c r="I8" s="103" t="str">
        <f t="shared" si="3"/>
        <v>--</v>
      </c>
      <c r="J8" s="106" t="str">
        <f>IFERROR(_xll.qlRateHelperQuoteName(I8,Trigger),"--")</f>
        <v>--</v>
      </c>
      <c r="K8" s="107" t="str">
        <f>IFERROR(_xll.qlRateHelperQuoteValue($I8,Trigger),"--")</f>
        <v>--</v>
      </c>
      <c r="L8" s="106" t="b">
        <v>0</v>
      </c>
      <c r="M8" s="103">
        <v>50</v>
      </c>
      <c r="N8" s="103">
        <v>1</v>
      </c>
      <c r="O8" s="108" t="str">
        <f>IFERROR(_xll.qlRateHelperEarliestDate(I8,Trigger),"--")</f>
        <v>--</v>
      </c>
      <c r="P8" s="108" t="str">
        <f>IFERROR(_xll.qlRateHelperPillarDate(I8,Trigger),"--")</f>
        <v>--</v>
      </c>
      <c r="R8" s="4" t="str">
        <f t="shared" si="1"/>
        <v>OIS</v>
      </c>
      <c r="S8" s="4" t="str">
        <v>obj_001d1</v>
      </c>
      <c r="T8" s="4" t="str">
        <f>IFERROR(_xll.qlRateHelperQuoteName(S8,Trigger),"")</f>
        <v>JPYOIS6M_Quote</v>
      </c>
      <c r="U8" s="76">
        <f>IFERROR(_xll.qlRateHelperRate(S8,Trigger),"")</f>
        <v>-1.3750000000000001E-3</v>
      </c>
      <c r="V8" s="113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42499</v>
      </c>
      <c r="X8" s="5">
        <f>IFERROR(_xll.qlRateHelperPillarDate(S8,Trigger),"")</f>
        <v>42683</v>
      </c>
      <c r="Y8" s="84">
        <v>1.0007072396033072</v>
      </c>
    </row>
    <row r="9" spans="1:34" ht="11.25" customHeight="1" x14ac:dyDescent="0.2">
      <c r="A9" s="64" t="s">
        <v>93</v>
      </c>
      <c r="B9" s="65" t="s">
        <v>44</v>
      </c>
      <c r="C9" s="66">
        <f t="shared" ref="C9:C22" si="6">IF(B9="O/N",0,IF(B9="T/N",1,2))</f>
        <v>2</v>
      </c>
      <c r="D9" s="67" t="str">
        <f t="shared" si="4"/>
        <v>JPYTonar</v>
      </c>
      <c r="E9" s="69" t="str">
        <f t="shared" si="5"/>
        <v>JPYOIS2W_Quote</v>
      </c>
      <c r="F9" s="70"/>
      <c r="G9" s="53"/>
      <c r="H9" s="11" t="str">
        <f t="shared" si="2"/>
        <v>OIS</v>
      </c>
      <c r="I9" s="103" t="str">
        <f t="shared" si="3"/>
        <v>obj_001bd#0003</v>
      </c>
      <c r="J9" s="106" t="str">
        <f>IFERROR(_xll.qlRateHelperQuoteName(I9,Trigger),"--")</f>
        <v>JPYOIS1M_Quote</v>
      </c>
      <c r="K9" s="107">
        <f>IFERROR(_xll.qlRateHelperQuoteValue($I9,Trigger),"--")</f>
        <v>-7.5000000000000012E-4</v>
      </c>
      <c r="L9" s="106" t="b">
        <v>1</v>
      </c>
      <c r="M9" s="103">
        <v>50</v>
      </c>
      <c r="N9" s="103">
        <v>1</v>
      </c>
      <c r="O9" s="108">
        <f>IFERROR(_xll.qlRateHelperEarliestDate(I9,Trigger),"--")</f>
        <v>42499</v>
      </c>
      <c r="P9" s="108">
        <f>IFERROR(_xll.qlRateHelperPillarDate(I9,Trigger),"--")</f>
        <v>42530</v>
      </c>
      <c r="R9" s="4" t="str">
        <f t="shared" si="1"/>
        <v>OIS</v>
      </c>
      <c r="S9" s="4" t="str">
        <v>obj_001c4</v>
      </c>
      <c r="T9" s="4" t="str">
        <f>IFERROR(_xll.qlRateHelperQuoteName(S9,Trigger),"")</f>
        <v>JPYOIS9M_Quote</v>
      </c>
      <c r="U9" s="76">
        <f>IFERROR(_xll.qlRateHelperRate(S9,Trigger),"")</f>
        <v>-1.6750000000000003E-3</v>
      </c>
      <c r="V9" s="113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42499</v>
      </c>
      <c r="X9" s="5">
        <f>IFERROR(_xll.qlRateHelperPillarDate(S9,Trigger),"")</f>
        <v>42775</v>
      </c>
      <c r="Y9" s="84">
        <v>1.0012817975303716</v>
      </c>
      <c r="AC9" s="51" t="s">
        <v>155</v>
      </c>
    </row>
    <row r="10" spans="1:34" ht="11.25" customHeight="1" x14ac:dyDescent="0.2">
      <c r="A10" s="64" t="s">
        <v>93</v>
      </c>
      <c r="B10" s="65" t="s">
        <v>45</v>
      </c>
      <c r="C10" s="66">
        <f t="shared" si="6"/>
        <v>2</v>
      </c>
      <c r="D10" s="67" t="str">
        <f t="shared" si="4"/>
        <v>JPYTonar</v>
      </c>
      <c r="E10" s="69" t="str">
        <f t="shared" si="5"/>
        <v>JPYOIS3W_Quote</v>
      </c>
      <c r="F10" s="70"/>
      <c r="G10" s="53"/>
      <c r="H10" s="11" t="str">
        <f t="shared" si="2"/>
        <v>OIS</v>
      </c>
      <c r="I10" s="103" t="str">
        <f t="shared" si="3"/>
        <v>obj_001cc#0003</v>
      </c>
      <c r="J10" s="106" t="str">
        <f>IFERROR(_xll.qlRateHelperQuoteName(I10,Trigger),"--")</f>
        <v>JPYOIS2M_Quote</v>
      </c>
      <c r="K10" s="107">
        <f>IFERROR(_xll.qlRateHelperQuoteValue($I10,Trigger),"--")</f>
        <v>-8.5000000000000006E-4</v>
      </c>
      <c r="L10" s="106" t="b">
        <v>1</v>
      </c>
      <c r="M10" s="103">
        <v>50</v>
      </c>
      <c r="N10" s="103">
        <v>1</v>
      </c>
      <c r="O10" s="108">
        <f>IFERROR(_xll.qlRateHelperEarliestDate(I10,Trigger),"--")</f>
        <v>42499</v>
      </c>
      <c r="P10" s="108">
        <f>IFERROR(_xll.qlRateHelperPillarDate(I10,Trigger),"--")</f>
        <v>42562</v>
      </c>
      <c r="R10" s="4" t="str">
        <f t="shared" si="1"/>
        <v>OIS</v>
      </c>
      <c r="S10" s="4" t="str">
        <v>obj_001cf</v>
      </c>
      <c r="T10" s="4" t="str">
        <f>IFERROR(_xll.qlRateHelperQuoteName(S10,Trigger),"")</f>
        <v>JPYOIS1Y_Quote</v>
      </c>
      <c r="U10" s="76">
        <f>IFERROR(_xll.qlRateHelperRate(S10,Trigger),"")</f>
        <v>-1.8500000000000001E-3</v>
      </c>
      <c r="V10" s="113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42499</v>
      </c>
      <c r="X10" s="5">
        <f>IFERROR(_xll.qlRateHelperPillarDate(S10,Trigger),"")</f>
        <v>42864</v>
      </c>
      <c r="Y10" s="84">
        <v>1.0018670527423332</v>
      </c>
      <c r="AA10" s="80" t="s">
        <v>156</v>
      </c>
      <c r="AB10" s="80" t="s">
        <v>157</v>
      </c>
      <c r="AC10" s="80" t="s">
        <v>158</v>
      </c>
      <c r="AD10" s="80" t="s">
        <v>159</v>
      </c>
      <c r="AE10" s="80" t="s">
        <v>160</v>
      </c>
      <c r="AF10" s="80" t="s">
        <v>161</v>
      </c>
      <c r="AG10" s="80" t="s">
        <v>162</v>
      </c>
      <c r="AH10" s="80" t="s">
        <v>163</v>
      </c>
    </row>
    <row r="11" spans="1:34" ht="11.25" customHeight="1" x14ac:dyDescent="0.2">
      <c r="A11" s="64" t="s">
        <v>93</v>
      </c>
      <c r="B11" s="65" t="s">
        <v>2</v>
      </c>
      <c r="C11" s="66">
        <f t="shared" si="6"/>
        <v>2</v>
      </c>
      <c r="D11" s="67" t="str">
        <f t="shared" si="4"/>
        <v>JPYTonar</v>
      </c>
      <c r="E11" s="69" t="str">
        <f t="shared" si="5"/>
        <v>JPYOIS1M_Quote</v>
      </c>
      <c r="F11" s="70" t="str">
        <f>_xll.qlOISRateHelper(,C11,B11,E11,$D11,,Permanent,Trigger,ObjectOverwrite)</f>
        <v>obj_001bd#0003</v>
      </c>
      <c r="G11" s="53"/>
      <c r="H11" s="11" t="str">
        <f t="shared" si="2"/>
        <v>OIS</v>
      </c>
      <c r="I11" s="103" t="str">
        <f t="shared" si="3"/>
        <v>obj_001c8#0003</v>
      </c>
      <c r="J11" s="106" t="str">
        <f>IFERROR(_xll.qlRateHelperQuoteName(I11,Trigger),"--")</f>
        <v>JPYOIS3M_Quote</v>
      </c>
      <c r="K11" s="107">
        <f>IFERROR(_xll.qlRateHelperQuoteValue($I11,Trigger),"--")</f>
        <v>-1E-3</v>
      </c>
      <c r="L11" s="106" t="b">
        <v>1</v>
      </c>
      <c r="M11" s="103">
        <v>50</v>
      </c>
      <c r="N11" s="103">
        <v>1</v>
      </c>
      <c r="O11" s="108">
        <f>IFERROR(_xll.qlRateHelperEarliestDate(I11,Trigger),"--")</f>
        <v>42499</v>
      </c>
      <c r="P11" s="108">
        <f>IFERROR(_xll.qlRateHelperPillarDate(I11,Trigger),"--")</f>
        <v>42591</v>
      </c>
      <c r="R11" s="4" t="str">
        <f t="shared" si="1"/>
        <v>OIS</v>
      </c>
      <c r="S11" s="4" t="str">
        <v>obj_001db</v>
      </c>
      <c r="T11" s="4" t="str">
        <f>IFERROR(_xll.qlRateHelperQuoteName(S11,Trigger),"")</f>
        <v>JPYOIS18M_Quote</v>
      </c>
      <c r="U11" s="76">
        <f>IFERROR(_xll.qlRateHelperRate(S11,Trigger),"")</f>
        <v>-2.1500000000000004E-3</v>
      </c>
      <c r="V11" s="113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42499</v>
      </c>
      <c r="X11" s="5">
        <f>IFERROR(_xll.qlRateHelperPillarDate(S11,Trigger),"")</f>
        <v>43048</v>
      </c>
      <c r="Y11" s="84">
        <v>1.0032551995216414</v>
      </c>
      <c r="AA11" s="183">
        <v>1</v>
      </c>
      <c r="AB11" s="184" t="e">
        <f>_xll.qlCalendarEndOfMonth(Calendar,Settlementdate,Trigger)</f>
        <v>#VALUE!</v>
      </c>
      <c r="AC11" s="184" t="str">
        <f t="shared" ref="AC11:AC23" si="7">Currency&amp;$AC$9&amp;AA11&amp;JumpSuffix&amp;QuoteSuffix</f>
        <v>JPYJump1_SYNTHON_Quote</v>
      </c>
      <c r="AD11" s="185" t="e">
        <f>_xll.qlDayCounterYearFraction("actual/360",AB11,_xll.qlCalendarAdvance(Calendar,AB11,"1D",,,Trigger))</f>
        <v>#NUM!</v>
      </c>
      <c r="AE11" s="184" t="e">
        <f>IF(_xll.qlQuoteIsValid(AC11,Trigger),_xll.qlQuoteValue(AC11,Trigger),1)</f>
        <v>#NUM!</v>
      </c>
      <c r="AF11" s="187" t="e">
        <f>-LN(AE11)/AD11</f>
        <v>#NUM!</v>
      </c>
      <c r="AG11" s="188"/>
      <c r="AH11" s="186" t="str">
        <f>IF(ISBLANK(AG11),AC11,EXP(-AG11*AD11))</f>
        <v>JPYJump1_SYNTHON_Quote</v>
      </c>
    </row>
    <row r="12" spans="1:34" ht="11.25" customHeight="1" x14ac:dyDescent="0.2">
      <c r="A12" s="64" t="s">
        <v>93</v>
      </c>
      <c r="B12" s="65" t="s">
        <v>46</v>
      </c>
      <c r="C12" s="66">
        <f t="shared" si="6"/>
        <v>2</v>
      </c>
      <c r="D12" s="67" t="str">
        <f t="shared" si="4"/>
        <v>JPYTonar</v>
      </c>
      <c r="E12" s="69" t="str">
        <f t="shared" si="5"/>
        <v>JPYOIS2M_Quote</v>
      </c>
      <c r="F12" s="70" t="str">
        <f>_xll.qlOISRateHelper(,C12,B12,E12,$D12,,Permanent,Trigger,ObjectOverwrite)</f>
        <v>obj_001cc#0003</v>
      </c>
      <c r="G12" s="53"/>
      <c r="H12" s="11" t="str">
        <f t="shared" si="2"/>
        <v>OIS</v>
      </c>
      <c r="I12" s="103" t="str">
        <f t="shared" si="3"/>
        <v>obj_001c3#0003</v>
      </c>
      <c r="J12" s="106" t="str">
        <f>IFERROR(_xll.qlRateHelperQuoteName(I12,Trigger),"--")</f>
        <v>JPYOIS4M_Quote</v>
      </c>
      <c r="K12" s="107">
        <f>IFERROR(_xll.qlRateHelperQuoteValue($I12,Trigger),"--")</f>
        <v>-1.15E-3</v>
      </c>
      <c r="L12" s="106" t="b">
        <v>1</v>
      </c>
      <c r="M12" s="103">
        <v>50</v>
      </c>
      <c r="N12" s="103">
        <v>1</v>
      </c>
      <c r="O12" s="108">
        <f>IFERROR(_xll.qlRateHelperEarliestDate(I12,Trigger),"--")</f>
        <v>42499</v>
      </c>
      <c r="P12" s="108">
        <f>IFERROR(_xll.qlRateHelperPillarDate(I12,Trigger),"--")</f>
        <v>42622</v>
      </c>
      <c r="R12" s="4" t="str">
        <f t="shared" si="1"/>
        <v>OIS</v>
      </c>
      <c r="S12" s="4" t="str">
        <v>obj_001c7</v>
      </c>
      <c r="T12" s="4" t="str">
        <f>IFERROR(_xll.qlRateHelperQuoteName(S12,Trigger),"")</f>
        <v>JPYOIS2Y_Quote</v>
      </c>
      <c r="U12" s="76">
        <f>IFERROR(_xll.qlRateHelperRate(S12,Trigger),"")</f>
        <v>-2.3750000000000004E-3</v>
      </c>
      <c r="V12" s="113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42499</v>
      </c>
      <c r="X12" s="5">
        <f>IFERROR(_xll.qlRateHelperPillarDate(S12,Trigger),"")</f>
        <v>43229</v>
      </c>
      <c r="Y12" s="84">
        <v>1.0047793839819803</v>
      </c>
      <c r="AA12" s="189">
        <v>2</v>
      </c>
      <c r="AB12" s="190" t="e">
        <f>_xll.qlCalendarEndOfMonth(Calendar,_xll.qlCalendarAdvance(Calendar,AB11,"1m","mf",TRUE),Trigger)</f>
        <v>#VALUE!</v>
      </c>
      <c r="AC12" s="190" t="str">
        <f t="shared" si="7"/>
        <v>JPYJump2_SYNTHON_Quote</v>
      </c>
      <c r="AD12" s="191" t="e">
        <f>_xll.qlDayCounterYearFraction("actual/360",AB12,_xll.qlCalendarAdvance(Calendar,AB12,"1D",,,Trigger))</f>
        <v>#NUM!</v>
      </c>
      <c r="AE12" s="190" t="e">
        <f>IF(_xll.qlQuoteIsValid(AC12,Trigger),_xll.qlQuoteValue(AC12,Trigger),1)</f>
        <v>#NUM!</v>
      </c>
      <c r="AF12" s="193" t="e">
        <f t="shared" ref="AF12:AF23" si="8">-LN(AE12)/AD12</f>
        <v>#NUM!</v>
      </c>
      <c r="AG12" s="194"/>
      <c r="AH12" s="192" t="str">
        <f t="shared" ref="AH12:AH23" si="9">IF(ISBLANK(AG12),AC12,EXP(-AG12*AD12))</f>
        <v>JPYJump2_SYNTHON_Quote</v>
      </c>
    </row>
    <row r="13" spans="1:34" ht="11.25" customHeight="1" x14ac:dyDescent="0.2">
      <c r="A13" s="64" t="s">
        <v>93</v>
      </c>
      <c r="B13" s="65" t="s">
        <v>0</v>
      </c>
      <c r="C13" s="66">
        <f t="shared" si="6"/>
        <v>2</v>
      </c>
      <c r="D13" s="67" t="str">
        <f t="shared" si="4"/>
        <v>JPYTonar</v>
      </c>
      <c r="E13" s="69" t="str">
        <f t="shared" si="5"/>
        <v>JPYOIS3M_Quote</v>
      </c>
      <c r="F13" s="70" t="str">
        <f>_xll.qlOISRateHelper(,C13,B13,E13,$D13,,Permanent,Trigger,ObjectOverwrite)</f>
        <v>obj_001c8#0003</v>
      </c>
      <c r="G13" s="53"/>
      <c r="H13" s="11" t="str">
        <f t="shared" si="2"/>
        <v>OIS</v>
      </c>
      <c r="I13" s="103" t="str">
        <f t="shared" si="3"/>
        <v>obj_001bc#0003</v>
      </c>
      <c r="J13" s="106" t="str">
        <f>IFERROR(_xll.qlRateHelperQuoteName(I13,Trigger),"--")</f>
        <v>JPYOIS5M_Quote</v>
      </c>
      <c r="K13" s="107">
        <f>IFERROR(_xll.qlRateHelperQuoteValue($I13,Trigger),"--")</f>
        <v>-1.25E-3</v>
      </c>
      <c r="L13" s="106" t="b">
        <v>1</v>
      </c>
      <c r="M13" s="103">
        <v>50</v>
      </c>
      <c r="N13" s="103">
        <v>1</v>
      </c>
      <c r="O13" s="108">
        <f>IFERROR(_xll.qlRateHelperEarliestDate(I13,Trigger),"--")</f>
        <v>42499</v>
      </c>
      <c r="P13" s="108">
        <f>IFERROR(_xll.qlRateHelperPillarDate(I13,Trigger),"--")</f>
        <v>42654</v>
      </c>
      <c r="R13" s="4" t="str">
        <f t="shared" si="1"/>
        <v>OIS</v>
      </c>
      <c r="S13" s="4" t="str">
        <v>obj_001c5</v>
      </c>
      <c r="T13" s="4" t="str">
        <f>IFERROR(_xll.qlRateHelperQuoteName(S13,Trigger),"")</f>
        <v>JPYOIS3Y_Quote</v>
      </c>
      <c r="U13" s="76">
        <f>IFERROR(_xll.qlRateHelperRate(S13,Trigger),"")</f>
        <v>-2.7500000000000003E-3</v>
      </c>
      <c r="V13" s="113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42499</v>
      </c>
      <c r="X13" s="5">
        <f>IFERROR(_xll.qlRateHelperPillarDate(S13,Trigger),"")</f>
        <v>43594</v>
      </c>
      <c r="Y13" s="84">
        <v>1.0083047143602424</v>
      </c>
      <c r="AA13" s="189">
        <v>3</v>
      </c>
      <c r="AB13" s="190" t="e">
        <f>_xll.qlCalendarEndOfMonth(Calendar,_xll.qlCalendarAdvance(Calendar,AB12,"1m","mf",TRUE),Trigger)</f>
        <v>#VALUE!</v>
      </c>
      <c r="AC13" s="190" t="str">
        <f t="shared" si="7"/>
        <v>JPYJump3_SYNTHON_Quote</v>
      </c>
      <c r="AD13" s="191" t="e">
        <f>_xll.qlDayCounterYearFraction("actual/360",AB13,_xll.qlCalendarAdvance(Calendar,AB13,"1D",,,Trigger))</f>
        <v>#NUM!</v>
      </c>
      <c r="AE13" s="190" t="e">
        <f>IF(_xll.qlQuoteIsValid(AC13,Trigger),_xll.qlQuoteValue(AC13,Trigger),1)</f>
        <v>#NUM!</v>
      </c>
      <c r="AF13" s="193" t="e">
        <f t="shared" si="8"/>
        <v>#NUM!</v>
      </c>
      <c r="AG13" s="194"/>
      <c r="AH13" s="192" t="str">
        <f t="shared" si="9"/>
        <v>JPYJump3_SYNTHON_Quote</v>
      </c>
    </row>
    <row r="14" spans="1:34" ht="11.25" customHeight="1" x14ac:dyDescent="0.2">
      <c r="A14" s="64" t="s">
        <v>93</v>
      </c>
      <c r="B14" s="65" t="s">
        <v>47</v>
      </c>
      <c r="C14" s="66">
        <f t="shared" si="6"/>
        <v>2</v>
      </c>
      <c r="D14" s="67" t="str">
        <f t="shared" si="4"/>
        <v>JPYTonar</v>
      </c>
      <c r="E14" s="69" t="str">
        <f t="shared" si="5"/>
        <v>JPYOIS4M_Quote</v>
      </c>
      <c r="F14" s="70" t="str">
        <f>_xll.qlOISRateHelper(,C14,B14,E14,$D14,,Permanent,Trigger,ObjectOverwrite)</f>
        <v>obj_001c3#0003</v>
      </c>
      <c r="G14" s="53"/>
      <c r="H14" s="11" t="str">
        <f t="shared" si="2"/>
        <v>OIS</v>
      </c>
      <c r="I14" s="103" t="str">
        <f t="shared" si="3"/>
        <v>obj_001d1#0003</v>
      </c>
      <c r="J14" s="106" t="str">
        <f>IFERROR(_xll.qlRateHelperQuoteName(I14,Trigger),"--")</f>
        <v>JPYOIS6M_Quote</v>
      </c>
      <c r="K14" s="107">
        <f>IFERROR(_xll.qlRateHelperQuoteValue($I14,Trigger),"--")</f>
        <v>-1.3750000000000001E-3</v>
      </c>
      <c r="L14" s="106" t="b">
        <v>1</v>
      </c>
      <c r="M14" s="103">
        <v>50</v>
      </c>
      <c r="N14" s="103">
        <v>1</v>
      </c>
      <c r="O14" s="108">
        <f>IFERROR(_xll.qlRateHelperEarliestDate(I14,Trigger),"--")</f>
        <v>42499</v>
      </c>
      <c r="P14" s="108">
        <f>IFERROR(_xll.qlRateHelperPillarDate(I14,Trigger),"--")</f>
        <v>42683</v>
      </c>
      <c r="R14" s="4" t="str">
        <f t="shared" si="1"/>
        <v>OIS</v>
      </c>
      <c r="S14" s="4" t="str">
        <v>obj_001c0</v>
      </c>
      <c r="T14" s="4" t="str">
        <f>IFERROR(_xll.qlRateHelperQuoteName(S14,Trigger),"")</f>
        <v>JPYOIS4Y_Quote</v>
      </c>
      <c r="U14" s="76">
        <f>IFERROR(_xll.qlRateHelperRate(S14,Trigger),"")</f>
        <v>-2.4000000000000002E-3</v>
      </c>
      <c r="V14" s="113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42499</v>
      </c>
      <c r="X14" s="5">
        <f>IFERROR(_xll.qlRateHelperPillarDate(S14,Trigger),"")</f>
        <v>43962</v>
      </c>
      <c r="Y14" s="84">
        <v>1.0096926610690236</v>
      </c>
      <c r="AA14" s="189">
        <v>4</v>
      </c>
      <c r="AB14" s="190" t="e">
        <f>_xll.qlCalendarEndOfMonth(Calendar,_xll.qlCalendarAdvance(Calendar,AB13,"1m","mf",TRUE),Trigger)</f>
        <v>#VALUE!</v>
      </c>
      <c r="AC14" s="190" t="str">
        <f t="shared" si="7"/>
        <v>JPYJump4_SYNTHON_Quote</v>
      </c>
      <c r="AD14" s="191" t="e">
        <f>_xll.qlDayCounterYearFraction("actual/360",AB14,_xll.qlCalendarAdvance(Calendar,AB14,"1D",,,Trigger))</f>
        <v>#NUM!</v>
      </c>
      <c r="AE14" s="190" t="e">
        <f>IF(_xll.qlQuoteIsValid(AC14,Trigger),_xll.qlQuoteValue(AC14,Trigger),1)</f>
        <v>#NUM!</v>
      </c>
      <c r="AF14" s="193" t="e">
        <f t="shared" si="8"/>
        <v>#NUM!</v>
      </c>
      <c r="AG14" s="194"/>
      <c r="AH14" s="192" t="str">
        <f t="shared" si="9"/>
        <v>JPYJump4_SYNTHON_Quote</v>
      </c>
    </row>
    <row r="15" spans="1:34" ht="11.25" customHeight="1" x14ac:dyDescent="0.2">
      <c r="A15" s="64" t="s">
        <v>93</v>
      </c>
      <c r="B15" s="65" t="s">
        <v>48</v>
      </c>
      <c r="C15" s="66">
        <f t="shared" si="6"/>
        <v>2</v>
      </c>
      <c r="D15" s="67" t="str">
        <f t="shared" si="4"/>
        <v>JPYTonar</v>
      </c>
      <c r="E15" s="69" t="str">
        <f t="shared" si="5"/>
        <v>JPYOIS5M_Quote</v>
      </c>
      <c r="F15" s="70" t="str">
        <f>_xll.qlOISRateHelper(,C15,B15,E15,$D15,,Permanent,Trigger,ObjectOverwrite)</f>
        <v>obj_001bc#0003</v>
      </c>
      <c r="G15" s="53"/>
      <c r="H15" s="11" t="str">
        <f t="shared" si="2"/>
        <v>OIS</v>
      </c>
      <c r="I15" s="103" t="str">
        <f t="shared" si="3"/>
        <v>--</v>
      </c>
      <c r="J15" s="106" t="str">
        <f>IFERROR(_xll.qlRateHelperQuoteName(I15,Trigger),"--")</f>
        <v>--</v>
      </c>
      <c r="K15" s="107" t="str">
        <f>IFERROR(_xll.qlRateHelperQuoteValue($I15,Trigger),"--")</f>
        <v>--</v>
      </c>
      <c r="L15" s="106" t="b">
        <v>0</v>
      </c>
      <c r="M15" s="103">
        <v>50</v>
      </c>
      <c r="N15" s="103">
        <v>1</v>
      </c>
      <c r="O15" s="108" t="str">
        <f>IFERROR(_xll.qlRateHelperEarliestDate(I15,Trigger),"--")</f>
        <v>--</v>
      </c>
      <c r="P15" s="108" t="str">
        <f>IFERROR(_xll.qlRateHelperPillarDate(I15,Trigger),"--")</f>
        <v>--</v>
      </c>
      <c r="R15" s="4" t="str">
        <f t="shared" si="1"/>
        <v>OIS</v>
      </c>
      <c r="S15" s="4" t="str">
        <v>obj_001d9</v>
      </c>
      <c r="T15" s="4" t="str">
        <f>IFERROR(_xll.qlRateHelperQuoteName(S15,Trigger),"")</f>
        <v>JPYOIS5Y_Quote</v>
      </c>
      <c r="U15" s="76">
        <f>IFERROR(_xll.qlRateHelperRate(S15,Trigger),"")</f>
        <v>-1.9250000000000001E-3</v>
      </c>
      <c r="V15" s="113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42499</v>
      </c>
      <c r="X15" s="5">
        <f>IFERROR(_xll.qlRateHelperPillarDate(S15,Trigger),"")</f>
        <v>44326</v>
      </c>
      <c r="Y15" s="84">
        <v>1.0097153902223239</v>
      </c>
      <c r="AA15" s="189">
        <v>5</v>
      </c>
      <c r="AB15" s="190" t="e">
        <f>_xll.qlCalendarEndOfMonth(Calendar,_xll.qlCalendarAdvance(Calendar,AB14,"1m","mf",TRUE),Trigger)</f>
        <v>#VALUE!</v>
      </c>
      <c r="AC15" s="190" t="str">
        <f t="shared" si="7"/>
        <v>JPYJump5_SYNTHON_Quote</v>
      </c>
      <c r="AD15" s="191" t="e">
        <f>_xll.qlDayCounterYearFraction("actual/360",AB15,_xll.qlCalendarAdvance(Calendar,AB15,"1D",,,Trigger))</f>
        <v>#NUM!</v>
      </c>
      <c r="AE15" s="190" t="e">
        <f>IF(_xll.qlQuoteIsValid(AC15,Trigger),_xll.qlQuoteValue(AC15,Trigger),1)</f>
        <v>#NUM!</v>
      </c>
      <c r="AF15" s="193" t="e">
        <f t="shared" si="8"/>
        <v>#NUM!</v>
      </c>
      <c r="AG15" s="194"/>
      <c r="AH15" s="192" t="str">
        <f t="shared" si="9"/>
        <v>JPYJump5_SYNTHON_Quote</v>
      </c>
    </row>
    <row r="16" spans="1:34" ht="11.25" customHeight="1" x14ac:dyDescent="0.2">
      <c r="A16" s="64" t="s">
        <v>93</v>
      </c>
      <c r="B16" s="65" t="s">
        <v>3</v>
      </c>
      <c r="C16" s="66">
        <f t="shared" si="6"/>
        <v>2</v>
      </c>
      <c r="D16" s="67" t="str">
        <f t="shared" si="4"/>
        <v>JPYTonar</v>
      </c>
      <c r="E16" s="69" t="str">
        <f t="shared" si="5"/>
        <v>JPYOIS6M_Quote</v>
      </c>
      <c r="F16" s="70" t="str">
        <f>_xll.qlOISRateHelper(,C16,B16,E16,$D16,,Permanent,Trigger,ObjectOverwrite)</f>
        <v>obj_001d1#0003</v>
      </c>
      <c r="G16" s="53"/>
      <c r="H16" s="11" t="str">
        <f t="shared" si="2"/>
        <v>OIS</v>
      </c>
      <c r="I16" s="103" t="str">
        <f t="shared" si="3"/>
        <v>--</v>
      </c>
      <c r="J16" s="106" t="str">
        <f>IFERROR(_xll.qlRateHelperQuoteName(I16,Trigger),"--")</f>
        <v>--</v>
      </c>
      <c r="K16" s="107" t="str">
        <f>IFERROR(_xll.qlRateHelperQuoteValue($I16,Trigger),"--")</f>
        <v>--</v>
      </c>
      <c r="L16" s="106" t="b">
        <v>0</v>
      </c>
      <c r="M16" s="103">
        <v>50</v>
      </c>
      <c r="N16" s="103">
        <v>1</v>
      </c>
      <c r="O16" s="108" t="str">
        <f>IFERROR(_xll.qlRateHelperEarliestDate(I16,Trigger),"--")</f>
        <v>--</v>
      </c>
      <c r="P16" s="108" t="str">
        <f>IFERROR(_xll.qlRateHelperPillarDate(I16,Trigger),"--")</f>
        <v>--</v>
      </c>
      <c r="R16" s="4" t="str">
        <f t="shared" si="1"/>
        <v>OIS</v>
      </c>
      <c r="S16" s="4" t="str">
        <v>obj_001d0</v>
      </c>
      <c r="T16" s="4" t="str">
        <f>IFERROR(_xll.qlRateHelperQuoteName(S16,Trigger),"")</f>
        <v>JPYOIS6Y_Quote</v>
      </c>
      <c r="U16" s="76">
        <f>IFERROR(_xll.qlRateHelperRate(S16,Trigger),"")</f>
        <v>-1.4250000000000001E-3</v>
      </c>
      <c r="V16" s="113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42499</v>
      </c>
      <c r="X16" s="5">
        <f>IFERROR(_xll.qlRateHelperPillarDate(S16,Trigger),"")</f>
        <v>44690</v>
      </c>
      <c r="Y16" s="84">
        <v>1.0086288026173582</v>
      </c>
      <c r="AA16" s="189">
        <v>6</v>
      </c>
      <c r="AB16" s="190" t="e">
        <f>_xll.qlCalendarEndOfMonth(Calendar,_xll.qlCalendarAdvance(Calendar,AB15,"1m","mf",TRUE),Trigger)</f>
        <v>#VALUE!</v>
      </c>
      <c r="AC16" s="190" t="str">
        <f t="shared" si="7"/>
        <v>JPYJump6_SYNTHON_Quote</v>
      </c>
      <c r="AD16" s="191" t="e">
        <f>_xll.qlDayCounterYearFraction("actual/360",AB16,_xll.qlCalendarAdvance(Calendar,AB16,"1D",,,Trigger))</f>
        <v>#NUM!</v>
      </c>
      <c r="AE16" s="190" t="e">
        <f>IF(_xll.qlQuoteIsValid(AC16,Trigger),_xll.qlQuoteValue(AC16,Trigger),1)</f>
        <v>#NUM!</v>
      </c>
      <c r="AF16" s="193" t="e">
        <f t="shared" si="8"/>
        <v>#NUM!</v>
      </c>
      <c r="AG16" s="194"/>
      <c r="AH16" s="192" t="str">
        <f t="shared" si="9"/>
        <v>JPYJump6_SYNTHON_Quote</v>
      </c>
    </row>
    <row r="17" spans="1:34" ht="11.25" customHeight="1" x14ac:dyDescent="0.2">
      <c r="A17" s="64" t="s">
        <v>93</v>
      </c>
      <c r="B17" s="65" t="s">
        <v>49</v>
      </c>
      <c r="C17" s="66">
        <f t="shared" si="6"/>
        <v>2</v>
      </c>
      <c r="D17" s="67" t="str">
        <f t="shared" si="4"/>
        <v>JPYTonar</v>
      </c>
      <c r="E17" s="69" t="str">
        <f t="shared" si="5"/>
        <v>JPYOIS7M_Quote</v>
      </c>
      <c r="F17" s="70"/>
      <c r="G17" s="53"/>
      <c r="H17" s="11" t="str">
        <f t="shared" si="2"/>
        <v>OIS</v>
      </c>
      <c r="I17" s="103" t="str">
        <f t="shared" si="3"/>
        <v>obj_001c4#0003</v>
      </c>
      <c r="J17" s="106" t="str">
        <f>IFERROR(_xll.qlRateHelperQuoteName(I17,Trigger),"--")</f>
        <v>JPYOIS9M_Quote</v>
      </c>
      <c r="K17" s="107">
        <f>IFERROR(_xll.qlRateHelperQuoteValue($I17,Trigger),"--")</f>
        <v>-1.6750000000000003E-3</v>
      </c>
      <c r="L17" s="106" t="b">
        <v>1</v>
      </c>
      <c r="M17" s="103">
        <v>50</v>
      </c>
      <c r="N17" s="103">
        <v>1</v>
      </c>
      <c r="O17" s="108">
        <f>IFERROR(_xll.qlRateHelperEarliestDate(I17,Trigger),"--")</f>
        <v>42499</v>
      </c>
      <c r="P17" s="108">
        <f>IFERROR(_xll.qlRateHelperPillarDate(I17,Trigger),"--")</f>
        <v>42775</v>
      </c>
      <c r="R17" s="4" t="str">
        <f t="shared" si="1"/>
        <v>OIS</v>
      </c>
      <c r="S17" s="4" t="str">
        <v>obj_001bb</v>
      </c>
      <c r="T17" s="4" t="str">
        <f>IFERROR(_xll.qlRateHelperQuoteName(S17,Trigger),"")</f>
        <v>JPYOIS7Y_Quote</v>
      </c>
      <c r="U17" s="76">
        <f>IFERROR(_xll.qlRateHelperRate(S17,Trigger),"")</f>
        <v>-9.0000000000000008E-4</v>
      </c>
      <c r="V17" s="113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42499</v>
      </c>
      <c r="X17" s="5">
        <f>IFERROR(_xll.qlRateHelperPillarDate(S17,Trigger),"")</f>
        <v>45055</v>
      </c>
      <c r="Y17" s="84">
        <v>1.0063605045736754</v>
      </c>
      <c r="AA17" s="189">
        <v>7</v>
      </c>
      <c r="AB17" s="190" t="e">
        <f>_xll.qlCalendarEndOfMonth(Calendar,_xll.qlCalendarAdvance(Calendar,AB16,"1m","mf",TRUE),Trigger)</f>
        <v>#VALUE!</v>
      </c>
      <c r="AC17" s="190" t="str">
        <f t="shared" si="7"/>
        <v>JPYJump7_SYNTHON_Quote</v>
      </c>
      <c r="AD17" s="191" t="e">
        <f>_xll.qlDayCounterYearFraction("actual/360",AB17,_xll.qlCalendarAdvance(Calendar,AB17,"1D",,,Trigger))</f>
        <v>#NUM!</v>
      </c>
      <c r="AE17" s="190" t="e">
        <f>IF(_xll.qlQuoteIsValid(AC17,Trigger),_xll.qlQuoteValue(AC17,Trigger),1)</f>
        <v>#NUM!</v>
      </c>
      <c r="AF17" s="193" t="e">
        <f t="shared" si="8"/>
        <v>#NUM!</v>
      </c>
      <c r="AG17" s="194"/>
      <c r="AH17" s="192" t="str">
        <f t="shared" si="9"/>
        <v>JPYJump7_SYNTHON_Quote</v>
      </c>
    </row>
    <row r="18" spans="1:34" ht="11.25" customHeight="1" x14ac:dyDescent="0.2">
      <c r="A18" s="64" t="s">
        <v>93</v>
      </c>
      <c r="B18" s="65" t="s">
        <v>50</v>
      </c>
      <c r="C18" s="66">
        <f t="shared" si="6"/>
        <v>2</v>
      </c>
      <c r="D18" s="67" t="str">
        <f t="shared" si="4"/>
        <v>JPYTonar</v>
      </c>
      <c r="E18" s="69" t="str">
        <f t="shared" si="5"/>
        <v>JPYOIS8M_Quote</v>
      </c>
      <c r="F18" s="70"/>
      <c r="G18" s="53"/>
      <c r="H18" s="11" t="str">
        <f t="shared" si="2"/>
        <v>OIS</v>
      </c>
      <c r="I18" s="103" t="str">
        <f t="shared" si="3"/>
        <v>--</v>
      </c>
      <c r="J18" s="106" t="str">
        <f>IFERROR(_xll.qlRateHelperQuoteName(I18,Trigger),"--")</f>
        <v>--</v>
      </c>
      <c r="K18" s="107" t="str">
        <f>IFERROR(_xll.qlRateHelperQuoteValue($I18,Trigger),"--")</f>
        <v>--</v>
      </c>
      <c r="L18" s="106" t="b">
        <v>0</v>
      </c>
      <c r="M18" s="103">
        <v>50</v>
      </c>
      <c r="N18" s="103">
        <v>1</v>
      </c>
      <c r="O18" s="108" t="str">
        <f>IFERROR(_xll.qlRateHelperEarliestDate(I18,Trigger),"--")</f>
        <v>--</v>
      </c>
      <c r="P18" s="108" t="str">
        <f>IFERROR(_xll.qlRateHelperPillarDate(I18,Trigger),"--")</f>
        <v>--</v>
      </c>
      <c r="R18" s="4" t="str">
        <f t="shared" si="1"/>
        <v>OIS</v>
      </c>
      <c r="S18" s="4" t="str">
        <v>obj_001cd</v>
      </c>
      <c r="T18" s="4" t="str">
        <f>IFERROR(_xll.qlRateHelperQuoteName(S18,Trigger),"")</f>
        <v>JPYOIS8Y_Quote</v>
      </c>
      <c r="U18" s="76">
        <f>IFERROR(_xll.qlRateHelperRate(S18,Trigger),"")</f>
        <v>-4.4999999999999999E-4</v>
      </c>
      <c r="V18" s="113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42499</v>
      </c>
      <c r="X18" s="5">
        <f>IFERROR(_xll.qlRateHelperPillarDate(S18,Trigger),"")</f>
        <v>45421</v>
      </c>
      <c r="Y18" s="84">
        <v>1.0036399269656457</v>
      </c>
      <c r="AA18" s="189">
        <v>8</v>
      </c>
      <c r="AB18" s="190" t="e">
        <f>_xll.qlCalendarEndOfMonth(Calendar,_xll.qlCalendarAdvance(Calendar,AB17,"1m","mf",TRUE),Trigger)</f>
        <v>#VALUE!</v>
      </c>
      <c r="AC18" s="190" t="str">
        <f t="shared" si="7"/>
        <v>JPYJump8_SYNTHON_Quote</v>
      </c>
      <c r="AD18" s="191" t="e">
        <f>_xll.qlDayCounterYearFraction("actual/360",AB18,_xll.qlCalendarAdvance(Calendar,AB18,"1D",,,Trigger))</f>
        <v>#NUM!</v>
      </c>
      <c r="AE18" s="190" t="e">
        <f>IF(_xll.qlQuoteIsValid(AC18,Trigger),_xll.qlQuoteValue(AC18,Trigger),1)</f>
        <v>#NUM!</v>
      </c>
      <c r="AF18" s="193" t="e">
        <f t="shared" si="8"/>
        <v>#NUM!</v>
      </c>
      <c r="AG18" s="194"/>
      <c r="AH18" s="192" t="str">
        <f t="shared" si="9"/>
        <v>JPYJump8_SYNTHON_Quote</v>
      </c>
    </row>
    <row r="19" spans="1:34" ht="11.25" customHeight="1" x14ac:dyDescent="0.2">
      <c r="A19" s="64" t="s">
        <v>93</v>
      </c>
      <c r="B19" s="65" t="s">
        <v>51</v>
      </c>
      <c r="C19" s="66">
        <f t="shared" si="6"/>
        <v>2</v>
      </c>
      <c r="D19" s="67" t="str">
        <f t="shared" si="4"/>
        <v>JPYTonar</v>
      </c>
      <c r="E19" s="69" t="str">
        <f t="shared" si="5"/>
        <v>JPYOIS9M_Quote</v>
      </c>
      <c r="F19" s="70" t="str">
        <f>_xll.qlOISRateHelper(,C19,B19,E19,$D19,,Permanent,Trigger,ObjectOverwrite)</f>
        <v>obj_001c4#0003</v>
      </c>
      <c r="G19" s="53"/>
      <c r="H19" s="11" t="str">
        <f t="shared" si="2"/>
        <v>OIS</v>
      </c>
      <c r="I19" s="103" t="str">
        <f t="shared" si="3"/>
        <v>--</v>
      </c>
      <c r="J19" s="106" t="str">
        <f>IFERROR(_xll.qlRateHelperQuoteName(I19,Trigger),"--")</f>
        <v>--</v>
      </c>
      <c r="K19" s="107" t="str">
        <f>IFERROR(_xll.qlRateHelperQuoteValue($I19,Trigger),"--")</f>
        <v>--</v>
      </c>
      <c r="L19" s="106" t="b">
        <v>0</v>
      </c>
      <c r="M19" s="103">
        <v>50</v>
      </c>
      <c r="N19" s="103">
        <v>1</v>
      </c>
      <c r="O19" s="108" t="str">
        <f>IFERROR(_xll.qlRateHelperEarliestDate(I19,Trigger),"--")</f>
        <v>--</v>
      </c>
      <c r="P19" s="108" t="str">
        <f>IFERROR(_xll.qlRateHelperPillarDate(I19,Trigger),"--")</f>
        <v>--</v>
      </c>
      <c r="R19" s="4" t="str">
        <f t="shared" si="1"/>
        <v>OIS</v>
      </c>
      <c r="S19" s="4" t="str">
        <v>obj_001d8</v>
      </c>
      <c r="T19" s="4" t="str">
        <f>IFERROR(_xll.qlRateHelperQuoteName(S19,Trigger),"")</f>
        <v>JPYOIS9Y_Quote</v>
      </c>
      <c r="U19" s="76">
        <f>IFERROR(_xll.qlRateHelperRate(S19,Trigger),"")</f>
        <v>-7.4999999999999993E-5</v>
      </c>
      <c r="V19" s="113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42499</v>
      </c>
      <c r="X19" s="5">
        <f>IFERROR(_xll.qlRateHelperPillarDate(S19,Trigger),"")</f>
        <v>45786</v>
      </c>
      <c r="Y19" s="84">
        <v>1.0006930387178115</v>
      </c>
      <c r="AA19" s="189">
        <v>9</v>
      </c>
      <c r="AB19" s="190" t="e">
        <f>_xll.qlCalendarEndOfMonth(Calendar,_xll.qlCalendarAdvance(Calendar,AB18,"1m","mf",TRUE),Trigger)</f>
        <v>#VALUE!</v>
      </c>
      <c r="AC19" s="190" t="str">
        <f t="shared" si="7"/>
        <v>JPYJump9_SYNTHON_Quote</v>
      </c>
      <c r="AD19" s="191" t="e">
        <f>_xll.qlDayCounterYearFraction("actual/360",AB19,_xll.qlCalendarAdvance(Calendar,AB19,"1D",,,Trigger))</f>
        <v>#NUM!</v>
      </c>
      <c r="AE19" s="190" t="e">
        <f>IF(_xll.qlQuoteIsValid(AC19,Trigger),_xll.qlQuoteValue(AC19,Trigger),1)</f>
        <v>#NUM!</v>
      </c>
      <c r="AF19" s="193" t="e">
        <f t="shared" si="8"/>
        <v>#NUM!</v>
      </c>
      <c r="AG19" s="194"/>
      <c r="AH19" s="192" t="str">
        <f t="shared" si="9"/>
        <v>JPYJump9_SYNTHON_Quote</v>
      </c>
    </row>
    <row r="20" spans="1:34" ht="11.25" customHeight="1" x14ac:dyDescent="0.2">
      <c r="A20" s="64" t="s">
        <v>93</v>
      </c>
      <c r="B20" s="65" t="s">
        <v>52</v>
      </c>
      <c r="C20" s="66">
        <f t="shared" si="6"/>
        <v>2</v>
      </c>
      <c r="D20" s="67" t="str">
        <f t="shared" si="4"/>
        <v>JPYTonar</v>
      </c>
      <c r="E20" s="69" t="str">
        <f t="shared" si="5"/>
        <v>JPYOIS10M_Quote</v>
      </c>
      <c r="F20" s="70"/>
      <c r="G20" s="53"/>
      <c r="H20" s="11" t="str">
        <f t="shared" si="2"/>
        <v>OIS</v>
      </c>
      <c r="I20" s="103" t="str">
        <f t="shared" si="3"/>
        <v>obj_001cf#0003</v>
      </c>
      <c r="J20" s="106" t="str">
        <f>IFERROR(_xll.qlRateHelperQuoteName(I20,Trigger),"--")</f>
        <v>JPYOIS1Y_Quote</v>
      </c>
      <c r="K20" s="107">
        <f>IFERROR(_xll.qlRateHelperQuoteValue($I20,Trigger),"--")</f>
        <v>-1.8500000000000001E-3</v>
      </c>
      <c r="L20" s="106" t="b">
        <v>1</v>
      </c>
      <c r="M20" s="103">
        <v>50</v>
      </c>
      <c r="N20" s="103">
        <v>1</v>
      </c>
      <c r="O20" s="108">
        <f>IFERROR(_xll.qlRateHelperEarliestDate(I20,Trigger),"--")</f>
        <v>42499</v>
      </c>
      <c r="P20" s="108">
        <f>IFERROR(_xll.qlRateHelperPillarDate(I20,Trigger),"--")</f>
        <v>42864</v>
      </c>
      <c r="R20" s="4" t="str">
        <f t="shared" si="1"/>
        <v>OIS</v>
      </c>
      <c r="S20" s="4" t="str">
        <v>obj_001d5</v>
      </c>
      <c r="T20" s="4" t="str">
        <f>IFERROR(_xll.qlRateHelperQuoteName(S20,Trigger),"")</f>
        <v>JPYOIS10Y_Quote</v>
      </c>
      <c r="U20" s="76">
        <f>IFERROR(_xll.qlRateHelperRate(S20,Trigger),"")</f>
        <v>2.7499999999999996E-4</v>
      </c>
      <c r="V20" s="113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42499</v>
      </c>
      <c r="X20" s="5">
        <f>IFERROR(_xll.qlRateHelperPillarDate(S20,Trigger),"")</f>
        <v>46153</v>
      </c>
      <c r="Y20" s="84">
        <v>0.9972465731021033</v>
      </c>
      <c r="AA20" s="189">
        <v>10</v>
      </c>
      <c r="AB20" s="190" t="e">
        <f>_xll.qlCalendarEndOfMonth(Calendar,_xll.qlCalendarAdvance(Calendar,AB19,"1m","mf",TRUE),Trigger)</f>
        <v>#VALUE!</v>
      </c>
      <c r="AC20" s="190" t="str">
        <f t="shared" si="7"/>
        <v>JPYJump10_SYNTHON_Quote</v>
      </c>
      <c r="AD20" s="191" t="e">
        <f>_xll.qlDayCounterYearFraction("actual/360",AB20,_xll.qlCalendarAdvance(Calendar,AB20,"1D",,,Trigger))</f>
        <v>#NUM!</v>
      </c>
      <c r="AE20" s="190" t="e">
        <f>IF(_xll.qlQuoteIsValid(AC20,Trigger),_xll.qlQuoteValue(AC20,Trigger),1)</f>
        <v>#NUM!</v>
      </c>
      <c r="AF20" s="193" t="e">
        <f t="shared" si="8"/>
        <v>#NUM!</v>
      </c>
      <c r="AG20" s="194"/>
      <c r="AH20" s="192" t="str">
        <f t="shared" si="9"/>
        <v>JPYJump10_SYNTHON_Quote</v>
      </c>
    </row>
    <row r="21" spans="1:34" ht="11.25" customHeight="1" x14ac:dyDescent="0.2">
      <c r="A21" s="64" t="s">
        <v>93</v>
      </c>
      <c r="B21" s="65" t="s">
        <v>53</v>
      </c>
      <c r="C21" s="66">
        <f t="shared" si="6"/>
        <v>2</v>
      </c>
      <c r="D21" s="67" t="str">
        <f t="shared" si="4"/>
        <v>JPYTonar</v>
      </c>
      <c r="E21" s="69" t="str">
        <f t="shared" si="5"/>
        <v>JPYOIS11M_Quote</v>
      </c>
      <c r="F21" s="70"/>
      <c r="G21" s="53"/>
      <c r="H21" s="11" t="str">
        <f t="shared" si="2"/>
        <v>OIS</v>
      </c>
      <c r="I21" s="103" t="str">
        <f t="shared" si="3"/>
        <v>--</v>
      </c>
      <c r="J21" s="106" t="str">
        <f>IFERROR(_xll.qlRateHelperQuoteName(I21,Trigger),"--")</f>
        <v>--</v>
      </c>
      <c r="K21" s="107" t="str">
        <f>IFERROR(_xll.qlRateHelperQuoteValue($I21,Trigger),"--")</f>
        <v>--</v>
      </c>
      <c r="L21" s="106" t="b">
        <v>0</v>
      </c>
      <c r="M21" s="103">
        <v>50</v>
      </c>
      <c r="N21" s="103">
        <v>1</v>
      </c>
      <c r="O21" s="108" t="str">
        <f>IFERROR(_xll.qlRateHelperEarliestDate(I21,Trigger),"--")</f>
        <v>--</v>
      </c>
      <c r="P21" s="108" t="str">
        <f>IFERROR(_xll.qlRateHelperPillarDate(I21,Trigger),"--")</f>
        <v>--</v>
      </c>
      <c r="R21" s="4" t="str">
        <f t="shared" si="1"/>
        <v>OIS</v>
      </c>
      <c r="S21" s="4" t="str">
        <v>obj_001ce</v>
      </c>
      <c r="T21" s="4" t="str">
        <f>IFERROR(_xll.qlRateHelperQuoteName(S21,Trigger),"")</f>
        <v>JPYOIS12Y_Quote</v>
      </c>
      <c r="U21" s="76">
        <f>IFERROR(_xll.qlRateHelperRate(S21,Trigger),"")</f>
        <v>1.075E-3</v>
      </c>
      <c r="V21" s="113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42499</v>
      </c>
      <c r="X21" s="5">
        <f>IFERROR(_xll.qlRateHelperPillarDate(S21,Trigger),"")</f>
        <v>46882</v>
      </c>
      <c r="Y21" s="84">
        <v>0.98707181978997394</v>
      </c>
      <c r="AA21" s="189">
        <v>11</v>
      </c>
      <c r="AB21" s="190" t="e">
        <f>_xll.qlCalendarEndOfMonth(Calendar,_xll.qlCalendarAdvance(Calendar,AB20,"1m","mf",TRUE),Trigger)</f>
        <v>#VALUE!</v>
      </c>
      <c r="AC21" s="190" t="str">
        <f t="shared" si="7"/>
        <v>JPYJump11_SYNTHON_Quote</v>
      </c>
      <c r="AD21" s="191" t="e">
        <f>_xll.qlDayCounterYearFraction("actual/360",AB21,_xll.qlCalendarAdvance(Calendar,AB21,"1D",,,Trigger))</f>
        <v>#NUM!</v>
      </c>
      <c r="AE21" s="190" t="e">
        <f>IF(_xll.qlQuoteIsValid(AC21,Trigger),_xll.qlQuoteValue(AC21,Trigger),1)</f>
        <v>#NUM!</v>
      </c>
      <c r="AF21" s="193" t="e">
        <f t="shared" si="8"/>
        <v>#NUM!</v>
      </c>
      <c r="AG21" s="194"/>
      <c r="AH21" s="192" t="str">
        <f t="shared" si="9"/>
        <v>JPYJump11_SYNTHON_Quote</v>
      </c>
    </row>
    <row r="22" spans="1:34" ht="11.25" customHeight="1" x14ac:dyDescent="0.2">
      <c r="A22" s="64" t="s">
        <v>93</v>
      </c>
      <c r="B22" s="65" t="s">
        <v>26</v>
      </c>
      <c r="C22" s="66">
        <f t="shared" si="6"/>
        <v>2</v>
      </c>
      <c r="D22" s="67" t="str">
        <f t="shared" si="4"/>
        <v>JPYTonar</v>
      </c>
      <c r="E22" s="69" t="str">
        <f t="shared" si="5"/>
        <v>JPYOIS1Y_Quote</v>
      </c>
      <c r="F22" s="70" t="str">
        <f>_xll.qlOISRateHelper(,C22,B22,E22,$D22,,Permanent,Trigger,ObjectOverwrite)</f>
        <v>obj_001cf#0003</v>
      </c>
      <c r="H22" s="11" t="str">
        <f t="shared" si="2"/>
        <v>OIS</v>
      </c>
      <c r="I22" s="103" t="str">
        <f t="shared" si="3"/>
        <v>--</v>
      </c>
      <c r="J22" s="106" t="str">
        <f>IFERROR(_xll.qlRateHelperQuoteName(I22,Trigger),"--")</f>
        <v>--</v>
      </c>
      <c r="K22" s="107" t="str">
        <f>IFERROR(_xll.qlRateHelperQuoteValue($I22,Trigger),"--")</f>
        <v>--</v>
      </c>
      <c r="L22" s="106" t="b">
        <v>0</v>
      </c>
      <c r="M22" s="103">
        <v>50</v>
      </c>
      <c r="N22" s="103">
        <v>1</v>
      </c>
      <c r="O22" s="108" t="str">
        <f>IFERROR(_xll.qlRateHelperEarliestDate(I22,Trigger),"--")</f>
        <v>--</v>
      </c>
      <c r="P22" s="108" t="str">
        <f>IFERROR(_xll.qlRateHelperPillarDate(I22,Trigger),"--")</f>
        <v>--</v>
      </c>
      <c r="R22" s="4" t="str">
        <f t="shared" si="1"/>
        <v>OIS</v>
      </c>
      <c r="S22" s="4" t="str">
        <v>obj_001c1</v>
      </c>
      <c r="T22" s="4" t="str">
        <f>IFERROR(_xll.qlRateHelperQuoteName(S22,Trigger),"")</f>
        <v>JPYOIS15Y_Quote</v>
      </c>
      <c r="U22" s="76">
        <f>IFERROR(_xll.qlRateHelperRate(S22,Trigger),"")</f>
        <v>2.1250000000000002E-3</v>
      </c>
      <c r="V22" s="113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42499</v>
      </c>
      <c r="X22" s="5">
        <f>IFERROR(_xll.qlRateHelperPillarDate(S22,Trigger),"")</f>
        <v>47977</v>
      </c>
      <c r="Y22" s="84">
        <v>0.96821665042113059</v>
      </c>
      <c r="AA22" s="189">
        <v>12</v>
      </c>
      <c r="AB22" s="190" t="e">
        <f>_xll.qlCalendarEndOfMonth(Calendar,_xll.qlCalendarAdvance(Calendar,AB21,"1m","mf",TRUE),Trigger)</f>
        <v>#VALUE!</v>
      </c>
      <c r="AC22" s="190" t="str">
        <f t="shared" si="7"/>
        <v>JPYJump12_SYNTHON_Quote</v>
      </c>
      <c r="AD22" s="191" t="e">
        <f>_xll.qlDayCounterYearFraction("actual/360",AB22,_xll.qlCalendarAdvance(Calendar,AB22,"1D",,,Trigger))</f>
        <v>#NUM!</v>
      </c>
      <c r="AE22" s="190" t="e">
        <f>IF(_xll.qlQuoteIsValid(AC22,Trigger),_xll.qlQuoteValue(AC22,Trigger),1)</f>
        <v>#NUM!</v>
      </c>
      <c r="AF22" s="193" t="e">
        <f t="shared" si="8"/>
        <v>#NUM!</v>
      </c>
      <c r="AG22" s="194"/>
      <c r="AH22" s="192" t="str">
        <f t="shared" si="9"/>
        <v>JPYJump12_SYNTHON_Quote</v>
      </c>
    </row>
    <row r="23" spans="1:34" ht="11.25" customHeight="1" x14ac:dyDescent="0.2">
      <c r="A23" s="64" t="s">
        <v>93</v>
      </c>
      <c r="B23" s="65" t="s">
        <v>54</v>
      </c>
      <c r="C23" s="66">
        <f t="shared" ref="C23:C61" si="10">IF(B23="O/N",0,IF(B23="T/N",1,2))</f>
        <v>2</v>
      </c>
      <c r="D23" s="67" t="str">
        <f t="shared" si="4"/>
        <v>JPYTonar</v>
      </c>
      <c r="E23" s="69" t="str">
        <f t="shared" si="5"/>
        <v>JPYOIS13M_Quote</v>
      </c>
      <c r="F23" s="70"/>
      <c r="H23" s="11" t="str">
        <f t="shared" si="2"/>
        <v>OIS</v>
      </c>
      <c r="I23" s="103" t="str">
        <f t="shared" si="3"/>
        <v>--</v>
      </c>
      <c r="J23" s="106" t="str">
        <f>IFERROR(_xll.qlRateHelperQuoteName(I23,Trigger),"--")</f>
        <v>--</v>
      </c>
      <c r="K23" s="107" t="str">
        <f>IFERROR(_xll.qlRateHelperQuoteValue($I23,Trigger),"--")</f>
        <v>--</v>
      </c>
      <c r="L23" s="106" t="b">
        <v>0</v>
      </c>
      <c r="M23" s="103">
        <v>50</v>
      </c>
      <c r="N23" s="103">
        <v>1</v>
      </c>
      <c r="O23" s="108" t="str">
        <f>IFERROR(_xll.qlRateHelperEarliestDate(I23,Trigger),"--")</f>
        <v>--</v>
      </c>
      <c r="P23" s="108" t="str">
        <f>IFERROR(_xll.qlRateHelperPillarDate(I23,Trigger),"--")</f>
        <v>--</v>
      </c>
      <c r="R23" s="4" t="str">
        <f t="shared" si="1"/>
        <v>OIS</v>
      </c>
      <c r="S23" s="4" t="str">
        <v>obj_001be</v>
      </c>
      <c r="T23" s="4" t="str">
        <f>IFERROR(_xll.qlRateHelperQuoteName(S23,Trigger),"")</f>
        <v>JPYOIS20Y_Quote</v>
      </c>
      <c r="U23" s="76">
        <f>IFERROR(_xll.qlRateHelperRate(S23,Trigger),"")</f>
        <v>3.5499999999999998E-3</v>
      </c>
      <c r="V23" s="113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42499</v>
      </c>
      <c r="X23" s="5">
        <f>IFERROR(_xll.qlRateHelperPillarDate(S23,Trigger),"")</f>
        <v>49804</v>
      </c>
      <c r="Y23" s="84">
        <v>0.93009666212500008</v>
      </c>
      <c r="AA23" s="195">
        <v>13</v>
      </c>
      <c r="AB23" s="196" t="e">
        <f>_xll.qlCalendarAdjust(Calendar,DATE(YEAR(AB11)+1,12,31),"preceding",Trigger)</f>
        <v>#VALUE!</v>
      </c>
      <c r="AC23" s="196" t="str">
        <f t="shared" si="7"/>
        <v>JPYJump13_SYNTHON_Quote</v>
      </c>
      <c r="AD23" s="197" t="e">
        <f>_xll.qlDayCounterYearFraction("actual/360",AB23,_xll.qlCalendarAdvance(Calendar,AB23,"1D",,,Trigger))</f>
        <v>#NUM!</v>
      </c>
      <c r="AE23" s="196" t="e">
        <f>IF(_xll.qlQuoteIsValid(AC23,Trigger),_xll.qlQuoteValue(AC23,Trigger),1)</f>
        <v>#NUM!</v>
      </c>
      <c r="AF23" s="199" t="e">
        <f t="shared" si="8"/>
        <v>#NUM!</v>
      </c>
      <c r="AG23" s="200"/>
      <c r="AH23" s="198" t="str">
        <f t="shared" si="9"/>
        <v>JPYJump13_SYNTHON_Quote</v>
      </c>
    </row>
    <row r="24" spans="1:34" ht="11.25" customHeight="1" x14ac:dyDescent="0.2">
      <c r="A24" s="64" t="s">
        <v>93</v>
      </c>
      <c r="B24" s="65" t="s">
        <v>55</v>
      </c>
      <c r="C24" s="66">
        <f t="shared" si="10"/>
        <v>2</v>
      </c>
      <c r="D24" s="67" t="str">
        <f t="shared" si="4"/>
        <v>JPYTonar</v>
      </c>
      <c r="E24" s="69" t="str">
        <f t="shared" si="5"/>
        <v>JPYOIS14M_Quote</v>
      </c>
      <c r="F24" s="70"/>
      <c r="H24" s="11" t="str">
        <f t="shared" si="2"/>
        <v>OIS</v>
      </c>
      <c r="I24" s="103" t="str">
        <f t="shared" si="3"/>
        <v>--</v>
      </c>
      <c r="J24" s="106" t="str">
        <f>IFERROR(_xll.qlRateHelperQuoteName(I24,Trigger),"--")</f>
        <v>--</v>
      </c>
      <c r="K24" s="107" t="str">
        <f>IFERROR(_xll.qlRateHelperQuoteValue($I24,Trigger),"--")</f>
        <v>--</v>
      </c>
      <c r="L24" s="106" t="b">
        <v>0</v>
      </c>
      <c r="M24" s="103">
        <v>50</v>
      </c>
      <c r="N24" s="103">
        <v>1</v>
      </c>
      <c r="O24" s="108" t="str">
        <f>IFERROR(_xll.qlRateHelperEarliestDate(I24,Trigger),"--")</f>
        <v>--</v>
      </c>
      <c r="P24" s="108" t="str">
        <f>IFERROR(_xll.qlRateHelperPillarDate(I24,Trigger),"--")</f>
        <v>--</v>
      </c>
      <c r="R24" s="4" t="str">
        <f t="shared" si="1"/>
        <v>OIS</v>
      </c>
      <c r="S24" s="4" t="str">
        <v>obj_001d6</v>
      </c>
      <c r="T24" s="4" t="str">
        <f>IFERROR(_xll.qlRateHelperQuoteName(S24,Trigger),"")</f>
        <v>JPYOIS25Y_Quote</v>
      </c>
      <c r="U24" s="76">
        <f>IFERROR(_xll.qlRateHelperRate(S24,Trigger),"")</f>
        <v>4.1250000000000002E-3</v>
      </c>
      <c r="V24" s="113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42499</v>
      </c>
      <c r="X24" s="5">
        <f>IFERROR(_xll.qlRateHelperPillarDate(S24,Trigger),"")</f>
        <v>51630</v>
      </c>
      <c r="Y24" s="84">
        <v>0.89996057956345887</v>
      </c>
    </row>
    <row r="25" spans="1:34" ht="11.25" customHeight="1" x14ac:dyDescent="0.2">
      <c r="A25" s="64" t="s">
        <v>93</v>
      </c>
      <c r="B25" s="65" t="s">
        <v>56</v>
      </c>
      <c r="C25" s="66">
        <f t="shared" si="10"/>
        <v>2</v>
      </c>
      <c r="D25" s="67" t="str">
        <f t="shared" si="4"/>
        <v>JPYTonar</v>
      </c>
      <c r="E25" s="69" t="str">
        <f t="shared" si="5"/>
        <v>JPYOIS15M_Quote</v>
      </c>
      <c r="F25" s="70"/>
      <c r="H25" s="11" t="str">
        <f t="shared" si="2"/>
        <v>OIS</v>
      </c>
      <c r="I25" s="103" t="str">
        <f t="shared" si="3"/>
        <v>--</v>
      </c>
      <c r="J25" s="106" t="str">
        <f>IFERROR(_xll.qlRateHelperQuoteName(I25,Trigger),"--")</f>
        <v>--</v>
      </c>
      <c r="K25" s="107" t="str">
        <f>IFERROR(_xll.qlRateHelperQuoteValue($I25,Trigger),"--")</f>
        <v>--</v>
      </c>
      <c r="L25" s="106" t="b">
        <v>0</v>
      </c>
      <c r="M25" s="103">
        <v>50</v>
      </c>
      <c r="N25" s="103">
        <v>1</v>
      </c>
      <c r="O25" s="108" t="str">
        <f>IFERROR(_xll.qlRateHelperEarliestDate(I25,Trigger),"--")</f>
        <v>--</v>
      </c>
      <c r="P25" s="108" t="str">
        <f>IFERROR(_xll.qlRateHelperPillarDate(I25,Trigger),"--")</f>
        <v>--</v>
      </c>
      <c r="R25" s="4" t="str">
        <f t="shared" si="1"/>
        <v>OIS</v>
      </c>
      <c r="S25" s="4" t="str">
        <v>obj_001c2</v>
      </c>
      <c r="T25" s="4" t="str">
        <f>IFERROR(_xll.qlRateHelperQuoteName(S25,Trigger),"")</f>
        <v>JPYOIS30Y_Quote</v>
      </c>
      <c r="U25" s="76">
        <f>IFERROR(_xll.qlRateHelperRate(S25,Trigger),"")</f>
        <v>4.5750000000000001E-3</v>
      </c>
      <c r="V25" s="113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42499</v>
      </c>
      <c r="X25" s="5">
        <f>IFERROR(_xll.qlRateHelperPillarDate(S25,Trigger),"")</f>
        <v>53456</v>
      </c>
      <c r="Y25" s="84">
        <v>0.86887050972025248</v>
      </c>
    </row>
    <row r="26" spans="1:34" ht="11.25" customHeight="1" x14ac:dyDescent="0.2">
      <c r="A26" s="64" t="s">
        <v>93</v>
      </c>
      <c r="B26" s="65" t="s">
        <v>57</v>
      </c>
      <c r="C26" s="66">
        <f t="shared" si="10"/>
        <v>2</v>
      </c>
      <c r="D26" s="67" t="str">
        <f t="shared" si="4"/>
        <v>JPYTonar</v>
      </c>
      <c r="E26" s="69" t="str">
        <f t="shared" si="5"/>
        <v>JPYOIS16M_Quote</v>
      </c>
      <c r="F26" s="70"/>
      <c r="H26" s="11" t="str">
        <f t="shared" si="2"/>
        <v>OIS</v>
      </c>
      <c r="I26" s="103" t="str">
        <f t="shared" si="3"/>
        <v>obj_001db#0003</v>
      </c>
      <c r="J26" s="106" t="str">
        <f>IFERROR(_xll.qlRateHelperQuoteName(I26,Trigger),"--")</f>
        <v>JPYOIS18M_Quote</v>
      </c>
      <c r="K26" s="107">
        <f>IFERROR(_xll.qlRateHelperQuoteValue($I26,Trigger),"--")</f>
        <v>-2.1500000000000004E-3</v>
      </c>
      <c r="L26" s="106" t="b">
        <v>1</v>
      </c>
      <c r="M26" s="103">
        <v>50</v>
      </c>
      <c r="N26" s="103">
        <v>1</v>
      </c>
      <c r="O26" s="108">
        <f>IFERROR(_xll.qlRateHelperEarliestDate(I26,Trigger),"--")</f>
        <v>42499</v>
      </c>
      <c r="P26" s="108">
        <f>IFERROR(_xll.qlRateHelperPillarDate(I26,Trigger),"--")</f>
        <v>43048</v>
      </c>
      <c r="R26" s="4" t="str">
        <f t="shared" si="1"/>
        <v/>
      </c>
      <c r="S26" s="4" t="e">
        <v>#N/A</v>
      </c>
      <c r="T26" s="4" t="str">
        <f>IFERROR(_xll.qlRateHelperQuoteName(S26,Trigger),"")</f>
        <v/>
      </c>
      <c r="U26" s="76" t="str">
        <f>IFERROR(_xll.qlRateHelperRate(S26,Trigger),"")</f>
        <v/>
      </c>
      <c r="V26" s="113" t="str">
        <f>IF(ISERROR(_xll.qlSwapRateHelperSpread($S26)),IF(ISERROR(_xll.qlFuturesRateHelperConvexityAdjustment($S26)),"",_xll.qlFuturesRateHelperConvexityAdjustment($S26)),_xll.qlSwapRateHelperSpread($S26))</f>
        <v/>
      </c>
      <c r="W26" s="5" t="str">
        <f>IFERROR(_xll.qlRateHelperEarliestDate(S26,Trigger),"")</f>
        <v/>
      </c>
      <c r="X26" s="5" t="str">
        <f>IFERROR(_xll.qlRateHelperPillarDate(S26,Trigger),"")</f>
        <v/>
      </c>
      <c r="Y26" s="84" t="e">
        <v>#N/A</v>
      </c>
    </row>
    <row r="27" spans="1:34" ht="11.25" customHeight="1" x14ac:dyDescent="0.2">
      <c r="A27" s="64" t="s">
        <v>93</v>
      </c>
      <c r="B27" s="65" t="s">
        <v>58</v>
      </c>
      <c r="C27" s="66">
        <f t="shared" si="10"/>
        <v>2</v>
      </c>
      <c r="D27" s="67" t="str">
        <f t="shared" si="4"/>
        <v>JPYTonar</v>
      </c>
      <c r="E27" s="69" t="str">
        <f t="shared" si="5"/>
        <v>JPYOIS17M_Quote</v>
      </c>
      <c r="F27" s="70"/>
      <c r="H27" s="11" t="str">
        <f t="shared" si="2"/>
        <v>OIS</v>
      </c>
      <c r="I27" s="103" t="str">
        <f t="shared" si="3"/>
        <v>--</v>
      </c>
      <c r="J27" s="106" t="str">
        <f>IFERROR(_xll.qlRateHelperQuoteName(I27,Trigger),"--")</f>
        <v>--</v>
      </c>
      <c r="K27" s="107" t="str">
        <f>IFERROR(_xll.qlRateHelperQuoteValue($I27,Trigger),"--")</f>
        <v>--</v>
      </c>
      <c r="L27" s="106" t="b">
        <v>0</v>
      </c>
      <c r="M27" s="103">
        <v>50</v>
      </c>
      <c r="N27" s="103">
        <v>1</v>
      </c>
      <c r="O27" s="108" t="str">
        <f>IFERROR(_xll.qlRateHelperEarliestDate(I27,Trigger),"--")</f>
        <v>--</v>
      </c>
      <c r="P27" s="108" t="str">
        <f>IFERROR(_xll.qlRateHelperPillarDate(I27,Trigger),"--")</f>
        <v>--</v>
      </c>
      <c r="R27" s="4" t="str">
        <f t="shared" si="1"/>
        <v/>
      </c>
      <c r="S27" s="4" t="e">
        <v>#N/A</v>
      </c>
      <c r="T27" s="4" t="str">
        <f>IFERROR(_xll.qlRateHelperQuoteName(S27,Trigger),"")</f>
        <v/>
      </c>
      <c r="U27" s="76" t="str">
        <f>IFERROR(_xll.qlRateHelperRate(S27,Trigger),"")</f>
        <v/>
      </c>
      <c r="V27" s="113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4" t="e">
        <v>#N/A</v>
      </c>
    </row>
    <row r="28" spans="1:34" ht="11.25" customHeight="1" x14ac:dyDescent="0.2">
      <c r="A28" s="64" t="s">
        <v>93</v>
      </c>
      <c r="B28" s="65" t="s">
        <v>59</v>
      </c>
      <c r="C28" s="66">
        <f t="shared" si="10"/>
        <v>2</v>
      </c>
      <c r="D28" s="67" t="str">
        <f t="shared" si="4"/>
        <v>JPYTonar</v>
      </c>
      <c r="E28" s="69" t="str">
        <f t="shared" si="5"/>
        <v>JPYOIS18M_Quote</v>
      </c>
      <c r="F28" s="70" t="str">
        <f>_xll.qlOISRateHelper(,C28,B28,E28,$D28,,Permanent,Trigger,ObjectOverwrite)</f>
        <v>obj_001db#0003</v>
      </c>
      <c r="H28" s="11" t="str">
        <f t="shared" si="2"/>
        <v>OIS</v>
      </c>
      <c r="I28" s="103" t="str">
        <f t="shared" si="3"/>
        <v>--</v>
      </c>
      <c r="J28" s="106" t="str">
        <f>IFERROR(_xll.qlRateHelperQuoteName(I28,Trigger),"--")</f>
        <v>--</v>
      </c>
      <c r="K28" s="107" t="str">
        <f>IFERROR(_xll.qlRateHelperQuoteValue($I28,Trigger),"--")</f>
        <v>--</v>
      </c>
      <c r="L28" s="106" t="b">
        <v>0</v>
      </c>
      <c r="M28" s="103">
        <v>50</v>
      </c>
      <c r="N28" s="103">
        <v>1</v>
      </c>
      <c r="O28" s="108" t="str">
        <f>IFERROR(_xll.qlRateHelperEarliestDate(I28,Trigger),"--")</f>
        <v>--</v>
      </c>
      <c r="P28" s="108" t="str">
        <f>IFERROR(_xll.qlRateHelperPillarDate(I28,Trigger),"--")</f>
        <v>--</v>
      </c>
      <c r="R28" s="4" t="str">
        <f t="shared" si="1"/>
        <v/>
      </c>
      <c r="S28" s="4" t="e">
        <v>#N/A</v>
      </c>
      <c r="T28" s="4" t="str">
        <f>IFERROR(_xll.qlRateHelperQuoteName(S28,Trigger),"")</f>
        <v/>
      </c>
      <c r="U28" s="76" t="str">
        <f>IFERROR(_xll.qlRateHelperRate(S28,Trigger),"")</f>
        <v/>
      </c>
      <c r="V28" s="113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4" t="e">
        <v>#N/A</v>
      </c>
    </row>
    <row r="29" spans="1:34" ht="11.25" customHeight="1" x14ac:dyDescent="0.2">
      <c r="A29" s="64" t="s">
        <v>93</v>
      </c>
      <c r="B29" s="65" t="s">
        <v>60</v>
      </c>
      <c r="C29" s="66">
        <f t="shared" si="10"/>
        <v>2</v>
      </c>
      <c r="D29" s="67" t="str">
        <f t="shared" si="4"/>
        <v>JPYTonar</v>
      </c>
      <c r="E29" s="69" t="str">
        <f t="shared" si="5"/>
        <v>JPYOIS19M_Quote</v>
      </c>
      <c r="F29" s="70"/>
      <c r="H29" s="11" t="str">
        <f t="shared" si="2"/>
        <v>OIS</v>
      </c>
      <c r="I29" s="103" t="str">
        <f t="shared" si="3"/>
        <v>--</v>
      </c>
      <c r="J29" s="106" t="str">
        <f>IFERROR(_xll.qlRateHelperQuoteName(I29,Trigger),"--")</f>
        <v>--</v>
      </c>
      <c r="K29" s="107" t="str">
        <f>IFERROR(_xll.qlRateHelperQuoteValue($I29,Trigger),"--")</f>
        <v>--</v>
      </c>
      <c r="L29" s="106" t="b">
        <v>0</v>
      </c>
      <c r="M29" s="103">
        <v>50</v>
      </c>
      <c r="N29" s="103">
        <v>1</v>
      </c>
      <c r="O29" s="108" t="str">
        <f>IFERROR(_xll.qlRateHelperEarliestDate(I29,Trigger),"--")</f>
        <v>--</v>
      </c>
      <c r="P29" s="108" t="str">
        <f>IFERROR(_xll.qlRateHelperPillarDate(I29,Trigger),"--")</f>
        <v>--</v>
      </c>
      <c r="R29" s="4" t="str">
        <f t="shared" si="1"/>
        <v/>
      </c>
      <c r="S29" s="4" t="e">
        <v>#N/A</v>
      </c>
      <c r="T29" s="4" t="str">
        <f>IFERROR(_xll.qlRateHelperQuoteName(S29,Trigger),"")</f>
        <v/>
      </c>
      <c r="U29" s="76" t="str">
        <f>IFERROR(_xll.qlRateHelperRate(S29,Trigger),"")</f>
        <v/>
      </c>
      <c r="V29" s="113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4" t="e">
        <v>#N/A</v>
      </c>
    </row>
    <row r="30" spans="1:34" ht="11.25" customHeight="1" x14ac:dyDescent="0.2">
      <c r="A30" s="64" t="s">
        <v>93</v>
      </c>
      <c r="B30" s="65" t="s">
        <v>61</v>
      </c>
      <c r="C30" s="66">
        <f t="shared" si="10"/>
        <v>2</v>
      </c>
      <c r="D30" s="67" t="str">
        <f t="shared" si="4"/>
        <v>JPYTonar</v>
      </c>
      <c r="E30" s="69" t="str">
        <f t="shared" si="5"/>
        <v>JPYOIS20M_Quote</v>
      </c>
      <c r="F30" s="70"/>
      <c r="H30" s="11" t="str">
        <f t="shared" si="2"/>
        <v>OIS</v>
      </c>
      <c r="I30" s="103" t="str">
        <f t="shared" si="3"/>
        <v>--</v>
      </c>
      <c r="J30" s="106" t="str">
        <f>IFERROR(_xll.qlRateHelperQuoteName(I30,Trigger),"--")</f>
        <v>--</v>
      </c>
      <c r="K30" s="107" t="str">
        <f>IFERROR(_xll.qlRateHelperQuoteValue($I30,Trigger),"--")</f>
        <v>--</v>
      </c>
      <c r="L30" s="106" t="b">
        <v>0</v>
      </c>
      <c r="M30" s="103">
        <v>50</v>
      </c>
      <c r="N30" s="103">
        <v>1</v>
      </c>
      <c r="O30" s="108" t="str">
        <f>IFERROR(_xll.qlRateHelperEarliestDate(I30,Trigger),"--")</f>
        <v>--</v>
      </c>
      <c r="P30" s="108" t="str">
        <f>IFERROR(_xll.qlRateHelperPillarDate(I30,Trigger),"--")</f>
        <v>--</v>
      </c>
      <c r="R30" s="4" t="str">
        <f t="shared" si="1"/>
        <v/>
      </c>
      <c r="S30" s="4" t="e">
        <v>#N/A</v>
      </c>
      <c r="T30" s="4" t="str">
        <f>IFERROR(_xll.qlRateHelperQuoteName(S30,Trigger),"")</f>
        <v/>
      </c>
      <c r="U30" s="76" t="str">
        <f>IFERROR(_xll.qlRateHelperRate(S30,Trigger),"")</f>
        <v/>
      </c>
      <c r="V30" s="113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4" t="e">
        <v>#N/A</v>
      </c>
    </row>
    <row r="31" spans="1:34" ht="11.25" customHeight="1" x14ac:dyDescent="0.2">
      <c r="A31" s="64" t="s">
        <v>93</v>
      </c>
      <c r="B31" s="65" t="s">
        <v>62</v>
      </c>
      <c r="C31" s="66">
        <f t="shared" si="10"/>
        <v>2</v>
      </c>
      <c r="D31" s="67" t="str">
        <f t="shared" si="4"/>
        <v>JPYTonar</v>
      </c>
      <c r="E31" s="69" t="str">
        <f t="shared" si="5"/>
        <v>JPYOIS21M_Quote</v>
      </c>
      <c r="F31" s="70"/>
      <c r="H31" s="11" t="str">
        <f t="shared" si="2"/>
        <v>OIS</v>
      </c>
      <c r="I31" s="103" t="str">
        <f t="shared" si="3"/>
        <v>--</v>
      </c>
      <c r="J31" s="106" t="str">
        <f>IFERROR(_xll.qlRateHelperQuoteName(I31,Trigger),"--")</f>
        <v>--</v>
      </c>
      <c r="K31" s="107" t="str">
        <f>IFERROR(_xll.qlRateHelperQuoteValue($I31,Trigger),"--")</f>
        <v>--</v>
      </c>
      <c r="L31" s="106" t="b">
        <v>0</v>
      </c>
      <c r="M31" s="103">
        <v>50</v>
      </c>
      <c r="N31" s="103">
        <v>1</v>
      </c>
      <c r="O31" s="108" t="str">
        <f>IFERROR(_xll.qlRateHelperEarliestDate(I31,Trigger),"--")</f>
        <v>--</v>
      </c>
      <c r="P31" s="108" t="str">
        <f>IFERROR(_xll.qlRateHelperPillarDate(I31,Trigger),"--")</f>
        <v>--</v>
      </c>
      <c r="R31" s="4" t="str">
        <f t="shared" si="1"/>
        <v/>
      </c>
      <c r="S31" s="4" t="e">
        <v>#N/A</v>
      </c>
      <c r="T31" s="4" t="str">
        <f>IFERROR(_xll.qlRateHelperQuoteName(S31,Trigger),"")</f>
        <v/>
      </c>
      <c r="U31" s="76" t="str">
        <f>IFERROR(_xll.qlRateHelperRate(S31,Trigger),"")</f>
        <v/>
      </c>
      <c r="V31" s="113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4" t="e">
        <v>#N/A</v>
      </c>
    </row>
    <row r="32" spans="1:34" ht="11.25" customHeight="1" x14ac:dyDescent="0.2">
      <c r="A32" s="64" t="s">
        <v>93</v>
      </c>
      <c r="B32" s="65" t="s">
        <v>63</v>
      </c>
      <c r="C32" s="66">
        <f t="shared" si="10"/>
        <v>2</v>
      </c>
      <c r="D32" s="67" t="str">
        <f t="shared" si="4"/>
        <v>JPYTonar</v>
      </c>
      <c r="E32" s="69" t="str">
        <f t="shared" si="5"/>
        <v>JPYOIS22M_Quote</v>
      </c>
      <c r="F32" s="70"/>
      <c r="H32" s="11" t="str">
        <f t="shared" si="2"/>
        <v>OIS</v>
      </c>
      <c r="I32" s="103" t="str">
        <f t="shared" si="3"/>
        <v>obj_001c7#0003</v>
      </c>
      <c r="J32" s="106" t="str">
        <f>IFERROR(_xll.qlRateHelperQuoteName(I32,Trigger),"--")</f>
        <v>JPYOIS2Y_Quote</v>
      </c>
      <c r="K32" s="107">
        <f>IFERROR(_xll.qlRateHelperQuoteValue($I32,Trigger),"--")</f>
        <v>-2.3750000000000004E-3</v>
      </c>
      <c r="L32" s="106" t="b">
        <v>1</v>
      </c>
      <c r="M32" s="103">
        <v>50</v>
      </c>
      <c r="N32" s="103">
        <v>1</v>
      </c>
      <c r="O32" s="108">
        <f>IFERROR(_xll.qlRateHelperEarliestDate(I32,Trigger),"--")</f>
        <v>42499</v>
      </c>
      <c r="P32" s="108">
        <f>IFERROR(_xll.qlRateHelperPillarDate(I32,Trigger),"--")</f>
        <v>43229</v>
      </c>
      <c r="R32" s="4" t="str">
        <f t="shared" si="1"/>
        <v/>
      </c>
      <c r="S32" s="4" t="e">
        <v>#N/A</v>
      </c>
      <c r="T32" s="4" t="str">
        <f>IFERROR(_xll.qlRateHelperQuoteName(S32,Trigger),"")</f>
        <v/>
      </c>
      <c r="U32" s="76" t="str">
        <f>IFERROR(_xll.qlRateHelperRate(S32,Trigger),"")</f>
        <v/>
      </c>
      <c r="V32" s="113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4" t="e">
        <v>#N/A</v>
      </c>
    </row>
    <row r="33" spans="1:25" ht="11.25" customHeight="1" x14ac:dyDescent="0.2">
      <c r="A33" s="64" t="s">
        <v>93</v>
      </c>
      <c r="B33" s="65" t="s">
        <v>64</v>
      </c>
      <c r="C33" s="66">
        <f t="shared" si="10"/>
        <v>2</v>
      </c>
      <c r="D33" s="67" t="str">
        <f t="shared" si="4"/>
        <v>JPYTonar</v>
      </c>
      <c r="E33" s="69" t="str">
        <f t="shared" si="5"/>
        <v>JPYOIS23M_Quote</v>
      </c>
      <c r="F33" s="70"/>
      <c r="H33" s="11" t="str">
        <f t="shared" si="2"/>
        <v>OIS</v>
      </c>
      <c r="I33" s="103" t="str">
        <f t="shared" si="3"/>
        <v>--</v>
      </c>
      <c r="J33" s="106" t="str">
        <f>IFERROR(_xll.qlRateHelperQuoteName(I33,Trigger),"--")</f>
        <v>--</v>
      </c>
      <c r="K33" s="107" t="str">
        <f>IFERROR(_xll.qlRateHelperQuoteValue($I33,Trigger),"--")</f>
        <v>--</v>
      </c>
      <c r="L33" s="106" t="b">
        <v>0</v>
      </c>
      <c r="M33" s="103">
        <v>50</v>
      </c>
      <c r="N33" s="103">
        <v>1</v>
      </c>
      <c r="O33" s="108" t="str">
        <f>IFERROR(_xll.qlRateHelperEarliestDate(I33,Trigger),"--")</f>
        <v>--</v>
      </c>
      <c r="P33" s="108" t="str">
        <f>IFERROR(_xll.qlRateHelperPillarDate(I33,Trigger),"--")</f>
        <v>--</v>
      </c>
      <c r="R33" s="4" t="str">
        <f t="shared" si="1"/>
        <v/>
      </c>
      <c r="S33" s="4" t="e">
        <v>#N/A</v>
      </c>
      <c r="T33" s="4" t="str">
        <f>IFERROR(_xll.qlRateHelperQuoteName(S33,Trigger),"")</f>
        <v/>
      </c>
      <c r="U33" s="76" t="str">
        <f>IFERROR(_xll.qlRateHelperRate(S33,Trigger),"")</f>
        <v/>
      </c>
      <c r="V33" s="113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4" t="e">
        <v>#N/A</v>
      </c>
    </row>
    <row r="34" spans="1:25" ht="11.25" customHeight="1" x14ac:dyDescent="0.2">
      <c r="A34" s="64" t="s">
        <v>93</v>
      </c>
      <c r="B34" s="65" t="s">
        <v>65</v>
      </c>
      <c r="C34" s="66">
        <f t="shared" si="10"/>
        <v>2</v>
      </c>
      <c r="D34" s="67" t="str">
        <f t="shared" si="4"/>
        <v>JPYTonar</v>
      </c>
      <c r="E34" s="69" t="str">
        <f t="shared" si="5"/>
        <v>JPYOIS2Y_Quote</v>
      </c>
      <c r="F34" s="70" t="str">
        <f>_xll.qlOISRateHelper(,C34,B34,E34,$D34,,Permanent,Trigger,ObjectOverwrite)</f>
        <v>obj_001c7#0003</v>
      </c>
      <c r="H34" s="11" t="str">
        <f t="shared" si="2"/>
        <v>OIS</v>
      </c>
      <c r="I34" s="103" t="str">
        <f t="shared" si="3"/>
        <v>--</v>
      </c>
      <c r="J34" s="106" t="str">
        <f>IFERROR(_xll.qlRateHelperQuoteName(I34,Trigger),"--")</f>
        <v>--</v>
      </c>
      <c r="K34" s="107" t="str">
        <f>IFERROR(_xll.qlRateHelperQuoteValue($I34,Trigger),"--")</f>
        <v>--</v>
      </c>
      <c r="L34" s="106" t="b">
        <v>0</v>
      </c>
      <c r="M34" s="103">
        <v>50</v>
      </c>
      <c r="N34" s="103">
        <v>1</v>
      </c>
      <c r="O34" s="108" t="str">
        <f>IFERROR(_xll.qlRateHelperEarliestDate(I34,Trigger),"--")</f>
        <v>--</v>
      </c>
      <c r="P34" s="108" t="str">
        <f>IFERROR(_xll.qlRateHelperPillarDate(I34,Trigger),"--")</f>
        <v>--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3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93</v>
      </c>
      <c r="B35" s="65" t="s">
        <v>66</v>
      </c>
      <c r="C35" s="66">
        <f t="shared" si="10"/>
        <v>2</v>
      </c>
      <c r="D35" s="67" t="str">
        <f t="shared" si="4"/>
        <v>JPYTonar</v>
      </c>
      <c r="E35" s="69" t="str">
        <f t="shared" si="5"/>
        <v>JPYOIS27M_Quote</v>
      </c>
      <c r="F35" s="70"/>
      <c r="H35" s="11" t="str">
        <f t="shared" si="2"/>
        <v>OIS</v>
      </c>
      <c r="I35" s="103" t="str">
        <f t="shared" si="3"/>
        <v>--</v>
      </c>
      <c r="J35" s="106" t="str">
        <f>IFERROR(_xll.qlRateHelperQuoteName(I35,Trigger),"--")</f>
        <v>--</v>
      </c>
      <c r="K35" s="107" t="str">
        <f>IFERROR(_xll.qlRateHelperQuoteValue($I35,Trigger),"--")</f>
        <v>--</v>
      </c>
      <c r="L35" s="106" t="b">
        <v>0</v>
      </c>
      <c r="M35" s="103">
        <v>50</v>
      </c>
      <c r="N35" s="103">
        <v>1</v>
      </c>
      <c r="O35" s="108" t="str">
        <f>IFERROR(_xll.qlRateHelperEarliestDate(I35,Trigger),"--")</f>
        <v>--</v>
      </c>
      <c r="P35" s="108" t="str">
        <f>IFERROR(_xll.qlRateHelperPillarDate(I35,Trigger),"--")</f>
        <v>--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3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93</v>
      </c>
      <c r="B36" s="65" t="s">
        <v>67</v>
      </c>
      <c r="C36" s="66">
        <f t="shared" si="10"/>
        <v>2</v>
      </c>
      <c r="D36" s="67" t="str">
        <f t="shared" si="4"/>
        <v>JPYTonar</v>
      </c>
      <c r="E36" s="69" t="str">
        <f t="shared" si="5"/>
        <v>JPYOIS30M_Quote</v>
      </c>
      <c r="F36" s="70"/>
      <c r="H36" s="11" t="str">
        <f t="shared" si="2"/>
        <v>OIS</v>
      </c>
      <c r="I36" s="103" t="str">
        <f t="shared" si="3"/>
        <v>obj_001c5#0003</v>
      </c>
      <c r="J36" s="106" t="str">
        <f>IFERROR(_xll.qlRateHelperQuoteName(I36,Trigger),"--")</f>
        <v>JPYOIS3Y_Quote</v>
      </c>
      <c r="K36" s="107">
        <f>IFERROR(_xll.qlRateHelperQuoteValue($I36,Trigger),"--")</f>
        <v>-2.7500000000000003E-3</v>
      </c>
      <c r="L36" s="106" t="b">
        <v>1</v>
      </c>
      <c r="M36" s="103">
        <v>50</v>
      </c>
      <c r="N36" s="103">
        <v>1</v>
      </c>
      <c r="O36" s="108">
        <f>IFERROR(_xll.qlRateHelperEarliestDate(I36,Trigger),"--")</f>
        <v>42499</v>
      </c>
      <c r="P36" s="108">
        <f>IFERROR(_xll.qlRateHelperPillarDate(I36,Trigger),"--")</f>
        <v>43594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3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93</v>
      </c>
      <c r="B37" s="65" t="s">
        <v>68</v>
      </c>
      <c r="C37" s="66">
        <f t="shared" si="10"/>
        <v>2</v>
      </c>
      <c r="D37" s="67" t="str">
        <f t="shared" si="4"/>
        <v>JPYTonar</v>
      </c>
      <c r="E37" s="69" t="str">
        <f t="shared" si="5"/>
        <v>JPYOIS33M_Quote</v>
      </c>
      <c r="F37" s="70"/>
      <c r="H37" s="11" t="str">
        <f t="shared" si="2"/>
        <v>OIS</v>
      </c>
      <c r="I37" s="103" t="str">
        <f t="shared" si="3"/>
        <v>--</v>
      </c>
      <c r="J37" s="106" t="str">
        <f>IFERROR(_xll.qlRateHelperQuoteName(I37,Trigger),"--")</f>
        <v>--</v>
      </c>
      <c r="K37" s="107" t="str">
        <f>IFERROR(_xll.qlRateHelperQuoteValue($I37,Trigger),"--")</f>
        <v>--</v>
      </c>
      <c r="L37" s="106" t="b">
        <v>0</v>
      </c>
      <c r="M37" s="103">
        <v>50</v>
      </c>
      <c r="N37" s="103">
        <v>1</v>
      </c>
      <c r="O37" s="108" t="str">
        <f>IFERROR(_xll.qlRateHelperEarliestDate(I37,Trigger),"--")</f>
        <v>--</v>
      </c>
      <c r="P37" s="108" t="str">
        <f>IFERROR(_xll.qlRateHelperPillarDate(I37,Trigger),"--")</f>
        <v>--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3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93</v>
      </c>
      <c r="B38" s="65" t="s">
        <v>69</v>
      </c>
      <c r="C38" s="66">
        <f t="shared" si="10"/>
        <v>2</v>
      </c>
      <c r="D38" s="67" t="str">
        <f t="shared" si="4"/>
        <v>JPYTonar</v>
      </c>
      <c r="E38" s="69" t="str">
        <f t="shared" si="5"/>
        <v>JPYOIS3Y_Quote</v>
      </c>
      <c r="F38" s="70" t="str">
        <f>_xll.qlOISRateHelper(,C38,B38,E38,$D38,,Permanent,Trigger,ObjectOverwrite)</f>
        <v>obj_001c5#0003</v>
      </c>
      <c r="H38" s="11" t="str">
        <f t="shared" ref="H38:H55" si="11">A40</f>
        <v>OIS</v>
      </c>
      <c r="I38" s="103" t="str">
        <f t="shared" si="3"/>
        <v>--</v>
      </c>
      <c r="J38" s="106" t="str">
        <f>IFERROR(_xll.qlRateHelperQuoteName(I38,Trigger),"--")</f>
        <v>--</v>
      </c>
      <c r="K38" s="107" t="str">
        <f>IFERROR(_xll.qlRateHelperQuoteValue($I38,Trigger),"--")</f>
        <v>--</v>
      </c>
      <c r="L38" s="106" t="b">
        <v>0</v>
      </c>
      <c r="M38" s="103">
        <v>50</v>
      </c>
      <c r="N38" s="103">
        <v>1</v>
      </c>
      <c r="O38" s="108" t="str">
        <f>IFERROR(_xll.qlRateHelperEarliestDate(I38,Trigger),"--")</f>
        <v>--</v>
      </c>
      <c r="P38" s="108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3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93</v>
      </c>
      <c r="B39" s="65" t="s">
        <v>70</v>
      </c>
      <c r="C39" s="66">
        <f t="shared" si="10"/>
        <v>2</v>
      </c>
      <c r="D39" s="67" t="str">
        <f t="shared" si="4"/>
        <v>JPYTonar</v>
      </c>
      <c r="E39" s="69" t="str">
        <f t="shared" si="5"/>
        <v>JPYOIS39M_Quote</v>
      </c>
      <c r="F39" s="70"/>
      <c r="H39" s="11" t="str">
        <f t="shared" si="11"/>
        <v>OIS</v>
      </c>
      <c r="I39" s="103" t="str">
        <f t="shared" si="3"/>
        <v>--</v>
      </c>
      <c r="J39" s="106" t="str">
        <f>IFERROR(_xll.qlRateHelperQuoteName(I39,Trigger),"--")</f>
        <v>--</v>
      </c>
      <c r="K39" s="107" t="str">
        <f>IFERROR(_xll.qlRateHelperQuoteValue($I39,Trigger),"--")</f>
        <v>--</v>
      </c>
      <c r="L39" s="106" t="b">
        <v>0</v>
      </c>
      <c r="M39" s="103">
        <v>50</v>
      </c>
      <c r="N39" s="103">
        <v>1</v>
      </c>
      <c r="O39" s="108" t="str">
        <f>IFERROR(_xll.qlRateHelperEarliestDate(I39,Trigger),"--")</f>
        <v>--</v>
      </c>
      <c r="P39" s="108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3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93</v>
      </c>
      <c r="B40" s="65" t="s">
        <v>71</v>
      </c>
      <c r="C40" s="66">
        <f t="shared" si="10"/>
        <v>2</v>
      </c>
      <c r="D40" s="67" t="str">
        <f t="shared" ref="D40:D61" si="12">Currency&amp;Tenor</f>
        <v>JPYTonar</v>
      </c>
      <c r="E40" s="69" t="str">
        <f t="shared" ref="E40:E61" si="13">Currency&amp;$A40&amp;IF($B40="1W","SW",$B40)&amp;QuoteSuffix</f>
        <v>JPYOIS42M_Quote</v>
      </c>
      <c r="F40" s="70"/>
      <c r="H40" s="11" t="str">
        <f t="shared" si="11"/>
        <v>OIS</v>
      </c>
      <c r="I40" s="103" t="str">
        <f t="shared" si="3"/>
        <v>obj_001c0#0003</v>
      </c>
      <c r="J40" s="106" t="str">
        <f>IFERROR(_xll.qlRateHelperQuoteName(I40,Trigger),"--")</f>
        <v>JPYOIS4Y_Quote</v>
      </c>
      <c r="K40" s="107">
        <f>IFERROR(_xll.qlRateHelperQuoteValue($I40,Trigger),"--")</f>
        <v>-2.4000000000000002E-3</v>
      </c>
      <c r="L40" s="106" t="b">
        <v>1</v>
      </c>
      <c r="M40" s="103">
        <v>50</v>
      </c>
      <c r="N40" s="103">
        <v>1</v>
      </c>
      <c r="O40" s="108">
        <f>IFERROR(_xll.qlRateHelperEarliestDate(I40,Trigger),"--")</f>
        <v>42499</v>
      </c>
      <c r="P40" s="108">
        <f>IFERROR(_xll.qlRateHelperPillarDate(I40,Trigger),"--")</f>
        <v>43962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3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93</v>
      </c>
      <c r="B41" s="65" t="s">
        <v>72</v>
      </c>
      <c r="C41" s="66">
        <f t="shared" si="10"/>
        <v>2</v>
      </c>
      <c r="D41" s="67" t="str">
        <f t="shared" si="12"/>
        <v>JPYTonar</v>
      </c>
      <c r="E41" s="69" t="str">
        <f t="shared" si="13"/>
        <v>JPYOIS45M_Quote</v>
      </c>
      <c r="F41" s="70"/>
      <c r="H41" s="11" t="str">
        <f t="shared" si="11"/>
        <v>OIS</v>
      </c>
      <c r="I41" s="103" t="str">
        <f t="shared" si="3"/>
        <v>--</v>
      </c>
      <c r="J41" s="106" t="str">
        <f>IFERROR(_xll.qlRateHelperQuoteName(I41,Trigger),"--")</f>
        <v>--</v>
      </c>
      <c r="K41" s="107" t="str">
        <f>IFERROR(_xll.qlRateHelperQuoteValue($I41,Trigger),"--")</f>
        <v>--</v>
      </c>
      <c r="L41" s="106" t="b">
        <v>0</v>
      </c>
      <c r="M41" s="103">
        <v>50</v>
      </c>
      <c r="N41" s="103">
        <v>1</v>
      </c>
      <c r="O41" s="108" t="str">
        <f>IFERROR(_xll.qlRateHelperEarliestDate(I41,Trigger),"--")</f>
        <v>--</v>
      </c>
      <c r="P41" s="108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3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93</v>
      </c>
      <c r="B42" s="65" t="s">
        <v>73</v>
      </c>
      <c r="C42" s="66">
        <f t="shared" si="10"/>
        <v>2</v>
      </c>
      <c r="D42" s="67" t="str">
        <f t="shared" si="12"/>
        <v>JPYTonar</v>
      </c>
      <c r="E42" s="69" t="str">
        <f t="shared" si="13"/>
        <v>JPYOIS4Y_Quote</v>
      </c>
      <c r="F42" s="70" t="str">
        <f>_xll.qlOISRateHelper(,C42,B42,E42,$D42,,Permanent,Trigger,ObjectOverwrite)</f>
        <v>obj_001c0#0003</v>
      </c>
      <c r="H42" s="11" t="str">
        <f t="shared" si="11"/>
        <v>OIS</v>
      </c>
      <c r="I42" s="103" t="str">
        <f t="shared" si="3"/>
        <v>--</v>
      </c>
      <c r="J42" s="106" t="str">
        <f>IFERROR(_xll.qlRateHelperQuoteName(I42,Trigger),"--")</f>
        <v>--</v>
      </c>
      <c r="K42" s="107" t="str">
        <f>IFERROR(_xll.qlRateHelperQuoteValue($I42,Trigger),"--")</f>
        <v>--</v>
      </c>
      <c r="L42" s="106" t="b">
        <v>0</v>
      </c>
      <c r="M42" s="103">
        <v>50</v>
      </c>
      <c r="N42" s="103">
        <v>1</v>
      </c>
      <c r="O42" s="108" t="str">
        <f>IFERROR(_xll.qlRateHelperEarliestDate(I42,Trigger),"--")</f>
        <v>--</v>
      </c>
      <c r="P42" s="108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3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93</v>
      </c>
      <c r="B43" s="65" t="s">
        <v>74</v>
      </c>
      <c r="C43" s="66">
        <f t="shared" si="10"/>
        <v>2</v>
      </c>
      <c r="D43" s="67" t="str">
        <f t="shared" si="12"/>
        <v>JPYTonar</v>
      </c>
      <c r="E43" s="69" t="str">
        <f t="shared" si="13"/>
        <v>JPYOIS51M_Quote</v>
      </c>
      <c r="F43" s="70"/>
      <c r="H43" s="11" t="str">
        <f t="shared" si="11"/>
        <v>OIS</v>
      </c>
      <c r="I43" s="103" t="str">
        <f t="shared" si="3"/>
        <v>--</v>
      </c>
      <c r="J43" s="106" t="str">
        <f>IFERROR(_xll.qlRateHelperQuoteName(I43,Trigger),"--")</f>
        <v>--</v>
      </c>
      <c r="K43" s="107" t="str">
        <f>IFERROR(_xll.qlRateHelperQuoteValue($I43,Trigger),"--")</f>
        <v>--</v>
      </c>
      <c r="L43" s="106" t="b">
        <v>0</v>
      </c>
      <c r="M43" s="103">
        <v>50</v>
      </c>
      <c r="N43" s="103">
        <v>1</v>
      </c>
      <c r="O43" s="108" t="str">
        <f>IFERROR(_xll.qlRateHelperEarliestDate(I43,Trigger),"--")</f>
        <v>--</v>
      </c>
      <c r="P43" s="108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3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93</v>
      </c>
      <c r="B44" s="65" t="s">
        <v>75</v>
      </c>
      <c r="C44" s="66">
        <f t="shared" si="10"/>
        <v>2</v>
      </c>
      <c r="D44" s="67" t="str">
        <f t="shared" si="12"/>
        <v>JPYTonar</v>
      </c>
      <c r="E44" s="69" t="str">
        <f t="shared" si="13"/>
        <v>JPYOIS54M_Quote</v>
      </c>
      <c r="F44" s="70"/>
      <c r="H44" s="11" t="str">
        <f t="shared" si="11"/>
        <v>OIS</v>
      </c>
      <c r="I44" s="103" t="str">
        <f t="shared" si="3"/>
        <v>obj_001d9#0003</v>
      </c>
      <c r="J44" s="106" t="str">
        <f>IFERROR(_xll.qlRateHelperQuoteName(I44,Trigger),"--")</f>
        <v>JPYOIS5Y_Quote</v>
      </c>
      <c r="K44" s="107">
        <f>IFERROR(_xll.qlRateHelperQuoteValue($I44,Trigger),"--")</f>
        <v>-1.9250000000000001E-3</v>
      </c>
      <c r="L44" s="106" t="b">
        <v>1</v>
      </c>
      <c r="M44" s="103">
        <v>50</v>
      </c>
      <c r="N44" s="103">
        <v>1</v>
      </c>
      <c r="O44" s="108">
        <f>IFERROR(_xll.qlRateHelperEarliestDate(I44,Trigger),"--")</f>
        <v>42499</v>
      </c>
      <c r="P44" s="108">
        <f>IFERROR(_xll.qlRateHelperPillarDate(I44,Trigger),"--")</f>
        <v>44326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3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93</v>
      </c>
      <c r="B45" s="65" t="s">
        <v>76</v>
      </c>
      <c r="C45" s="66">
        <f t="shared" si="10"/>
        <v>2</v>
      </c>
      <c r="D45" s="67" t="str">
        <f t="shared" si="12"/>
        <v>JPYTonar</v>
      </c>
      <c r="E45" s="69" t="str">
        <f t="shared" si="13"/>
        <v>JPYOIS57M_Quote</v>
      </c>
      <c r="F45" s="70"/>
      <c r="H45" s="11" t="str">
        <f t="shared" si="11"/>
        <v>OIS</v>
      </c>
      <c r="I45" s="103" t="str">
        <f t="shared" si="3"/>
        <v>obj_001d0#0003</v>
      </c>
      <c r="J45" s="106" t="str">
        <f>IFERROR(_xll.qlRateHelperQuoteName(I45,Trigger),"--")</f>
        <v>JPYOIS6Y_Quote</v>
      </c>
      <c r="K45" s="107">
        <f>IFERROR(_xll.qlRateHelperQuoteValue($I45,Trigger),"--")</f>
        <v>-1.4250000000000001E-3</v>
      </c>
      <c r="L45" s="106" t="b">
        <v>1</v>
      </c>
      <c r="M45" s="103">
        <v>50</v>
      </c>
      <c r="N45" s="103">
        <v>1</v>
      </c>
      <c r="O45" s="108">
        <f>IFERROR(_xll.qlRateHelperEarliestDate(I45,Trigger),"--")</f>
        <v>42499</v>
      </c>
      <c r="P45" s="108">
        <f>IFERROR(_xll.qlRateHelperPillarDate(I45,Trigger),"--")</f>
        <v>44690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3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93</v>
      </c>
      <c r="B46" s="65" t="s">
        <v>77</v>
      </c>
      <c r="C46" s="66">
        <f t="shared" si="10"/>
        <v>2</v>
      </c>
      <c r="D46" s="67" t="str">
        <f t="shared" si="12"/>
        <v>JPYTonar</v>
      </c>
      <c r="E46" s="69" t="str">
        <f t="shared" si="13"/>
        <v>JPYOIS5Y_Quote</v>
      </c>
      <c r="F46" s="70" t="str">
        <f>_xll.qlOISRateHelper(,C46,B46,E46,$D46,,Permanent,Trigger,ObjectOverwrite)</f>
        <v>obj_001d9#0003</v>
      </c>
      <c r="H46" s="11" t="str">
        <f t="shared" si="11"/>
        <v>OIS</v>
      </c>
      <c r="I46" s="103" t="str">
        <f t="shared" si="3"/>
        <v>obj_001bb#0003</v>
      </c>
      <c r="J46" s="106" t="str">
        <f>IFERROR(_xll.qlRateHelperQuoteName(I46,Trigger),"--")</f>
        <v>JPYOIS7Y_Quote</v>
      </c>
      <c r="K46" s="107">
        <f>IFERROR(_xll.qlRateHelperQuoteValue($I46,Trigger),"--")</f>
        <v>-9.0000000000000008E-4</v>
      </c>
      <c r="L46" s="106" t="b">
        <v>1</v>
      </c>
      <c r="M46" s="103">
        <v>50</v>
      </c>
      <c r="N46" s="103">
        <v>1</v>
      </c>
      <c r="O46" s="108">
        <f>IFERROR(_xll.qlRateHelperEarliestDate(I46,Trigger),"--")</f>
        <v>42499</v>
      </c>
      <c r="P46" s="108">
        <f>IFERROR(_xll.qlRateHelperPillarDate(I46,Trigger),"--")</f>
        <v>45055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3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93</v>
      </c>
      <c r="B47" s="65" t="s">
        <v>78</v>
      </c>
      <c r="C47" s="66">
        <f t="shared" si="10"/>
        <v>2</v>
      </c>
      <c r="D47" s="67" t="str">
        <f t="shared" si="12"/>
        <v>JPYTonar</v>
      </c>
      <c r="E47" s="69" t="str">
        <f t="shared" si="13"/>
        <v>JPYOIS6Y_Quote</v>
      </c>
      <c r="F47" s="70" t="str">
        <f>_xll.qlOISRateHelper(,C47,B47,E47,$D47,,Permanent,Trigger,ObjectOverwrite)</f>
        <v>obj_001d0#0003</v>
      </c>
      <c r="H47" s="11" t="str">
        <f t="shared" si="11"/>
        <v>OIS</v>
      </c>
      <c r="I47" s="103" t="str">
        <f t="shared" si="3"/>
        <v>obj_001cd#0003</v>
      </c>
      <c r="J47" s="106" t="str">
        <f>IFERROR(_xll.qlRateHelperQuoteName(I47,Trigger),"--")</f>
        <v>JPYOIS8Y_Quote</v>
      </c>
      <c r="K47" s="107">
        <f>IFERROR(_xll.qlRateHelperQuoteValue($I47,Trigger),"--")</f>
        <v>-4.4999999999999999E-4</v>
      </c>
      <c r="L47" s="106" t="b">
        <v>1</v>
      </c>
      <c r="M47" s="103">
        <v>50</v>
      </c>
      <c r="N47" s="103">
        <v>1</v>
      </c>
      <c r="O47" s="108">
        <f>IFERROR(_xll.qlRateHelperEarliestDate(I47,Trigger),"--")</f>
        <v>42499</v>
      </c>
      <c r="P47" s="108">
        <f>IFERROR(_xll.qlRateHelperPillarDate(I47,Trigger),"--")</f>
        <v>45421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3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93</v>
      </c>
      <c r="B48" s="65" t="s">
        <v>79</v>
      </c>
      <c r="C48" s="66">
        <f t="shared" si="10"/>
        <v>2</v>
      </c>
      <c r="D48" s="67" t="str">
        <f t="shared" si="12"/>
        <v>JPYTonar</v>
      </c>
      <c r="E48" s="69" t="str">
        <f t="shared" si="13"/>
        <v>JPYOIS7Y_Quote</v>
      </c>
      <c r="F48" s="70" t="str">
        <f>_xll.qlOISRateHelper(,C48,B48,E48,$D48,,Permanent,Trigger,ObjectOverwrite)</f>
        <v>obj_001bb#0003</v>
      </c>
      <c r="H48" s="11" t="str">
        <f t="shared" si="11"/>
        <v>OIS</v>
      </c>
      <c r="I48" s="103" t="str">
        <f t="shared" si="3"/>
        <v>obj_001d8#0003</v>
      </c>
      <c r="J48" s="106" t="str">
        <f>IFERROR(_xll.qlRateHelperQuoteName(I48,Trigger),"--")</f>
        <v>JPYOIS9Y_Quote</v>
      </c>
      <c r="K48" s="107">
        <f>IFERROR(_xll.qlRateHelperQuoteValue($I48,Trigger),"--")</f>
        <v>-7.4999999999999993E-5</v>
      </c>
      <c r="L48" s="106" t="b">
        <v>1</v>
      </c>
      <c r="M48" s="103">
        <v>50</v>
      </c>
      <c r="N48" s="103">
        <v>1</v>
      </c>
      <c r="O48" s="108">
        <f>IFERROR(_xll.qlRateHelperEarliestDate(I48,Trigger),"--")</f>
        <v>42499</v>
      </c>
      <c r="P48" s="108">
        <f>IFERROR(_xll.qlRateHelperPillarDate(I48,Trigger),"--")</f>
        <v>45786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3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93</v>
      </c>
      <c r="B49" s="65" t="s">
        <v>80</v>
      </c>
      <c r="C49" s="66">
        <f t="shared" si="10"/>
        <v>2</v>
      </c>
      <c r="D49" s="67" t="str">
        <f t="shared" si="12"/>
        <v>JPYTonar</v>
      </c>
      <c r="E49" s="69" t="str">
        <f t="shared" si="13"/>
        <v>JPYOIS8Y_Quote</v>
      </c>
      <c r="F49" s="70" t="str">
        <f>_xll.qlOISRateHelper(,C49,B49,E49,$D49,,Permanent,Trigger,ObjectOverwrite)</f>
        <v>obj_001cd#0003</v>
      </c>
      <c r="H49" s="11" t="str">
        <f t="shared" si="11"/>
        <v>OIS</v>
      </c>
      <c r="I49" s="103" t="str">
        <f t="shared" si="3"/>
        <v>obj_001d5#0003</v>
      </c>
      <c r="J49" s="106" t="str">
        <f>IFERROR(_xll.qlRateHelperQuoteName(I49,Trigger),"--")</f>
        <v>JPYOIS10Y_Quote</v>
      </c>
      <c r="K49" s="107">
        <f>IFERROR(_xll.qlRateHelperQuoteValue($I49,Trigger),"--")</f>
        <v>2.7499999999999996E-4</v>
      </c>
      <c r="L49" s="106" t="b">
        <v>1</v>
      </c>
      <c r="M49" s="103">
        <v>50</v>
      </c>
      <c r="N49" s="103">
        <v>1</v>
      </c>
      <c r="O49" s="108">
        <f>IFERROR(_xll.qlRateHelperEarliestDate(I49,Trigger),"--")</f>
        <v>42499</v>
      </c>
      <c r="P49" s="108">
        <f>IFERROR(_xll.qlRateHelperPillarDate(I49,Trigger),"--")</f>
        <v>46153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3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93</v>
      </c>
      <c r="B50" s="65" t="s">
        <v>81</v>
      </c>
      <c r="C50" s="66">
        <f t="shared" si="10"/>
        <v>2</v>
      </c>
      <c r="D50" s="67" t="str">
        <f t="shared" si="12"/>
        <v>JPYTonar</v>
      </c>
      <c r="E50" s="69" t="str">
        <f t="shared" si="13"/>
        <v>JPYOIS9Y_Quote</v>
      </c>
      <c r="F50" s="70" t="str">
        <f>_xll.qlOISRateHelper(,C50,B50,E50,$D50,,Permanent,Trigger,ObjectOverwrite)</f>
        <v>obj_001d8#0003</v>
      </c>
      <c r="H50" s="11" t="str">
        <f t="shared" si="11"/>
        <v>OIS</v>
      </c>
      <c r="I50" s="103" t="str">
        <f t="shared" si="3"/>
        <v>obj_001ce#0003</v>
      </c>
      <c r="J50" s="106" t="str">
        <f>IFERROR(_xll.qlRateHelperQuoteName(I50,Trigger),"--")</f>
        <v>JPYOIS12Y_Quote</v>
      </c>
      <c r="K50" s="107">
        <f>IFERROR(_xll.qlRateHelperQuoteValue($I50,Trigger),"--")</f>
        <v>1.075E-3</v>
      </c>
      <c r="L50" s="106" t="b">
        <v>1</v>
      </c>
      <c r="M50" s="103">
        <v>50</v>
      </c>
      <c r="N50" s="103">
        <v>1</v>
      </c>
      <c r="O50" s="108">
        <f>IFERROR(_xll.qlRateHelperEarliestDate(I50,Trigger),"--")</f>
        <v>42499</v>
      </c>
      <c r="P50" s="108">
        <f>IFERROR(_xll.qlRateHelperPillarDate(I50,Trigger),"--")</f>
        <v>46882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3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93</v>
      </c>
      <c r="B51" s="65" t="s">
        <v>82</v>
      </c>
      <c r="C51" s="66">
        <f t="shared" si="10"/>
        <v>2</v>
      </c>
      <c r="D51" s="67" t="str">
        <f t="shared" si="12"/>
        <v>JPYTonar</v>
      </c>
      <c r="E51" s="69" t="str">
        <f t="shared" si="13"/>
        <v>JPYOIS10Y_Quote</v>
      </c>
      <c r="F51" s="70" t="str">
        <f>_xll.qlOISRateHelper(,C51,B51,E51,$D51,,Permanent,Trigger,ObjectOverwrite)</f>
        <v>obj_001d5#0003</v>
      </c>
      <c r="H51" s="11" t="str">
        <f t="shared" si="11"/>
        <v>OIS</v>
      </c>
      <c r="I51" s="103" t="str">
        <f t="shared" si="3"/>
        <v>obj_001c1#0003</v>
      </c>
      <c r="J51" s="106" t="str">
        <f>IFERROR(_xll.qlRateHelperQuoteName(I51,Trigger),"--")</f>
        <v>JPYOIS15Y_Quote</v>
      </c>
      <c r="K51" s="107">
        <f>IFERROR(_xll.qlRateHelperQuoteValue($I51,Trigger),"--")</f>
        <v>2.1250000000000002E-3</v>
      </c>
      <c r="L51" s="106" t="b">
        <v>1</v>
      </c>
      <c r="M51" s="103">
        <v>50</v>
      </c>
      <c r="N51" s="103">
        <v>1</v>
      </c>
      <c r="O51" s="108">
        <f>IFERROR(_xll.qlRateHelperEarliestDate(I51,Trigger),"--")</f>
        <v>42499</v>
      </c>
      <c r="P51" s="108">
        <f>IFERROR(_xll.qlRateHelperPillarDate(I51,Trigger),"--")</f>
        <v>47977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3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93</v>
      </c>
      <c r="B52" s="65" t="s">
        <v>83</v>
      </c>
      <c r="C52" s="66">
        <f t="shared" si="10"/>
        <v>2</v>
      </c>
      <c r="D52" s="67" t="str">
        <f t="shared" si="12"/>
        <v>JPYTonar</v>
      </c>
      <c r="E52" s="69" t="str">
        <f t="shared" si="13"/>
        <v>JPYOIS12Y_Quote</v>
      </c>
      <c r="F52" s="70" t="str">
        <f>_xll.qlOISRateHelper(,C52,B52,E52,$D52,,Permanent,Trigger,ObjectOverwrite)</f>
        <v>obj_001ce#0003</v>
      </c>
      <c r="H52" s="11" t="str">
        <f t="shared" si="11"/>
        <v>OIS</v>
      </c>
      <c r="I52" s="103" t="str">
        <f t="shared" si="3"/>
        <v>obj_001be#0003</v>
      </c>
      <c r="J52" s="106" t="str">
        <f>IFERROR(_xll.qlRateHelperQuoteName(I52,Trigger),"--")</f>
        <v>JPYOIS20Y_Quote</v>
      </c>
      <c r="K52" s="107">
        <f>IFERROR(_xll.qlRateHelperQuoteValue($I52,Trigger),"--")</f>
        <v>3.5499999999999998E-3</v>
      </c>
      <c r="L52" s="106" t="b">
        <v>1</v>
      </c>
      <c r="M52" s="103">
        <v>50</v>
      </c>
      <c r="N52" s="103">
        <v>1</v>
      </c>
      <c r="O52" s="108">
        <f>IFERROR(_xll.qlRateHelperEarliestDate(I52,Trigger),"--")</f>
        <v>42499</v>
      </c>
      <c r="P52" s="108">
        <f>IFERROR(_xll.qlRateHelperPillarDate(I52,Trigger),"--")</f>
        <v>49804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3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93</v>
      </c>
      <c r="B53" s="65" t="s">
        <v>84</v>
      </c>
      <c r="C53" s="66">
        <f t="shared" si="10"/>
        <v>2</v>
      </c>
      <c r="D53" s="67" t="str">
        <f t="shared" si="12"/>
        <v>JPYTonar</v>
      </c>
      <c r="E53" s="69" t="str">
        <f t="shared" si="13"/>
        <v>JPYOIS15Y_Quote</v>
      </c>
      <c r="F53" s="70" t="str">
        <f>_xll.qlOISRateHelper(,C53,B53,E53,$D53,,Permanent,Trigger,ObjectOverwrite)</f>
        <v>obj_001c1#0003</v>
      </c>
      <c r="H53" s="11" t="str">
        <f t="shared" si="11"/>
        <v>OIS</v>
      </c>
      <c r="I53" s="103" t="str">
        <f t="shared" si="3"/>
        <v>obj_001d6#0003</v>
      </c>
      <c r="J53" s="106" t="str">
        <f>IFERROR(_xll.qlRateHelperQuoteName(I53,Trigger),"--")</f>
        <v>JPYOIS25Y_Quote</v>
      </c>
      <c r="K53" s="107">
        <f>IFERROR(_xll.qlRateHelperQuoteValue($I53,Trigger),"--")</f>
        <v>4.1250000000000002E-3</v>
      </c>
      <c r="L53" s="106" t="b">
        <v>1</v>
      </c>
      <c r="M53" s="103">
        <v>50</v>
      </c>
      <c r="N53" s="103">
        <v>1</v>
      </c>
      <c r="O53" s="108">
        <f>IFERROR(_xll.qlRateHelperEarliestDate(I53,Trigger),"--")</f>
        <v>42499</v>
      </c>
      <c r="P53" s="108">
        <f>IFERROR(_xll.qlRateHelperPillarDate(I53,Trigger),"--")</f>
        <v>51630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3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93</v>
      </c>
      <c r="B54" s="65" t="s">
        <v>85</v>
      </c>
      <c r="C54" s="66">
        <f t="shared" si="10"/>
        <v>2</v>
      </c>
      <c r="D54" s="67" t="str">
        <f t="shared" si="12"/>
        <v>JPYTonar</v>
      </c>
      <c r="E54" s="69" t="str">
        <f t="shared" si="13"/>
        <v>JPYOIS20Y_Quote</v>
      </c>
      <c r="F54" s="70" t="str">
        <f>_xll.qlOISRateHelper(,C54,B54,E54,$D54,,Permanent,Trigger,ObjectOverwrite)</f>
        <v>obj_001be#0003</v>
      </c>
      <c r="H54" s="11" t="str">
        <f t="shared" si="11"/>
        <v>OIS</v>
      </c>
      <c r="I54" s="103" t="str">
        <f t="shared" si="3"/>
        <v>--</v>
      </c>
      <c r="J54" s="106" t="str">
        <f>IFERROR(_xll.qlRateHelperQuoteName(I54,Trigger),"--")</f>
        <v>--</v>
      </c>
      <c r="K54" s="107" t="str">
        <f>IFERROR(_xll.qlRateHelperQuoteValue($I54,Trigger),"--")</f>
        <v>--</v>
      </c>
      <c r="L54" s="106" t="b">
        <v>0</v>
      </c>
      <c r="M54" s="103">
        <v>50</v>
      </c>
      <c r="N54" s="103">
        <v>1</v>
      </c>
      <c r="O54" s="108" t="str">
        <f>IFERROR(_xll.qlRateHelperEarliestDate(I54,Trigger),"--")</f>
        <v>--</v>
      </c>
      <c r="P54" s="108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3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93</v>
      </c>
      <c r="B55" s="65" t="s">
        <v>86</v>
      </c>
      <c r="C55" s="66">
        <f t="shared" si="10"/>
        <v>2</v>
      </c>
      <c r="D55" s="67" t="str">
        <f t="shared" si="12"/>
        <v>JPYTonar</v>
      </c>
      <c r="E55" s="69" t="str">
        <f t="shared" si="13"/>
        <v>JPYOIS25Y_Quote</v>
      </c>
      <c r="F55" s="70" t="str">
        <f>_xll.qlOISRateHelper(,C55,B55,E55,$D55,,Permanent,Trigger,ObjectOverwrite)</f>
        <v>obj_001d6#0003</v>
      </c>
      <c r="H55" s="11" t="str">
        <f t="shared" si="11"/>
        <v>OIS</v>
      </c>
      <c r="I55" s="103" t="str">
        <f t="shared" si="3"/>
        <v>obj_001c2#0003</v>
      </c>
      <c r="J55" s="106" t="str">
        <f>IFERROR(_xll.qlRateHelperQuoteName(I55,Trigger),"--")</f>
        <v>JPYOIS30Y_Quote</v>
      </c>
      <c r="K55" s="107">
        <f>IFERROR(_xll.qlRateHelperQuoteValue($I55,Trigger),"--")</f>
        <v>4.5750000000000001E-3</v>
      </c>
      <c r="L55" s="106" t="b">
        <v>1</v>
      </c>
      <c r="M55" s="103">
        <v>50</v>
      </c>
      <c r="N55" s="103">
        <v>1</v>
      </c>
      <c r="O55" s="108">
        <f>IFERROR(_xll.qlRateHelperEarliestDate(I55,Trigger),"--")</f>
        <v>42499</v>
      </c>
      <c r="P55" s="108">
        <f>IFERROR(_xll.qlRateHelperPillarDate(I55,Trigger),"--")</f>
        <v>53456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3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4" t="e">
        <v>#N/A</v>
      </c>
    </row>
    <row r="56" spans="1:25" ht="11.25" customHeight="1" x14ac:dyDescent="0.2">
      <c r="A56" s="64" t="s">
        <v>93</v>
      </c>
      <c r="B56" s="65" t="s">
        <v>87</v>
      </c>
      <c r="C56" s="66">
        <f t="shared" si="10"/>
        <v>2</v>
      </c>
      <c r="D56" s="67" t="str">
        <f t="shared" si="12"/>
        <v>JPYTonar</v>
      </c>
      <c r="E56" s="69" t="str">
        <f t="shared" si="13"/>
        <v>JPYOIS27Y_Quote</v>
      </c>
      <c r="F56" s="70"/>
      <c r="H56" s="11" t="str">
        <f t="shared" ref="H56:H59" si="14">A58</f>
        <v>OIS</v>
      </c>
      <c r="I56" s="103" t="str">
        <f t="shared" ref="I56:I59" si="15">IF(ISBLANK(F58),"--",F58)</f>
        <v>--</v>
      </c>
      <c r="J56" s="106" t="str">
        <f>IFERROR(_xll.qlRateHelperQuoteName(I56,Trigger),"--")</f>
        <v>--</v>
      </c>
      <c r="K56" s="107" t="str">
        <f>IFERROR(_xll.qlRateHelperQuoteValue($I56,Trigger),"--")</f>
        <v>--</v>
      </c>
      <c r="L56" s="106" t="b">
        <v>0</v>
      </c>
      <c r="M56" s="103">
        <v>50</v>
      </c>
      <c r="N56" s="103">
        <v>1</v>
      </c>
      <c r="O56" s="108" t="str">
        <f>IFERROR(_xll.qlRateHelperEarliestDate(I56,Trigger),"--")</f>
        <v>--</v>
      </c>
      <c r="P56" s="108" t="str">
        <f>IFERROR(_xll.qlRateHelperPillarDate(I56,Trigger),"--")</f>
        <v>--</v>
      </c>
      <c r="R56" s="4" t="str">
        <f t="shared" si="1"/>
        <v/>
      </c>
      <c r="S56" s="4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3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4" t="e">
        <v>#N/A</v>
      </c>
    </row>
    <row r="57" spans="1:25" ht="11.25" customHeight="1" x14ac:dyDescent="0.2">
      <c r="A57" s="64" t="s">
        <v>93</v>
      </c>
      <c r="B57" s="65" t="s">
        <v>88</v>
      </c>
      <c r="C57" s="66">
        <f t="shared" si="10"/>
        <v>2</v>
      </c>
      <c r="D57" s="67" t="str">
        <f t="shared" si="12"/>
        <v>JPYTonar</v>
      </c>
      <c r="E57" s="69" t="str">
        <f t="shared" si="13"/>
        <v>JPYOIS30Y_Quote</v>
      </c>
      <c r="F57" s="70" t="str">
        <f>_xll.qlOISRateHelper(,C57,B57,E57,$D57,,Permanent,Trigger,ObjectOverwrite)</f>
        <v>obj_001c2#0003</v>
      </c>
      <c r="H57" s="11" t="str">
        <f t="shared" si="14"/>
        <v>OIS</v>
      </c>
      <c r="I57" s="103" t="str">
        <f t="shared" si="15"/>
        <v>--</v>
      </c>
      <c r="J57" s="106" t="str">
        <f>IFERROR(_xll.qlRateHelperQuoteName(I57,Trigger),"--")</f>
        <v>--</v>
      </c>
      <c r="K57" s="107" t="str">
        <f>IFERROR(_xll.qlRateHelperQuoteValue($I57,Trigger),"--")</f>
        <v>--</v>
      </c>
      <c r="L57" s="106" t="b">
        <v>0</v>
      </c>
      <c r="M57" s="103">
        <v>50</v>
      </c>
      <c r="N57" s="103">
        <v>1</v>
      </c>
      <c r="O57" s="108" t="str">
        <f>IFERROR(_xll.qlRateHelperEarliestDate(I57,Trigger),"--")</f>
        <v>--</v>
      </c>
      <c r="P57" s="108" t="str">
        <f>IFERROR(_xll.qlRateHelperPillarDate(I57,Trigger),"--")</f>
        <v>--</v>
      </c>
      <c r="R57" s="4" t="str">
        <f t="shared" si="1"/>
        <v/>
      </c>
      <c r="S57" s="4" t="e">
        <v>#N/A</v>
      </c>
      <c r="T57" s="4" t="str">
        <f>IFERROR(_xll.qlRateHelperQuoteName(S57,Trigger),"")</f>
        <v/>
      </c>
      <c r="U57" s="76" t="str">
        <f>IFERROR(_xll.qlRateHelperRate(S57,Trigger),"")</f>
        <v/>
      </c>
      <c r="V57" s="113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 t="e">
        <v>#N/A</v>
      </c>
    </row>
    <row r="58" spans="1:25" ht="11.25" customHeight="1" x14ac:dyDescent="0.2">
      <c r="A58" s="64" t="s">
        <v>93</v>
      </c>
      <c r="B58" s="65" t="s">
        <v>89</v>
      </c>
      <c r="C58" s="66">
        <f t="shared" si="10"/>
        <v>2</v>
      </c>
      <c r="D58" s="67" t="str">
        <f t="shared" si="12"/>
        <v>JPYTonar</v>
      </c>
      <c r="E58" s="69" t="str">
        <f t="shared" si="13"/>
        <v>JPYOIS35Y_Quote</v>
      </c>
      <c r="F58" s="70"/>
      <c r="H58" s="11" t="str">
        <f t="shared" si="14"/>
        <v>OIS</v>
      </c>
      <c r="I58" s="103" t="str">
        <f t="shared" si="15"/>
        <v>--</v>
      </c>
      <c r="J58" s="106" t="str">
        <f>IFERROR(_xll.qlRateHelperQuoteName(I58,Trigger),"--")</f>
        <v>--</v>
      </c>
      <c r="K58" s="107" t="str">
        <f>IFERROR(_xll.qlRateHelperQuoteValue($I58,Trigger),"--")</f>
        <v>--</v>
      </c>
      <c r="L58" s="106" t="b">
        <v>0</v>
      </c>
      <c r="M58" s="103">
        <v>50</v>
      </c>
      <c r="N58" s="103">
        <v>1</v>
      </c>
      <c r="O58" s="108" t="str">
        <f>IFERROR(_xll.qlRateHelperEarliestDate(I58,Trigger),"--")</f>
        <v>--</v>
      </c>
      <c r="P58" s="108" t="str">
        <f>IFERROR(_xll.qlRateHelperPillarDate(I58,Trigger),"--")</f>
        <v>--</v>
      </c>
      <c r="R58" s="4" t="str">
        <f t="shared" si="1"/>
        <v/>
      </c>
      <c r="S58" s="4" t="e">
        <v>#N/A</v>
      </c>
      <c r="T58" s="4" t="str">
        <f>IFERROR(_xll.qlRateHelperQuoteName(S58,Trigger),"")</f>
        <v/>
      </c>
      <c r="U58" s="76" t="str">
        <f>IFERROR(_xll.qlRateHelperRate(S58,Trigger),"")</f>
        <v/>
      </c>
      <c r="V58" s="113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 t="e">
        <v>#N/A</v>
      </c>
    </row>
    <row r="59" spans="1:25" ht="11.25" customHeight="1" x14ac:dyDescent="0.2">
      <c r="A59" s="64" t="s">
        <v>93</v>
      </c>
      <c r="B59" s="65" t="s">
        <v>90</v>
      </c>
      <c r="C59" s="66">
        <f t="shared" si="10"/>
        <v>2</v>
      </c>
      <c r="D59" s="67" t="str">
        <f t="shared" si="12"/>
        <v>JPYTonar</v>
      </c>
      <c r="E59" s="69" t="str">
        <f t="shared" si="13"/>
        <v>JPYOIS40Y_Quote</v>
      </c>
      <c r="F59" s="70"/>
      <c r="H59" s="12" t="str">
        <f t="shared" si="14"/>
        <v>OIS</v>
      </c>
      <c r="I59" s="104" t="str">
        <f t="shared" si="15"/>
        <v>--</v>
      </c>
      <c r="J59" s="109" t="str">
        <f>IFERROR(_xll.qlRateHelperQuoteName(I59,Trigger),"--")</f>
        <v>--</v>
      </c>
      <c r="K59" s="110" t="str">
        <f>IFERROR(_xll.qlRateHelperQuoteValue($I59,Trigger),"--")</f>
        <v>--</v>
      </c>
      <c r="L59" s="109" t="b">
        <v>0</v>
      </c>
      <c r="M59" s="104">
        <v>50</v>
      </c>
      <c r="N59" s="104">
        <v>1</v>
      </c>
      <c r="O59" s="111" t="str">
        <f>IFERROR(_xll.qlRateHelperEarliestDate(I59,Trigger),"--")</f>
        <v>--</v>
      </c>
      <c r="P59" s="111" t="str">
        <f>IFERROR(_xll.qlRateHelperPillarDate(I59,Trigger),"--")</f>
        <v>--</v>
      </c>
      <c r="R59" s="6" t="str">
        <f t="shared" si="1"/>
        <v/>
      </c>
      <c r="S59" s="6" t="e">
        <v>#N/A</v>
      </c>
      <c r="T59" s="6" t="str">
        <f>IFERROR(_xll.qlRateHelperQuoteName(S59,Trigger),"")</f>
        <v/>
      </c>
      <c r="U59" s="86" t="str">
        <f>IFERROR(_xll.qlRateHelperRate(S59,Trigger),"")</f>
        <v/>
      </c>
      <c r="V59" s="114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 t="e">
        <v>#N/A</v>
      </c>
    </row>
    <row r="60" spans="1:25" ht="11.25" customHeight="1" x14ac:dyDescent="0.2">
      <c r="A60" s="64" t="s">
        <v>93</v>
      </c>
      <c r="B60" s="65" t="s">
        <v>91</v>
      </c>
      <c r="C60" s="66">
        <f t="shared" si="10"/>
        <v>2</v>
      </c>
      <c r="D60" s="67" t="str">
        <f t="shared" si="12"/>
        <v>JPYTonar</v>
      </c>
      <c r="E60" s="69" t="str">
        <f t="shared" si="13"/>
        <v>JPYOIS45Y_Quote</v>
      </c>
      <c r="F60" s="70"/>
    </row>
    <row r="61" spans="1:25" ht="11.25" customHeight="1" x14ac:dyDescent="0.2">
      <c r="A61" s="1" t="s">
        <v>93</v>
      </c>
      <c r="B61" s="9" t="s">
        <v>92</v>
      </c>
      <c r="C61" s="7">
        <f t="shared" si="10"/>
        <v>2</v>
      </c>
      <c r="D61" s="8" t="str">
        <f t="shared" si="12"/>
        <v>JPYTonar</v>
      </c>
      <c r="E61" s="2" t="str">
        <f t="shared" si="13"/>
        <v>JPYOIS50Y_Quote</v>
      </c>
      <c r="F61" s="3"/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B2:AF2"/>
  </mergeCells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2" hidden="1" customWidth="1" outlineLevel="1"/>
    <col min="14" max="14" width="21.42578125" style="112" hidden="1" customWidth="1" outlineLevel="1"/>
    <col min="15" max="15" width="9.7109375" style="112" hidden="1" customWidth="1" outlineLevel="1"/>
    <col min="16" max="16" width="7.85546875" style="112" hidden="1" customWidth="1" outlineLevel="1"/>
    <col min="17" max="17" width="9" style="112" hidden="1" customWidth="1" outlineLevel="1"/>
    <col min="18" max="18" width="5.85546875" style="112" hidden="1" customWidth="1" outlineLevel="1"/>
    <col min="19" max="20" width="10.7109375" style="112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.7109375" style="182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39" width="2.7109375" style="182" customWidth="1"/>
    <col min="40" max="16384" width="9.140625" style="51"/>
  </cols>
  <sheetData>
    <row r="1" spans="1:38" ht="18" customHeight="1" x14ac:dyDescent="0.2">
      <c r="G1" s="55" t="s">
        <v>0</v>
      </c>
      <c r="H1" s="55" t="str">
        <f>"_SYNTH"&amp;Tenor</f>
        <v>_SYNTH3M</v>
      </c>
      <c r="L1" s="73" t="s">
        <v>23</v>
      </c>
      <c r="M1" s="115"/>
      <c r="N1" s="115"/>
      <c r="O1" s="115"/>
      <c r="P1" s="115"/>
      <c r="Q1" s="115"/>
      <c r="R1" s="115"/>
      <c r="S1" s="115"/>
      <c r="T1" s="105"/>
      <c r="U1" s="102"/>
      <c r="V1" s="81" t="str">
        <f>Currency&amp;Tenor</f>
        <v>JPY3M</v>
      </c>
      <c r="W1" s="72"/>
      <c r="X1" s="72"/>
      <c r="Y1" s="75"/>
      <c r="Z1" s="75"/>
      <c r="AA1" s="72"/>
      <c r="AB1" s="72"/>
      <c r="AC1" s="79" t="s">
        <v>30</v>
      </c>
    </row>
    <row r="2" spans="1:38" ht="21.75" customHeight="1" x14ac:dyDescent="0.2">
      <c r="A2" s="71" t="s">
        <v>8</v>
      </c>
      <c r="B2" s="71" t="s">
        <v>27</v>
      </c>
      <c r="C2" s="71" t="s">
        <v>117</v>
      </c>
      <c r="D2" s="71"/>
      <c r="E2" s="71"/>
      <c r="F2" s="71"/>
      <c r="G2" s="71" t="s">
        <v>4</v>
      </c>
      <c r="H2" s="71" t="s">
        <v>1</v>
      </c>
      <c r="I2" s="71"/>
      <c r="J2" s="71" t="s">
        <v>23</v>
      </c>
      <c r="L2" s="80" t="s">
        <v>8</v>
      </c>
      <c r="M2" s="80" t="s">
        <v>23</v>
      </c>
      <c r="N2" s="80" t="s">
        <v>104</v>
      </c>
      <c r="O2" s="80" t="s">
        <v>107</v>
      </c>
      <c r="P2" s="80" t="s">
        <v>105</v>
      </c>
      <c r="Q2" s="80" t="s">
        <v>106</v>
      </c>
      <c r="R2" s="80" t="s">
        <v>108</v>
      </c>
      <c r="S2" s="80" t="s">
        <v>21</v>
      </c>
      <c r="T2" s="80" t="s">
        <v>101</v>
      </c>
      <c r="U2" s="102"/>
      <c r="V2" s="80" t="s">
        <v>8</v>
      </c>
      <c r="W2" s="80" t="s">
        <v>23</v>
      </c>
      <c r="X2" s="80" t="s">
        <v>104</v>
      </c>
      <c r="Y2" s="82" t="s">
        <v>22</v>
      </c>
      <c r="Z2" s="82" t="s">
        <v>109</v>
      </c>
      <c r="AA2" s="80" t="s">
        <v>21</v>
      </c>
      <c r="AB2" s="80" t="s">
        <v>101</v>
      </c>
      <c r="AC2" s="83">
        <f t="array" ref="AC2:AC79">_xll.qlPiecewiseYieldCurveData(YieldCurve_3M,Trigger)</f>
        <v>1</v>
      </c>
      <c r="AD2" s="182"/>
      <c r="AF2" s="208" t="s">
        <v>110</v>
      </c>
      <c r="AG2" s="209"/>
      <c r="AH2" s="209"/>
      <c r="AI2" s="209"/>
      <c r="AJ2" s="210"/>
    </row>
    <row r="3" spans="1:38" ht="11.25" customHeight="1" x14ac:dyDescent="0.2">
      <c r="A3" s="119" t="s">
        <v>25</v>
      </c>
      <c r="B3" s="120" t="s">
        <v>97</v>
      </c>
      <c r="C3" s="121" t="s">
        <v>42</v>
      </c>
      <c r="D3" s="133"/>
      <c r="E3" s="133"/>
      <c r="F3" s="133"/>
      <c r="G3" s="122" t="str">
        <f>PROPER(Currency)&amp;"Tonar"</f>
        <v>JpyTonar</v>
      </c>
      <c r="H3" s="130" t="str">
        <f t="shared" ref="H3:H9" si="0">Currency&amp;$B3&amp;"D"&amp;$H$1&amp;QuoteSuffix</f>
        <v>JPYSND_SYNTH3M_Quote</v>
      </c>
      <c r="I3" s="133"/>
      <c r="J3" s="123"/>
      <c r="K3" s="54"/>
      <c r="L3" s="74" t="str">
        <f>A3</f>
        <v>Dp</v>
      </c>
      <c r="M3" s="141" t="str">
        <f>IF(ISBLANK(J3),"--",J3)</f>
        <v>--</v>
      </c>
      <c r="N3" s="155" t="str">
        <f>IFERROR(_xll.qlRateHelperQuoteName(M3,Trigger),"--")</f>
        <v>--</v>
      </c>
      <c r="O3" s="143" t="str">
        <f>IFERROR(_xll.qlRateHelperQuoteValue($M3,Trigger),"--")</f>
        <v>--</v>
      </c>
      <c r="P3" s="142" t="b">
        <v>0</v>
      </c>
      <c r="Q3" s="141">
        <v>10</v>
      </c>
      <c r="R3" s="141">
        <v>1</v>
      </c>
      <c r="S3" s="144" t="str">
        <f>IFERROR(_xll.qlRateHelperEarliestDate(M3,Trigger),"--")</f>
        <v>--</v>
      </c>
      <c r="T3" s="144" t="str">
        <f>IFERROR(_xll.qlRateHelperPillarDate(M3,Trigger),"--")</f>
        <v>--</v>
      </c>
      <c r="V3" s="4" t="str">
        <f t="shared" ref="V3:V34" si="1">IFERROR(INDEX($L$3:$L$79,MATCH(X3,$N$3:$N$79,0),1),"")</f>
        <v>Dp</v>
      </c>
      <c r="W3" s="4" t="str">
        <f t="array" ref="W3:W79">_xll.qlRateHelperSelection(_xll.ohFilter(RateHelpers,IncludeFlag),_xll.ohFilter(Priority,IncludeFlag),$AJ$3,$AJ$4,$AJ$5,$AJ$6,_xll.ohFilter(MinDistance,IncludeFlag),Trigger)</f>
        <v>obj_001de</v>
      </c>
      <c r="X3" s="4" t="str">
        <f>IFERROR(_xll.qlRateHelperQuoteName(W3,Trigger),"")</f>
        <v>JPY1MD_SYNTH3M_Quote</v>
      </c>
      <c r="Y3" s="76">
        <f>IFERROR(_xll.qlRateHelperRate(W3,Trigger),"")</f>
        <v>-4.4799999999999999E-4</v>
      </c>
      <c r="Z3" s="113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42496</v>
      </c>
      <c r="AB3" s="5">
        <f>IFERROR(_xll.qlRateHelperPillarDate(W3,Trigger),"")</f>
        <v>42527</v>
      </c>
      <c r="AC3" s="84">
        <v>1.0000385792660802</v>
      </c>
      <c r="AD3" s="182"/>
      <c r="AF3" s="201" t="s">
        <v>111</v>
      </c>
      <c r="AJ3" s="202">
        <v>0</v>
      </c>
    </row>
    <row r="4" spans="1:38" ht="11.25" customHeight="1" x14ac:dyDescent="0.2">
      <c r="A4" s="64" t="s">
        <v>25</v>
      </c>
      <c r="B4" s="65" t="s">
        <v>116</v>
      </c>
      <c r="C4" s="68" t="s">
        <v>43</v>
      </c>
      <c r="D4" s="134"/>
      <c r="E4" s="134"/>
      <c r="F4" s="134"/>
      <c r="G4" s="66" t="str">
        <f>PROPER(Currency)&amp;FamilyName&amp;B4</f>
        <v>JpyLiborSW</v>
      </c>
      <c r="H4" s="131" t="str">
        <f t="shared" si="0"/>
        <v>JPYSWD_SYNTH3M_Quote</v>
      </c>
      <c r="I4" s="134"/>
      <c r="J4" s="70"/>
      <c r="K4" s="53"/>
      <c r="L4" s="11" t="str">
        <f>A4</f>
        <v>Dp</v>
      </c>
      <c r="M4" s="103" t="str">
        <f>IF(ISBLANK(J4),"--",J4)</f>
        <v>--</v>
      </c>
      <c r="N4" s="156" t="str">
        <f>IFERROR(_xll.qlRateHelperQuoteName(M4,Trigger),"--")</f>
        <v>--</v>
      </c>
      <c r="O4" s="107" t="str">
        <f>IFERROR(_xll.qlRateHelperQuoteValue($M4,Trigger),"--")</f>
        <v>--</v>
      </c>
      <c r="P4" s="106" t="b">
        <v>0</v>
      </c>
      <c r="Q4" s="103">
        <v>10</v>
      </c>
      <c r="R4" s="103">
        <v>1</v>
      </c>
      <c r="S4" s="108" t="str">
        <f>IFERROR(_xll.qlRateHelperEarliestDate(M4,Trigger),"--")</f>
        <v>--</v>
      </c>
      <c r="T4" s="108" t="str">
        <f>IFERROR(_xll.qlRateHelperPillarDate(M4,Trigger),"--")</f>
        <v>--</v>
      </c>
      <c r="V4" s="4" t="str">
        <f t="shared" si="1"/>
        <v>Dp</v>
      </c>
      <c r="W4" s="4" t="str">
        <v>obj_001e3</v>
      </c>
      <c r="X4" s="4" t="str">
        <f>IFERROR(_xll.qlRateHelperQuoteName(W4,Trigger),"")</f>
        <v>JPY2MD_SYNTH3M_Quote</v>
      </c>
      <c r="Y4" s="76">
        <f>IFERROR(_xll.qlRateHelperRate(W4,Trigger),"")</f>
        <v>-3.2200000000000002E-4</v>
      </c>
      <c r="Z4" s="113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42496</v>
      </c>
      <c r="AB4" s="5">
        <f>IFERROR(_xll.qlRateHelperPillarDate(W4,Trigger),"")</f>
        <v>42557</v>
      </c>
      <c r="AC4" s="84">
        <v>1.0000545640881884</v>
      </c>
      <c r="AD4" s="182"/>
      <c r="AF4" s="116" t="s">
        <v>112</v>
      </c>
      <c r="AJ4" s="117">
        <v>0</v>
      </c>
    </row>
    <row r="5" spans="1:38" ht="11.25" customHeight="1" x14ac:dyDescent="0.2">
      <c r="A5" s="168" t="s">
        <v>25</v>
      </c>
      <c r="B5" s="169" t="s">
        <v>44</v>
      </c>
      <c r="C5" s="170" t="str">
        <f>B5</f>
        <v>2W</v>
      </c>
      <c r="D5" s="171"/>
      <c r="E5" s="171"/>
      <c r="F5" s="171"/>
      <c r="G5" s="172" t="str">
        <f>_xll.qlLibor(,Currency,C5,,Permanent,Trigger,ObjectOverwrite)</f>
        <v>obj_001dd#0004</v>
      </c>
      <c r="H5" s="173" t="str">
        <f t="shared" si="0"/>
        <v>JPY2WD_SYNTH3M_Quote</v>
      </c>
      <c r="I5" s="171"/>
      <c r="J5" s="174"/>
      <c r="K5" s="53"/>
      <c r="L5" s="11" t="str">
        <f>A5</f>
        <v>Dp</v>
      </c>
      <c r="M5" s="103" t="str">
        <f>IF(ISBLANK(J5),"--",J5)</f>
        <v>--</v>
      </c>
      <c r="N5" s="156" t="str">
        <f>IFERROR(_xll.qlRateHelperQuoteName(M5,Trigger),"--")</f>
        <v>--</v>
      </c>
      <c r="O5" s="107" t="str">
        <f>IFERROR(_xll.qlRateHelperQuoteValue($M5,Trigger),"--")</f>
        <v>--</v>
      </c>
      <c r="P5" s="106" t="b">
        <v>0</v>
      </c>
      <c r="Q5" s="103">
        <v>10</v>
      </c>
      <c r="R5" s="103">
        <v>1</v>
      </c>
      <c r="S5" s="108" t="str">
        <f>IFERROR(_xll.qlRateHelperEarliestDate(M5,Trigger),"--")</f>
        <v>--</v>
      </c>
      <c r="T5" s="108" t="str">
        <f>IFERROR(_xll.qlRateHelperPillarDate(M5,Trigger),"--")</f>
        <v>--</v>
      </c>
      <c r="V5" s="4" t="str">
        <f t="shared" si="1"/>
        <v>Dp</v>
      </c>
      <c r="W5" s="4" t="str">
        <v>obj_001e5</v>
      </c>
      <c r="X5" s="4" t="str">
        <f>IFERROR(_xll.qlRateHelperQuoteName(W5,Trigger),"")</f>
        <v>JPY3MD_SYNTH3M_Quote</v>
      </c>
      <c r="Y5" s="76">
        <f>IFERROR(_xll.qlRateHelperRate(W5,Trigger),"")</f>
        <v>-3.3500000000000001E-4</v>
      </c>
      <c r="Z5" s="113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42496</v>
      </c>
      <c r="AB5" s="5">
        <f>IFERROR(_xll.qlRateHelperPillarDate(W5,Trigger),"")</f>
        <v>42590</v>
      </c>
      <c r="AC5" s="84">
        <v>1.0000874798742811</v>
      </c>
      <c r="AD5" s="182"/>
      <c r="AF5" s="116" t="s">
        <v>113</v>
      </c>
      <c r="AJ5" s="117">
        <v>4</v>
      </c>
    </row>
    <row r="6" spans="1:38" ht="11.25" customHeight="1" x14ac:dyDescent="0.2">
      <c r="A6" s="175" t="s">
        <v>25</v>
      </c>
      <c r="B6" s="176" t="s">
        <v>45</v>
      </c>
      <c r="C6" s="177" t="str">
        <f t="shared" ref="C6:C9" si="2">B6</f>
        <v>3W</v>
      </c>
      <c r="D6" s="178"/>
      <c r="E6" s="178"/>
      <c r="F6" s="178"/>
      <c r="G6" s="179" t="str">
        <f>_xll.qlLibor(,Currency,C6,,Permanent,Trigger,ObjectOverwrite)</f>
        <v>obj_001e1#0004</v>
      </c>
      <c r="H6" s="180" t="str">
        <f t="shared" si="0"/>
        <v>JPY3WD_SYNTH3M_Quote</v>
      </c>
      <c r="I6" s="178"/>
      <c r="J6" s="181"/>
      <c r="K6" s="53"/>
      <c r="L6" s="11" t="str">
        <f>A6</f>
        <v>Dp</v>
      </c>
      <c r="M6" s="103" t="str">
        <f>IF(ISBLANK(J6),"--",J6)</f>
        <v>--</v>
      </c>
      <c r="N6" s="156" t="str">
        <f>IFERROR(_xll.qlRateHelperQuoteName(M6,Trigger),"--")</f>
        <v>--</v>
      </c>
      <c r="O6" s="107" t="str">
        <f>IFERROR(_xll.qlRateHelperQuoteValue($M6,Trigger),"--")</f>
        <v>--</v>
      </c>
      <c r="P6" s="106" t="b">
        <v>0</v>
      </c>
      <c r="Q6" s="103">
        <v>10</v>
      </c>
      <c r="R6" s="103">
        <v>1</v>
      </c>
      <c r="S6" s="108" t="str">
        <f>IFERROR(_xll.qlRateHelperEarliestDate(M6,Trigger),"--")</f>
        <v>--</v>
      </c>
      <c r="T6" s="108" t="str">
        <f>IFERROR(_xll.qlRateHelperPillarDate(M6,Trigger),"--")</f>
        <v>--</v>
      </c>
      <c r="V6" s="4" t="str">
        <f t="shared" si="1"/>
        <v>FRA</v>
      </c>
      <c r="W6" s="4" t="str">
        <v>obj_001ba</v>
      </c>
      <c r="X6" s="4" t="str">
        <f>IFERROR(_xll.qlRateHelperQuoteName(W6,Trigger),"")</f>
        <v>JPY1x4F_Quote</v>
      </c>
      <c r="Y6" s="76">
        <f>IFERROR(_xll.qlRateHelperRate(W6,Trigger),"")</f>
        <v>-4.0000000000000002E-4</v>
      </c>
      <c r="Z6" s="113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42527</v>
      </c>
      <c r="AB6" s="5">
        <f>IFERROR(_xll.qlRateHelperPillarDate(W6,Trigger),"")</f>
        <v>42618</v>
      </c>
      <c r="AC6" s="84">
        <v>1.0001383622504805</v>
      </c>
      <c r="AD6" s="182"/>
      <c r="AF6" s="116" t="s">
        <v>114</v>
      </c>
      <c r="AJ6" s="118" t="s">
        <v>115</v>
      </c>
    </row>
    <row r="7" spans="1:38" ht="11.25" customHeight="1" x14ac:dyDescent="0.2">
      <c r="A7" s="64" t="s">
        <v>25</v>
      </c>
      <c r="B7" s="65" t="s">
        <v>2</v>
      </c>
      <c r="C7" s="68" t="str">
        <f t="shared" si="2"/>
        <v>1M</v>
      </c>
      <c r="D7" s="134"/>
      <c r="E7" s="134"/>
      <c r="F7" s="134"/>
      <c r="G7" s="66" t="str">
        <f>PROPER(Currency)&amp;FamilyName&amp;B7</f>
        <v>JpyLibor1M</v>
      </c>
      <c r="H7" s="131" t="str">
        <f t="shared" si="0"/>
        <v>JPY1MD_SYNTH3M_Quote</v>
      </c>
      <c r="I7" s="134"/>
      <c r="J7" s="70" t="str">
        <f>_xll.qlDepositRateHelper(,H7,G7,Permanent,Trigger,ObjectOverwrite)</f>
        <v>obj_001de#0004</v>
      </c>
      <c r="K7" s="53"/>
      <c r="L7" s="11" t="str">
        <f>A7</f>
        <v>Dp</v>
      </c>
      <c r="M7" s="103" t="str">
        <f>IF(ISBLANK(J7),"--",J7)</f>
        <v>obj_001de#0004</v>
      </c>
      <c r="N7" s="156" t="str">
        <f>IFERROR(_xll.qlRateHelperQuoteName(M7,Trigger),"--")</f>
        <v>JPY1MD_SYNTH3M_Quote</v>
      </c>
      <c r="O7" s="107">
        <f>IFERROR(_xll.qlRateHelperQuoteValue($M7,Trigger),"--")</f>
        <v>-4.4799999999999999E-4</v>
      </c>
      <c r="P7" s="106" t="b">
        <v>1</v>
      </c>
      <c r="Q7" s="103">
        <v>10</v>
      </c>
      <c r="R7" s="103">
        <v>1</v>
      </c>
      <c r="S7" s="108">
        <f>IFERROR(_xll.qlRateHelperEarliestDate(M7,Trigger),"--")</f>
        <v>42496</v>
      </c>
      <c r="T7" s="108">
        <f>IFERROR(_xll.qlRateHelperPillarDate(M7,Trigger),"--")</f>
        <v>42527</v>
      </c>
      <c r="V7" s="4" t="str">
        <f t="shared" si="1"/>
        <v>FRA</v>
      </c>
      <c r="W7" s="4" t="str">
        <v>obj_001d2</v>
      </c>
      <c r="X7" s="4" t="str">
        <f>IFERROR(_xll.qlRateHelperQuoteName(W7,Trigger),"")</f>
        <v>JPY2x5F_Quote</v>
      </c>
      <c r="Y7" s="76">
        <f>IFERROR(_xll.qlRateHelperRate(W7,Trigger),"")</f>
        <v>-6.4999999999999997E-4</v>
      </c>
      <c r="Z7" s="113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42556</v>
      </c>
      <c r="AB7" s="5">
        <f>IFERROR(_xll.qlRateHelperPillarDate(W7,Trigger),"")</f>
        <v>42648</v>
      </c>
      <c r="AC7" s="84">
        <v>1.0002201330889611</v>
      </c>
      <c r="AD7" s="182"/>
    </row>
    <row r="8" spans="1:38" ht="11.25" customHeight="1" x14ac:dyDescent="0.2">
      <c r="A8" s="64" t="s">
        <v>25</v>
      </c>
      <c r="B8" s="65" t="s">
        <v>46</v>
      </c>
      <c r="C8" s="68" t="str">
        <f t="shared" si="2"/>
        <v>2M</v>
      </c>
      <c r="D8" s="134"/>
      <c r="E8" s="134"/>
      <c r="F8" s="134"/>
      <c r="G8" s="66" t="str">
        <f>PROPER(Currency)&amp;FamilyName&amp;B8</f>
        <v>JpyLibor2M</v>
      </c>
      <c r="H8" s="131" t="str">
        <f t="shared" si="0"/>
        <v>JPY2MD_SYNTH3M_Quote</v>
      </c>
      <c r="I8" s="134"/>
      <c r="J8" s="70" t="str">
        <f>_xll.qlDepositRateHelper(,H8,G8,Permanent,Trigger,ObjectOverwrite)</f>
        <v>obj_001e3#0004</v>
      </c>
      <c r="K8" s="53"/>
      <c r="L8" s="11" t="str">
        <f>A8</f>
        <v>Dp</v>
      </c>
      <c r="M8" s="103" t="str">
        <f>IF(ISBLANK(J8),"--",J8)</f>
        <v>obj_001e3#0004</v>
      </c>
      <c r="N8" s="156" t="str">
        <f>IFERROR(_xll.qlRateHelperQuoteName(M8,Trigger),"--")</f>
        <v>JPY2MD_SYNTH3M_Quote</v>
      </c>
      <c r="O8" s="107">
        <f>IFERROR(_xll.qlRateHelperQuoteValue($M8,Trigger),"--")</f>
        <v>-3.2200000000000002E-4</v>
      </c>
      <c r="P8" s="106" t="b">
        <v>1</v>
      </c>
      <c r="Q8" s="103">
        <v>10</v>
      </c>
      <c r="R8" s="103">
        <v>1</v>
      </c>
      <c r="S8" s="108">
        <f>IFERROR(_xll.qlRateHelperEarliestDate(M8,Trigger),"--")</f>
        <v>42496</v>
      </c>
      <c r="T8" s="108">
        <f>IFERROR(_xll.qlRateHelperPillarDate(M8,Trigger),"--")</f>
        <v>42557</v>
      </c>
      <c r="V8" s="4" t="str">
        <f t="shared" si="1"/>
        <v>FRA</v>
      </c>
      <c r="W8" s="4" t="str">
        <v>obj_001cb</v>
      </c>
      <c r="X8" s="4" t="str">
        <f>IFERROR(_xll.qlRateHelperQuoteName(W8,Trigger),"")</f>
        <v>JPY3x6F_Quote</v>
      </c>
      <c r="Y8" s="76">
        <f>IFERROR(_xll.qlRateHelperRate(W8,Trigger),"")</f>
        <v>-8.0000000000000004E-4</v>
      </c>
      <c r="Z8" s="113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42587</v>
      </c>
      <c r="AB8" s="5">
        <f>IFERROR(_xll.qlRateHelperPillarDate(W8,Trigger),"")</f>
        <v>42681</v>
      </c>
      <c r="AC8" s="84">
        <v>1.0002924151267505</v>
      </c>
      <c r="AD8" s="182"/>
    </row>
    <row r="9" spans="1:38" ht="11.25" customHeight="1" x14ac:dyDescent="0.2">
      <c r="A9" s="1" t="s">
        <v>25</v>
      </c>
      <c r="B9" s="9" t="s">
        <v>0</v>
      </c>
      <c r="C9" s="10" t="str">
        <f t="shared" si="2"/>
        <v>3M</v>
      </c>
      <c r="D9" s="135"/>
      <c r="E9" s="135"/>
      <c r="F9" s="135"/>
      <c r="G9" s="7" t="str">
        <f>PROPER(Currency)&amp;FamilyName&amp;B9</f>
        <v>JpyLibor3M</v>
      </c>
      <c r="H9" s="132" t="str">
        <f t="shared" si="0"/>
        <v>JPY3MD_SYNTH3M_Quote</v>
      </c>
      <c r="I9" s="135"/>
      <c r="J9" s="3" t="str">
        <f>_xll.qlDepositRateHelper(,H9,G9,Permanent,Trigger,ObjectOverwrite)</f>
        <v>obj_001e5#0004</v>
      </c>
      <c r="K9" s="53"/>
      <c r="L9" s="12" t="str">
        <f>A9</f>
        <v>Dp</v>
      </c>
      <c r="M9" s="104" t="str">
        <f>IF(ISBLANK(J9),"--",J9)</f>
        <v>obj_001e5#0004</v>
      </c>
      <c r="N9" s="157" t="str">
        <f>IFERROR(_xll.qlRateHelperQuoteName(M9,Trigger),"--")</f>
        <v>JPY3MD_SYNTH3M_Quote</v>
      </c>
      <c r="O9" s="110">
        <f>IFERROR(_xll.qlRateHelperQuoteValue($M9,Trigger),"--")</f>
        <v>-3.3500000000000001E-4</v>
      </c>
      <c r="P9" s="109" t="b">
        <v>1</v>
      </c>
      <c r="Q9" s="104">
        <v>10</v>
      </c>
      <c r="R9" s="104">
        <v>1</v>
      </c>
      <c r="S9" s="111">
        <f>IFERROR(_xll.qlRateHelperEarliestDate(M9,Trigger),"--")</f>
        <v>42496</v>
      </c>
      <c r="T9" s="111">
        <f>IFERROR(_xll.qlRateHelperPillarDate(M9,Trigger),"--")</f>
        <v>42590</v>
      </c>
      <c r="V9" s="4" t="str">
        <f t="shared" si="1"/>
        <v>FRA</v>
      </c>
      <c r="W9" s="4" t="str">
        <v>obj_001d3</v>
      </c>
      <c r="X9" s="4" t="str">
        <f>IFERROR(_xll.qlRateHelperQuoteName(W9,Trigger),"")</f>
        <v>JPY4x7F_Quote</v>
      </c>
      <c r="Y9" s="76">
        <f>IFERROR(_xll.qlRateHelperRate(W9,Trigger),"")</f>
        <v>-9.5E-4</v>
      </c>
      <c r="Z9" s="113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42618</v>
      </c>
      <c r="AB9" s="5">
        <f>IFERROR(_xll.qlRateHelperPillarDate(W9,Trigger),"")</f>
        <v>42709</v>
      </c>
      <c r="AC9" s="84">
        <v>1.0003785920542072</v>
      </c>
      <c r="AD9" s="182"/>
      <c r="AG9" s="51" t="s">
        <v>155</v>
      </c>
    </row>
    <row r="10" spans="1:38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1" t="str">
        <f>IF(ISBLANK(J12),"--",J12)</f>
        <v>obj_001ba#0004</v>
      </c>
      <c r="N10" s="155" t="str">
        <f>IFERROR(_xll.qlRateHelperQuoteName(M10,Trigger),"--")</f>
        <v>JPY1x4F_Quote</v>
      </c>
      <c r="O10" s="143">
        <f>IFERROR(_xll.qlRateHelperQuoteValue($M10,Trigger),"--")</f>
        <v>-4.0000000000000002E-4</v>
      </c>
      <c r="P10" s="142" t="b">
        <v>1</v>
      </c>
      <c r="Q10" s="141">
        <v>20</v>
      </c>
      <c r="R10" s="141">
        <v>1</v>
      </c>
      <c r="S10" s="144">
        <f>IFERROR(_xll.qlRateHelperEarliestDate(M10,Trigger),"--")</f>
        <v>42527</v>
      </c>
      <c r="T10" s="144">
        <f>IFERROR(_xll.qlRateHelperPillarDate(M10,Trigger),"--")</f>
        <v>42618</v>
      </c>
      <c r="V10" s="4" t="str">
        <f t="shared" si="1"/>
        <v>FRA</v>
      </c>
      <c r="W10" s="4" t="str">
        <v>obj_001c6</v>
      </c>
      <c r="X10" s="4" t="str">
        <f>IFERROR(_xll.qlRateHelperQuoteName(W10,Trigger),"")</f>
        <v>JPY5x8F_Quote</v>
      </c>
      <c r="Y10" s="76">
        <f>IFERROR(_xll.qlRateHelperRate(W10,Trigger),"")</f>
        <v>-1.1000000000000001E-3</v>
      </c>
      <c r="Z10" s="113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42648</v>
      </c>
      <c r="AB10" s="5">
        <f>IFERROR(_xll.qlRateHelperPillarDate(W10,Trigger),"")</f>
        <v>42740</v>
      </c>
      <c r="AC10" s="84">
        <v>1.0005013851450073</v>
      </c>
      <c r="AD10" s="182"/>
      <c r="AE10" s="80" t="s">
        <v>156</v>
      </c>
      <c r="AF10" s="80" t="s">
        <v>157</v>
      </c>
      <c r="AG10" s="80" t="s">
        <v>158</v>
      </c>
      <c r="AH10" s="80" t="s">
        <v>159</v>
      </c>
      <c r="AI10" s="80" t="s">
        <v>160</v>
      </c>
      <c r="AJ10" s="80" t="s">
        <v>161</v>
      </c>
      <c r="AK10" s="80" t="s">
        <v>162</v>
      </c>
      <c r="AL10" s="80" t="s">
        <v>163</v>
      </c>
    </row>
    <row r="11" spans="1:38" ht="11.25" customHeight="1" x14ac:dyDescent="0.2">
      <c r="A11" s="71" t="s">
        <v>8</v>
      </c>
      <c r="B11" s="71" t="s">
        <v>118</v>
      </c>
      <c r="C11" s="71" t="s">
        <v>119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23</v>
      </c>
      <c r="K11" s="53"/>
      <c r="L11" s="11" t="str">
        <f>A13</f>
        <v>FRA</v>
      </c>
      <c r="M11" s="103" t="str">
        <f>IF(ISBLANK(J13),"--",J13)</f>
        <v>obj_001d2#0004</v>
      </c>
      <c r="N11" s="156" t="str">
        <f>IFERROR(_xll.qlRateHelperQuoteName(M11,Trigger),"--")</f>
        <v>JPY2x5F_Quote</v>
      </c>
      <c r="O11" s="107">
        <f>IFERROR(_xll.qlRateHelperQuoteValue($M11,Trigger),"--")</f>
        <v>-6.4999999999999997E-4</v>
      </c>
      <c r="P11" s="106" t="b">
        <v>1</v>
      </c>
      <c r="Q11" s="103">
        <v>20</v>
      </c>
      <c r="R11" s="103">
        <v>1</v>
      </c>
      <c r="S11" s="108">
        <f>IFERROR(_xll.qlRateHelperEarliestDate(M11,Trigger),"--")</f>
        <v>42556</v>
      </c>
      <c r="T11" s="108">
        <f>IFERROR(_xll.qlRateHelperPillarDate(M11,Trigger),"--")</f>
        <v>42648</v>
      </c>
      <c r="V11" s="4" t="str">
        <f t="shared" si="1"/>
        <v>FRA</v>
      </c>
      <c r="W11" s="4" t="str">
        <v>obj_001ca</v>
      </c>
      <c r="X11" s="4" t="str">
        <f>IFERROR(_xll.qlRateHelperQuoteName(W11,Trigger),"")</f>
        <v>JPY6x9F_Quote</v>
      </c>
      <c r="Y11" s="76">
        <f>IFERROR(_xll.qlRateHelperRate(W11,Trigger),"")</f>
        <v>-1.1999999999999999E-3</v>
      </c>
      <c r="Z11" s="113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42681</v>
      </c>
      <c r="AB11" s="5">
        <f>IFERROR(_xll.qlRateHelperPillarDate(W11,Trigger),"")</f>
        <v>42772</v>
      </c>
      <c r="AC11" s="84">
        <v>1.0005960555419193</v>
      </c>
      <c r="AD11" s="182"/>
      <c r="AE11" s="183">
        <v>1</v>
      </c>
      <c r="AF11" s="184" t="e">
        <f>_xll.qlCalendarEndOfMonth(Calendar,Settlementdate,Trigger)</f>
        <v>#VALUE!</v>
      </c>
      <c r="AG11" s="184" t="str">
        <f t="shared" ref="AG11:AG23" si="3">Currency&amp;$AG$9&amp;AE11&amp;JumpSuffix&amp;QuoteSuffix</f>
        <v>JPYJump1_SYNTHON_Quote</v>
      </c>
      <c r="AH11" s="185" t="e">
        <f>_xll.qlDayCounterYearFraction("actual/360",AF11,_xll.qlCalendarAdvance(Calendar,AF11,"1D",,,Trigger))</f>
        <v>#NUM!</v>
      </c>
      <c r="AI11" s="184" t="e">
        <f>IF(_xll.qlQuoteIsValid(AG11,Trigger),_xll.qlQuoteValue(AG11,Trigger),1)</f>
        <v>#NUM!</v>
      </c>
      <c r="AJ11" s="187" t="e">
        <f>-LN(AI11)/AH11</f>
        <v>#NUM!</v>
      </c>
      <c r="AK11" s="188"/>
      <c r="AL11" s="186" t="str">
        <f>IF(ISBLANK(AK11),AG11,EXP(-AK11*AH11))</f>
        <v>JPYJump1_SYNTHON_Quote</v>
      </c>
    </row>
    <row r="12" spans="1:38" ht="11.25" customHeight="1" x14ac:dyDescent="0.2">
      <c r="A12" s="58" t="s">
        <v>120</v>
      </c>
      <c r="B12" s="124">
        <v>1</v>
      </c>
      <c r="C12" s="61" t="str">
        <f t="shared" ref="C12:C22" si="4">"x"&amp;B12+SUBSTITUTE(Tenor,"M","")&amp;"F"</f>
        <v>x4F</v>
      </c>
      <c r="D12" s="134"/>
      <c r="E12" s="134"/>
      <c r="F12" s="134"/>
      <c r="G12" s="60" t="str">
        <f t="shared" ref="G12:G22" si="5">PROPER(Currency)&amp;FamilyName&amp;Tenor</f>
        <v>JpyLibor3M</v>
      </c>
      <c r="H12" s="127" t="str">
        <f t="shared" ref="H12:H22" si="6">Currency&amp;B12&amp;C12&amp;QuoteSuffix</f>
        <v>JPY1x4F_Quote</v>
      </c>
      <c r="I12" s="134"/>
      <c r="J12" s="63" t="str">
        <f>_xll.qlFraRateHelper(,H12,B12&amp;"M",G12,PillarDate,,Permanent,Trigger,ObjectOverwrite)</f>
        <v>obj_001ba#0004</v>
      </c>
      <c r="K12" s="53" t="s">
        <v>40</v>
      </c>
      <c r="L12" s="11" t="str">
        <f>A14</f>
        <v>FRA</v>
      </c>
      <c r="M12" s="103" t="str">
        <f>IF(ISBLANK(J14),"--",J14)</f>
        <v>obj_001cb#0004</v>
      </c>
      <c r="N12" s="156" t="str">
        <f>IFERROR(_xll.qlRateHelperQuoteName(M12,Trigger),"--")</f>
        <v>JPY3x6F_Quote</v>
      </c>
      <c r="O12" s="107">
        <f>IFERROR(_xll.qlRateHelperQuoteValue($M12,Trigger),"--")</f>
        <v>-8.0000000000000004E-4</v>
      </c>
      <c r="P12" s="106" t="b">
        <v>1</v>
      </c>
      <c r="Q12" s="103">
        <v>20</v>
      </c>
      <c r="R12" s="103">
        <v>1</v>
      </c>
      <c r="S12" s="108">
        <f>IFERROR(_xll.qlRateHelperEarliestDate(M12,Trigger),"--")</f>
        <v>42587</v>
      </c>
      <c r="T12" s="108">
        <f>IFERROR(_xll.qlRateHelperPillarDate(M12,Trigger),"--")</f>
        <v>42681</v>
      </c>
      <c r="V12" s="4" t="str">
        <f t="shared" si="1"/>
        <v>FRA</v>
      </c>
      <c r="W12" s="4" t="str">
        <v>obj_001c9</v>
      </c>
      <c r="X12" s="4" t="str">
        <f>IFERROR(_xll.qlRateHelperQuoteName(W12,Trigger),"")</f>
        <v>JPY9x12F_Quote</v>
      </c>
      <c r="Y12" s="76">
        <f>IFERROR(_xll.qlRateHelperRate(W12,Trigger),"")</f>
        <v>-1.6999999999999999E-3</v>
      </c>
      <c r="Z12" s="113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42772</v>
      </c>
      <c r="AB12" s="5">
        <f>IFERROR(_xll.qlRateHelperPillarDate(W12,Trigger),"")</f>
        <v>42860</v>
      </c>
      <c r="AC12" s="84">
        <v>1.0010107239458139</v>
      </c>
      <c r="AD12" s="182"/>
      <c r="AE12" s="189">
        <v>2</v>
      </c>
      <c r="AF12" s="190" t="e">
        <f>_xll.qlCalendarEndOfMonth(Calendar,_xll.qlCalendarAdvance(Calendar,AF11,"1m","mf",TRUE),Trigger)</f>
        <v>#VALUE!</v>
      </c>
      <c r="AG12" s="190" t="str">
        <f t="shared" si="3"/>
        <v>JPYJump2_SYNTHON_Quote</v>
      </c>
      <c r="AH12" s="191" t="e">
        <f>_xll.qlDayCounterYearFraction("actual/360",AF12,_xll.qlCalendarAdvance(Calendar,AF12,"1D",,,Trigger))</f>
        <v>#NUM!</v>
      </c>
      <c r="AI12" s="190" t="e">
        <f>IF(_xll.qlQuoteIsValid(AG12,Trigger),_xll.qlQuoteValue(AG12,Trigger),1)</f>
        <v>#NUM!</v>
      </c>
      <c r="AJ12" s="193" t="e">
        <f t="shared" ref="AJ12:AJ23" si="7">-LN(AI12)/AH12</f>
        <v>#NUM!</v>
      </c>
      <c r="AK12" s="194"/>
      <c r="AL12" s="192" t="str">
        <f t="shared" ref="AL12:AL23" si="8">IF(ISBLANK(AK12),AG12,EXP(-AK12*AH12))</f>
        <v>JPYJump2_SYNTHON_Quote</v>
      </c>
    </row>
    <row r="13" spans="1:38" ht="11.25" customHeight="1" x14ac:dyDescent="0.2">
      <c r="A13" s="64" t="s">
        <v>120</v>
      </c>
      <c r="B13" s="125">
        <v>2</v>
      </c>
      <c r="C13" s="68" t="str">
        <f t="shared" si="4"/>
        <v>x5F</v>
      </c>
      <c r="D13" s="134"/>
      <c r="E13" s="134"/>
      <c r="F13" s="134"/>
      <c r="G13" s="66" t="str">
        <f t="shared" si="5"/>
        <v>JpyLibor3M</v>
      </c>
      <c r="H13" s="128" t="str">
        <f t="shared" si="6"/>
        <v>JPY2x5F_Quote</v>
      </c>
      <c r="I13" s="134"/>
      <c r="J13" s="70" t="str">
        <f>_xll.qlFraRateHelper(,H13,B13&amp;"M",G13,PillarDate,,Permanent,Trigger,ObjectOverwrite)</f>
        <v>obj_001d2#0004</v>
      </c>
      <c r="K13" s="53"/>
      <c r="L13" s="11" t="str">
        <f>A15</f>
        <v>FRA</v>
      </c>
      <c r="M13" s="103" t="str">
        <f>IF(ISBLANK(J15),"--",J15)</f>
        <v>obj_001d3#0004</v>
      </c>
      <c r="N13" s="156" t="str">
        <f>IFERROR(_xll.qlRateHelperQuoteName(M13,Trigger),"--")</f>
        <v>JPY4x7F_Quote</v>
      </c>
      <c r="O13" s="107">
        <f>IFERROR(_xll.qlRateHelperQuoteValue($M13,Trigger),"--")</f>
        <v>-9.5E-4</v>
      </c>
      <c r="P13" s="106" t="b">
        <v>1</v>
      </c>
      <c r="Q13" s="103">
        <v>20</v>
      </c>
      <c r="R13" s="103">
        <v>1</v>
      </c>
      <c r="S13" s="108">
        <f>IFERROR(_xll.qlRateHelperEarliestDate(M13,Trigger),"--")</f>
        <v>42618</v>
      </c>
      <c r="T13" s="108">
        <f>IFERROR(_xll.qlRateHelperPillarDate(M13,Trigger),"--")</f>
        <v>42709</v>
      </c>
      <c r="V13" s="4" t="str">
        <f t="shared" si="1"/>
        <v>FRA</v>
      </c>
      <c r="W13" s="4" t="str">
        <v>obj_001d7</v>
      </c>
      <c r="X13" s="4" t="str">
        <f>IFERROR(_xll.qlRateHelperQuoteName(W13,Trigger),"")</f>
        <v>JPY12x15F_Quote</v>
      </c>
      <c r="Y13" s="76">
        <f>IFERROR(_xll.qlRateHelperRate(W13,Trigger),"")</f>
        <v>-1.8E-3</v>
      </c>
      <c r="Z13" s="113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42860</v>
      </c>
      <c r="AB13" s="5">
        <f>IFERROR(_xll.qlRateHelperPillarDate(W13,Trigger),"")</f>
        <v>42954</v>
      </c>
      <c r="AC13" s="84">
        <v>1.0014816083696769</v>
      </c>
      <c r="AD13" s="182"/>
      <c r="AE13" s="189">
        <v>3</v>
      </c>
      <c r="AF13" s="190" t="e">
        <f>_xll.qlCalendarEndOfMonth(Calendar,_xll.qlCalendarAdvance(Calendar,AF12,"1m","mf",TRUE),Trigger)</f>
        <v>#VALUE!</v>
      </c>
      <c r="AG13" s="190" t="str">
        <f t="shared" si="3"/>
        <v>JPYJump3_SYNTHON_Quote</v>
      </c>
      <c r="AH13" s="191" t="e">
        <f>_xll.qlDayCounterYearFraction("actual/360",AF13,_xll.qlCalendarAdvance(Calendar,AF13,"1D",,,Trigger))</f>
        <v>#NUM!</v>
      </c>
      <c r="AI13" s="190" t="e">
        <f>IF(_xll.qlQuoteIsValid(AG13,Trigger),_xll.qlQuoteValue(AG13,Trigger),1)</f>
        <v>#NUM!</v>
      </c>
      <c r="AJ13" s="193" t="e">
        <f t="shared" si="7"/>
        <v>#NUM!</v>
      </c>
      <c r="AK13" s="194"/>
      <c r="AL13" s="192" t="str">
        <f t="shared" si="8"/>
        <v>JPYJump3_SYNTHON_Quote</v>
      </c>
    </row>
    <row r="14" spans="1:38" ht="11.25" customHeight="1" x14ac:dyDescent="0.2">
      <c r="A14" s="64" t="s">
        <v>120</v>
      </c>
      <c r="B14" s="125">
        <v>3</v>
      </c>
      <c r="C14" s="68" t="str">
        <f t="shared" si="4"/>
        <v>x6F</v>
      </c>
      <c r="D14" s="134"/>
      <c r="E14" s="134"/>
      <c r="F14" s="134"/>
      <c r="G14" s="66" t="str">
        <f t="shared" si="5"/>
        <v>JpyLibor3M</v>
      </c>
      <c r="H14" s="128" t="str">
        <f t="shared" si="6"/>
        <v>JPY3x6F_Quote</v>
      </c>
      <c r="I14" s="134"/>
      <c r="J14" s="70" t="str">
        <f>_xll.qlFraRateHelper(,H14,B14&amp;"M",G14,PillarDate,,Permanent,Trigger,ObjectOverwrite)</f>
        <v>obj_001cb#0004</v>
      </c>
      <c r="K14" s="53"/>
      <c r="L14" s="11" t="str">
        <f>A16</f>
        <v>FRA</v>
      </c>
      <c r="M14" s="103" t="str">
        <f>IF(ISBLANK(J16),"--",J16)</f>
        <v>obj_001c6#0004</v>
      </c>
      <c r="N14" s="156" t="str">
        <f>IFERROR(_xll.qlRateHelperQuoteName(M14,Trigger),"--")</f>
        <v>JPY5x8F_Quote</v>
      </c>
      <c r="O14" s="107">
        <f>IFERROR(_xll.qlRateHelperQuoteValue($M14,Trigger),"--")</f>
        <v>-1.1000000000000001E-3</v>
      </c>
      <c r="P14" s="106" t="b">
        <v>1</v>
      </c>
      <c r="Q14" s="103">
        <v>20</v>
      </c>
      <c r="R14" s="103">
        <v>1</v>
      </c>
      <c r="S14" s="108">
        <f>IFERROR(_xll.qlRateHelperEarliestDate(M14,Trigger),"--")</f>
        <v>42648</v>
      </c>
      <c r="T14" s="108">
        <f>IFERROR(_xll.qlRateHelperPillarDate(M14,Trigger),"--")</f>
        <v>42740</v>
      </c>
      <c r="V14" s="4" t="str">
        <f t="shared" si="1"/>
        <v>FRA</v>
      </c>
      <c r="W14" s="4" t="str">
        <v>obj_001dc</v>
      </c>
      <c r="X14" s="4" t="str">
        <f>IFERROR(_xll.qlRateHelperQuoteName(W14,Trigger),"")</f>
        <v>JPY15x18F_Quote</v>
      </c>
      <c r="Y14" s="76">
        <f>IFERROR(_xll.qlRateHelperRate(W14,Trigger),"")</f>
        <v>-2.0500000000000002E-3</v>
      </c>
      <c r="Z14" s="113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42954</v>
      </c>
      <c r="AB14" s="5">
        <f>IFERROR(_xll.qlRateHelperPillarDate(W14,Trigger),"")</f>
        <v>43045</v>
      </c>
      <c r="AC14" s="84">
        <v>1.0020007166154254</v>
      </c>
      <c r="AD14" s="182"/>
      <c r="AE14" s="189">
        <v>4</v>
      </c>
      <c r="AF14" s="190" t="e">
        <f>_xll.qlCalendarEndOfMonth(Calendar,_xll.qlCalendarAdvance(Calendar,AF13,"1m","mf",TRUE),Trigger)</f>
        <v>#VALUE!</v>
      </c>
      <c r="AG14" s="190" t="str">
        <f t="shared" si="3"/>
        <v>JPYJump4_SYNTHON_Quote</v>
      </c>
      <c r="AH14" s="191" t="e">
        <f>_xll.qlDayCounterYearFraction("actual/360",AF14,_xll.qlCalendarAdvance(Calendar,AF14,"1D",,,Trigger))</f>
        <v>#NUM!</v>
      </c>
      <c r="AI14" s="190" t="e">
        <f>IF(_xll.qlQuoteIsValid(AG14,Trigger),_xll.qlQuoteValue(AG14,Trigger),1)</f>
        <v>#NUM!</v>
      </c>
      <c r="AJ14" s="193" t="e">
        <f t="shared" si="7"/>
        <v>#NUM!</v>
      </c>
      <c r="AK14" s="194"/>
      <c r="AL14" s="192" t="str">
        <f t="shared" si="8"/>
        <v>JPYJump4_SYNTHON_Quote</v>
      </c>
    </row>
    <row r="15" spans="1:38" ht="11.25" customHeight="1" x14ac:dyDescent="0.2">
      <c r="A15" s="64" t="s">
        <v>120</v>
      </c>
      <c r="B15" s="125">
        <v>4</v>
      </c>
      <c r="C15" s="68" t="str">
        <f t="shared" si="4"/>
        <v>x7F</v>
      </c>
      <c r="D15" s="134"/>
      <c r="E15" s="134"/>
      <c r="F15" s="134"/>
      <c r="G15" s="66" t="str">
        <f t="shared" si="5"/>
        <v>JpyLibor3M</v>
      </c>
      <c r="H15" s="128" t="str">
        <f t="shared" si="6"/>
        <v>JPY4x7F_Quote</v>
      </c>
      <c r="I15" s="134"/>
      <c r="J15" s="70" t="str">
        <f>_xll.qlFraRateHelper(,H15,B15&amp;"M",G15,PillarDate,,Permanent,Trigger,ObjectOverwrite)</f>
        <v>obj_001d3#0004</v>
      </c>
      <c r="K15" s="53"/>
      <c r="L15" s="11" t="str">
        <f>A17</f>
        <v>FRA</v>
      </c>
      <c r="M15" s="103" t="str">
        <f>IF(ISBLANK(J17),"--",J17)</f>
        <v>obj_001ca#0004</v>
      </c>
      <c r="N15" s="156" t="str">
        <f>IFERROR(_xll.qlRateHelperQuoteName(M15,Trigger),"--")</f>
        <v>JPY6x9F_Quote</v>
      </c>
      <c r="O15" s="107">
        <f>IFERROR(_xll.qlRateHelperQuoteValue($M15,Trigger),"--")</f>
        <v>-1.1999999999999999E-3</v>
      </c>
      <c r="P15" s="106" t="b">
        <v>1</v>
      </c>
      <c r="Q15" s="103">
        <v>20</v>
      </c>
      <c r="R15" s="103">
        <v>1</v>
      </c>
      <c r="S15" s="108">
        <f>IFERROR(_xll.qlRateHelperEarliestDate(M15,Trigger),"--")</f>
        <v>42681</v>
      </c>
      <c r="T15" s="108">
        <f>IFERROR(_xll.qlRateHelperPillarDate(M15,Trigger),"--")</f>
        <v>42772</v>
      </c>
      <c r="V15" s="4" t="str">
        <f t="shared" si="1"/>
        <v>BasSW</v>
      </c>
      <c r="W15" s="4" t="str">
        <v>obj_0021e</v>
      </c>
      <c r="X15" s="4" t="str">
        <f>IFERROR(_xll.qlRateHelperQuoteName(W15,Trigger),"")</f>
        <v>JPYSB6L2Y_Quote</v>
      </c>
      <c r="Y15" s="76">
        <f>IFERROR(_xll.qlRateHelperRate(W15,Trigger),"")</f>
        <v>-1.0750000000000002E-3</v>
      </c>
      <c r="Z15" s="113">
        <f>IF(ISERROR(_xll.qlSwapRateHelperSpread($W15)),IF(ISERROR(_xll.qlFuturesRateHelperConvexityAdjustment($W15)),"",_xll.qlFuturesRateHelperConvexityAdjustment($W15)),_xll.qlSwapRateHelperSpread($W15))</f>
        <v>4.2499999999999998E-4</v>
      </c>
      <c r="AA15" s="5">
        <f>IFERROR(_xll.qlRateHelperEarliestDate(W15,Trigger),"")</f>
        <v>42500</v>
      </c>
      <c r="AB15" s="5">
        <f>IFERROR(_xll.qlRateHelperPillarDate(W15,Trigger),"")</f>
        <v>43230</v>
      </c>
      <c r="AC15" s="84">
        <v>1.0030219461720733</v>
      </c>
      <c r="AD15" s="182"/>
      <c r="AE15" s="189">
        <v>5</v>
      </c>
      <c r="AF15" s="190" t="e">
        <f>_xll.qlCalendarEndOfMonth(Calendar,_xll.qlCalendarAdvance(Calendar,AF14,"1m","mf",TRUE),Trigger)</f>
        <v>#VALUE!</v>
      </c>
      <c r="AG15" s="190" t="str">
        <f t="shared" si="3"/>
        <v>JPYJump5_SYNTHON_Quote</v>
      </c>
      <c r="AH15" s="191" t="e">
        <f>_xll.qlDayCounterYearFraction("actual/360",AF15,_xll.qlCalendarAdvance(Calendar,AF15,"1D",,,Trigger))</f>
        <v>#NUM!</v>
      </c>
      <c r="AI15" s="190" t="e">
        <f>IF(_xll.qlQuoteIsValid(AG15,Trigger),_xll.qlQuoteValue(AG15,Trigger),1)</f>
        <v>#NUM!</v>
      </c>
      <c r="AJ15" s="193" t="e">
        <f t="shared" si="7"/>
        <v>#NUM!</v>
      </c>
      <c r="AK15" s="194"/>
      <c r="AL15" s="192" t="str">
        <f t="shared" si="8"/>
        <v>JPYJump5_SYNTHON_Quote</v>
      </c>
    </row>
    <row r="16" spans="1:38" ht="11.25" customHeight="1" x14ac:dyDescent="0.2">
      <c r="A16" s="64" t="s">
        <v>120</v>
      </c>
      <c r="B16" s="125">
        <v>5</v>
      </c>
      <c r="C16" s="68" t="str">
        <f t="shared" si="4"/>
        <v>x8F</v>
      </c>
      <c r="D16" s="134"/>
      <c r="E16" s="134"/>
      <c r="F16" s="134"/>
      <c r="G16" s="66" t="str">
        <f t="shared" si="5"/>
        <v>JpyLibor3M</v>
      </c>
      <c r="H16" s="128" t="str">
        <f t="shared" si="6"/>
        <v>JPY5x8F_Quote</v>
      </c>
      <c r="I16" s="134"/>
      <c r="J16" s="70" t="str">
        <f>_xll.qlFraRateHelper(,H16,B16&amp;"M",G16,PillarDate,,Permanent,Trigger,ObjectOverwrite)</f>
        <v>obj_001c6#0004</v>
      </c>
      <c r="K16" s="53"/>
      <c r="L16" s="11" t="str">
        <f>A18</f>
        <v>FRA</v>
      </c>
      <c r="M16" s="103" t="str">
        <f>IF(ISBLANK(J18),"--",J18)</f>
        <v>obj_001c9#0004</v>
      </c>
      <c r="N16" s="156" t="str">
        <f>IFERROR(_xll.qlRateHelperQuoteName(M16,Trigger),"--")</f>
        <v>JPY9x12F_Quote</v>
      </c>
      <c r="O16" s="107">
        <f>IFERROR(_xll.qlRateHelperQuoteValue($M16,Trigger),"--")</f>
        <v>-1.6999999999999999E-3</v>
      </c>
      <c r="P16" s="106" t="b">
        <v>1</v>
      </c>
      <c r="Q16" s="103">
        <v>20</v>
      </c>
      <c r="R16" s="103">
        <v>1</v>
      </c>
      <c r="S16" s="108">
        <f>IFERROR(_xll.qlRateHelperEarliestDate(M16,Trigger),"--")</f>
        <v>42772</v>
      </c>
      <c r="T16" s="108">
        <f>IFERROR(_xll.qlRateHelperPillarDate(M16,Trigger),"--")</f>
        <v>42860</v>
      </c>
      <c r="V16" s="4" t="str">
        <f t="shared" si="1"/>
        <v>BasSW</v>
      </c>
      <c r="W16" s="4" t="str">
        <v>obj_0020a</v>
      </c>
      <c r="X16" s="4" t="str">
        <f>IFERROR(_xll.qlRateHelperQuoteName(W16,Trigger),"")</f>
        <v>JPYSB6L3Y_Quote</v>
      </c>
      <c r="Y16" s="76">
        <f>IFERROR(_xll.qlRateHelperRate(W16,Trigger),"")</f>
        <v>-1.1750000000000003E-3</v>
      </c>
      <c r="Z16" s="113">
        <f>IF(ISERROR(_xll.qlSwapRateHelperSpread($W16)),IF(ISERROR(_xll.qlFuturesRateHelperConvexityAdjustment($W16)),"",_xll.qlFuturesRateHelperConvexityAdjustment($W16)),_xll.qlSwapRateHelperSpread($W16))</f>
        <v>3.5E-4</v>
      </c>
      <c r="AA16" s="5">
        <f>IFERROR(_xll.qlRateHelperEarliestDate(W16,Trigger),"")</f>
        <v>42500</v>
      </c>
      <c r="AB16" s="5">
        <f>IFERROR(_xll.qlRateHelperPillarDate(W16,Trigger),"")</f>
        <v>43595</v>
      </c>
      <c r="AC16" s="84">
        <v>1.0046066052817642</v>
      </c>
      <c r="AD16" s="182"/>
      <c r="AE16" s="189">
        <v>6</v>
      </c>
      <c r="AF16" s="190" t="e">
        <f>_xll.qlCalendarEndOfMonth(Calendar,_xll.qlCalendarAdvance(Calendar,AF15,"1m","mf",TRUE),Trigger)</f>
        <v>#VALUE!</v>
      </c>
      <c r="AG16" s="190" t="str">
        <f t="shared" si="3"/>
        <v>JPYJump6_SYNTHON_Quote</v>
      </c>
      <c r="AH16" s="191" t="e">
        <f>_xll.qlDayCounterYearFraction("actual/360",AF16,_xll.qlCalendarAdvance(Calendar,AF16,"1D",,,Trigger))</f>
        <v>#NUM!</v>
      </c>
      <c r="AI16" s="190" t="e">
        <f>IF(_xll.qlQuoteIsValid(AG16,Trigger),_xll.qlQuoteValue(AG16,Trigger),1)</f>
        <v>#NUM!</v>
      </c>
      <c r="AJ16" s="193" t="e">
        <f t="shared" si="7"/>
        <v>#NUM!</v>
      </c>
      <c r="AK16" s="194"/>
      <c r="AL16" s="192" t="str">
        <f t="shared" si="8"/>
        <v>JPYJump6_SYNTHON_Quote</v>
      </c>
    </row>
    <row r="17" spans="1:38" ht="11.25" customHeight="1" x14ac:dyDescent="0.2">
      <c r="A17" s="64" t="s">
        <v>120</v>
      </c>
      <c r="B17" s="125">
        <v>6</v>
      </c>
      <c r="C17" s="68" t="str">
        <f t="shared" si="4"/>
        <v>x9F</v>
      </c>
      <c r="D17" s="134"/>
      <c r="E17" s="134"/>
      <c r="F17" s="134"/>
      <c r="G17" s="66" t="str">
        <f t="shared" si="5"/>
        <v>JpyLibor3M</v>
      </c>
      <c r="H17" s="128" t="str">
        <f t="shared" si="6"/>
        <v>JPY6x9F_Quote</v>
      </c>
      <c r="I17" s="134"/>
      <c r="J17" s="70" t="str">
        <f>_xll.qlFraRateHelper(,H17,B17&amp;"M",G17,PillarDate,,Permanent,Trigger,ObjectOverwrite)</f>
        <v>obj_001ca#0004</v>
      </c>
      <c r="K17" s="53"/>
      <c r="L17" s="11" t="str">
        <f>A19</f>
        <v>FRA</v>
      </c>
      <c r="M17" s="103" t="str">
        <f>IF(ISBLANK(J19),"--",J19)</f>
        <v>obj_001d7#0004</v>
      </c>
      <c r="N17" s="156" t="str">
        <f>IFERROR(_xll.qlRateHelperQuoteName(M17,Trigger),"--")</f>
        <v>JPY12x15F_Quote</v>
      </c>
      <c r="O17" s="107">
        <f>IFERROR(_xll.qlRateHelperQuoteValue($M17,Trigger),"--")</f>
        <v>-1.8E-3</v>
      </c>
      <c r="P17" s="106" t="b">
        <v>1</v>
      </c>
      <c r="Q17" s="103">
        <v>20</v>
      </c>
      <c r="R17" s="103">
        <v>1</v>
      </c>
      <c r="S17" s="108">
        <f>IFERROR(_xll.qlRateHelperEarliestDate(M17,Trigger),"--")</f>
        <v>42860</v>
      </c>
      <c r="T17" s="108">
        <f>IFERROR(_xll.qlRateHelperPillarDate(M17,Trigger),"--")</f>
        <v>42954</v>
      </c>
      <c r="V17" s="4" t="str">
        <f t="shared" si="1"/>
        <v>BasSW</v>
      </c>
      <c r="W17" s="4" t="str">
        <v>obj_0021a</v>
      </c>
      <c r="X17" s="4" t="str">
        <f>IFERROR(_xll.qlRateHelperQuoteName(W17,Trigger),"")</f>
        <v>JPYSB6L4Y_Quote</v>
      </c>
      <c r="Y17" s="76">
        <f>IFERROR(_xll.qlRateHelperRate(W17,Trigger),"")</f>
        <v>-9.7500000000000006E-4</v>
      </c>
      <c r="Z17" s="113">
        <f>IF(ISERROR(_xll.qlSwapRateHelperSpread($W17)),IF(ISERROR(_xll.qlFuturesRateHelperConvexityAdjustment($W17)),"",_xll.qlFuturesRateHelperConvexityAdjustment($W17)),_xll.qlSwapRateHelperSpread($W17))</f>
        <v>2.9999999999999997E-4</v>
      </c>
      <c r="AA17" s="5">
        <f>IFERROR(_xll.qlRateHelperEarliestDate(W17,Trigger),"")</f>
        <v>42500</v>
      </c>
      <c r="AB17" s="5">
        <f>IFERROR(_xll.qlRateHelperPillarDate(W17,Trigger),"")</f>
        <v>43962</v>
      </c>
      <c r="AC17" s="84">
        <v>1.0051474600184389</v>
      </c>
      <c r="AD17" s="182"/>
      <c r="AE17" s="189">
        <v>7</v>
      </c>
      <c r="AF17" s="190" t="e">
        <f>_xll.qlCalendarEndOfMonth(Calendar,_xll.qlCalendarAdvance(Calendar,AF16,"1m","mf",TRUE),Trigger)</f>
        <v>#VALUE!</v>
      </c>
      <c r="AG17" s="190" t="str">
        <f t="shared" si="3"/>
        <v>JPYJump7_SYNTHON_Quote</v>
      </c>
      <c r="AH17" s="191" t="e">
        <f>_xll.qlDayCounterYearFraction("actual/360",AF17,_xll.qlCalendarAdvance(Calendar,AF17,"1D",,,Trigger))</f>
        <v>#NUM!</v>
      </c>
      <c r="AI17" s="190" t="e">
        <f>IF(_xll.qlQuoteIsValid(AG17,Trigger),_xll.qlQuoteValue(AG17,Trigger),1)</f>
        <v>#NUM!</v>
      </c>
      <c r="AJ17" s="193" t="e">
        <f t="shared" si="7"/>
        <v>#NUM!</v>
      </c>
      <c r="AK17" s="194"/>
      <c r="AL17" s="192" t="str">
        <f t="shared" si="8"/>
        <v>JPYJump7_SYNTHON_Quote</v>
      </c>
    </row>
    <row r="18" spans="1:38" ht="11.25" customHeight="1" x14ac:dyDescent="0.2">
      <c r="A18" s="64" t="s">
        <v>120</v>
      </c>
      <c r="B18" s="125">
        <v>9</v>
      </c>
      <c r="C18" s="68" t="str">
        <f t="shared" si="4"/>
        <v>x12F</v>
      </c>
      <c r="D18" s="134"/>
      <c r="E18" s="134"/>
      <c r="F18" s="134"/>
      <c r="G18" s="66" t="str">
        <f t="shared" si="5"/>
        <v>JpyLibor3M</v>
      </c>
      <c r="H18" s="128" t="str">
        <f t="shared" si="6"/>
        <v>JPY9x12F_Quote</v>
      </c>
      <c r="I18" s="134"/>
      <c r="J18" s="70" t="str">
        <f>_xll.qlFraRateHelper(,H18,B18&amp;"M",G18,PillarDate,,Permanent,Trigger,ObjectOverwrite)</f>
        <v>obj_001c9#0004</v>
      </c>
      <c r="K18" s="53"/>
      <c r="L18" s="11" t="str">
        <f>A20</f>
        <v>FRA</v>
      </c>
      <c r="M18" s="103" t="str">
        <f>IF(ISBLANK(J20),"--",J20)</f>
        <v>obj_001dc#0004</v>
      </c>
      <c r="N18" s="156" t="str">
        <f>IFERROR(_xll.qlRateHelperQuoteName(M18,Trigger),"--")</f>
        <v>JPY15x18F_Quote</v>
      </c>
      <c r="O18" s="107">
        <f>IFERROR(_xll.qlRateHelperQuoteValue($M18,Trigger),"--")</f>
        <v>-2.0500000000000002E-3</v>
      </c>
      <c r="P18" s="203" t="str">
        <f>IF(_xll.qlRateHelperQuoteIsValid(M18,Trigger),"TRUE","FALSE")</f>
        <v>TRUE</v>
      </c>
      <c r="Q18" s="103">
        <v>20</v>
      </c>
      <c r="R18" s="103">
        <v>1</v>
      </c>
      <c r="S18" s="108">
        <f>IFERROR(_xll.qlRateHelperEarliestDate(M18,Trigger),"--")</f>
        <v>42954</v>
      </c>
      <c r="T18" s="108">
        <f>IFERROR(_xll.qlRateHelperPillarDate(M18,Trigger),"--")</f>
        <v>43045</v>
      </c>
      <c r="V18" s="4" t="str">
        <f t="shared" si="1"/>
        <v>BasSW</v>
      </c>
      <c r="W18" s="4" t="str">
        <v>obj_00212</v>
      </c>
      <c r="X18" s="4" t="str">
        <f>IFERROR(_xll.qlRateHelperQuoteName(W18,Trigger),"")</f>
        <v>JPYSB6L5Y_Quote</v>
      </c>
      <c r="Y18" s="76">
        <f>IFERROR(_xll.qlRateHelperRate(W18,Trigger),"")</f>
        <v>-6.0000000000000006E-4</v>
      </c>
      <c r="Z18" s="113">
        <f>IF(ISERROR(_xll.qlSwapRateHelperSpread($W18)),IF(ISERROR(_xll.qlFuturesRateHelperConvexityAdjustment($W18)),"",_xll.qlFuturesRateHelperConvexityAdjustment($W18)),_xll.qlSwapRateHelperSpread($W18))</f>
        <v>2.5000000000000001E-4</v>
      </c>
      <c r="AA18" s="5">
        <f>IFERROR(_xll.qlRateHelperEarliestDate(W18,Trigger),"")</f>
        <v>42500</v>
      </c>
      <c r="AB18" s="5">
        <f>IFERROR(_xll.qlRateHelperPillarDate(W18,Trigger),"")</f>
        <v>44326</v>
      </c>
      <c r="AC18" s="84">
        <v>1.0042967438101755</v>
      </c>
      <c r="AD18" s="182"/>
      <c r="AE18" s="189">
        <v>8</v>
      </c>
      <c r="AF18" s="190" t="e">
        <f>_xll.qlCalendarEndOfMonth(Calendar,_xll.qlCalendarAdvance(Calendar,AF17,"1m","mf",TRUE),Trigger)</f>
        <v>#VALUE!</v>
      </c>
      <c r="AG18" s="190" t="str">
        <f t="shared" si="3"/>
        <v>JPYJump8_SYNTHON_Quote</v>
      </c>
      <c r="AH18" s="191" t="e">
        <f>_xll.qlDayCounterYearFraction("actual/360",AF18,_xll.qlCalendarAdvance(Calendar,AF18,"1D",,,Trigger))</f>
        <v>#NUM!</v>
      </c>
      <c r="AI18" s="190" t="e">
        <f>IF(_xll.qlQuoteIsValid(AG18,Trigger),_xll.qlQuoteValue(AG18,Trigger),1)</f>
        <v>#NUM!</v>
      </c>
      <c r="AJ18" s="193" t="e">
        <f t="shared" si="7"/>
        <v>#NUM!</v>
      </c>
      <c r="AK18" s="194"/>
      <c r="AL18" s="192" t="str">
        <f t="shared" si="8"/>
        <v>JPYJump8_SYNTHON_Quote</v>
      </c>
    </row>
    <row r="19" spans="1:38" ht="11.25" customHeight="1" x14ac:dyDescent="0.2">
      <c r="A19" s="64" t="s">
        <v>120</v>
      </c>
      <c r="B19" s="125">
        <v>12</v>
      </c>
      <c r="C19" s="68" t="str">
        <f t="shared" si="4"/>
        <v>x15F</v>
      </c>
      <c r="D19" s="134"/>
      <c r="E19" s="134"/>
      <c r="F19" s="134"/>
      <c r="G19" s="66" t="str">
        <f t="shared" si="5"/>
        <v>JpyLibor3M</v>
      </c>
      <c r="H19" s="128" t="str">
        <f t="shared" si="6"/>
        <v>JPY12x15F_Quote</v>
      </c>
      <c r="I19" s="134"/>
      <c r="J19" s="70" t="str">
        <f>_xll.qlFraRateHelper(,H19,B19&amp;"M",G19,PillarDate,,Permanent,Trigger,ObjectOverwrite)</f>
        <v>obj_001d7#0004</v>
      </c>
      <c r="K19" s="53"/>
      <c r="L19" s="11" t="str">
        <f>A21</f>
        <v>FRA</v>
      </c>
      <c r="M19" s="103" t="str">
        <f>IF(ISBLANK(J21),"--",J21)</f>
        <v>obj_001d4#0004</v>
      </c>
      <c r="N19" s="156" t="str">
        <f>IFERROR(_xll.qlRateHelperQuoteName(M19,Trigger),"--")</f>
        <v>JPY18x21F_Quote</v>
      </c>
      <c r="O19" s="107">
        <f>IFERROR(_xll.qlRateHelperQuoteValue($M19,Trigger),"--")</f>
        <v>-2.0500000000000002E-3</v>
      </c>
      <c r="P19" s="106" t="b">
        <v>0</v>
      </c>
      <c r="Q19" s="103">
        <v>20</v>
      </c>
      <c r="R19" s="103">
        <v>1</v>
      </c>
      <c r="S19" s="108">
        <f>IFERROR(_xll.qlRateHelperEarliestDate(M19,Trigger),"--")</f>
        <v>43045</v>
      </c>
      <c r="T19" s="108">
        <f>IFERROR(_xll.qlRateHelperPillarDate(M19,Trigger),"--")</f>
        <v>43136</v>
      </c>
      <c r="V19" s="4" t="str">
        <f t="shared" si="1"/>
        <v>BasSW</v>
      </c>
      <c r="W19" s="4" t="str">
        <v>obj_0020c</v>
      </c>
      <c r="X19" s="4" t="str">
        <f>IFERROR(_xll.qlRateHelperQuoteName(W19,Trigger),"")</f>
        <v>JPYSB6L6Y_Quote</v>
      </c>
      <c r="Y19" s="76">
        <f>IFERROR(_xll.qlRateHelperRate(W19,Trigger),"")</f>
        <v>-1.5000000000000004E-4</v>
      </c>
      <c r="Z19" s="113">
        <f>IF(ISERROR(_xll.qlSwapRateHelperSpread($W19)),IF(ISERROR(_xll.qlFuturesRateHelperConvexityAdjustment($W19)),"",_xll.qlFuturesRateHelperConvexityAdjustment($W19)),_xll.qlSwapRateHelperSpread($W19))</f>
        <v>2.2499999999999999E-4</v>
      </c>
      <c r="AA19" s="5">
        <f>IFERROR(_xll.qlRateHelperEarliestDate(W19,Trigger),"")</f>
        <v>42500</v>
      </c>
      <c r="AB19" s="5">
        <f>IFERROR(_xll.qlRateHelperPillarDate(W19,Trigger),"")</f>
        <v>44691</v>
      </c>
      <c r="AC19" s="84">
        <v>1.002297101295015</v>
      </c>
      <c r="AD19" s="182"/>
      <c r="AE19" s="189">
        <v>9</v>
      </c>
      <c r="AF19" s="190" t="e">
        <f>_xll.qlCalendarEndOfMonth(Calendar,_xll.qlCalendarAdvance(Calendar,AF18,"1m","mf",TRUE),Trigger)</f>
        <v>#VALUE!</v>
      </c>
      <c r="AG19" s="190" t="str">
        <f t="shared" si="3"/>
        <v>JPYJump9_SYNTHON_Quote</v>
      </c>
      <c r="AH19" s="191" t="e">
        <f>_xll.qlDayCounterYearFraction("actual/360",AF19,_xll.qlCalendarAdvance(Calendar,AF19,"1D",,,Trigger))</f>
        <v>#NUM!</v>
      </c>
      <c r="AI19" s="190" t="e">
        <f>IF(_xll.qlQuoteIsValid(AG19,Trigger),_xll.qlQuoteValue(AG19,Trigger),1)</f>
        <v>#NUM!</v>
      </c>
      <c r="AJ19" s="193" t="e">
        <f t="shared" si="7"/>
        <v>#NUM!</v>
      </c>
      <c r="AK19" s="194"/>
      <c r="AL19" s="192" t="str">
        <f t="shared" si="8"/>
        <v>JPYJump9_SYNTHON_Quote</v>
      </c>
    </row>
    <row r="20" spans="1:38" ht="11.25" customHeight="1" x14ac:dyDescent="0.2">
      <c r="A20" s="64" t="s">
        <v>120</v>
      </c>
      <c r="B20" s="125">
        <v>15</v>
      </c>
      <c r="C20" s="68" t="str">
        <f t="shared" si="4"/>
        <v>x18F</v>
      </c>
      <c r="D20" s="134"/>
      <c r="E20" s="134"/>
      <c r="F20" s="134"/>
      <c r="G20" s="66" t="str">
        <f t="shared" si="5"/>
        <v>JpyLibor3M</v>
      </c>
      <c r="H20" s="128" t="str">
        <f t="shared" si="6"/>
        <v>JPY15x18F_Quote</v>
      </c>
      <c r="I20" s="134"/>
      <c r="J20" s="70" t="str">
        <f>_xll.qlFraRateHelper(,H20,B20&amp;"M",G20,PillarDate,,Permanent,Trigger,ObjectOverwrite)</f>
        <v>obj_001dc#0004</v>
      </c>
      <c r="K20" s="53"/>
      <c r="L20" s="11" t="str">
        <f>A22</f>
        <v>FRA</v>
      </c>
      <c r="M20" s="103" t="str">
        <f>IF(ISBLANK(J22),"--",J22)</f>
        <v>obj_001bf#0004</v>
      </c>
      <c r="N20" s="156" t="str">
        <f>IFERROR(_xll.qlRateHelperQuoteName(M20,Trigger),"--")</f>
        <v>JPY21x24F_Quote</v>
      </c>
      <c r="O20" s="107">
        <f>IFERROR(_xll.qlRateHelperQuoteValue($M20,Trigger),"--")</f>
        <v>-2.2500000000000003E-3</v>
      </c>
      <c r="P20" s="106" t="b">
        <v>0</v>
      </c>
      <c r="Q20" s="103">
        <v>20</v>
      </c>
      <c r="R20" s="103">
        <v>1</v>
      </c>
      <c r="S20" s="108">
        <f>IFERROR(_xll.qlRateHelperEarliestDate(M20,Trigger),"--")</f>
        <v>43136</v>
      </c>
      <c r="T20" s="108">
        <f>IFERROR(_xll.qlRateHelperPillarDate(M20,Trigger),"--")</f>
        <v>43228</v>
      </c>
      <c r="V20" s="4" t="str">
        <f t="shared" si="1"/>
        <v>BasSW</v>
      </c>
      <c r="W20" s="4" t="str">
        <v>obj_00219</v>
      </c>
      <c r="X20" s="4" t="str">
        <f>IFERROR(_xll.qlRateHelperQuoteName(W20,Trigger),"")</f>
        <v>JPYSB6L7Y_Quote</v>
      </c>
      <c r="Y20" s="76">
        <f>IFERROR(_xll.qlRateHelperRate(W20,Trigger),"")</f>
        <v>2.7500000000000002E-4</v>
      </c>
      <c r="Z20" s="113">
        <f>IF(ISERROR(_xll.qlSwapRateHelperSpread($W20)),IF(ISERROR(_xll.qlFuturesRateHelperConvexityAdjustment($W20)),"",_xll.qlFuturesRateHelperConvexityAdjustment($W20)),_xll.qlSwapRateHelperSpread($W20))</f>
        <v>2.0000000000000001E-4</v>
      </c>
      <c r="AA20" s="5">
        <f>IFERROR(_xll.qlRateHelperEarliestDate(W20,Trigger),"")</f>
        <v>42500</v>
      </c>
      <c r="AB20" s="5">
        <f>IFERROR(_xll.qlRateHelperPillarDate(W20,Trigger),"")</f>
        <v>45056</v>
      </c>
      <c r="AC20" s="84">
        <v>0.9995211059650434</v>
      </c>
      <c r="AD20" s="182"/>
      <c r="AE20" s="189">
        <v>10</v>
      </c>
      <c r="AF20" s="190" t="e">
        <f>_xll.qlCalendarEndOfMonth(Calendar,_xll.qlCalendarAdvance(Calendar,AF19,"1m","mf",TRUE),Trigger)</f>
        <v>#VALUE!</v>
      </c>
      <c r="AG20" s="190" t="str">
        <f t="shared" si="3"/>
        <v>JPYJump10_SYNTHON_Quote</v>
      </c>
      <c r="AH20" s="191" t="e">
        <f>_xll.qlDayCounterYearFraction("actual/360",AF20,_xll.qlCalendarAdvance(Calendar,AF20,"1D",,,Trigger))</f>
        <v>#NUM!</v>
      </c>
      <c r="AI20" s="190" t="e">
        <f>IF(_xll.qlQuoteIsValid(AG20,Trigger),_xll.qlQuoteValue(AG20,Trigger),1)</f>
        <v>#NUM!</v>
      </c>
      <c r="AJ20" s="193" t="e">
        <f t="shared" si="7"/>
        <v>#NUM!</v>
      </c>
      <c r="AK20" s="194"/>
      <c r="AL20" s="192" t="str">
        <f t="shared" si="8"/>
        <v>JPYJump10_SYNTHON_Quote</v>
      </c>
    </row>
    <row r="21" spans="1:38" ht="11.25" customHeight="1" x14ac:dyDescent="0.2">
      <c r="A21" s="64" t="s">
        <v>120</v>
      </c>
      <c r="B21" s="125">
        <v>18</v>
      </c>
      <c r="C21" s="68" t="str">
        <f t="shared" si="4"/>
        <v>x21F</v>
      </c>
      <c r="D21" s="134"/>
      <c r="E21" s="134"/>
      <c r="F21" s="134"/>
      <c r="G21" s="66" t="str">
        <f t="shared" si="5"/>
        <v>JpyLibor3M</v>
      </c>
      <c r="H21" s="128" t="str">
        <f t="shared" si="6"/>
        <v>JPY18x21F_Quote</v>
      </c>
      <c r="I21" s="134"/>
      <c r="J21" s="70" t="str">
        <f>_xll.qlFraRateHelper(,H21,B21&amp;"M",G21,PillarDate,,Permanent,Trigger,ObjectOverwrite)</f>
        <v>obj_001d4#0004</v>
      </c>
      <c r="K21" s="53"/>
      <c r="L21" s="74" t="str">
        <f>A25</f>
        <v>FUT</v>
      </c>
      <c r="M21" s="141" t="str">
        <f>IF(ISBLANK(J25),"--",J25)</f>
        <v>qlFuturesRateHelper(,H25,$H$23,C25,G25,I25,Permanent,Trigger,ObjectOverwrite)</v>
      </c>
      <c r="N21" s="155" t="str">
        <f>IFERROR(_xll.qlRateHelperQuoteName(M21,Trigger),"--")</f>
        <v>--</v>
      </c>
      <c r="O21" s="160" t="str">
        <f>IFERROR(_xll.qlRateHelperQuoteValue($M21,Trigger),"--")</f>
        <v>--</v>
      </c>
      <c r="P21" s="142" t="b">
        <v>0</v>
      </c>
      <c r="Q21" s="141">
        <v>60</v>
      </c>
      <c r="R21" s="141">
        <v>3</v>
      </c>
      <c r="S21" s="144" t="str">
        <f>IFERROR(_xll.qlRateHelperEarliestDate(M21,Trigger),"--")</f>
        <v>--</v>
      </c>
      <c r="T21" s="144" t="str">
        <f>IFERROR(_xll.qlRateHelperPillarDate(M21,Trigger),"--")</f>
        <v>--</v>
      </c>
      <c r="V21" s="4" t="str">
        <f t="shared" si="1"/>
        <v>BasSW</v>
      </c>
      <c r="W21" s="4" t="str">
        <v>obj_0020e</v>
      </c>
      <c r="X21" s="4" t="str">
        <f>IFERROR(_xll.qlRateHelperQuoteName(W21,Trigger),"")</f>
        <v>JPYSB6L8Y_Quote</v>
      </c>
      <c r="Y21" s="76">
        <f>IFERROR(_xll.qlRateHelperRate(W21,Trigger),"")</f>
        <v>7.000000000000001E-4</v>
      </c>
      <c r="Z21" s="113">
        <f>IF(ISERROR(_xll.qlSwapRateHelperSpread($W21)),IF(ISERROR(_xll.qlFuturesRateHelperConvexityAdjustment($W21)),"",_xll.qlFuturesRateHelperConvexityAdjustment($W21)),_xll.qlSwapRateHelperSpread($W21))</f>
        <v>1.75E-4</v>
      </c>
      <c r="AA21" s="5">
        <f>IFERROR(_xll.qlRateHelperEarliestDate(W21,Trigger),"")</f>
        <v>42500</v>
      </c>
      <c r="AB21" s="5">
        <f>IFERROR(_xll.qlRateHelperPillarDate(W21,Trigger),"")</f>
        <v>45422</v>
      </c>
      <c r="AC21" s="84">
        <v>0.99584697550804846</v>
      </c>
      <c r="AD21" s="182"/>
      <c r="AE21" s="189">
        <v>11</v>
      </c>
      <c r="AF21" s="190" t="e">
        <f>_xll.qlCalendarEndOfMonth(Calendar,_xll.qlCalendarAdvance(Calendar,AF20,"1m","mf",TRUE),Trigger)</f>
        <v>#VALUE!</v>
      </c>
      <c r="AG21" s="190" t="str">
        <f t="shared" si="3"/>
        <v>JPYJump11_SYNTHON_Quote</v>
      </c>
      <c r="AH21" s="191" t="e">
        <f>_xll.qlDayCounterYearFraction("actual/360",AF21,_xll.qlCalendarAdvance(Calendar,AF21,"1D",,,Trigger))</f>
        <v>#NUM!</v>
      </c>
      <c r="AI21" s="190" t="e">
        <f>IF(_xll.qlQuoteIsValid(AG21,Trigger),_xll.qlQuoteValue(AG21,Trigger),1)</f>
        <v>#NUM!</v>
      </c>
      <c r="AJ21" s="193" t="e">
        <f t="shared" si="7"/>
        <v>#NUM!</v>
      </c>
      <c r="AK21" s="194"/>
      <c r="AL21" s="192" t="str">
        <f t="shared" si="8"/>
        <v>JPYJump11_SYNTHON_Quote</v>
      </c>
    </row>
    <row r="22" spans="1:38" ht="11.25" customHeight="1" x14ac:dyDescent="0.2">
      <c r="A22" s="1" t="s">
        <v>120</v>
      </c>
      <c r="B22" s="126">
        <v>21</v>
      </c>
      <c r="C22" s="10" t="str">
        <f t="shared" si="4"/>
        <v>x24F</v>
      </c>
      <c r="D22" s="135"/>
      <c r="E22" s="135"/>
      <c r="F22" s="135"/>
      <c r="G22" s="7" t="str">
        <f t="shared" si="5"/>
        <v>JpyLibor3M</v>
      </c>
      <c r="H22" s="129" t="str">
        <f t="shared" si="6"/>
        <v>JPY21x24F_Quote</v>
      </c>
      <c r="I22" s="135"/>
      <c r="J22" s="3" t="str">
        <f>_xll.qlFraRateHelper(,H22,B22&amp;"M",G22,PillarDate,,Permanent,Trigger,ObjectOverwrite)</f>
        <v>obj_001bf#0004</v>
      </c>
      <c r="K22" s="53"/>
      <c r="L22" s="11" t="str">
        <f>A26</f>
        <v>FUT</v>
      </c>
      <c r="M22" s="103" t="str">
        <f>IF(ISBLANK(J26),"--",J26)</f>
        <v>--</v>
      </c>
      <c r="N22" s="156" t="str">
        <f>IFERROR(_xll.qlRateHelperQuoteName(M22,Trigger),"--")</f>
        <v>--</v>
      </c>
      <c r="O22" s="161" t="str">
        <f>IFERROR(_xll.qlRateHelperQuoteValue($M22,Trigger),"--")</f>
        <v>--</v>
      </c>
      <c r="P22" s="106" t="b">
        <v>0</v>
      </c>
      <c r="Q22" s="103">
        <v>60</v>
      </c>
      <c r="R22" s="103">
        <v>3</v>
      </c>
      <c r="S22" s="108" t="str">
        <f>IFERROR(_xll.qlRateHelperEarliestDate(M22,Trigger),"--")</f>
        <v>--</v>
      </c>
      <c r="T22" s="108" t="str">
        <f>IFERROR(_xll.qlRateHelperPillarDate(M22,Trigger),"--")</f>
        <v>--</v>
      </c>
      <c r="V22" s="4" t="str">
        <f t="shared" si="1"/>
        <v>BasSW</v>
      </c>
      <c r="W22" s="4" t="str">
        <v>obj_0020d</v>
      </c>
      <c r="X22" s="4" t="str">
        <f>IFERROR(_xll.qlRateHelperQuoteName(W22,Trigger),"")</f>
        <v>JPYSB6L9Y_Quote</v>
      </c>
      <c r="Y22" s="76">
        <f>IFERROR(_xll.qlRateHelperRate(W22,Trigger),"")</f>
        <v>1.0750000000000002E-3</v>
      </c>
      <c r="Z22" s="113">
        <f>IF(ISERROR(_xll.qlSwapRateHelperSpread($W22)),IF(ISERROR(_xll.qlFuturesRateHelperConvexityAdjustment($W22)),"",_xll.qlFuturesRateHelperConvexityAdjustment($W22)),_xll.qlSwapRateHelperSpread($W22))</f>
        <v>1.75E-4</v>
      </c>
      <c r="AA22" s="5">
        <f>IFERROR(_xll.qlRateHelperEarliestDate(W22,Trigger),"")</f>
        <v>42500</v>
      </c>
      <c r="AB22" s="5">
        <f>IFERROR(_xll.qlRateHelperPillarDate(W22,Trigger),"")</f>
        <v>45789</v>
      </c>
      <c r="AC22" s="84">
        <v>0.99195427937963676</v>
      </c>
      <c r="AD22" s="182"/>
      <c r="AE22" s="189">
        <v>12</v>
      </c>
      <c r="AF22" s="190" t="e">
        <f>_xll.qlCalendarEndOfMonth(Calendar,_xll.qlCalendarAdvance(Calendar,AF21,"1m","mf",TRUE),Trigger)</f>
        <v>#VALUE!</v>
      </c>
      <c r="AG22" s="190" t="str">
        <f t="shared" si="3"/>
        <v>JPYJump12_SYNTHON_Quote</v>
      </c>
      <c r="AH22" s="191" t="e">
        <f>_xll.qlDayCounterYearFraction("actual/360",AF22,_xll.qlCalendarAdvance(Calendar,AF22,"1D",,,Trigger))</f>
        <v>#NUM!</v>
      </c>
      <c r="AI22" s="190" t="e">
        <f>IF(_xll.qlQuoteIsValid(AG22,Trigger),_xll.qlQuoteValue(AG22,Trigger),1)</f>
        <v>#NUM!</v>
      </c>
      <c r="AJ22" s="193" t="e">
        <f t="shared" si="7"/>
        <v>#NUM!</v>
      </c>
      <c r="AK22" s="194"/>
      <c r="AL22" s="192" t="str">
        <f t="shared" si="8"/>
        <v>JPYJump12_SYNTHON_Quote</v>
      </c>
    </row>
    <row r="23" spans="1:38" ht="11.25" customHeight="1" x14ac:dyDescent="0.2">
      <c r="B23" s="51"/>
      <c r="C23" s="51"/>
      <c r="D23" s="51"/>
      <c r="E23" s="51"/>
      <c r="F23" s="51"/>
      <c r="G23" s="51"/>
      <c r="H23" s="51" t="s">
        <v>122</v>
      </c>
      <c r="K23" s="53"/>
      <c r="L23" s="11" t="str">
        <f>A27</f>
        <v>FUT</v>
      </c>
      <c r="M23" s="103" t="str">
        <f>IF(ISBLANK(J27),"--",J27)</f>
        <v>--</v>
      </c>
      <c r="N23" s="156" t="str">
        <f>IFERROR(_xll.qlRateHelperQuoteName(M23,Trigger),"--")</f>
        <v>--</v>
      </c>
      <c r="O23" s="161" t="str">
        <f>IFERROR(_xll.qlRateHelperQuoteValue($M23,Trigger),"--")</f>
        <v>--</v>
      </c>
      <c r="P23" s="106" t="b">
        <v>0</v>
      </c>
      <c r="Q23" s="103">
        <v>60</v>
      </c>
      <c r="R23" s="103">
        <v>3</v>
      </c>
      <c r="S23" s="108" t="str">
        <f>IFERROR(_xll.qlRateHelperEarliestDate(M23,Trigger),"--")</f>
        <v>--</v>
      </c>
      <c r="T23" s="108" t="str">
        <f>IFERROR(_xll.qlRateHelperPillarDate(M23,Trigger),"--")</f>
        <v>--</v>
      </c>
      <c r="V23" s="4" t="str">
        <f t="shared" si="1"/>
        <v>BasSW</v>
      </c>
      <c r="W23" s="4" t="str">
        <v>obj_0020f</v>
      </c>
      <c r="X23" s="4" t="str">
        <f>IFERROR(_xll.qlRateHelperQuoteName(W23,Trigger),"")</f>
        <v>JPYSB6L10Y_Quote</v>
      </c>
      <c r="Y23" s="76">
        <f>IFERROR(_xll.qlRateHelperRate(W23,Trigger),"")</f>
        <v>1.4750000000000002E-3</v>
      </c>
      <c r="Z23" s="113">
        <f>IF(ISERROR(_xll.qlSwapRateHelperSpread($W23)),IF(ISERROR(_xll.qlFuturesRateHelperConvexityAdjustment($W23)),"",_xll.qlFuturesRateHelperConvexityAdjustment($W23)),_xll.qlSwapRateHelperSpread($W23))</f>
        <v>1.4999999999999999E-4</v>
      </c>
      <c r="AA23" s="5">
        <f>IFERROR(_xll.qlRateHelperEarliestDate(W23,Trigger),"")</f>
        <v>42500</v>
      </c>
      <c r="AB23" s="5">
        <f>IFERROR(_xll.qlRateHelperPillarDate(W23,Trigger),"")</f>
        <v>46153</v>
      </c>
      <c r="AC23" s="84">
        <v>0.98683249216251312</v>
      </c>
      <c r="AD23" s="182"/>
      <c r="AE23" s="195">
        <v>13</v>
      </c>
      <c r="AF23" s="196" t="e">
        <f>_xll.qlCalendarAdjust(Calendar,DATE(YEAR(AF11)+1,12,31),"preceding",Trigger)</f>
        <v>#VALUE!</v>
      </c>
      <c r="AG23" s="196" t="str">
        <f t="shared" si="3"/>
        <v>JPYJump13_SYNTHON_Quote</v>
      </c>
      <c r="AH23" s="197" t="e">
        <f>_xll.qlDayCounterYearFraction("actual/360",AF23,_xll.qlCalendarAdvance(Calendar,AF23,"1D",,,Trigger))</f>
        <v>#NUM!</v>
      </c>
      <c r="AI23" s="196" t="e">
        <f>IF(_xll.qlQuoteIsValid(AG23,Trigger),_xll.qlQuoteValue(AG23,Trigger),1)</f>
        <v>#NUM!</v>
      </c>
      <c r="AJ23" s="199" t="e">
        <f t="shared" si="7"/>
        <v>#NUM!</v>
      </c>
      <c r="AK23" s="200"/>
      <c r="AL23" s="198" t="str">
        <f t="shared" si="8"/>
        <v>JPYJump13_SYNTHON_Quote</v>
      </c>
    </row>
    <row r="24" spans="1:38" ht="11.25" customHeight="1" x14ac:dyDescent="0.2">
      <c r="A24" s="71" t="s">
        <v>8</v>
      </c>
      <c r="B24" s="71" t="s">
        <v>124</v>
      </c>
      <c r="C24" s="71" t="s">
        <v>31</v>
      </c>
      <c r="D24" s="71"/>
      <c r="E24" s="71"/>
      <c r="F24" s="71"/>
      <c r="G24" s="71" t="s">
        <v>4</v>
      </c>
      <c r="H24" s="71" t="s">
        <v>1</v>
      </c>
      <c r="I24" s="71" t="s">
        <v>123</v>
      </c>
      <c r="J24" s="71" t="s">
        <v>23</v>
      </c>
      <c r="K24" s="53"/>
      <c r="L24" s="11" t="str">
        <f>A28</f>
        <v>FUT</v>
      </c>
      <c r="M24" s="103" t="str">
        <f>IF(ISBLANK(J28),"--",J28)</f>
        <v>--</v>
      </c>
      <c r="N24" s="156" t="str">
        <f>IFERROR(_xll.qlRateHelperQuoteName(M24,Trigger),"--")</f>
        <v>--</v>
      </c>
      <c r="O24" s="161" t="str">
        <f>IFERROR(_xll.qlRateHelperQuoteValue($M24,Trigger),"--")</f>
        <v>--</v>
      </c>
      <c r="P24" s="106" t="b">
        <v>0</v>
      </c>
      <c r="Q24" s="103">
        <v>60</v>
      </c>
      <c r="R24" s="103">
        <v>21</v>
      </c>
      <c r="S24" s="108" t="str">
        <f>IFERROR(_xll.qlRateHelperEarliestDate(M24,Trigger),"--")</f>
        <v>--</v>
      </c>
      <c r="T24" s="108" t="str">
        <f>IFERROR(_xll.qlRateHelperPillarDate(M24,Trigger),"--")</f>
        <v>--</v>
      </c>
      <c r="V24" s="4" t="str">
        <f t="shared" si="1"/>
        <v>BasSW</v>
      </c>
      <c r="W24" s="4" t="str">
        <v>obj_00213</v>
      </c>
      <c r="X24" s="4" t="str">
        <f>IFERROR(_xll.qlRateHelperQuoteName(W24,Trigger),"")</f>
        <v>JPYSB6L15Y_Quote</v>
      </c>
      <c r="Y24" s="76">
        <f>IFERROR(_xll.qlRateHelperRate(W24,Trigger),"")</f>
        <v>3.4999999999999996E-3</v>
      </c>
      <c r="Z24" s="113">
        <f>IF(ISERROR(_xll.qlSwapRateHelperSpread($W24)),IF(ISERROR(_xll.qlFuturesRateHelperConvexityAdjustment($W24)),"",_xll.qlFuturesRateHelperConvexityAdjustment($W24)),_xll.qlSwapRateHelperSpread($W24))</f>
        <v>1.25E-4</v>
      </c>
      <c r="AA24" s="5">
        <f>IFERROR(_xll.qlRateHelperEarliestDate(W24,Trigger),"")</f>
        <v>42500</v>
      </c>
      <c r="AB24" s="5">
        <f>IFERROR(_xll.qlRateHelperPillarDate(W24,Trigger),"")</f>
        <v>47980</v>
      </c>
      <c r="AC24" s="84">
        <v>0.95016931458073672</v>
      </c>
      <c r="AD24" s="182"/>
    </row>
    <row r="25" spans="1:38" ht="11.25" customHeight="1" x14ac:dyDescent="0.2">
      <c r="A25" s="58" t="s">
        <v>121</v>
      </c>
      <c r="B25" s="124" t="b">
        <v>0</v>
      </c>
      <c r="C25" s="61" t="str">
        <f>_xll.qlIMMNextCode(Evaluationdate-1,B25,Trigger)</f>
        <v>K6</v>
      </c>
      <c r="D25" s="140"/>
      <c r="E25" s="140"/>
      <c r="F25" s="140"/>
      <c r="G25" s="60" t="str">
        <f t="shared" ref="G25:G46" si="9">PROPER(Currency)&amp;FamilyName&amp;Tenor</f>
        <v>JpyLibor3M</v>
      </c>
      <c r="H25" s="127" t="str">
        <f t="shared" ref="H25:H46" si="10">Currency&amp;"FUT"&amp;Tenor&amp;$C25&amp;QuoteSuffix</f>
        <v>JPYFUT3MK6_Quote</v>
      </c>
      <c r="I25" s="127" t="str">
        <f t="shared" ref="I25:I46" si="11">Currency&amp;"FUT"&amp;Tenor&amp;$C25&amp;"ConvAdj"&amp;QuoteSuffix</f>
        <v>JPYFUT3MK6ConvAdj_Quote</v>
      </c>
      <c r="J25" s="63" t="s">
        <v>150</v>
      </c>
      <c r="K25" s="53"/>
      <c r="L25" s="11" t="str">
        <f>A29</f>
        <v>FUT</v>
      </c>
      <c r="M25" s="103" t="str">
        <f>IF(ISBLANK(J29),"--",J29)</f>
        <v>--</v>
      </c>
      <c r="N25" s="156" t="str">
        <f>IFERROR(_xll.qlRateHelperQuoteName(M25,Trigger),"--")</f>
        <v>--</v>
      </c>
      <c r="O25" s="161" t="str">
        <f>IFERROR(_xll.qlRateHelperQuoteValue($M25,Trigger),"--")</f>
        <v>--</v>
      </c>
      <c r="P25" s="106" t="b">
        <v>0</v>
      </c>
      <c r="Q25" s="103">
        <v>60</v>
      </c>
      <c r="R25" s="103">
        <v>21</v>
      </c>
      <c r="S25" s="108" t="str">
        <f>IFERROR(_xll.qlRateHelperEarliestDate(M25,Trigger),"--")</f>
        <v>--</v>
      </c>
      <c r="T25" s="108" t="str">
        <f>IFERROR(_xll.qlRateHelperPillarDate(M25,Trigger),"--")</f>
        <v>--</v>
      </c>
      <c r="V25" s="4" t="str">
        <f t="shared" si="1"/>
        <v>BasSW</v>
      </c>
      <c r="W25" s="4" t="str">
        <v>obj_0021c</v>
      </c>
      <c r="X25" s="4" t="str">
        <f>IFERROR(_xll.qlRateHelperQuoteName(W25,Trigger),"")</f>
        <v>JPYSB6L20Y_Quote</v>
      </c>
      <c r="Y25" s="76">
        <f>IFERROR(_xll.qlRateHelperRate(W25,Trigger),"")</f>
        <v>4.9750000000000003E-3</v>
      </c>
      <c r="Z25" s="113">
        <f>IF(ISERROR(_xll.qlSwapRateHelperSpread($W25)),IF(ISERROR(_xll.qlFuturesRateHelperConvexityAdjustment($W25)),"",_xll.qlFuturesRateHelperConvexityAdjustment($W25)),_xll.qlSwapRateHelperSpread($W25))</f>
        <v>7.4999999999999993E-5</v>
      </c>
      <c r="AA25" s="5">
        <f>IFERROR(_xll.qlRateHelperEarliestDate(W25,Trigger),"")</f>
        <v>42500</v>
      </c>
      <c r="AB25" s="5">
        <f>IFERROR(_xll.qlRateHelperPillarDate(W25,Trigger),"")</f>
        <v>49807</v>
      </c>
      <c r="AC25" s="84">
        <v>0.90514119649217228</v>
      </c>
      <c r="AD25" s="182"/>
    </row>
    <row r="26" spans="1:38" ht="11.25" customHeight="1" x14ac:dyDescent="0.2">
      <c r="A26" s="64" t="s">
        <v>121</v>
      </c>
      <c r="B26" s="125" t="b">
        <v>0</v>
      </c>
      <c r="C26" s="68" t="str">
        <f>_xll.qlIMMNextCode(C25,B26,Trigger)</f>
        <v>M6</v>
      </c>
      <c r="D26" s="134"/>
      <c r="E26" s="134"/>
      <c r="F26" s="134"/>
      <c r="G26" s="66" t="str">
        <f t="shared" si="9"/>
        <v>JpyLibor3M</v>
      </c>
      <c r="H26" s="128" t="str">
        <f t="shared" si="10"/>
        <v>JPYFUT3MM6_Quote</v>
      </c>
      <c r="I26" s="128" t="str">
        <f t="shared" si="11"/>
        <v>JPYFUT3MM6ConvAdj_Quote</v>
      </c>
      <c r="J26" s="70"/>
      <c r="K26" s="53"/>
      <c r="L26" s="11" t="str">
        <f>A30</f>
        <v>FUT</v>
      </c>
      <c r="M26" s="103" t="str">
        <f>IF(ISBLANK(J30),"--",J30)</f>
        <v>--</v>
      </c>
      <c r="N26" s="156" t="str">
        <f>IFERROR(_xll.qlRateHelperQuoteName(M26,Trigger),"--")</f>
        <v>--</v>
      </c>
      <c r="O26" s="161" t="str">
        <f>IFERROR(_xll.qlRateHelperQuoteValue($M26,Trigger),"--")</f>
        <v>--</v>
      </c>
      <c r="P26" s="106" t="b">
        <v>0</v>
      </c>
      <c r="Q26" s="103">
        <v>60</v>
      </c>
      <c r="R26" s="103">
        <v>21</v>
      </c>
      <c r="S26" s="108" t="str">
        <f>IFERROR(_xll.qlRateHelperEarliestDate(M26,Trigger),"--")</f>
        <v>--</v>
      </c>
      <c r="T26" s="108" t="str">
        <f>IFERROR(_xll.qlRateHelperPillarDate(M26,Trigger),"--")</f>
        <v>--</v>
      </c>
      <c r="V26" s="4" t="str">
        <f t="shared" si="1"/>
        <v>BasSW</v>
      </c>
      <c r="W26" s="4" t="str">
        <v>obj_0021d</v>
      </c>
      <c r="X26" s="4" t="str">
        <f>IFERROR(_xll.qlRateHelperQuoteName(W26,Trigger),"")</f>
        <v>JPYSB6L30Y_Quote</v>
      </c>
      <c r="Y26" s="76">
        <f>IFERROR(_xll.qlRateHelperRate(W26,Trigger),"")</f>
        <v>6.2000000000000006E-3</v>
      </c>
      <c r="Z26" s="113">
        <f>IF(ISERROR(_xll.qlSwapRateHelperSpread($W26)),IF(ISERROR(_xll.qlFuturesRateHelperConvexityAdjustment($W26)),"",_xll.qlFuturesRateHelperConvexityAdjustment($W26)),_xll.qlSwapRateHelperSpread($W26))</f>
        <v>7.4999999999999993E-5</v>
      </c>
      <c r="AA26" s="5">
        <f>IFERROR(_xll.qlRateHelperEarliestDate(W26,Trigger),"")</f>
        <v>42500</v>
      </c>
      <c r="AB26" s="5">
        <f>IFERROR(_xll.qlRateHelperPillarDate(W26,Trigger),"")</f>
        <v>53457</v>
      </c>
      <c r="AC26" s="84">
        <v>0.82898381401723165</v>
      </c>
      <c r="AD26" s="182"/>
    </row>
    <row r="27" spans="1:38" ht="11.25" customHeight="1" x14ac:dyDescent="0.2">
      <c r="A27" s="64" t="s">
        <v>121</v>
      </c>
      <c r="B27" s="125" t="b">
        <v>0</v>
      </c>
      <c r="C27" s="68" t="str">
        <f>_xll.qlIMMNextCode(C26,B27,Trigger)</f>
        <v>N6</v>
      </c>
      <c r="D27" s="134"/>
      <c r="E27" s="134"/>
      <c r="F27" s="134"/>
      <c r="G27" s="66" t="str">
        <f t="shared" si="9"/>
        <v>JpyLibor3M</v>
      </c>
      <c r="H27" s="128" t="str">
        <f t="shared" si="10"/>
        <v>JPYFUT3MN6_Quote</v>
      </c>
      <c r="I27" s="128" t="str">
        <f t="shared" si="11"/>
        <v>JPYFUT3MN6ConvAdj_Quote</v>
      </c>
      <c r="J27" s="70"/>
      <c r="K27" s="53"/>
      <c r="L27" s="11" t="str">
        <f>A31</f>
        <v>FUT</v>
      </c>
      <c r="M27" s="103" t="str">
        <f>IF(ISBLANK(J31),"--",J31)</f>
        <v>--</v>
      </c>
      <c r="N27" s="156" t="str">
        <f>IFERROR(_xll.qlRateHelperQuoteName(M27,Trigger),"--")</f>
        <v>--</v>
      </c>
      <c r="O27" s="161" t="str">
        <f>IFERROR(_xll.qlRateHelperQuoteValue($M27,Trigger),"--")</f>
        <v>--</v>
      </c>
      <c r="P27" s="106" t="b">
        <v>0</v>
      </c>
      <c r="Q27" s="103">
        <v>60</v>
      </c>
      <c r="R27" s="103">
        <v>21</v>
      </c>
      <c r="S27" s="108" t="str">
        <f>IFERROR(_xll.qlRateHelperEarliestDate(M27,Trigger),"--")</f>
        <v>--</v>
      </c>
      <c r="T27" s="108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3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  <c r="AD27" s="182"/>
    </row>
    <row r="28" spans="1:38" ht="11.25" customHeight="1" x14ac:dyDescent="0.2">
      <c r="A28" s="64" t="s">
        <v>121</v>
      </c>
      <c r="B28" s="125" t="b">
        <v>0</v>
      </c>
      <c r="C28" s="68" t="str">
        <f>_xll.qlIMMNextCode(C27,B28,Trigger)</f>
        <v>Q6</v>
      </c>
      <c r="D28" s="134"/>
      <c r="E28" s="134"/>
      <c r="F28" s="134"/>
      <c r="G28" s="66" t="str">
        <f t="shared" si="9"/>
        <v>JpyLibor3M</v>
      </c>
      <c r="H28" s="128" t="str">
        <f t="shared" si="10"/>
        <v>JPYFUT3MQ6_Quote</v>
      </c>
      <c r="I28" s="128" t="str">
        <f t="shared" si="11"/>
        <v>JPYFUT3MQ6ConvAdj_Quote</v>
      </c>
      <c r="J28" s="70"/>
      <c r="K28" s="53"/>
      <c r="L28" s="11" t="str">
        <f>A32</f>
        <v>FUT</v>
      </c>
      <c r="M28" s="103" t="str">
        <f>IF(ISBLANK(J32),"--",J32)</f>
        <v>--</v>
      </c>
      <c r="N28" s="156" t="str">
        <f>IFERROR(_xll.qlRateHelperQuoteName(M28,Trigger),"--")</f>
        <v>--</v>
      </c>
      <c r="O28" s="161" t="str">
        <f>IFERROR(_xll.qlRateHelperQuoteValue($M28,Trigger),"--")</f>
        <v>--</v>
      </c>
      <c r="P28" s="106" t="b">
        <v>0</v>
      </c>
      <c r="Q28" s="103">
        <v>60</v>
      </c>
      <c r="R28" s="103">
        <v>21</v>
      </c>
      <c r="S28" s="108" t="str">
        <f>IFERROR(_xll.qlRateHelperEarliestDate(M28,Trigger),"--")</f>
        <v>--</v>
      </c>
      <c r="T28" s="108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3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  <c r="AD28" s="182"/>
    </row>
    <row r="29" spans="1:38" ht="11.25" customHeight="1" x14ac:dyDescent="0.2">
      <c r="A29" s="1" t="s">
        <v>121</v>
      </c>
      <c r="B29" s="126" t="b">
        <v>0</v>
      </c>
      <c r="C29" s="10" t="str">
        <f>_xll.qlIMMNextCode(C28,B29,Trigger)</f>
        <v>U6</v>
      </c>
      <c r="D29" s="135"/>
      <c r="E29" s="135"/>
      <c r="F29" s="135"/>
      <c r="G29" s="7" t="str">
        <f t="shared" si="9"/>
        <v>JpyLibor3M</v>
      </c>
      <c r="H29" s="129" t="str">
        <f t="shared" si="10"/>
        <v>JPYFUT3MU6_Quote</v>
      </c>
      <c r="I29" s="129" t="str">
        <f t="shared" si="11"/>
        <v>JPYFUT3MU6ConvAdj_Quote</v>
      </c>
      <c r="J29" s="3"/>
      <c r="K29" s="53"/>
      <c r="L29" s="11" t="str">
        <f>A33</f>
        <v>FUT</v>
      </c>
      <c r="M29" s="103" t="str">
        <f>IF(ISBLANK(J33),"--",J33)</f>
        <v>--</v>
      </c>
      <c r="N29" s="156" t="str">
        <f>IFERROR(_xll.qlRateHelperQuoteName(M29,Trigger),"--")</f>
        <v>--</v>
      </c>
      <c r="O29" s="161" t="str">
        <f>IFERROR(_xll.qlRateHelperQuoteValue($M29,Trigger),"--")</f>
        <v>--</v>
      </c>
      <c r="P29" s="106" t="b">
        <v>0</v>
      </c>
      <c r="Q29" s="103">
        <v>60</v>
      </c>
      <c r="R29" s="103">
        <v>21</v>
      </c>
      <c r="S29" s="108" t="str">
        <f>IFERROR(_xll.qlRateHelperEarliestDate(M29,Trigger),"--")</f>
        <v>--</v>
      </c>
      <c r="T29" s="108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3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  <c r="AD29" s="182"/>
    </row>
    <row r="30" spans="1:38" ht="11.25" customHeight="1" x14ac:dyDescent="0.2">
      <c r="A30" s="64" t="s">
        <v>121</v>
      </c>
      <c r="B30" s="125" t="b">
        <v>1</v>
      </c>
      <c r="C30" s="68" t="str">
        <f>_xll.qlIMMNextCode(C29,B30,Trigger)</f>
        <v>Z6</v>
      </c>
      <c r="D30" s="134"/>
      <c r="E30" s="134"/>
      <c r="F30" s="134"/>
      <c r="G30" s="66" t="str">
        <f t="shared" si="9"/>
        <v>JpyLibor3M</v>
      </c>
      <c r="H30" s="128" t="str">
        <f t="shared" si="10"/>
        <v>JPYFUT3MZ6_Quote</v>
      </c>
      <c r="I30" s="128" t="str">
        <f t="shared" si="11"/>
        <v>JPYFUT3MZ6ConvAdj_Quote</v>
      </c>
      <c r="J30" s="70"/>
      <c r="K30" s="53"/>
      <c r="L30" s="11" t="str">
        <f>A34</f>
        <v>FUT</v>
      </c>
      <c r="M30" s="103" t="str">
        <f>IF(ISBLANK(J34),"--",J34)</f>
        <v>--</v>
      </c>
      <c r="N30" s="156" t="str">
        <f>IFERROR(_xll.qlRateHelperQuoteName(M30,Trigger),"--")</f>
        <v>--</v>
      </c>
      <c r="O30" s="161" t="str">
        <f>IFERROR(_xll.qlRateHelperQuoteValue($M30,Trigger),"--")</f>
        <v>--</v>
      </c>
      <c r="P30" s="106" t="b">
        <v>0</v>
      </c>
      <c r="Q30" s="103">
        <v>60</v>
      </c>
      <c r="R30" s="103">
        <v>21</v>
      </c>
      <c r="S30" s="108" t="str">
        <f>IFERROR(_xll.qlRateHelperEarliestDate(M30,Trigger),"--")</f>
        <v>--</v>
      </c>
      <c r="T30" s="108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3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  <c r="AD30" s="182"/>
    </row>
    <row r="31" spans="1:38" ht="11.25" customHeight="1" x14ac:dyDescent="0.2">
      <c r="A31" s="64" t="s">
        <v>121</v>
      </c>
      <c r="B31" s="125" t="b">
        <v>1</v>
      </c>
      <c r="C31" s="68" t="str">
        <f>_xll.qlIMMNextCode(C30,B31,Trigger)</f>
        <v>H7</v>
      </c>
      <c r="D31" s="134"/>
      <c r="E31" s="134"/>
      <c r="F31" s="134"/>
      <c r="G31" s="66" t="str">
        <f t="shared" si="9"/>
        <v>JpyLibor3M</v>
      </c>
      <c r="H31" s="128" t="str">
        <f t="shared" si="10"/>
        <v>JPYFUT3MH7_Quote</v>
      </c>
      <c r="I31" s="128" t="str">
        <f t="shared" si="11"/>
        <v>JPYFUT3MH7ConvAdj_Quote</v>
      </c>
      <c r="J31" s="70"/>
      <c r="K31" s="53"/>
      <c r="L31" s="11" t="str">
        <f>A35</f>
        <v>FUT</v>
      </c>
      <c r="M31" s="103" t="str">
        <f>IF(ISBLANK(J35),"--",J35)</f>
        <v>--</v>
      </c>
      <c r="N31" s="156" t="str">
        <f>IFERROR(_xll.qlRateHelperQuoteName(M31,Trigger),"--")</f>
        <v>--</v>
      </c>
      <c r="O31" s="161" t="str">
        <f>IFERROR(_xll.qlRateHelperQuoteValue($M31,Trigger),"--")</f>
        <v>--</v>
      </c>
      <c r="P31" s="106" t="b">
        <v>0</v>
      </c>
      <c r="Q31" s="103">
        <v>60</v>
      </c>
      <c r="R31" s="103">
        <v>21</v>
      </c>
      <c r="S31" s="108" t="str">
        <f>IFERROR(_xll.qlRateHelperEarliestDate(M31,Trigger),"--")</f>
        <v>--</v>
      </c>
      <c r="T31" s="108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3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121</v>
      </c>
      <c r="B32" s="125" t="b">
        <v>1</v>
      </c>
      <c r="C32" s="68" t="str">
        <f>_xll.qlIMMNextCode(C31,B32,Trigger)</f>
        <v>M7</v>
      </c>
      <c r="D32" s="134"/>
      <c r="E32" s="134"/>
      <c r="F32" s="134"/>
      <c r="G32" s="66" t="str">
        <f t="shared" si="9"/>
        <v>JpyLibor3M</v>
      </c>
      <c r="H32" s="128" t="str">
        <f t="shared" si="10"/>
        <v>JPYFUT3MM7_Quote</v>
      </c>
      <c r="I32" s="128" t="str">
        <f t="shared" si="11"/>
        <v>JPYFUT3MM7ConvAdj_Quote</v>
      </c>
      <c r="J32" s="70"/>
      <c r="K32" s="53"/>
      <c r="L32" s="11" t="str">
        <f>A36</f>
        <v>FUT</v>
      </c>
      <c r="M32" s="103" t="str">
        <f>IF(ISBLANK(J36),"--",J36)</f>
        <v>--</v>
      </c>
      <c r="N32" s="156" t="str">
        <f>IFERROR(_xll.qlRateHelperQuoteName(M32,Trigger),"--")</f>
        <v>--</v>
      </c>
      <c r="O32" s="161" t="str">
        <f>IFERROR(_xll.qlRateHelperQuoteValue($M32,Trigger),"--")</f>
        <v>--</v>
      </c>
      <c r="P32" s="106" t="b">
        <v>0</v>
      </c>
      <c r="Q32" s="103">
        <v>60</v>
      </c>
      <c r="R32" s="103">
        <v>21</v>
      </c>
      <c r="S32" s="108" t="str">
        <f>IFERROR(_xll.qlRateHelperEarliestDate(M32,Trigger),"--")</f>
        <v>--</v>
      </c>
      <c r="T32" s="108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3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121</v>
      </c>
      <c r="B33" s="125" t="b">
        <v>1</v>
      </c>
      <c r="C33" s="68" t="str">
        <f>_xll.qlIMMNextCode(C32,B33,Trigger)</f>
        <v>U7</v>
      </c>
      <c r="D33" s="134"/>
      <c r="E33" s="134"/>
      <c r="F33" s="134"/>
      <c r="G33" s="66" t="str">
        <f t="shared" si="9"/>
        <v>JpyLibor3M</v>
      </c>
      <c r="H33" s="128" t="str">
        <f t="shared" si="10"/>
        <v>JPYFUT3MU7_Quote</v>
      </c>
      <c r="I33" s="128" t="str">
        <f t="shared" si="11"/>
        <v>JPYFUT3MU7ConvAdj_Quote</v>
      </c>
      <c r="J33" s="70"/>
      <c r="K33" s="53"/>
      <c r="L33" s="11" t="str">
        <f>A37</f>
        <v>FUT</v>
      </c>
      <c r="M33" s="103" t="str">
        <f>IF(ISBLANK(J37),"--",J37)</f>
        <v>--</v>
      </c>
      <c r="N33" s="156" t="str">
        <f>IFERROR(_xll.qlRateHelperQuoteName(M33,Trigger),"--")</f>
        <v>--</v>
      </c>
      <c r="O33" s="161" t="str">
        <f>IFERROR(_xll.qlRateHelperQuoteValue($M33,Trigger),"--")</f>
        <v>--</v>
      </c>
      <c r="P33" s="106" t="b">
        <v>0</v>
      </c>
      <c r="Q33" s="103">
        <v>60</v>
      </c>
      <c r="R33" s="103">
        <v>21</v>
      </c>
      <c r="S33" s="108" t="str">
        <f>IFERROR(_xll.qlRateHelperEarliestDate(M33,Trigger),"--")</f>
        <v>--</v>
      </c>
      <c r="T33" s="108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3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121</v>
      </c>
      <c r="B34" s="125" t="b">
        <v>1</v>
      </c>
      <c r="C34" s="68" t="str">
        <f>_xll.qlIMMNextCode(C33,B34,Trigger)</f>
        <v>Z7</v>
      </c>
      <c r="D34" s="134"/>
      <c r="E34" s="134"/>
      <c r="F34" s="134"/>
      <c r="G34" s="66" t="str">
        <f t="shared" si="9"/>
        <v>JpyLibor3M</v>
      </c>
      <c r="H34" s="128" t="str">
        <f t="shared" si="10"/>
        <v>JPYFUT3MZ7_Quote</v>
      </c>
      <c r="I34" s="128" t="str">
        <f t="shared" si="11"/>
        <v>JPYFUT3MZ7ConvAdj_Quote</v>
      </c>
      <c r="J34" s="70"/>
      <c r="K34" s="53"/>
      <c r="L34" s="11" t="str">
        <f>A38</f>
        <v>FUT</v>
      </c>
      <c r="M34" s="103" t="str">
        <f>IF(ISBLANK(J38),"--",J38)</f>
        <v>--</v>
      </c>
      <c r="N34" s="156" t="str">
        <f>IFERROR(_xll.qlRateHelperQuoteName(M34,Trigger),"--")</f>
        <v>--</v>
      </c>
      <c r="O34" s="161" t="str">
        <f>IFERROR(_xll.qlRateHelperQuoteValue($M34,Trigger),"--")</f>
        <v>--</v>
      </c>
      <c r="P34" s="106" t="b">
        <v>0</v>
      </c>
      <c r="Q34" s="103">
        <v>30</v>
      </c>
      <c r="R34" s="103">
        <v>21</v>
      </c>
      <c r="S34" s="108" t="str">
        <f>IFERROR(_xll.qlRateHelperEarliestDate(M34,Trigger),"--")</f>
        <v>--</v>
      </c>
      <c r="T34" s="108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3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121</v>
      </c>
      <c r="B35" s="125" t="b">
        <v>1</v>
      </c>
      <c r="C35" s="68" t="str">
        <f>_xll.qlIMMNextCode(C34,B35,Trigger)</f>
        <v>H8</v>
      </c>
      <c r="D35" s="134"/>
      <c r="E35" s="134"/>
      <c r="F35" s="134"/>
      <c r="G35" s="66" t="str">
        <f t="shared" si="9"/>
        <v>JpyLibor3M</v>
      </c>
      <c r="H35" s="128" t="str">
        <f t="shared" si="10"/>
        <v>JPYFUT3MH8_Quote</v>
      </c>
      <c r="I35" s="128" t="str">
        <f t="shared" si="11"/>
        <v>JPYFUT3MH8ConvAdj_Quote</v>
      </c>
      <c r="J35" s="70"/>
      <c r="K35" s="53"/>
      <c r="L35" s="11" t="str">
        <f>A39</f>
        <v>FUT</v>
      </c>
      <c r="M35" s="103" t="str">
        <f>IF(ISBLANK(J39),"--",J39)</f>
        <v>--</v>
      </c>
      <c r="N35" s="156" t="str">
        <f>IFERROR(_xll.qlRateHelperQuoteName(M35,Trigger),"--")</f>
        <v>--</v>
      </c>
      <c r="O35" s="161" t="str">
        <f>IFERROR(_xll.qlRateHelperQuoteValue($M35,Trigger),"--")</f>
        <v>--</v>
      </c>
      <c r="P35" s="106" t="b">
        <v>0</v>
      </c>
      <c r="Q35" s="103">
        <v>30</v>
      </c>
      <c r="R35" s="103">
        <v>21</v>
      </c>
      <c r="S35" s="108" t="str">
        <f>IFERROR(_xll.qlRateHelperEarliestDate(M35,Trigger),"--")</f>
        <v>--</v>
      </c>
      <c r="T35" s="108" t="str">
        <f>IFERROR(_xll.qlRateHelperPillarDate(M35,Trigger),"--")</f>
        <v>--</v>
      </c>
      <c r="V35" s="4" t="str">
        <f t="shared" ref="V35:V66" si="12">IFERROR(INDEX($L$3:$L$79,MATCH(X35,$N$3:$N$79,0),1),"")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3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121</v>
      </c>
      <c r="B36" s="125" t="b">
        <v>1</v>
      </c>
      <c r="C36" s="68" t="str">
        <f>_xll.qlIMMNextCode(C35,B36,Trigger)</f>
        <v>M8</v>
      </c>
      <c r="D36" s="134"/>
      <c r="E36" s="134"/>
      <c r="F36" s="134"/>
      <c r="G36" s="66" t="str">
        <f t="shared" si="9"/>
        <v>JpyLibor3M</v>
      </c>
      <c r="H36" s="128" t="str">
        <f t="shared" si="10"/>
        <v>JPYFUT3MM8_Quote</v>
      </c>
      <c r="I36" s="128" t="str">
        <f t="shared" si="11"/>
        <v>JPYFUT3MM8ConvAdj_Quote</v>
      </c>
      <c r="J36" s="70"/>
      <c r="K36" s="53"/>
      <c r="L36" s="11" t="str">
        <f>A40</f>
        <v>FUT</v>
      </c>
      <c r="M36" s="103" t="str">
        <f>IF(ISBLANK(J40),"--",J40)</f>
        <v>--</v>
      </c>
      <c r="N36" s="156" t="str">
        <f>IFERROR(_xll.qlRateHelperQuoteName(M36,Trigger),"--")</f>
        <v>--</v>
      </c>
      <c r="O36" s="161" t="str">
        <f>IFERROR(_xll.qlRateHelperQuoteValue($M36,Trigger),"--")</f>
        <v>--</v>
      </c>
      <c r="P36" s="106" t="b">
        <v>0</v>
      </c>
      <c r="Q36" s="103">
        <v>30</v>
      </c>
      <c r="R36" s="103">
        <v>21</v>
      </c>
      <c r="S36" s="108" t="str">
        <f>IFERROR(_xll.qlRateHelperEarliestDate(M36,Trigger),"--")</f>
        <v>--</v>
      </c>
      <c r="T36" s="108" t="str">
        <f>IFERROR(_xll.qlRateHelperPillarDate(M36,Trigger),"--")</f>
        <v>--</v>
      </c>
      <c r="V36" s="4" t="str">
        <f t="shared" si="12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3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121</v>
      </c>
      <c r="B37" s="125" t="b">
        <v>1</v>
      </c>
      <c r="C37" s="68" t="str">
        <f>_xll.qlIMMNextCode(C36,B37,Trigger)</f>
        <v>U8</v>
      </c>
      <c r="D37" s="134"/>
      <c r="E37" s="134"/>
      <c r="F37" s="134"/>
      <c r="G37" s="66" t="str">
        <f t="shared" si="9"/>
        <v>JpyLibor3M</v>
      </c>
      <c r="H37" s="128" t="str">
        <f t="shared" si="10"/>
        <v>JPYFUT3MU8_Quote</v>
      </c>
      <c r="I37" s="128" t="str">
        <f t="shared" si="11"/>
        <v>JPYFUT3MU8ConvAdj_Quote</v>
      </c>
      <c r="J37" s="70"/>
      <c r="K37" s="53"/>
      <c r="L37" s="11" t="str">
        <f>A41</f>
        <v>FUT</v>
      </c>
      <c r="M37" s="103" t="str">
        <f>IF(ISBLANK(J41),"--",J41)</f>
        <v>--</v>
      </c>
      <c r="N37" s="156" t="str">
        <f>IFERROR(_xll.qlRateHelperQuoteName(M37,Trigger),"--")</f>
        <v>--</v>
      </c>
      <c r="O37" s="161" t="str">
        <f>IFERROR(_xll.qlRateHelperQuoteValue($M37,Trigger),"--")</f>
        <v>--</v>
      </c>
      <c r="P37" s="106" t="b">
        <v>0</v>
      </c>
      <c r="Q37" s="103">
        <v>30</v>
      </c>
      <c r="R37" s="103">
        <v>21</v>
      </c>
      <c r="S37" s="108" t="str">
        <f>IFERROR(_xll.qlRateHelperEarliestDate(M37,Trigger),"--")</f>
        <v>--</v>
      </c>
      <c r="T37" s="108" t="str">
        <f>IFERROR(_xll.qlRateHelperPillarDate(M37,Trigger),"--")</f>
        <v>--</v>
      </c>
      <c r="V37" s="4" t="str">
        <f t="shared" si="12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3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121</v>
      </c>
      <c r="B38" s="125" t="b">
        <v>1</v>
      </c>
      <c r="C38" s="68" t="str">
        <f>_xll.qlIMMNextCode(C37,B38,Trigger)</f>
        <v>Z8</v>
      </c>
      <c r="D38" s="134"/>
      <c r="E38" s="134"/>
      <c r="F38" s="134"/>
      <c r="G38" s="66" t="str">
        <f t="shared" si="9"/>
        <v>JpyLibor3M</v>
      </c>
      <c r="H38" s="128" t="str">
        <f t="shared" si="10"/>
        <v>JPYFUT3MZ8_Quote</v>
      </c>
      <c r="I38" s="128" t="str">
        <f t="shared" si="11"/>
        <v>JPYFUT3MZ8ConvAdj_Quote</v>
      </c>
      <c r="J38" s="70"/>
      <c r="K38" s="53"/>
      <c r="L38" s="11" t="str">
        <f>A42</f>
        <v>FUT</v>
      </c>
      <c r="M38" s="103" t="str">
        <f>IF(ISBLANK(J42),"--",J42)</f>
        <v>--</v>
      </c>
      <c r="N38" s="156" t="str">
        <f>IFERROR(_xll.qlRateHelperQuoteName(M38,Trigger),"--")</f>
        <v>--</v>
      </c>
      <c r="O38" s="161" t="str">
        <f>IFERROR(_xll.qlRateHelperQuoteValue($M38,Trigger),"--")</f>
        <v>--</v>
      </c>
      <c r="P38" s="106" t="b">
        <v>0</v>
      </c>
      <c r="Q38" s="103">
        <v>30</v>
      </c>
      <c r="R38" s="103">
        <v>21</v>
      </c>
      <c r="S38" s="108" t="str">
        <f>IFERROR(_xll.qlRateHelperEarliestDate(M38,Trigger),"--")</f>
        <v>--</v>
      </c>
      <c r="T38" s="108" t="str">
        <f>IFERROR(_xll.qlRateHelperPillarDate(M38,Trigger),"--")</f>
        <v>--</v>
      </c>
      <c r="V38" s="4" t="str">
        <f t="shared" si="12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3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121</v>
      </c>
      <c r="B39" s="125" t="b">
        <v>1</v>
      </c>
      <c r="C39" s="68" t="str">
        <f>_xll.qlIMMNextCode(C38,B39,Trigger)</f>
        <v>H9</v>
      </c>
      <c r="D39" s="134"/>
      <c r="E39" s="134"/>
      <c r="F39" s="134"/>
      <c r="G39" s="66" t="str">
        <f t="shared" si="9"/>
        <v>JpyLibor3M</v>
      </c>
      <c r="H39" s="128" t="str">
        <f t="shared" si="10"/>
        <v>JPYFUT3MH9_Quote</v>
      </c>
      <c r="I39" s="128" t="str">
        <f t="shared" si="11"/>
        <v>JPYFUT3MH9ConvAdj_Quote</v>
      </c>
      <c r="J39" s="70"/>
      <c r="K39" s="53"/>
      <c r="L39" s="11" t="str">
        <f>A43</f>
        <v>FUT</v>
      </c>
      <c r="M39" s="103" t="str">
        <f>IF(ISBLANK(J43),"--",J43)</f>
        <v>--</v>
      </c>
      <c r="N39" s="156" t="str">
        <f>IFERROR(_xll.qlRateHelperQuoteName(M39,Trigger),"--")</f>
        <v>--</v>
      </c>
      <c r="O39" s="161" t="str">
        <f>IFERROR(_xll.qlRateHelperQuoteValue($M39,Trigger),"--")</f>
        <v>--</v>
      </c>
      <c r="P39" s="106" t="b">
        <v>0</v>
      </c>
      <c r="Q39" s="103">
        <v>30</v>
      </c>
      <c r="R39" s="103">
        <v>21</v>
      </c>
      <c r="S39" s="108" t="str">
        <f>IFERROR(_xll.qlRateHelperEarliestDate(M39,Trigger),"--")</f>
        <v>--</v>
      </c>
      <c r="T39" s="108" t="str">
        <f>IFERROR(_xll.qlRateHelperPillarDate(M39,Trigger),"--")</f>
        <v>--</v>
      </c>
      <c r="V39" s="4" t="str">
        <f t="shared" si="12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3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121</v>
      </c>
      <c r="B40" s="125" t="b">
        <v>1</v>
      </c>
      <c r="C40" s="68" t="str">
        <f>_xll.qlIMMNextCode(C39,B40,Trigger)</f>
        <v>M9</v>
      </c>
      <c r="D40" s="134"/>
      <c r="E40" s="134"/>
      <c r="F40" s="134"/>
      <c r="G40" s="66" t="str">
        <f t="shared" si="9"/>
        <v>JpyLibor3M</v>
      </c>
      <c r="H40" s="128" t="str">
        <f t="shared" si="10"/>
        <v>JPYFUT3MM9_Quote</v>
      </c>
      <c r="I40" s="128" t="str">
        <f t="shared" si="11"/>
        <v>JPYFUT3MM9ConvAdj_Quote</v>
      </c>
      <c r="J40" s="70"/>
      <c r="K40" s="53"/>
      <c r="L40" s="11" t="str">
        <f>A44</f>
        <v>FUT</v>
      </c>
      <c r="M40" s="103" t="str">
        <f>IF(ISBLANK(J44),"--",J44)</f>
        <v>--</v>
      </c>
      <c r="N40" s="156" t="str">
        <f>IFERROR(_xll.qlRateHelperQuoteName(M40,Trigger),"--")</f>
        <v>--</v>
      </c>
      <c r="O40" s="161" t="str">
        <f>IFERROR(_xll.qlRateHelperQuoteValue($M40,Trigger),"--")</f>
        <v>--</v>
      </c>
      <c r="P40" s="106" t="b">
        <v>0</v>
      </c>
      <c r="Q40" s="103">
        <v>30</v>
      </c>
      <c r="R40" s="103">
        <v>21</v>
      </c>
      <c r="S40" s="108" t="str">
        <f>IFERROR(_xll.qlRateHelperEarliestDate(M40,Trigger),"--")</f>
        <v>--</v>
      </c>
      <c r="T40" s="108" t="str">
        <f>IFERROR(_xll.qlRateHelperPillarDate(M40,Trigger),"--")</f>
        <v>--</v>
      </c>
      <c r="V40" s="4" t="str">
        <f t="shared" si="12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3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121</v>
      </c>
      <c r="B41" s="125" t="b">
        <v>1</v>
      </c>
      <c r="C41" s="68" t="str">
        <f>_xll.qlIMMNextCode(C40,B41,Trigger)</f>
        <v>U9</v>
      </c>
      <c r="D41" s="134"/>
      <c r="E41" s="134"/>
      <c r="F41" s="134"/>
      <c r="G41" s="66" t="str">
        <f t="shared" si="9"/>
        <v>JpyLibor3M</v>
      </c>
      <c r="H41" s="128" t="str">
        <f t="shared" si="10"/>
        <v>JPYFUT3MU9_Quote</v>
      </c>
      <c r="I41" s="128" t="str">
        <f t="shared" si="11"/>
        <v>JPYFUT3MU9ConvAdj_Quote</v>
      </c>
      <c r="J41" s="70"/>
      <c r="L41" s="11" t="str">
        <f>A45</f>
        <v>FUT</v>
      </c>
      <c r="M41" s="103" t="str">
        <f>IF(ISBLANK(J45),"--",J45)</f>
        <v>--</v>
      </c>
      <c r="N41" s="156" t="str">
        <f>IFERROR(_xll.qlRateHelperQuoteName(M41,Trigger),"--")</f>
        <v>--</v>
      </c>
      <c r="O41" s="161" t="str">
        <f>IFERROR(_xll.qlRateHelperQuoteValue($M41,Trigger),"--")</f>
        <v>--</v>
      </c>
      <c r="P41" s="106" t="b">
        <v>0</v>
      </c>
      <c r="Q41" s="103">
        <v>30</v>
      </c>
      <c r="R41" s="103">
        <v>21</v>
      </c>
      <c r="S41" s="108" t="str">
        <f>IFERROR(_xll.qlRateHelperEarliestDate(M41,Trigger),"--")</f>
        <v>--</v>
      </c>
      <c r="T41" s="108" t="str">
        <f>IFERROR(_xll.qlRateHelperPillarDate(M41,Trigger),"--")</f>
        <v>--</v>
      </c>
      <c r="V41" s="4" t="str">
        <f t="shared" si="12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3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121</v>
      </c>
      <c r="B42" s="125" t="b">
        <v>1</v>
      </c>
      <c r="C42" s="68" t="str">
        <f>_xll.qlIMMNextCode(C41,B42,Trigger)</f>
        <v>Z9</v>
      </c>
      <c r="D42" s="134"/>
      <c r="E42" s="134"/>
      <c r="F42" s="134"/>
      <c r="G42" s="66" t="str">
        <f t="shared" si="9"/>
        <v>JpyLibor3M</v>
      </c>
      <c r="H42" s="128" t="str">
        <f t="shared" si="10"/>
        <v>JPYFUT3MZ9_Quote</v>
      </c>
      <c r="I42" s="128" t="str">
        <f t="shared" si="11"/>
        <v>JPYFUT3MZ9ConvAdj_Quote</v>
      </c>
      <c r="J42" s="70"/>
      <c r="L42" s="12" t="str">
        <f>A46</f>
        <v>FUT</v>
      </c>
      <c r="M42" s="104" t="str">
        <f>IF(ISBLANK(J46),"--",J46)</f>
        <v>--</v>
      </c>
      <c r="N42" s="157" t="str">
        <f>IFERROR(_xll.qlRateHelperQuoteName(M42,Trigger),"--")</f>
        <v>--</v>
      </c>
      <c r="O42" s="162" t="str">
        <f>IFERROR(_xll.qlRateHelperQuoteValue($M42,Trigger),"--")</f>
        <v>--</v>
      </c>
      <c r="P42" s="109" t="b">
        <v>0</v>
      </c>
      <c r="Q42" s="104">
        <v>30</v>
      </c>
      <c r="R42" s="104">
        <v>21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12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3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121</v>
      </c>
      <c r="B43" s="125" t="b">
        <v>1</v>
      </c>
      <c r="C43" s="68" t="str">
        <f>_xll.qlIMMNextCode(C42,B43,Trigger)</f>
        <v>H0</v>
      </c>
      <c r="D43" s="134"/>
      <c r="E43" s="134"/>
      <c r="F43" s="134"/>
      <c r="G43" s="66" t="str">
        <f t="shared" si="9"/>
        <v>JpyLibor3M</v>
      </c>
      <c r="H43" s="128" t="str">
        <f t="shared" si="10"/>
        <v>JPYFUT3MH0_Quote</v>
      </c>
      <c r="I43" s="128" t="str">
        <f t="shared" si="11"/>
        <v>JPYFUT3MH0ConvAdj_Quote</v>
      </c>
      <c r="J43" s="70"/>
      <c r="L43" s="145" t="str">
        <f>A49</f>
        <v>BasSW</v>
      </c>
      <c r="M43" s="146" t="str">
        <f>IF(ISBLANK(J49),"--",J49)</f>
        <v>--</v>
      </c>
      <c r="N43" s="158" t="str">
        <f>IFERROR(_xll.qlRateHelperQuoteName(M43,Trigger),"--")</f>
        <v>--</v>
      </c>
      <c r="O43" s="148" t="str">
        <f>IFERROR(_xll.qlRateHelperQuoteValue($M43,Trigger),"--")</f>
        <v>--</v>
      </c>
      <c r="P43" s="147" t="b">
        <v>0</v>
      </c>
      <c r="Q43" s="146">
        <v>40</v>
      </c>
      <c r="R43" s="146">
        <v>1</v>
      </c>
      <c r="S43" s="149" t="str">
        <f>IFERROR(_xll.qlRateHelperEarliestDate(M43,Trigger),"--")</f>
        <v>--</v>
      </c>
      <c r="T43" s="149" t="str">
        <f>IFERROR(_xll.qlRateHelperPillarDate(M43,Trigger),"--")</f>
        <v>--</v>
      </c>
      <c r="V43" s="4" t="str">
        <f t="shared" si="12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3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121</v>
      </c>
      <c r="B44" s="125" t="b">
        <v>1</v>
      </c>
      <c r="C44" s="68" t="str">
        <f>_xll.qlIMMNextCode(C43,B44,Trigger)</f>
        <v>M0</v>
      </c>
      <c r="D44" s="134"/>
      <c r="E44" s="134"/>
      <c r="F44" s="134"/>
      <c r="G44" s="66" t="str">
        <f t="shared" si="9"/>
        <v>JpyLibor3M</v>
      </c>
      <c r="H44" s="128" t="str">
        <f t="shared" si="10"/>
        <v>JPYFUT3MM0_Quote</v>
      </c>
      <c r="I44" s="128" t="str">
        <f t="shared" si="11"/>
        <v>JPYFUT3MM0ConvAdj_Quote</v>
      </c>
      <c r="J44" s="70"/>
      <c r="L44" s="77" t="str">
        <f>A50</f>
        <v>BasSW</v>
      </c>
      <c r="M44" s="150" t="str">
        <f>IF(ISBLANK(J50),"--",J50)</f>
        <v>--</v>
      </c>
      <c r="N44" s="159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40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12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3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121</v>
      </c>
      <c r="B45" s="125" t="b">
        <v>1</v>
      </c>
      <c r="C45" s="68" t="str">
        <f>_xll.qlIMMNextCode(C44,B45,Trigger)</f>
        <v>U0</v>
      </c>
      <c r="D45" s="134"/>
      <c r="E45" s="134"/>
      <c r="F45" s="134"/>
      <c r="G45" s="66" t="str">
        <f t="shared" si="9"/>
        <v>JpyLibor3M</v>
      </c>
      <c r="H45" s="128" t="str">
        <f t="shared" si="10"/>
        <v>JPYFUT3MU0_Quote</v>
      </c>
      <c r="I45" s="128" t="str">
        <f t="shared" si="11"/>
        <v>JPYFUT3MU0ConvAdj_Quote</v>
      </c>
      <c r="J45" s="70"/>
      <c r="L45" s="77" t="str">
        <f>A51</f>
        <v>BasSW</v>
      </c>
      <c r="M45" s="150" t="str">
        <f>IF(ISBLANK(J51),"--",J51)</f>
        <v>--</v>
      </c>
      <c r="N45" s="159" t="str">
        <f>IFERROR(_xll.qlRateHelperQuoteName(M45,Trigger),"--")</f>
        <v>--</v>
      </c>
      <c r="O45" s="152" t="str">
        <f>IFERROR(_xll.qlRateHelperQuoteValue($M45,Trigger),"--")</f>
        <v>--</v>
      </c>
      <c r="P45" s="151" t="b">
        <v>0</v>
      </c>
      <c r="Q45" s="150">
        <v>40</v>
      </c>
      <c r="R45" s="150">
        <v>1</v>
      </c>
      <c r="S45" s="153" t="str">
        <f>IFERROR(_xll.qlRateHelperEarliestDate(M45,Trigger),"--")</f>
        <v>--</v>
      </c>
      <c r="T45" s="153" t="str">
        <f>IFERROR(_xll.qlRateHelperPillarDate(M45,Trigger),"--")</f>
        <v>--</v>
      </c>
      <c r="V45" s="4" t="str">
        <f t="shared" si="12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3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1" t="s">
        <v>121</v>
      </c>
      <c r="B46" s="126" t="b">
        <v>1</v>
      </c>
      <c r="C46" s="10" t="str">
        <f>_xll.qlIMMNextCode(C45,B46,Trigger)</f>
        <v>Z0</v>
      </c>
      <c r="D46" s="135"/>
      <c r="E46" s="135"/>
      <c r="F46" s="135"/>
      <c r="G46" s="7" t="str">
        <f t="shared" si="9"/>
        <v>JpyLibor3M</v>
      </c>
      <c r="H46" s="129" t="str">
        <f t="shared" si="10"/>
        <v>JPYFUT3MZ0_Quote</v>
      </c>
      <c r="I46" s="129" t="str">
        <f t="shared" si="11"/>
        <v>JPYFUT3MZ0ConvAdj_Quote</v>
      </c>
      <c r="J46" s="3"/>
      <c r="L46" s="77" t="str">
        <f>A52</f>
        <v>BasSW</v>
      </c>
      <c r="M46" s="150" t="str">
        <f>IF(ISBLANK(J52),"--",J52)</f>
        <v>--</v>
      </c>
      <c r="N46" s="159" t="str">
        <f>IFERROR(_xll.qlRateHelperQuoteName(M46,Trigger),"--")</f>
        <v>--</v>
      </c>
      <c r="O46" s="152" t="str">
        <f>IFERROR(_xll.qlRateHelperQuoteValue($M46,Trigger),"--")</f>
        <v>--</v>
      </c>
      <c r="P46" s="151" t="b">
        <v>0</v>
      </c>
      <c r="Q46" s="150">
        <v>40</v>
      </c>
      <c r="R46" s="150">
        <v>1</v>
      </c>
      <c r="S46" s="153" t="str">
        <f>IFERROR(_xll.qlRateHelperEarliestDate(M46,Trigger),"--")</f>
        <v>--</v>
      </c>
      <c r="T46" s="153" t="str">
        <f>IFERROR(_xll.qlRateHelperPillarDate(M46,Trigger),"--")</f>
        <v>--</v>
      </c>
      <c r="V46" s="4" t="str">
        <f t="shared" si="12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3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G47" s="55" t="s">
        <v>152</v>
      </c>
      <c r="H47" s="55" t="s">
        <v>141</v>
      </c>
      <c r="I47" s="112" t="s">
        <v>144</v>
      </c>
      <c r="L47" s="77" t="str">
        <f>A53</f>
        <v>BasSW</v>
      </c>
      <c r="M47" s="150" t="str">
        <f>IF(ISBLANK(J53),"--",J53)</f>
        <v>obj_0021e#0021</v>
      </c>
      <c r="N47" s="159" t="str">
        <f>IFERROR(_xll.qlRateHelperQuoteName(M47,Trigger),"--")</f>
        <v>JPYSB6L2Y_Quote</v>
      </c>
      <c r="O47" s="152">
        <f>IFERROR(_xll.qlRateHelperQuoteValue($M47,Trigger),"--")</f>
        <v>-1.0750000000000002E-3</v>
      </c>
      <c r="P47" s="151" t="b">
        <v>1</v>
      </c>
      <c r="Q47" s="150">
        <v>40</v>
      </c>
      <c r="R47" s="150">
        <v>1</v>
      </c>
      <c r="S47" s="153">
        <f>IFERROR(_xll.qlRateHelperEarliestDate(M47,Trigger),"--")</f>
        <v>42500</v>
      </c>
      <c r="T47" s="153">
        <f>IFERROR(_xll.qlRateHelperPillarDate(M47,Trigger),"--")</f>
        <v>43230</v>
      </c>
      <c r="V47" s="4" t="str">
        <f t="shared" si="12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3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71" t="s">
        <v>8</v>
      </c>
      <c r="B48" s="71" t="s">
        <v>27</v>
      </c>
      <c r="C48" s="71" t="s">
        <v>142</v>
      </c>
      <c r="D48" s="71" t="s">
        <v>5</v>
      </c>
      <c r="E48" s="71" t="s">
        <v>32</v>
      </c>
      <c r="F48" s="71" t="s">
        <v>143</v>
      </c>
      <c r="G48" s="71" t="s">
        <v>4</v>
      </c>
      <c r="H48" s="71" t="s">
        <v>1</v>
      </c>
      <c r="I48" s="71" t="s">
        <v>140</v>
      </c>
      <c r="J48" s="71" t="s">
        <v>23</v>
      </c>
      <c r="L48" s="77" t="str">
        <f>A54</f>
        <v>BasSW</v>
      </c>
      <c r="M48" s="150" t="str">
        <f>IF(ISBLANK(J54),"--",J54)</f>
        <v>obj_0020a#0005</v>
      </c>
      <c r="N48" s="159" t="str">
        <f>IFERROR(_xll.qlRateHelperQuoteName(M48,Trigger),"--")</f>
        <v>JPYSB6L3Y_Quote</v>
      </c>
      <c r="O48" s="152">
        <f>IFERROR(_xll.qlRateHelperQuoteValue($M48,Trigger),"--")</f>
        <v>-1.1750000000000003E-3</v>
      </c>
      <c r="P48" s="151" t="b">
        <v>1</v>
      </c>
      <c r="Q48" s="150">
        <v>40</v>
      </c>
      <c r="R48" s="150">
        <v>1</v>
      </c>
      <c r="S48" s="153">
        <f>IFERROR(_xll.qlRateHelperEarliestDate(M48,Trigger),"--")</f>
        <v>42500</v>
      </c>
      <c r="T48" s="153">
        <f>IFERROR(_xll.qlRateHelperPillarDate(M48,Trigger),"--")</f>
        <v>43595</v>
      </c>
      <c r="V48" s="4" t="str">
        <f t="shared" si="12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3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58" t="s">
        <v>151</v>
      </c>
      <c r="B49" s="59" t="s">
        <v>26</v>
      </c>
      <c r="C49" s="60" t="s">
        <v>6</v>
      </c>
      <c r="D49" s="66" t="s">
        <v>153</v>
      </c>
      <c r="E49" s="66" t="s">
        <v>7</v>
      </c>
      <c r="F49" s="66" t="s">
        <v>154</v>
      </c>
      <c r="G49" s="66" t="str">
        <f t="shared" ref="G49:G85" si="13">PROPER(Currency)&amp;FamilyName&amp;Tenor</f>
        <v>JpyLibor3M</v>
      </c>
      <c r="H49" s="64" t="str">
        <f t="shared" ref="H49:H85" si="14">Currency&amp;$G$47&amp;$I$47&amp;$B49&amp;"_Quote"</f>
        <v>JPYSB6L1Y_Quote</v>
      </c>
      <c r="I49" s="137" t="str">
        <f t="shared" ref="I49:I85" si="15">Currency&amp;$H$47&amp;$I$47&amp;B49&amp;QuoteSuffix</f>
        <v>JPY3L6L1Y_Quote</v>
      </c>
      <c r="J49" s="63"/>
      <c r="L49" s="77" t="str">
        <f>A55</f>
        <v>BasSW</v>
      </c>
      <c r="M49" s="150" t="str">
        <f>IF(ISBLANK(J55),"--",J55)</f>
        <v>obj_0021a#0005</v>
      </c>
      <c r="N49" s="159" t="str">
        <f>IFERROR(_xll.qlRateHelperQuoteName(M49,Trigger),"--")</f>
        <v>JPYSB6L4Y_Quote</v>
      </c>
      <c r="O49" s="152">
        <f>IFERROR(_xll.qlRateHelperQuoteValue($M49,Trigger),"--")</f>
        <v>-9.7500000000000006E-4</v>
      </c>
      <c r="P49" s="151" t="b">
        <v>1</v>
      </c>
      <c r="Q49" s="150">
        <v>40</v>
      </c>
      <c r="R49" s="150">
        <v>1</v>
      </c>
      <c r="S49" s="153">
        <f>IFERROR(_xll.qlRateHelperEarliestDate(M49,Trigger),"--")</f>
        <v>42500</v>
      </c>
      <c r="T49" s="153">
        <f>IFERROR(_xll.qlRateHelperPillarDate(M49,Trigger),"--")</f>
        <v>43962</v>
      </c>
      <c r="V49" s="4" t="str">
        <f t="shared" si="12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3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151</v>
      </c>
      <c r="B50" s="65" t="s">
        <v>56</v>
      </c>
      <c r="C50" s="66" t="s">
        <v>6</v>
      </c>
      <c r="D50" s="66" t="s">
        <v>153</v>
      </c>
      <c r="E50" s="66" t="s">
        <v>7</v>
      </c>
      <c r="F50" s="66" t="s">
        <v>154</v>
      </c>
      <c r="G50" s="66" t="str">
        <f t="shared" si="13"/>
        <v>JpyLibor3M</v>
      </c>
      <c r="H50" s="64" t="str">
        <f t="shared" si="14"/>
        <v>JPYSB6L15M_Quote</v>
      </c>
      <c r="I50" s="138" t="str">
        <f t="shared" si="15"/>
        <v>JPY3L6L15M_Quote</v>
      </c>
      <c r="J50" s="70"/>
      <c r="L50" s="77" t="str">
        <f>A56</f>
        <v>BasSW</v>
      </c>
      <c r="M50" s="150" t="str">
        <f>IF(ISBLANK(J56),"--",J56)</f>
        <v>obj_00212#0005</v>
      </c>
      <c r="N50" s="159" t="str">
        <f>IFERROR(_xll.qlRateHelperQuoteName(M50,Trigger),"--")</f>
        <v>JPYSB6L5Y_Quote</v>
      </c>
      <c r="O50" s="152">
        <f>IFERROR(_xll.qlRateHelperQuoteValue($M50,Trigger),"--")</f>
        <v>-6.0000000000000006E-4</v>
      </c>
      <c r="P50" s="151" t="b">
        <v>1</v>
      </c>
      <c r="Q50" s="150">
        <v>40</v>
      </c>
      <c r="R50" s="150">
        <v>1</v>
      </c>
      <c r="S50" s="153">
        <f>IFERROR(_xll.qlRateHelperEarliestDate(M50,Trigger),"--")</f>
        <v>42500</v>
      </c>
      <c r="T50" s="153">
        <f>IFERROR(_xll.qlRateHelperPillarDate(M50,Trigger),"--")</f>
        <v>44326</v>
      </c>
      <c r="V50" s="4" t="str">
        <f t="shared" si="12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3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151</v>
      </c>
      <c r="B51" s="65" t="s">
        <v>59</v>
      </c>
      <c r="C51" s="66" t="s">
        <v>6</v>
      </c>
      <c r="D51" s="66" t="s">
        <v>153</v>
      </c>
      <c r="E51" s="66" t="s">
        <v>7</v>
      </c>
      <c r="F51" s="66" t="s">
        <v>154</v>
      </c>
      <c r="G51" s="66" t="str">
        <f t="shared" si="13"/>
        <v>JpyLibor3M</v>
      </c>
      <c r="H51" s="64" t="str">
        <f t="shared" si="14"/>
        <v>JPYSB6L18M_Quote</v>
      </c>
      <c r="I51" s="138" t="str">
        <f t="shared" si="15"/>
        <v>JPY3L6L18M_Quote</v>
      </c>
      <c r="J51" s="70"/>
      <c r="L51" s="77" t="str">
        <f>A57</f>
        <v>BasSW</v>
      </c>
      <c r="M51" s="150" t="str">
        <f>IF(ISBLANK(J57),"--",J57)</f>
        <v>obj_0020c#0005</v>
      </c>
      <c r="N51" s="159" t="str">
        <f>IFERROR(_xll.qlRateHelperQuoteName(M51,Trigger),"--")</f>
        <v>JPYSB6L6Y_Quote</v>
      </c>
      <c r="O51" s="152">
        <f>IFERROR(_xll.qlRateHelperQuoteValue($M51,Trigger),"--")</f>
        <v>-1.5000000000000004E-4</v>
      </c>
      <c r="P51" s="151" t="b">
        <v>1</v>
      </c>
      <c r="Q51" s="150">
        <v>40</v>
      </c>
      <c r="R51" s="150">
        <v>1</v>
      </c>
      <c r="S51" s="153">
        <f>IFERROR(_xll.qlRateHelperEarliestDate(M51,Trigger),"--")</f>
        <v>42500</v>
      </c>
      <c r="T51" s="153">
        <f>IFERROR(_xll.qlRateHelperPillarDate(M51,Trigger),"--")</f>
        <v>44691</v>
      </c>
      <c r="V51" s="4" t="str">
        <f t="shared" si="12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3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151</v>
      </c>
      <c r="B52" s="65" t="s">
        <v>62</v>
      </c>
      <c r="C52" s="66" t="s">
        <v>6</v>
      </c>
      <c r="D52" s="66" t="s">
        <v>153</v>
      </c>
      <c r="E52" s="66" t="s">
        <v>7</v>
      </c>
      <c r="F52" s="66" t="s">
        <v>154</v>
      </c>
      <c r="G52" s="66" t="str">
        <f t="shared" si="13"/>
        <v>JpyLibor3M</v>
      </c>
      <c r="H52" s="64" t="str">
        <f t="shared" si="14"/>
        <v>JPYSB6L21M_Quote</v>
      </c>
      <c r="I52" s="138" t="str">
        <f t="shared" si="15"/>
        <v>JPY3L6L21M_Quote</v>
      </c>
      <c r="J52" s="70"/>
      <c r="L52" s="77" t="str">
        <f>A58</f>
        <v>BasSW</v>
      </c>
      <c r="M52" s="150" t="str">
        <f>IF(ISBLANK(J58),"--",J58)</f>
        <v>obj_00219#0005</v>
      </c>
      <c r="N52" s="159" t="str">
        <f>IFERROR(_xll.qlRateHelperQuoteName(M52,Trigger),"--")</f>
        <v>JPYSB6L7Y_Quote</v>
      </c>
      <c r="O52" s="152">
        <f>IFERROR(_xll.qlRateHelperQuoteValue($M52,Trigger),"--")</f>
        <v>2.7500000000000002E-4</v>
      </c>
      <c r="P52" s="151" t="b">
        <v>1</v>
      </c>
      <c r="Q52" s="150">
        <v>40</v>
      </c>
      <c r="R52" s="150">
        <v>1</v>
      </c>
      <c r="S52" s="153">
        <f>IFERROR(_xll.qlRateHelperEarliestDate(M52,Trigger),"--")</f>
        <v>42500</v>
      </c>
      <c r="T52" s="153">
        <f>IFERROR(_xll.qlRateHelperPillarDate(M52,Trigger),"--")</f>
        <v>45056</v>
      </c>
      <c r="V52" s="4" t="str">
        <f t="shared" si="12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3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151</v>
      </c>
      <c r="B53" s="65" t="s">
        <v>65</v>
      </c>
      <c r="C53" s="66" t="s">
        <v>6</v>
      </c>
      <c r="D53" s="66" t="s">
        <v>153</v>
      </c>
      <c r="E53" s="66" t="s">
        <v>7</v>
      </c>
      <c r="F53" s="66" t="s">
        <v>154</v>
      </c>
      <c r="G53" s="66" t="str">
        <f t="shared" si="13"/>
        <v>JpyLibor3M</v>
      </c>
      <c r="H53" s="64" t="str">
        <f t="shared" si="14"/>
        <v>JPYSB6L2Y_Quote</v>
      </c>
      <c r="I53" s="138" t="str">
        <f t="shared" si="15"/>
        <v>JPY3L6L2Y_Quote</v>
      </c>
      <c r="J53" s="70" t="str">
        <f>_xll.qlSwapRateHelper2(,H53,2,B53,JoinCalendar,+D53,E53,F53,G53,I53,C53,Discounting,PillarDate,,,Trigger)</f>
        <v>obj_0021e#0021</v>
      </c>
      <c r="L53" s="77" t="str">
        <f>A59</f>
        <v>BasSW</v>
      </c>
      <c r="M53" s="150" t="str">
        <f>IF(ISBLANK(J59),"--",J59)</f>
        <v>obj_0020e#0005</v>
      </c>
      <c r="N53" s="159" t="str">
        <f>IFERROR(_xll.qlRateHelperQuoteName(M53,Trigger),"--")</f>
        <v>JPYSB6L8Y_Quote</v>
      </c>
      <c r="O53" s="152">
        <f>IFERROR(_xll.qlRateHelperQuoteValue($M53,Trigger),"--")</f>
        <v>7.000000000000001E-4</v>
      </c>
      <c r="P53" s="151" t="b">
        <v>1</v>
      </c>
      <c r="Q53" s="150">
        <v>40</v>
      </c>
      <c r="R53" s="150">
        <v>1</v>
      </c>
      <c r="S53" s="153">
        <f>IFERROR(_xll.qlRateHelperEarliestDate(M53,Trigger),"--")</f>
        <v>42500</v>
      </c>
      <c r="T53" s="153">
        <f>IFERROR(_xll.qlRateHelperPillarDate(M53,Trigger),"--")</f>
        <v>45422</v>
      </c>
      <c r="V53" s="4" t="str">
        <f t="shared" si="12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3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151</v>
      </c>
      <c r="B54" s="65" t="s">
        <v>69</v>
      </c>
      <c r="C54" s="66" t="s">
        <v>6</v>
      </c>
      <c r="D54" s="66" t="s">
        <v>153</v>
      </c>
      <c r="E54" s="66" t="s">
        <v>7</v>
      </c>
      <c r="F54" s="66" t="s">
        <v>154</v>
      </c>
      <c r="G54" s="66" t="str">
        <f t="shared" si="13"/>
        <v>JpyLibor3M</v>
      </c>
      <c r="H54" s="64" t="str">
        <f t="shared" si="14"/>
        <v>JPYSB6L3Y_Quote</v>
      </c>
      <c r="I54" s="138" t="str">
        <f t="shared" si="15"/>
        <v>JPY3L6L3Y_Quote</v>
      </c>
      <c r="J54" s="70" t="str">
        <f>_xll.qlSwapRateHelper2(,H54,2,B54,JoinCalendar,+D54,E54,F54,G54,I54,C54,Discounting,PillarDate,,,Trigger)</f>
        <v>obj_0020a#0005</v>
      </c>
      <c r="L54" s="77" t="str">
        <f>A60</f>
        <v>BasSW</v>
      </c>
      <c r="M54" s="150" t="str">
        <f>IF(ISBLANK(J60),"--",J60)</f>
        <v>obj_0020d#0005</v>
      </c>
      <c r="N54" s="159" t="str">
        <f>IFERROR(_xll.qlRateHelperQuoteName(M54,Trigger),"--")</f>
        <v>JPYSB6L9Y_Quote</v>
      </c>
      <c r="O54" s="152">
        <f>IFERROR(_xll.qlRateHelperQuoteValue($M54,Trigger),"--")</f>
        <v>1.0750000000000002E-3</v>
      </c>
      <c r="P54" s="151" t="b">
        <v>1</v>
      </c>
      <c r="Q54" s="150">
        <v>40</v>
      </c>
      <c r="R54" s="150">
        <v>1</v>
      </c>
      <c r="S54" s="153">
        <f>IFERROR(_xll.qlRateHelperEarliestDate(M54,Trigger),"--")</f>
        <v>42500</v>
      </c>
      <c r="T54" s="153">
        <f>IFERROR(_xll.qlRateHelperPillarDate(M54,Trigger),"--")</f>
        <v>45789</v>
      </c>
      <c r="V54" s="4" t="str">
        <f t="shared" si="12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3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151</v>
      </c>
      <c r="B55" s="65" t="s">
        <v>73</v>
      </c>
      <c r="C55" s="66" t="s">
        <v>6</v>
      </c>
      <c r="D55" s="66" t="s">
        <v>153</v>
      </c>
      <c r="E55" s="66" t="s">
        <v>7</v>
      </c>
      <c r="F55" s="66" t="s">
        <v>154</v>
      </c>
      <c r="G55" s="66" t="str">
        <f t="shared" si="13"/>
        <v>JpyLibor3M</v>
      </c>
      <c r="H55" s="64" t="str">
        <f t="shared" si="14"/>
        <v>JPYSB6L4Y_Quote</v>
      </c>
      <c r="I55" s="138" t="str">
        <f t="shared" si="15"/>
        <v>JPY3L6L4Y_Quote</v>
      </c>
      <c r="J55" s="70" t="str">
        <f>_xll.qlSwapRateHelper2(,H55,2,B55,JoinCalendar,+D55,E55,F55,G55,I55,C55,Discounting,PillarDate,,,Trigger)</f>
        <v>obj_0021a#0005</v>
      </c>
      <c r="L55" s="77" t="str">
        <f>A61</f>
        <v>BasSW</v>
      </c>
      <c r="M55" s="150" t="str">
        <f>IF(ISBLANK(J61),"--",J61)</f>
        <v>obj_0020f#0005</v>
      </c>
      <c r="N55" s="159" t="str">
        <f>IFERROR(_xll.qlRateHelperQuoteName(M55,Trigger),"--")</f>
        <v>JPYSB6L10Y_Quote</v>
      </c>
      <c r="O55" s="152">
        <f>IFERROR(_xll.qlRateHelperQuoteValue($M55,Trigger),"--")</f>
        <v>1.4750000000000002E-3</v>
      </c>
      <c r="P55" s="151" t="b">
        <v>1</v>
      </c>
      <c r="Q55" s="150">
        <v>40</v>
      </c>
      <c r="R55" s="150">
        <v>1</v>
      </c>
      <c r="S55" s="153">
        <f>IFERROR(_xll.qlRateHelperEarliestDate(M55,Trigger),"--")</f>
        <v>42500</v>
      </c>
      <c r="T55" s="153">
        <f>IFERROR(_xll.qlRateHelperPillarDate(M55,Trigger),"--")</f>
        <v>46153</v>
      </c>
      <c r="V55" s="4" t="str">
        <f t="shared" si="12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3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151</v>
      </c>
      <c r="B56" s="65" t="s">
        <v>77</v>
      </c>
      <c r="C56" s="66" t="s">
        <v>6</v>
      </c>
      <c r="D56" s="66" t="s">
        <v>153</v>
      </c>
      <c r="E56" s="66" t="s">
        <v>7</v>
      </c>
      <c r="F56" s="66" t="s">
        <v>154</v>
      </c>
      <c r="G56" s="66" t="str">
        <f t="shared" si="13"/>
        <v>JpyLibor3M</v>
      </c>
      <c r="H56" s="64" t="str">
        <f t="shared" si="14"/>
        <v>JPYSB6L5Y_Quote</v>
      </c>
      <c r="I56" s="138" t="str">
        <f t="shared" si="15"/>
        <v>JPY3L6L5Y_Quote</v>
      </c>
      <c r="J56" s="70" t="str">
        <f>_xll.qlSwapRateHelper2(,H56,2,B56,JoinCalendar,+D56,E56,F56,G56,I56,C56,Discounting,PillarDate,,,Trigger)</f>
        <v>obj_00212#0005</v>
      </c>
      <c r="L56" s="77" t="str">
        <f>A62</f>
        <v>BasSW</v>
      </c>
      <c r="M56" s="151" t="str">
        <f>IF(ISBLANK(J62),"--",J62)</f>
        <v>--</v>
      </c>
      <c r="N56" s="159" t="str">
        <f>IFERROR(_xll.qlRateHelperQuoteName(M56,Trigger),"--")</f>
        <v>--</v>
      </c>
      <c r="O56" s="152" t="str">
        <f>IFERROR(_xll.qlRateHelperQuoteValue($M56,Trigger),"--")</f>
        <v>--</v>
      </c>
      <c r="P56" s="151" t="b">
        <v>0</v>
      </c>
      <c r="Q56" s="151">
        <v>40</v>
      </c>
      <c r="R56" s="151">
        <v>1</v>
      </c>
      <c r="S56" s="153" t="str">
        <f>IFERROR(_xll.qlRateHelperEarliestDate(M56,Trigger),"--")</f>
        <v>--</v>
      </c>
      <c r="T56" s="153" t="str">
        <f>IFERROR(_xll.qlRateHelperPillarDate(M56,Trigger),"--")</f>
        <v>--</v>
      </c>
      <c r="V56" s="4" t="str">
        <f t="shared" si="12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3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151</v>
      </c>
      <c r="B57" s="65" t="s">
        <v>78</v>
      </c>
      <c r="C57" s="66" t="s">
        <v>6</v>
      </c>
      <c r="D57" s="66" t="s">
        <v>153</v>
      </c>
      <c r="E57" s="66" t="s">
        <v>7</v>
      </c>
      <c r="F57" s="66" t="s">
        <v>154</v>
      </c>
      <c r="G57" s="66" t="str">
        <f t="shared" si="13"/>
        <v>JpyLibor3M</v>
      </c>
      <c r="H57" s="64" t="str">
        <f t="shared" si="14"/>
        <v>JPYSB6L6Y_Quote</v>
      </c>
      <c r="I57" s="138" t="str">
        <f t="shared" si="15"/>
        <v>JPY3L6L6Y_Quote</v>
      </c>
      <c r="J57" s="70" t="str">
        <f>_xll.qlSwapRateHelper2(,H57,2,B57,JoinCalendar,+D57,E57,F57,G57,I57,C57,Discounting,PillarDate,,,Trigger)</f>
        <v>obj_0020c#0005</v>
      </c>
      <c r="L57" s="77" t="str">
        <f>A63</f>
        <v>BasSW</v>
      </c>
      <c r="M57" s="151" t="str">
        <f>IF(ISBLANK(J63),"--",J63)</f>
        <v>--</v>
      </c>
      <c r="N57" s="159" t="str">
        <f>IFERROR(_xll.qlRateHelperQuoteName(M57,Trigger),"--")</f>
        <v>--</v>
      </c>
      <c r="O57" s="152" t="str">
        <f>IFERROR(_xll.qlRateHelperQuoteValue($M57,Trigger),"--")</f>
        <v>--</v>
      </c>
      <c r="P57" s="151" t="b">
        <v>0</v>
      </c>
      <c r="Q57" s="151">
        <v>40</v>
      </c>
      <c r="R57" s="151">
        <v>1</v>
      </c>
      <c r="S57" s="153" t="str">
        <f>IFERROR(_xll.qlRateHelperEarliestDate(M57,Trigger),"--")</f>
        <v>--</v>
      </c>
      <c r="T57" s="153" t="str">
        <f>IFERROR(_xll.qlRateHelperPillarDate(M57,Trigger),"--")</f>
        <v>--</v>
      </c>
      <c r="V57" s="4" t="str">
        <f t="shared" si="12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3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151</v>
      </c>
      <c r="B58" s="65" t="s">
        <v>79</v>
      </c>
      <c r="C58" s="66" t="s">
        <v>6</v>
      </c>
      <c r="D58" s="66" t="s">
        <v>153</v>
      </c>
      <c r="E58" s="66" t="s">
        <v>7</v>
      </c>
      <c r="F58" s="66" t="s">
        <v>154</v>
      </c>
      <c r="G58" s="66" t="str">
        <f t="shared" si="13"/>
        <v>JpyLibor3M</v>
      </c>
      <c r="H58" s="64" t="str">
        <f t="shared" si="14"/>
        <v>JPYSB6L7Y_Quote</v>
      </c>
      <c r="I58" s="138" t="str">
        <f t="shared" si="15"/>
        <v>JPY3L6L7Y_Quote</v>
      </c>
      <c r="J58" s="70" t="str">
        <f>_xll.qlSwapRateHelper2(,H58,2,B58,JoinCalendar,+D58,E58,F58,G58,I58,C58,Discounting,PillarDate,,,Trigger)</f>
        <v>obj_00219#0005</v>
      </c>
      <c r="L58" s="77" t="str">
        <f>A64</f>
        <v>BasSW</v>
      </c>
      <c r="M58" s="151" t="str">
        <f>IF(ISBLANK(J64),"--",J64)</f>
        <v>--</v>
      </c>
      <c r="N58" s="159" t="str">
        <f>IFERROR(_xll.qlRateHelperQuoteName(M58,Trigger),"--")</f>
        <v>--</v>
      </c>
      <c r="O58" s="152" t="str">
        <f>IFERROR(_xll.qlRateHelperQuoteValue($M58,Trigger),"--")</f>
        <v>--</v>
      </c>
      <c r="P58" s="151" t="b">
        <v>0</v>
      </c>
      <c r="Q58" s="151">
        <v>40</v>
      </c>
      <c r="R58" s="151">
        <v>1</v>
      </c>
      <c r="S58" s="153" t="str">
        <f>IFERROR(_xll.qlRateHelperEarliestDate(M58,Trigger),"--")</f>
        <v>--</v>
      </c>
      <c r="T58" s="153" t="str">
        <f>IFERROR(_xll.qlRateHelperPillarDate(M58,Trigger),"--")</f>
        <v>--</v>
      </c>
      <c r="V58" s="4" t="str">
        <f t="shared" si="12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3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151</v>
      </c>
      <c r="B59" s="65" t="s">
        <v>80</v>
      </c>
      <c r="C59" s="66" t="s">
        <v>6</v>
      </c>
      <c r="D59" s="66" t="s">
        <v>153</v>
      </c>
      <c r="E59" s="66" t="s">
        <v>7</v>
      </c>
      <c r="F59" s="66" t="s">
        <v>154</v>
      </c>
      <c r="G59" s="66" t="str">
        <f t="shared" si="13"/>
        <v>JpyLibor3M</v>
      </c>
      <c r="H59" s="64" t="str">
        <f t="shared" si="14"/>
        <v>JPYSB6L8Y_Quote</v>
      </c>
      <c r="I59" s="138" t="str">
        <f t="shared" si="15"/>
        <v>JPY3L6L8Y_Quote</v>
      </c>
      <c r="J59" s="70" t="str">
        <f>_xll.qlSwapRateHelper2(,H59,2,B59,JoinCalendar,+D59,E59,F59,G59,I59,C59,Discounting,PillarDate,,,Trigger)</f>
        <v>obj_0020e#0005</v>
      </c>
      <c r="L59" s="77" t="str">
        <f>A65</f>
        <v>BasSW</v>
      </c>
      <c r="M59" s="151" t="str">
        <f>IF(ISBLANK(J65),"--",J65)</f>
        <v>obj_00210#0005</v>
      </c>
      <c r="N59" s="159" t="str">
        <f>IFERROR(_xll.qlRateHelperQuoteName(M59,Trigger),"--")</f>
        <v>JPYSB6L14Y_Quote</v>
      </c>
      <c r="O59" s="152" t="str">
        <f>IFERROR(_xll.qlRateHelperQuoteValue($M59,Trigger),"--")</f>
        <v>--</v>
      </c>
      <c r="P59" s="151" t="b">
        <v>0</v>
      </c>
      <c r="Q59" s="151">
        <v>40</v>
      </c>
      <c r="R59" s="151">
        <v>1</v>
      </c>
      <c r="S59" s="153">
        <f>IFERROR(_xll.qlRateHelperEarliestDate(M59,Trigger),"--")</f>
        <v>42500</v>
      </c>
      <c r="T59" s="153">
        <f>IFERROR(_xll.qlRateHelperPillarDate(M59,Trigger),"--")</f>
        <v>47613</v>
      </c>
      <c r="V59" s="4" t="str">
        <f t="shared" si="12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3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151</v>
      </c>
      <c r="B60" s="65" t="s">
        <v>81</v>
      </c>
      <c r="C60" s="66" t="s">
        <v>6</v>
      </c>
      <c r="D60" s="66" t="s">
        <v>153</v>
      </c>
      <c r="E60" s="66" t="s">
        <v>7</v>
      </c>
      <c r="F60" s="66" t="s">
        <v>154</v>
      </c>
      <c r="G60" s="66" t="str">
        <f t="shared" si="13"/>
        <v>JpyLibor3M</v>
      </c>
      <c r="H60" s="64" t="str">
        <f t="shared" si="14"/>
        <v>JPYSB6L9Y_Quote</v>
      </c>
      <c r="I60" s="138" t="str">
        <f t="shared" si="15"/>
        <v>JPY3L6L9Y_Quote</v>
      </c>
      <c r="J60" s="70" t="str">
        <f>_xll.qlSwapRateHelper2(,H60,2,B60,JoinCalendar,+D60,E60,F60,G60,I60,C60,Discounting,PillarDate,,,Trigger)</f>
        <v>obj_0020d#0005</v>
      </c>
      <c r="L60" s="77" t="str">
        <f>A66</f>
        <v>BasSW</v>
      </c>
      <c r="M60" s="151" t="str">
        <f>IF(ISBLANK(J66),"--",J66)</f>
        <v>obj_00213#0005</v>
      </c>
      <c r="N60" s="159" t="str">
        <f>IFERROR(_xll.qlRateHelperQuoteName(M60,Trigger),"--")</f>
        <v>JPYSB6L15Y_Quote</v>
      </c>
      <c r="O60" s="152">
        <f>IFERROR(_xll.qlRateHelperQuoteValue($M60,Trigger),"--")</f>
        <v>3.4999999999999996E-3</v>
      </c>
      <c r="P60" s="151" t="b">
        <v>1</v>
      </c>
      <c r="Q60" s="151">
        <v>40</v>
      </c>
      <c r="R60" s="151">
        <v>1</v>
      </c>
      <c r="S60" s="153">
        <f>IFERROR(_xll.qlRateHelperEarliestDate(M60,Trigger),"--")</f>
        <v>42500</v>
      </c>
      <c r="T60" s="153">
        <f>IFERROR(_xll.qlRateHelperPillarDate(M60,Trigger),"--")</f>
        <v>47980</v>
      </c>
      <c r="V60" s="4" t="str">
        <f t="shared" si="12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3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151</v>
      </c>
      <c r="B61" s="65" t="s">
        <v>82</v>
      </c>
      <c r="C61" s="66" t="s">
        <v>6</v>
      </c>
      <c r="D61" s="66" t="s">
        <v>153</v>
      </c>
      <c r="E61" s="66" t="s">
        <v>7</v>
      </c>
      <c r="F61" s="66" t="s">
        <v>154</v>
      </c>
      <c r="G61" s="66" t="str">
        <f t="shared" si="13"/>
        <v>JpyLibor3M</v>
      </c>
      <c r="H61" s="64" t="str">
        <f t="shared" si="14"/>
        <v>JPYSB6L10Y_Quote</v>
      </c>
      <c r="I61" s="138" t="str">
        <f t="shared" si="15"/>
        <v>JPY3L6L10Y_Quote</v>
      </c>
      <c r="J61" s="70" t="str">
        <f>_xll.qlSwapRateHelper2(,H61,2,B61,JoinCalendar,+D61,E61,F61,G61,I61,C61,Discounting,PillarDate,,,Trigger)</f>
        <v>obj_0020f#0005</v>
      </c>
      <c r="L61" s="77" t="str">
        <f>A67</f>
        <v>BasSW</v>
      </c>
      <c r="M61" s="151" t="str">
        <f>IF(ISBLANK(J67),"--",J67)</f>
        <v>--</v>
      </c>
      <c r="N61" s="159" t="str">
        <f>IFERROR(_xll.qlRateHelperQuoteName(M61,Trigger),"--")</f>
        <v>--</v>
      </c>
      <c r="O61" s="152" t="str">
        <f>IFERROR(_xll.qlRateHelperQuoteValue($M61,Trigger),"--")</f>
        <v>--</v>
      </c>
      <c r="P61" s="151" t="b">
        <v>0</v>
      </c>
      <c r="Q61" s="151">
        <v>40</v>
      </c>
      <c r="R61" s="151">
        <v>1</v>
      </c>
      <c r="S61" s="153" t="str">
        <f>IFERROR(_xll.qlRateHelperEarliestDate(M61,Trigger),"--")</f>
        <v>--</v>
      </c>
      <c r="T61" s="153" t="str">
        <f>IFERROR(_xll.qlRateHelperPillarDate(M61,Trigger),"--")</f>
        <v>--</v>
      </c>
      <c r="V61" s="4" t="str">
        <f t="shared" si="12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3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151</v>
      </c>
      <c r="B62" s="65" t="s">
        <v>125</v>
      </c>
      <c r="C62" s="66" t="s">
        <v>6</v>
      </c>
      <c r="D62" s="66" t="s">
        <v>153</v>
      </c>
      <c r="E62" s="66" t="s">
        <v>7</v>
      </c>
      <c r="F62" s="66" t="s">
        <v>154</v>
      </c>
      <c r="G62" s="66" t="str">
        <f t="shared" si="13"/>
        <v>JpyLibor3M</v>
      </c>
      <c r="H62" s="64" t="str">
        <f t="shared" si="14"/>
        <v>JPYSB6L11Y_Quote</v>
      </c>
      <c r="I62" s="138" t="str">
        <f t="shared" si="15"/>
        <v>JPY3L6L11Y_Quote</v>
      </c>
      <c r="J62" s="70"/>
      <c r="L62" s="77" t="str">
        <f>A68</f>
        <v>BasSW</v>
      </c>
      <c r="M62" s="151" t="str">
        <f>IF(ISBLANK(J68),"--",J68)</f>
        <v>--</v>
      </c>
      <c r="N62" s="159" t="str">
        <f>IFERROR(_xll.qlRateHelperQuoteName(M62,Trigger),"--")</f>
        <v>--</v>
      </c>
      <c r="O62" s="152" t="str">
        <f>IFERROR(_xll.qlRateHelperQuoteValue($M62,Trigger),"--")</f>
        <v>--</v>
      </c>
      <c r="P62" s="151" t="b">
        <v>0</v>
      </c>
      <c r="Q62" s="151">
        <v>40</v>
      </c>
      <c r="R62" s="151">
        <v>1</v>
      </c>
      <c r="S62" s="153" t="str">
        <f>IFERROR(_xll.qlRateHelperEarliestDate(M62,Trigger),"--")</f>
        <v>--</v>
      </c>
      <c r="T62" s="153" t="str">
        <f>IFERROR(_xll.qlRateHelperPillarDate(M62,Trigger),"--")</f>
        <v>--</v>
      </c>
      <c r="V62" s="4" t="str">
        <f t="shared" si="12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3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151</v>
      </c>
      <c r="B63" s="65" t="s">
        <v>83</v>
      </c>
      <c r="C63" s="66" t="s">
        <v>6</v>
      </c>
      <c r="D63" s="66" t="s">
        <v>153</v>
      </c>
      <c r="E63" s="66" t="s">
        <v>7</v>
      </c>
      <c r="F63" s="66" t="s">
        <v>154</v>
      </c>
      <c r="G63" s="66" t="str">
        <f t="shared" si="13"/>
        <v>JpyLibor3M</v>
      </c>
      <c r="H63" s="64" t="str">
        <f t="shared" si="14"/>
        <v>JPYSB6L12Y_Quote</v>
      </c>
      <c r="I63" s="138" t="str">
        <f t="shared" si="15"/>
        <v>JPY3L6L12Y_Quote</v>
      </c>
      <c r="J63" s="70"/>
      <c r="L63" s="77" t="str">
        <f>A69</f>
        <v>BasSW</v>
      </c>
      <c r="M63" s="151" t="str">
        <f>IF(ISBLANK(J69),"--",J69)</f>
        <v>--</v>
      </c>
      <c r="N63" s="159" t="str">
        <f>IFERROR(_xll.qlRateHelperQuoteName(M63,Trigger),"--")</f>
        <v>--</v>
      </c>
      <c r="O63" s="152" t="str">
        <f>IFERROR(_xll.qlRateHelperQuoteValue($M63,Trigger),"--")</f>
        <v>--</v>
      </c>
      <c r="P63" s="151" t="b">
        <v>0</v>
      </c>
      <c r="Q63" s="151">
        <v>40</v>
      </c>
      <c r="R63" s="151">
        <v>1</v>
      </c>
      <c r="S63" s="153" t="str">
        <f>IFERROR(_xll.qlRateHelperEarliestDate(M63,Trigger),"--")</f>
        <v>--</v>
      </c>
      <c r="T63" s="153" t="str">
        <f>IFERROR(_xll.qlRateHelperPillarDate(M63,Trigger),"--")</f>
        <v>--</v>
      </c>
      <c r="V63" s="4" t="str">
        <f t="shared" si="12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3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151</v>
      </c>
      <c r="B64" s="65" t="s">
        <v>126</v>
      </c>
      <c r="C64" s="66" t="s">
        <v>6</v>
      </c>
      <c r="D64" s="66" t="s">
        <v>153</v>
      </c>
      <c r="E64" s="66" t="s">
        <v>7</v>
      </c>
      <c r="F64" s="66" t="s">
        <v>154</v>
      </c>
      <c r="G64" s="66" t="str">
        <f t="shared" si="13"/>
        <v>JpyLibor3M</v>
      </c>
      <c r="H64" s="64" t="str">
        <f t="shared" si="14"/>
        <v>JPYSB6L13Y_Quote</v>
      </c>
      <c r="I64" s="138" t="str">
        <f t="shared" si="15"/>
        <v>JPY3L6L13Y_Quote</v>
      </c>
      <c r="J64" s="70"/>
      <c r="L64" s="77" t="str">
        <f>A70</f>
        <v>BasSW</v>
      </c>
      <c r="M64" s="151" t="str">
        <f>IF(ISBLANK(J70),"--",J70)</f>
        <v>--</v>
      </c>
      <c r="N64" s="159" t="str">
        <f>IFERROR(_xll.qlRateHelperQuoteName(M64,Trigger),"--")</f>
        <v>--</v>
      </c>
      <c r="O64" s="152" t="str">
        <f>IFERROR(_xll.qlRateHelperQuoteValue($M64,Trigger),"--")</f>
        <v>--</v>
      </c>
      <c r="P64" s="151" t="b">
        <v>0</v>
      </c>
      <c r="Q64" s="151">
        <v>40</v>
      </c>
      <c r="R64" s="151">
        <v>1</v>
      </c>
      <c r="S64" s="153" t="str">
        <f>IFERROR(_xll.qlRateHelperEarliestDate(M64,Trigger),"--")</f>
        <v>--</v>
      </c>
      <c r="T64" s="153" t="str">
        <f>IFERROR(_xll.qlRateHelperPillarDate(M64,Trigger),"--")</f>
        <v>--</v>
      </c>
      <c r="V64" s="4" t="str">
        <f t="shared" si="12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3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151</v>
      </c>
      <c r="B65" s="65" t="s">
        <v>127</v>
      </c>
      <c r="C65" s="66" t="s">
        <v>6</v>
      </c>
      <c r="D65" s="66" t="s">
        <v>153</v>
      </c>
      <c r="E65" s="66" t="s">
        <v>7</v>
      </c>
      <c r="F65" s="66" t="s">
        <v>154</v>
      </c>
      <c r="G65" s="66" t="str">
        <f t="shared" si="13"/>
        <v>JpyLibor3M</v>
      </c>
      <c r="H65" s="64" t="str">
        <f t="shared" si="14"/>
        <v>JPYSB6L14Y_Quote</v>
      </c>
      <c r="I65" s="138" t="str">
        <f t="shared" si="15"/>
        <v>JPY3L6L14Y_Quote</v>
      </c>
      <c r="J65" s="70" t="str">
        <f>_xll.qlSwapRateHelper2(,H65,2,B65,JoinCalendar,+D65,E65,F65,G65,I65,C65,Discounting,PillarDate,,,Trigger)</f>
        <v>obj_00210#0005</v>
      </c>
      <c r="L65" s="77" t="str">
        <f>A71</f>
        <v>BasSW</v>
      </c>
      <c r="M65" s="151" t="str">
        <f>IF(ISBLANK(J71),"--",J71)</f>
        <v>obj_0021c#0005</v>
      </c>
      <c r="N65" s="159" t="str">
        <f>IFERROR(_xll.qlRateHelperQuoteName(M65,Trigger),"--")</f>
        <v>JPYSB6L20Y_Quote</v>
      </c>
      <c r="O65" s="152">
        <f>IFERROR(_xll.qlRateHelperQuoteValue($M65,Trigger),"--")</f>
        <v>4.9750000000000003E-3</v>
      </c>
      <c r="P65" s="151" t="b">
        <v>1</v>
      </c>
      <c r="Q65" s="151">
        <v>40</v>
      </c>
      <c r="R65" s="151">
        <v>1</v>
      </c>
      <c r="S65" s="153">
        <f>IFERROR(_xll.qlRateHelperEarliestDate(M65,Trigger),"--")</f>
        <v>42500</v>
      </c>
      <c r="T65" s="153">
        <f>IFERROR(_xll.qlRateHelperPillarDate(M65,Trigger),"--")</f>
        <v>49807</v>
      </c>
      <c r="V65" s="4" t="str">
        <f t="shared" si="12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3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151</v>
      </c>
      <c r="B66" s="65" t="s">
        <v>84</v>
      </c>
      <c r="C66" s="66" t="s">
        <v>6</v>
      </c>
      <c r="D66" s="66" t="s">
        <v>153</v>
      </c>
      <c r="E66" s="66" t="s">
        <v>7</v>
      </c>
      <c r="F66" s="66" t="s">
        <v>154</v>
      </c>
      <c r="G66" s="66" t="str">
        <f t="shared" si="13"/>
        <v>JpyLibor3M</v>
      </c>
      <c r="H66" s="64" t="str">
        <f t="shared" si="14"/>
        <v>JPYSB6L15Y_Quote</v>
      </c>
      <c r="I66" s="138" t="str">
        <f t="shared" si="15"/>
        <v>JPY3L6L15Y_Quote</v>
      </c>
      <c r="J66" s="70" t="str">
        <f>_xll.qlSwapRateHelper2(,H66,2,B66,JoinCalendar,+D66,E66,F66,G66,I66,C66,Discounting,PillarDate,,,Trigger)</f>
        <v>obj_00213#0005</v>
      </c>
      <c r="L66" s="77" t="str">
        <f>A72</f>
        <v>BasSW</v>
      </c>
      <c r="M66" s="151" t="str">
        <f>IF(ISBLANK(J72),"--",J72)</f>
        <v>--</v>
      </c>
      <c r="N66" s="159" t="str">
        <f>IFERROR(_xll.qlRateHelperQuoteName(M66,Trigger),"--")</f>
        <v>--</v>
      </c>
      <c r="O66" s="152" t="str">
        <f>IFERROR(_xll.qlRateHelperQuoteValue($M66,Trigger),"--")</f>
        <v>--</v>
      </c>
      <c r="P66" s="151" t="b">
        <v>0</v>
      </c>
      <c r="Q66" s="151">
        <v>40</v>
      </c>
      <c r="R66" s="151">
        <v>1</v>
      </c>
      <c r="S66" s="153" t="str">
        <f>IFERROR(_xll.qlRateHelperEarliestDate(M66,Trigger),"--")</f>
        <v>--</v>
      </c>
      <c r="T66" s="153" t="str">
        <f>IFERROR(_xll.qlRateHelperPillarDate(M66,Trigger),"--")</f>
        <v>--</v>
      </c>
      <c r="V66" s="4" t="str">
        <f t="shared" si="12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3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151</v>
      </c>
      <c r="B67" s="65" t="s">
        <v>128</v>
      </c>
      <c r="C67" s="66" t="s">
        <v>6</v>
      </c>
      <c r="D67" s="66" t="s">
        <v>153</v>
      </c>
      <c r="E67" s="66" t="s">
        <v>7</v>
      </c>
      <c r="F67" s="66" t="s">
        <v>154</v>
      </c>
      <c r="G67" s="66" t="str">
        <f t="shared" si="13"/>
        <v>JpyLibor3M</v>
      </c>
      <c r="H67" s="64" t="str">
        <f t="shared" si="14"/>
        <v>JPYSB6L16Y_Quote</v>
      </c>
      <c r="I67" s="138" t="str">
        <f t="shared" si="15"/>
        <v>JPY3L6L16Y_Quote</v>
      </c>
      <c r="J67" s="70"/>
      <c r="L67" s="77" t="str">
        <f>A73</f>
        <v>BasSW</v>
      </c>
      <c r="M67" s="151" t="str">
        <f>IF(ISBLANK(J73),"--",J73)</f>
        <v>--</v>
      </c>
      <c r="N67" s="159" t="str">
        <f>IFERROR(_xll.qlRateHelperQuoteName(M67,Trigger),"--")</f>
        <v>--</v>
      </c>
      <c r="O67" s="152" t="str">
        <f>IFERROR(_xll.qlRateHelperQuoteValue($M67,Trigger),"--")</f>
        <v>--</v>
      </c>
      <c r="P67" s="151" t="b">
        <v>0</v>
      </c>
      <c r="Q67" s="151">
        <v>40</v>
      </c>
      <c r="R67" s="151">
        <v>1</v>
      </c>
      <c r="S67" s="153" t="str">
        <f>IFERROR(_xll.qlRateHelperEarliestDate(M67,Trigger),"--")</f>
        <v>--</v>
      </c>
      <c r="T67" s="153" t="str">
        <f>IFERROR(_xll.qlRateHelperPillarDate(M67,Trigger),"--")</f>
        <v>--</v>
      </c>
      <c r="V67" s="4" t="str">
        <f t="shared" ref="V67:V79" si="16">IFERROR(INDEX($L$3:$L$79,MATCH(X67,$N$3:$N$79,0),1),"")</f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3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151</v>
      </c>
      <c r="B68" s="65" t="s">
        <v>129</v>
      </c>
      <c r="C68" s="66" t="s">
        <v>6</v>
      </c>
      <c r="D68" s="66" t="s">
        <v>153</v>
      </c>
      <c r="E68" s="66" t="s">
        <v>7</v>
      </c>
      <c r="F68" s="66" t="s">
        <v>154</v>
      </c>
      <c r="G68" s="66" t="str">
        <f t="shared" si="13"/>
        <v>JpyLibor3M</v>
      </c>
      <c r="H68" s="64" t="str">
        <f t="shared" si="14"/>
        <v>JPYSB6L17Y_Quote</v>
      </c>
      <c r="I68" s="138" t="str">
        <f t="shared" si="15"/>
        <v>JPY3L6L17Y_Quote</v>
      </c>
      <c r="J68" s="70"/>
      <c r="L68" s="77" t="str">
        <f>A74</f>
        <v>BasSW</v>
      </c>
      <c r="M68" s="151" t="str">
        <f>IF(ISBLANK(J74),"--",J74)</f>
        <v>--</v>
      </c>
      <c r="N68" s="159" t="str">
        <f>IFERROR(_xll.qlRateHelperQuoteName(M68,Trigger),"--")</f>
        <v>--</v>
      </c>
      <c r="O68" s="152" t="str">
        <f>IFERROR(_xll.qlRateHelperQuoteValue($M68,Trigger),"--")</f>
        <v>--</v>
      </c>
      <c r="P68" s="151" t="b">
        <v>0</v>
      </c>
      <c r="Q68" s="151">
        <v>40</v>
      </c>
      <c r="R68" s="151">
        <v>1</v>
      </c>
      <c r="S68" s="153" t="str">
        <f>IFERROR(_xll.qlRateHelperEarliestDate(M68,Trigger),"--")</f>
        <v>--</v>
      </c>
      <c r="T68" s="153" t="str">
        <f>IFERROR(_xll.qlRateHelperPillarDate(M68,Trigger),"--")</f>
        <v>--</v>
      </c>
      <c r="V68" s="4" t="str">
        <f t="shared" si="16"/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3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151</v>
      </c>
      <c r="B69" s="65" t="s">
        <v>130</v>
      </c>
      <c r="C69" s="66" t="s">
        <v>6</v>
      </c>
      <c r="D69" s="66" t="s">
        <v>153</v>
      </c>
      <c r="E69" s="66" t="s">
        <v>7</v>
      </c>
      <c r="F69" s="66" t="s">
        <v>154</v>
      </c>
      <c r="G69" s="66" t="str">
        <f t="shared" si="13"/>
        <v>JpyLibor3M</v>
      </c>
      <c r="H69" s="64" t="str">
        <f t="shared" si="14"/>
        <v>JPYSB6L18Y_Quote</v>
      </c>
      <c r="I69" s="138" t="str">
        <f t="shared" si="15"/>
        <v>JPY3L6L18Y_Quote</v>
      </c>
      <c r="J69" s="70"/>
      <c r="L69" s="77" t="str">
        <f>A75</f>
        <v>BasSW</v>
      </c>
      <c r="M69" s="151" t="str">
        <f>IF(ISBLANK(J75),"--",J75)</f>
        <v>--</v>
      </c>
      <c r="N69" s="159" t="str">
        <f>IFERROR(_xll.qlRateHelperQuoteName(M69,Trigger),"--")</f>
        <v>--</v>
      </c>
      <c r="O69" s="152" t="str">
        <f>IFERROR(_xll.qlRateHelperQuoteValue($M69,Trigger),"--")</f>
        <v>--</v>
      </c>
      <c r="P69" s="151" t="b">
        <v>0</v>
      </c>
      <c r="Q69" s="151">
        <v>40</v>
      </c>
      <c r="R69" s="151">
        <v>1</v>
      </c>
      <c r="S69" s="153" t="str">
        <f>IFERROR(_xll.qlRateHelperEarliestDate(M69,Trigger),"--")</f>
        <v>--</v>
      </c>
      <c r="T69" s="153" t="str">
        <f>IFERROR(_xll.qlRateHelperPillarDate(M69,Trigger),"--")</f>
        <v>--</v>
      </c>
      <c r="V69" s="4" t="str">
        <f t="shared" si="16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3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151</v>
      </c>
      <c r="B70" s="65" t="s">
        <v>131</v>
      </c>
      <c r="C70" s="66" t="s">
        <v>6</v>
      </c>
      <c r="D70" s="66" t="s">
        <v>153</v>
      </c>
      <c r="E70" s="66" t="s">
        <v>7</v>
      </c>
      <c r="F70" s="66" t="s">
        <v>154</v>
      </c>
      <c r="G70" s="66" t="str">
        <f t="shared" si="13"/>
        <v>JpyLibor3M</v>
      </c>
      <c r="H70" s="64" t="str">
        <f t="shared" si="14"/>
        <v>JPYSB6L19Y_Quote</v>
      </c>
      <c r="I70" s="138" t="str">
        <f t="shared" si="15"/>
        <v>JPY3L6L19Y_Quote</v>
      </c>
      <c r="J70" s="70"/>
      <c r="L70" s="77" t="str">
        <f>A76</f>
        <v>BasSW</v>
      </c>
      <c r="M70" s="151" t="str">
        <f>IF(ISBLANK(J76),"--",J76)</f>
        <v>--</v>
      </c>
      <c r="N70" s="159" t="str">
        <f>IFERROR(_xll.qlRateHelperQuoteName(M70,Trigger),"--")</f>
        <v>--</v>
      </c>
      <c r="O70" s="152" t="str">
        <f>IFERROR(_xll.qlRateHelperQuoteValue($M70,Trigger),"--")</f>
        <v>--</v>
      </c>
      <c r="P70" s="151" t="b">
        <v>0</v>
      </c>
      <c r="Q70" s="151">
        <v>40</v>
      </c>
      <c r="R70" s="151">
        <v>1</v>
      </c>
      <c r="S70" s="153" t="str">
        <f>IFERROR(_xll.qlRateHelperEarliestDate(M70,Trigger),"--")</f>
        <v>--</v>
      </c>
      <c r="T70" s="153" t="str">
        <f>IFERROR(_xll.qlRateHelperPillarDate(M70,Trigger),"--")</f>
        <v>--</v>
      </c>
      <c r="V70" s="4" t="str">
        <f t="shared" si="16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3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151</v>
      </c>
      <c r="B71" s="65" t="s">
        <v>85</v>
      </c>
      <c r="C71" s="66" t="s">
        <v>6</v>
      </c>
      <c r="D71" s="66" t="s">
        <v>153</v>
      </c>
      <c r="E71" s="66" t="s">
        <v>7</v>
      </c>
      <c r="F71" s="66" t="s">
        <v>154</v>
      </c>
      <c r="G71" s="66" t="str">
        <f t="shared" si="13"/>
        <v>JpyLibor3M</v>
      </c>
      <c r="H71" s="64" t="str">
        <f t="shared" si="14"/>
        <v>JPYSB6L20Y_Quote</v>
      </c>
      <c r="I71" s="138" t="str">
        <f t="shared" si="15"/>
        <v>JPY3L6L20Y_Quote</v>
      </c>
      <c r="J71" s="70" t="str">
        <f>_xll.qlSwapRateHelper2(,H71,2,B71,JoinCalendar,+D71,E71,F71,G71,I71,C71,Discounting,PillarDate,,,Trigger)</f>
        <v>obj_0021c#0005</v>
      </c>
      <c r="L71" s="77" t="str">
        <f>A77</f>
        <v>BasSW</v>
      </c>
      <c r="M71" s="151" t="str">
        <f>IF(ISBLANK(J77),"--",J77)</f>
        <v>--</v>
      </c>
      <c r="N71" s="159" t="str">
        <f>IFERROR(_xll.qlRateHelperQuoteName(M71,Trigger),"--")</f>
        <v>--</v>
      </c>
      <c r="O71" s="152" t="str">
        <f>IFERROR(_xll.qlRateHelperQuoteValue($M71,Trigger),"--")</f>
        <v>--</v>
      </c>
      <c r="P71" s="151" t="b">
        <v>0</v>
      </c>
      <c r="Q71" s="151">
        <v>40</v>
      </c>
      <c r="R71" s="151">
        <v>1</v>
      </c>
      <c r="S71" s="153" t="str">
        <f>IFERROR(_xll.qlRateHelperEarliestDate(M71,Trigger),"--")</f>
        <v>--</v>
      </c>
      <c r="T71" s="153" t="str">
        <f>IFERROR(_xll.qlRateHelperPillarDate(M71,Trigger),"--")</f>
        <v>--</v>
      </c>
      <c r="V71" s="4" t="str">
        <f t="shared" si="16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3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151</v>
      </c>
      <c r="B72" s="65" t="s">
        <v>132</v>
      </c>
      <c r="C72" s="66" t="s">
        <v>6</v>
      </c>
      <c r="D72" s="66" t="s">
        <v>153</v>
      </c>
      <c r="E72" s="66" t="s">
        <v>7</v>
      </c>
      <c r="F72" s="66" t="s">
        <v>154</v>
      </c>
      <c r="G72" s="66" t="str">
        <f t="shared" si="13"/>
        <v>JpyLibor3M</v>
      </c>
      <c r="H72" s="64" t="str">
        <f t="shared" si="14"/>
        <v>JPYSB6L21Y_Quote</v>
      </c>
      <c r="I72" s="138" t="str">
        <f t="shared" si="15"/>
        <v>JPY3L6L21Y_Quote</v>
      </c>
      <c r="J72" s="70"/>
      <c r="L72" s="77" t="str">
        <f>A78</f>
        <v>BasSW</v>
      </c>
      <c r="M72" s="151" t="str">
        <f>IF(ISBLANK(J78),"--",J78)</f>
        <v>--</v>
      </c>
      <c r="N72" s="159" t="str">
        <f>IFERROR(_xll.qlRateHelperQuoteName(M72,Trigger),"--")</f>
        <v>--</v>
      </c>
      <c r="O72" s="152" t="str">
        <f>IFERROR(_xll.qlRateHelperQuoteValue($M72,Trigger),"--")</f>
        <v>--</v>
      </c>
      <c r="P72" s="151" t="b">
        <v>0</v>
      </c>
      <c r="Q72" s="151">
        <v>40</v>
      </c>
      <c r="R72" s="151">
        <v>1</v>
      </c>
      <c r="S72" s="153" t="str">
        <f>IFERROR(_xll.qlRateHelperEarliestDate(M72,Trigger),"--")</f>
        <v>--</v>
      </c>
      <c r="T72" s="153" t="str">
        <f>IFERROR(_xll.qlRateHelperPillarDate(M72,Trigger),"--")</f>
        <v>--</v>
      </c>
      <c r="V72" s="4" t="str">
        <f t="shared" si="16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3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151</v>
      </c>
      <c r="B73" s="65" t="s">
        <v>133</v>
      </c>
      <c r="C73" s="66" t="s">
        <v>6</v>
      </c>
      <c r="D73" s="66" t="s">
        <v>153</v>
      </c>
      <c r="E73" s="66" t="s">
        <v>7</v>
      </c>
      <c r="F73" s="66" t="s">
        <v>154</v>
      </c>
      <c r="G73" s="66" t="str">
        <f t="shared" si="13"/>
        <v>JpyLibor3M</v>
      </c>
      <c r="H73" s="64" t="str">
        <f t="shared" si="14"/>
        <v>JPYSB6L22Y_Quote</v>
      </c>
      <c r="I73" s="138" t="str">
        <f t="shared" si="15"/>
        <v>JPY3L6L22Y_Quote</v>
      </c>
      <c r="J73" s="70"/>
      <c r="L73" s="77" t="str">
        <f>A79</f>
        <v>BasSW</v>
      </c>
      <c r="M73" s="151" t="str">
        <f>IF(ISBLANK(J79),"--",J79)</f>
        <v>--</v>
      </c>
      <c r="N73" s="159" t="str">
        <f>IFERROR(_xll.qlRateHelperQuoteName(M73,Trigger),"--")</f>
        <v>--</v>
      </c>
      <c r="O73" s="152" t="str">
        <f>IFERROR(_xll.qlRateHelperQuoteValue($M73,Trigger),"--")</f>
        <v>--</v>
      </c>
      <c r="P73" s="151" t="b">
        <v>0</v>
      </c>
      <c r="Q73" s="151">
        <v>40</v>
      </c>
      <c r="R73" s="151">
        <v>1</v>
      </c>
      <c r="S73" s="153" t="str">
        <f>IFERROR(_xll.qlRateHelperEarliestDate(M73,Trigger),"--")</f>
        <v>--</v>
      </c>
      <c r="T73" s="153" t="str">
        <f>IFERROR(_xll.qlRateHelperPillarDate(M73,Trigger),"--")</f>
        <v>--</v>
      </c>
      <c r="V73" s="4" t="str">
        <f t="shared" si="16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3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151</v>
      </c>
      <c r="B74" s="65" t="s">
        <v>134</v>
      </c>
      <c r="C74" s="66" t="s">
        <v>6</v>
      </c>
      <c r="D74" s="66" t="s">
        <v>153</v>
      </c>
      <c r="E74" s="66" t="s">
        <v>7</v>
      </c>
      <c r="F74" s="66" t="s">
        <v>154</v>
      </c>
      <c r="G74" s="66" t="str">
        <f t="shared" si="13"/>
        <v>JpyLibor3M</v>
      </c>
      <c r="H74" s="64" t="str">
        <f t="shared" si="14"/>
        <v>JPYSB6L23Y_Quote</v>
      </c>
      <c r="I74" s="138" t="str">
        <f t="shared" si="15"/>
        <v>JPY3L6L23Y_Quote</v>
      </c>
      <c r="J74" s="70"/>
      <c r="L74" s="77" t="str">
        <f>A80</f>
        <v>BasSW</v>
      </c>
      <c r="M74" s="151" t="str">
        <f>IF(ISBLANK(J80),"--",J80)</f>
        <v>--</v>
      </c>
      <c r="N74" s="159" t="str">
        <f>IFERROR(_xll.qlRateHelperQuoteName(M74,Trigger),"--")</f>
        <v>--</v>
      </c>
      <c r="O74" s="152" t="str">
        <f>IFERROR(_xll.qlRateHelperQuoteValue($M74,Trigger),"--")</f>
        <v>--</v>
      </c>
      <c r="P74" s="151" t="b">
        <v>0</v>
      </c>
      <c r="Q74" s="151">
        <v>40</v>
      </c>
      <c r="R74" s="151">
        <v>1</v>
      </c>
      <c r="S74" s="153" t="str">
        <f>IFERROR(_xll.qlRateHelperEarliestDate(M74,Trigger),"--")</f>
        <v>--</v>
      </c>
      <c r="T74" s="153" t="str">
        <f>IFERROR(_xll.qlRateHelperPillarDate(M74,Trigger),"--")</f>
        <v>--</v>
      </c>
      <c r="V74" s="4" t="str">
        <f t="shared" si="16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3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151</v>
      </c>
      <c r="B75" s="65" t="s">
        <v>135</v>
      </c>
      <c r="C75" s="66" t="s">
        <v>6</v>
      </c>
      <c r="D75" s="66" t="s">
        <v>153</v>
      </c>
      <c r="E75" s="66" t="s">
        <v>7</v>
      </c>
      <c r="F75" s="66" t="s">
        <v>154</v>
      </c>
      <c r="G75" s="66" t="str">
        <f t="shared" si="13"/>
        <v>JpyLibor3M</v>
      </c>
      <c r="H75" s="64" t="str">
        <f t="shared" si="14"/>
        <v>JPYSB6L24Y_Quote</v>
      </c>
      <c r="I75" s="138" t="str">
        <f t="shared" si="15"/>
        <v>JPY3L6L24Y_Quote</v>
      </c>
      <c r="J75" s="70"/>
      <c r="L75" s="77" t="str">
        <f>A81</f>
        <v>BasSW</v>
      </c>
      <c r="M75" s="151" t="str">
        <f>IF(ISBLANK(J81),"--",J81)</f>
        <v>obj_0021d#0005</v>
      </c>
      <c r="N75" s="159" t="str">
        <f>IFERROR(_xll.qlRateHelperQuoteName(M75,Trigger),"--")</f>
        <v>JPYSB6L30Y_Quote</v>
      </c>
      <c r="O75" s="152">
        <f>IFERROR(_xll.qlRateHelperQuoteValue($M75,Trigger),"--")</f>
        <v>6.2000000000000006E-3</v>
      </c>
      <c r="P75" s="151" t="b">
        <v>1</v>
      </c>
      <c r="Q75" s="151">
        <v>40</v>
      </c>
      <c r="R75" s="151">
        <v>1</v>
      </c>
      <c r="S75" s="153">
        <f>IFERROR(_xll.qlRateHelperEarliestDate(M75,Trigger),"--")</f>
        <v>42500</v>
      </c>
      <c r="T75" s="153">
        <f>IFERROR(_xll.qlRateHelperPillarDate(M75,Trigger),"--")</f>
        <v>53457</v>
      </c>
      <c r="V75" s="4" t="str">
        <f t="shared" si="16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3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151</v>
      </c>
      <c r="B76" s="65" t="s">
        <v>86</v>
      </c>
      <c r="C76" s="66" t="s">
        <v>6</v>
      </c>
      <c r="D76" s="66" t="s">
        <v>153</v>
      </c>
      <c r="E76" s="66" t="s">
        <v>7</v>
      </c>
      <c r="F76" s="66" t="s">
        <v>154</v>
      </c>
      <c r="G76" s="66" t="str">
        <f t="shared" si="13"/>
        <v>JpyLibor3M</v>
      </c>
      <c r="H76" s="64" t="str">
        <f t="shared" si="14"/>
        <v>JPYSB6L25Y_Quote</v>
      </c>
      <c r="I76" s="138" t="str">
        <f t="shared" si="15"/>
        <v>JPY3L6L25Y_Quote</v>
      </c>
      <c r="J76" s="70"/>
      <c r="L76" s="77" t="str">
        <f>A82</f>
        <v>BasSW</v>
      </c>
      <c r="M76" s="151" t="str">
        <f>IF(ISBLANK(J82),"--",J82)</f>
        <v>--</v>
      </c>
      <c r="N76" s="159" t="str">
        <f>IFERROR(_xll.qlRateHelperQuoteName(M76,Trigger),"--")</f>
        <v>--</v>
      </c>
      <c r="O76" s="152" t="str">
        <f>IFERROR(_xll.qlRateHelperQuoteValue($M76,Trigger),"--")</f>
        <v>--</v>
      </c>
      <c r="P76" s="151" t="b">
        <v>0</v>
      </c>
      <c r="Q76" s="151">
        <v>40</v>
      </c>
      <c r="R76" s="151">
        <v>1</v>
      </c>
      <c r="S76" s="153" t="str">
        <f>IFERROR(_xll.qlRateHelperEarliestDate(M76,Trigger),"--")</f>
        <v>--</v>
      </c>
      <c r="T76" s="153" t="str">
        <f>IFERROR(_xll.qlRateHelperPillarDate(M76,Trigger),"--")</f>
        <v>--</v>
      </c>
      <c r="V76" s="4" t="str">
        <f t="shared" si="16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3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151</v>
      </c>
      <c r="B77" s="65" t="s">
        <v>136</v>
      </c>
      <c r="C77" s="66" t="s">
        <v>6</v>
      </c>
      <c r="D77" s="66" t="s">
        <v>153</v>
      </c>
      <c r="E77" s="66" t="s">
        <v>7</v>
      </c>
      <c r="F77" s="66" t="s">
        <v>154</v>
      </c>
      <c r="G77" s="66" t="str">
        <f t="shared" si="13"/>
        <v>JpyLibor3M</v>
      </c>
      <c r="H77" s="64" t="str">
        <f t="shared" si="14"/>
        <v>JPYSB6L26Y_Quote</v>
      </c>
      <c r="I77" s="138" t="str">
        <f t="shared" si="15"/>
        <v>JPY3L6L26Y_Quote</v>
      </c>
      <c r="J77" s="70"/>
      <c r="L77" s="77" t="str">
        <f>A83</f>
        <v>BasSW</v>
      </c>
      <c r="M77" s="151" t="str">
        <f>IF(ISBLANK(J83),"--",J83)</f>
        <v>--</v>
      </c>
      <c r="N77" s="159" t="str">
        <f>IFERROR(_xll.qlRateHelperQuoteName(M77,Trigger),"--")</f>
        <v>--</v>
      </c>
      <c r="O77" s="152" t="str">
        <f>IFERROR(_xll.qlRateHelperQuoteValue($M77,Trigger),"--")</f>
        <v>--</v>
      </c>
      <c r="P77" s="151" t="b">
        <v>0</v>
      </c>
      <c r="Q77" s="151">
        <v>40</v>
      </c>
      <c r="R77" s="151">
        <v>1</v>
      </c>
      <c r="S77" s="153" t="str">
        <f>IFERROR(_xll.qlRateHelperEarliestDate(M77,Trigger),"--")</f>
        <v>--</v>
      </c>
      <c r="T77" s="153" t="str">
        <f>IFERROR(_xll.qlRateHelperPillarDate(M77,Trigger),"--")</f>
        <v>--</v>
      </c>
      <c r="V77" s="4" t="str">
        <f t="shared" si="16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3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151</v>
      </c>
      <c r="B78" s="65" t="s">
        <v>87</v>
      </c>
      <c r="C78" s="66" t="s">
        <v>6</v>
      </c>
      <c r="D78" s="66" t="s">
        <v>153</v>
      </c>
      <c r="E78" s="66" t="s">
        <v>7</v>
      </c>
      <c r="F78" s="66" t="s">
        <v>154</v>
      </c>
      <c r="G78" s="66" t="str">
        <f t="shared" si="13"/>
        <v>JpyLibor3M</v>
      </c>
      <c r="H78" s="64" t="str">
        <f t="shared" si="14"/>
        <v>JPYSB6L27Y_Quote</v>
      </c>
      <c r="I78" s="138" t="str">
        <f t="shared" si="15"/>
        <v>JPY3L6L27Y_Quote</v>
      </c>
      <c r="J78" s="70"/>
      <c r="L78" s="77" t="str">
        <f>A84</f>
        <v>BasSW</v>
      </c>
      <c r="M78" s="151" t="str">
        <f>IF(ISBLANK(J84),"--",J84)</f>
        <v>--</v>
      </c>
      <c r="N78" s="159" t="str">
        <f>IFERROR(_xll.qlRateHelperQuoteName(M78,Trigger),"--")</f>
        <v>--</v>
      </c>
      <c r="O78" s="152" t="str">
        <f>IFERROR(_xll.qlRateHelperQuoteValue($M78,Trigger),"--")</f>
        <v>--</v>
      </c>
      <c r="P78" s="151" t="b">
        <v>0</v>
      </c>
      <c r="Q78" s="151">
        <v>40</v>
      </c>
      <c r="R78" s="151">
        <v>1</v>
      </c>
      <c r="S78" s="153" t="str">
        <f>IFERROR(_xll.qlRateHelperEarliestDate(M78,Trigger),"--")</f>
        <v>--</v>
      </c>
      <c r="T78" s="153" t="str">
        <f>IFERROR(_xll.qlRateHelperPillarDate(M78,Trigger),"--")</f>
        <v>--</v>
      </c>
      <c r="V78" s="4" t="str">
        <f t="shared" si="16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3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151</v>
      </c>
      <c r="B79" s="65" t="s">
        <v>137</v>
      </c>
      <c r="C79" s="66" t="s">
        <v>6</v>
      </c>
      <c r="D79" s="66" t="s">
        <v>153</v>
      </c>
      <c r="E79" s="66" t="s">
        <v>7</v>
      </c>
      <c r="F79" s="66" t="s">
        <v>154</v>
      </c>
      <c r="G79" s="66" t="str">
        <f t="shared" si="13"/>
        <v>JpyLibor3M</v>
      </c>
      <c r="H79" s="64" t="str">
        <f t="shared" si="14"/>
        <v>JPYSB6L28Y_Quote</v>
      </c>
      <c r="I79" s="138" t="str">
        <f t="shared" si="15"/>
        <v>JPY3L6L28Y_Quote</v>
      </c>
      <c r="J79" s="70"/>
      <c r="L79" s="78" t="str">
        <f>A85</f>
        <v>BasSW</v>
      </c>
      <c r="M79" s="154" t="str">
        <f>IF(ISBLANK(J85),"--",J85)</f>
        <v>--</v>
      </c>
      <c r="N79" s="164" t="str">
        <f>IFERROR(_xll.qlRateHelperQuoteName(M79,Trigger),"--")</f>
        <v>--</v>
      </c>
      <c r="O79" s="165" t="str">
        <f>IFERROR(_xll.qlRateHelperQuoteValue($M79,Trigger),"--")</f>
        <v>--</v>
      </c>
      <c r="P79" s="154" t="b">
        <v>0</v>
      </c>
      <c r="Q79" s="154">
        <v>40</v>
      </c>
      <c r="R79" s="154">
        <v>1</v>
      </c>
      <c r="S79" s="163" t="str">
        <f>IFERROR(_xll.qlRateHelperEarliestDate(M79,Trigger),"--")</f>
        <v>--</v>
      </c>
      <c r="T79" s="163" t="str">
        <f>IFERROR(_xll.qlRateHelperPillarDate(M79,Trigger),"--")</f>
        <v>--</v>
      </c>
      <c r="V79" s="6" t="str">
        <f t="shared" si="16"/>
        <v/>
      </c>
      <c r="W79" s="6" t="e">
        <v>#N/A</v>
      </c>
      <c r="X79" s="6" t="str">
        <f>IFERROR(_xll.qlRateHelperQuoteName(W79,Trigger),"")</f>
        <v/>
      </c>
      <c r="Y79" s="86" t="str">
        <f>IFERROR(_xll.qlRateHelperRate(W79,Trigger),"")</f>
        <v/>
      </c>
      <c r="Z79" s="114" t="str">
        <f>IF(ISERROR(_xll.qlSwapRateHelperSpread($W79)),IF(ISERROR(_xll.qlFuturesRateHelperConvexityAdjustment($W79)),"",_xll.qlFuturesRateHelperConvexityAdjustment($W79)),_xll.qlSwapRateHelperSpread($W79))</f>
        <v/>
      </c>
      <c r="AA79" s="13" t="str">
        <f>IFERROR(_xll.qlRateHelperEarliestDate(W79,Trigger),"")</f>
        <v/>
      </c>
      <c r="AB79" s="13" t="str">
        <f>IFERROR(_xll.qlRateHelperPillarDate(W79,Trigger),"")</f>
        <v/>
      </c>
      <c r="AC79" s="85" t="e">
        <v>#N/A</v>
      </c>
    </row>
    <row r="80" spans="1:29" ht="11.25" customHeight="1" x14ac:dyDescent="0.2">
      <c r="A80" s="64" t="s">
        <v>151</v>
      </c>
      <c r="B80" s="65" t="s">
        <v>138</v>
      </c>
      <c r="C80" s="66" t="s">
        <v>6</v>
      </c>
      <c r="D80" s="66" t="s">
        <v>153</v>
      </c>
      <c r="E80" s="66" t="s">
        <v>7</v>
      </c>
      <c r="F80" s="66" t="s">
        <v>154</v>
      </c>
      <c r="G80" s="66" t="str">
        <f t="shared" si="13"/>
        <v>JpyLibor3M</v>
      </c>
      <c r="H80" s="64" t="str">
        <f t="shared" si="14"/>
        <v>JPYSB6L29Y_Quote</v>
      </c>
      <c r="I80" s="138" t="str">
        <f t="shared" si="15"/>
        <v>JPY3L6L29Y_Quote</v>
      </c>
      <c r="J80" s="70"/>
    </row>
    <row r="81" spans="1:11" x14ac:dyDescent="0.2">
      <c r="A81" s="64" t="s">
        <v>151</v>
      </c>
      <c r="B81" s="65" t="s">
        <v>88</v>
      </c>
      <c r="C81" s="66" t="s">
        <v>6</v>
      </c>
      <c r="D81" s="66" t="s">
        <v>153</v>
      </c>
      <c r="E81" s="66" t="s">
        <v>7</v>
      </c>
      <c r="F81" s="66" t="s">
        <v>154</v>
      </c>
      <c r="G81" s="66" t="str">
        <f t="shared" si="13"/>
        <v>JpyLibor3M</v>
      </c>
      <c r="H81" s="64" t="str">
        <f t="shared" si="14"/>
        <v>JPYSB6L30Y_Quote</v>
      </c>
      <c r="I81" s="138" t="str">
        <f t="shared" si="15"/>
        <v>JPY3L6L30Y_Quote</v>
      </c>
      <c r="J81" s="70" t="str">
        <f>_xll.qlSwapRateHelper2(,H81,2,B81,JoinCalendar,+D81,E81,F81,G81,I81,C81,Discounting,PillarDate,,,Trigger)</f>
        <v>obj_0021d#0005</v>
      </c>
    </row>
    <row r="82" spans="1:11" x14ac:dyDescent="0.2">
      <c r="A82" s="64" t="s">
        <v>151</v>
      </c>
      <c r="B82" s="65" t="s">
        <v>89</v>
      </c>
      <c r="C82" s="66" t="s">
        <v>6</v>
      </c>
      <c r="D82" s="66" t="s">
        <v>153</v>
      </c>
      <c r="E82" s="66" t="s">
        <v>7</v>
      </c>
      <c r="F82" s="66" t="s">
        <v>154</v>
      </c>
      <c r="G82" s="66" t="str">
        <f t="shared" si="13"/>
        <v>JpyLibor3M</v>
      </c>
      <c r="H82" s="64" t="str">
        <f t="shared" si="14"/>
        <v>JPYSB6L35Y_Quote</v>
      </c>
      <c r="I82" s="138" t="str">
        <f t="shared" si="15"/>
        <v>JPY3L6L35Y_Quote</v>
      </c>
      <c r="J82" s="70"/>
    </row>
    <row r="83" spans="1:11" x14ac:dyDescent="0.2">
      <c r="A83" s="64" t="s">
        <v>151</v>
      </c>
      <c r="B83" s="65" t="s">
        <v>90</v>
      </c>
      <c r="C83" s="66" t="s">
        <v>6</v>
      </c>
      <c r="D83" s="66" t="s">
        <v>153</v>
      </c>
      <c r="E83" s="66" t="s">
        <v>7</v>
      </c>
      <c r="F83" s="66" t="s">
        <v>154</v>
      </c>
      <c r="G83" s="66" t="str">
        <f t="shared" si="13"/>
        <v>JpyLibor3M</v>
      </c>
      <c r="H83" s="64" t="str">
        <f t="shared" si="14"/>
        <v>JPYSB6L40Y_Quote</v>
      </c>
      <c r="I83" s="136" t="str">
        <f t="shared" si="15"/>
        <v>JPY3L6L40Y_Quote</v>
      </c>
      <c r="J83" s="70"/>
    </row>
    <row r="84" spans="1:11" x14ac:dyDescent="0.2">
      <c r="A84" s="64" t="s">
        <v>151</v>
      </c>
      <c r="B84" s="65" t="s">
        <v>92</v>
      </c>
      <c r="C84" s="66" t="s">
        <v>6</v>
      </c>
      <c r="D84" s="66" t="s">
        <v>153</v>
      </c>
      <c r="E84" s="66" t="s">
        <v>7</v>
      </c>
      <c r="F84" s="66" t="s">
        <v>154</v>
      </c>
      <c r="G84" s="66" t="str">
        <f t="shared" si="13"/>
        <v>JpyLibor3M</v>
      </c>
      <c r="H84" s="64" t="str">
        <f t="shared" si="14"/>
        <v>JPYSB6L50Y_Quote</v>
      </c>
      <c r="I84" s="136" t="str">
        <f t="shared" si="15"/>
        <v>JPY3L6L50Y_Quote</v>
      </c>
      <c r="J84" s="70"/>
    </row>
    <row r="85" spans="1:11" x14ac:dyDescent="0.2">
      <c r="A85" s="1" t="s">
        <v>151</v>
      </c>
      <c r="B85" s="9" t="s">
        <v>139</v>
      </c>
      <c r="C85" s="7" t="s">
        <v>6</v>
      </c>
      <c r="D85" s="7" t="s">
        <v>153</v>
      </c>
      <c r="E85" s="7" t="s">
        <v>7</v>
      </c>
      <c r="F85" s="7" t="s">
        <v>154</v>
      </c>
      <c r="G85" s="7" t="str">
        <f t="shared" si="13"/>
        <v>JpyLibor3M</v>
      </c>
      <c r="H85" s="1" t="str">
        <f t="shared" si="14"/>
        <v>JPYSB6L60Y_Quote</v>
      </c>
      <c r="I85" s="139" t="str">
        <f t="shared" si="15"/>
        <v>JPY3L6L60Y_Quote</v>
      </c>
      <c r="J85" s="3"/>
    </row>
    <row r="90" spans="1:11" x14ac:dyDescent="0.2">
      <c r="K90" s="51" t="s">
        <v>40</v>
      </c>
    </row>
  </sheetData>
  <mergeCells count="1">
    <mergeCell ref="AF2:AJ2"/>
  </mergeCells>
  <dataValidations count="4">
    <dataValidation type="list" allowBlank="1" showInputMessage="1" showErrorMessage="1" sqref="D49:D85">
      <formula1>"Annual,Semiannual,EveryFourthMonth,Quarterly,Bimonthly,Monthly,Biweekly,Weekly,Daily,Once,NoFrequency"</formula1>
    </dataValidation>
    <dataValidation type="list" allowBlank="1" showInputMessage="1" showErrorMessage="1" sqref="E49:E85">
      <formula1>"Following,Modified Following,Preceding,Modified Preceding,Unadjusted,Half-Month Modified Following"</formula1>
    </dataValidation>
    <dataValidation type="list" allowBlank="1" showInputMessage="1" showErrorMessage="1" sqref="F49:F8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2" hidden="1" customWidth="1" outlineLevel="1"/>
    <col min="14" max="14" width="22.42578125" style="112" hidden="1" customWidth="1" outlineLevel="1"/>
    <col min="15" max="15" width="9.7109375" style="112" hidden="1" customWidth="1" outlineLevel="1"/>
    <col min="16" max="16" width="7.85546875" style="112" hidden="1" customWidth="1" outlineLevel="1"/>
    <col min="17" max="17" width="9" style="112" hidden="1" customWidth="1" outlineLevel="1"/>
    <col min="18" max="18" width="5.85546875" style="112" hidden="1" customWidth="1" outlineLevel="1"/>
    <col min="19" max="20" width="10.7109375" style="112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1" width="2.7109375" style="182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16384" width="9.140625" style="51"/>
  </cols>
  <sheetData>
    <row r="1" spans="1:38" ht="18" customHeight="1" x14ac:dyDescent="0.2">
      <c r="G1" s="55" t="s">
        <v>3</v>
      </c>
      <c r="H1" s="55" t="str">
        <f>"_SYNTH"&amp;Tenor</f>
        <v>_SYNTH6M</v>
      </c>
      <c r="L1" s="73" t="s">
        <v>23</v>
      </c>
      <c r="M1" s="115"/>
      <c r="N1" s="115"/>
      <c r="O1" s="115"/>
      <c r="P1" s="115"/>
      <c r="Q1" s="115"/>
      <c r="R1" s="115"/>
      <c r="S1" s="115"/>
      <c r="T1" s="105"/>
      <c r="U1" s="102"/>
      <c r="V1" s="81" t="str">
        <f>Currency&amp;Tenor</f>
        <v>JPY6M</v>
      </c>
      <c r="W1" s="72"/>
      <c r="X1" s="72"/>
      <c r="Y1" s="75"/>
      <c r="Z1" s="75"/>
      <c r="AA1" s="72"/>
      <c r="AB1" s="72"/>
      <c r="AC1" s="79" t="s">
        <v>30</v>
      </c>
    </row>
    <row r="2" spans="1:38" ht="21.75" customHeight="1" x14ac:dyDescent="0.2">
      <c r="A2" s="71" t="s">
        <v>8</v>
      </c>
      <c r="B2" s="71" t="s">
        <v>27</v>
      </c>
      <c r="C2" s="71" t="s">
        <v>117</v>
      </c>
      <c r="D2" s="71"/>
      <c r="E2" s="71"/>
      <c r="F2" s="71"/>
      <c r="G2" s="71" t="s">
        <v>4</v>
      </c>
      <c r="H2" s="71" t="s">
        <v>1</v>
      </c>
      <c r="I2" s="71"/>
      <c r="J2" s="71" t="s">
        <v>23</v>
      </c>
      <c r="L2" s="80" t="s">
        <v>8</v>
      </c>
      <c r="M2" s="80" t="s">
        <v>23</v>
      </c>
      <c r="N2" s="80" t="s">
        <v>104</v>
      </c>
      <c r="O2" s="80" t="s">
        <v>107</v>
      </c>
      <c r="P2" s="80" t="s">
        <v>105</v>
      </c>
      <c r="Q2" s="80" t="s">
        <v>106</v>
      </c>
      <c r="R2" s="80" t="s">
        <v>108</v>
      </c>
      <c r="S2" s="80" t="s">
        <v>21</v>
      </c>
      <c r="T2" s="80" t="s">
        <v>101</v>
      </c>
      <c r="U2" s="102"/>
      <c r="V2" s="80" t="s">
        <v>8</v>
      </c>
      <c r="W2" s="80" t="s">
        <v>23</v>
      </c>
      <c r="X2" s="80" t="s">
        <v>104</v>
      </c>
      <c r="Y2" s="82" t="s">
        <v>22</v>
      </c>
      <c r="Z2" s="82" t="s">
        <v>109</v>
      </c>
      <c r="AA2" s="80" t="s">
        <v>21</v>
      </c>
      <c r="AB2" s="80" t="s">
        <v>101</v>
      </c>
      <c r="AC2" s="83">
        <f t="array" ref="AC2:AC58">_xll.qlPiecewiseYieldCurveData(YieldCurve_6M,Trigger)</f>
        <v>1</v>
      </c>
      <c r="AF2" s="208" t="s">
        <v>110</v>
      </c>
      <c r="AG2" s="209"/>
      <c r="AH2" s="209"/>
      <c r="AI2" s="209"/>
      <c r="AJ2" s="210"/>
    </row>
    <row r="3" spans="1:38" ht="11.25" customHeight="1" x14ac:dyDescent="0.2">
      <c r="A3" s="119" t="s">
        <v>25</v>
      </c>
      <c r="B3" s="120" t="s">
        <v>97</v>
      </c>
      <c r="C3" s="121" t="s">
        <v>42</v>
      </c>
      <c r="D3" s="133"/>
      <c r="E3" s="133"/>
      <c r="F3" s="133"/>
      <c r="G3" s="122" t="str">
        <f>Currency&amp;"Tonar"</f>
        <v>JPYTonar</v>
      </c>
      <c r="H3" s="130" t="str">
        <f t="shared" ref="H3:H12" si="0">Currency&amp;$B3&amp;"D"&amp;$H$1&amp;QuoteSuffix</f>
        <v>JPYSND_SYNTH6M_Quote</v>
      </c>
      <c r="I3" s="133"/>
      <c r="J3" s="123"/>
      <c r="K3" s="54"/>
      <c r="L3" s="74" t="str">
        <f>A3</f>
        <v>Dp</v>
      </c>
      <c r="M3" s="141" t="str">
        <f>IF(ISBLANK(J3),"--",J3)</f>
        <v>--</v>
      </c>
      <c r="N3" s="155" t="str">
        <f>IFERROR(_xll.qlRateHelperQuoteName(M3,Trigger),"--")</f>
        <v>--</v>
      </c>
      <c r="O3" s="143" t="str">
        <f>IFERROR(_xll.qlRateHelperQuoteValue($M3,Trigger),"--")</f>
        <v>--</v>
      </c>
      <c r="P3" s="142" t="b">
        <v>0</v>
      </c>
      <c r="Q3" s="141">
        <v>10</v>
      </c>
      <c r="R3" s="141">
        <v>1</v>
      </c>
      <c r="S3" s="144" t="str">
        <f>IFERROR(_xll.qlRateHelperEarliestDate(M3,Trigger),"--")</f>
        <v>--</v>
      </c>
      <c r="T3" s="144" t="str">
        <f>IFERROR(_xll.qlRateHelperPillarDate(M3,Trigger),"--")</f>
        <v>--</v>
      </c>
      <c r="V3" s="4" t="str">
        <f t="shared" ref="V3:V34" si="1">IFERROR(INDEX($L$3:$L$80,MATCH(X3,$N$3:$N$80,0),1),"")</f>
        <v>Dp</v>
      </c>
      <c r="W3" s="4" t="str">
        <f t="array" ref="W3:W58">_xll.qlRateHelperSelection(_xll.ohFilter(RateHelpers,IncludeFlag),_xll.ohFilter(Priority,IncludeFlag),$AJ$3,$AJ$4,$AJ$5,$AJ$6,_xll.ohFilter(MinDistance,IncludeFlag),Trigger)</f>
        <v>obj_001f0</v>
      </c>
      <c r="X3" s="4" t="str">
        <f>IFERROR(_xll.qlRateHelperQuoteName(W3,Trigger),"")</f>
        <v>JPY1MD_SYNTH6M_Quote</v>
      </c>
      <c r="Y3" s="76">
        <f>IFERROR(_xll.qlRateHelperRate(W3,Trigger),"")</f>
        <v>-3.88E-4</v>
      </c>
      <c r="Z3" s="113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42496</v>
      </c>
      <c r="AB3" s="5">
        <f>IFERROR(_xll.qlRateHelperPillarDate(W3,Trigger),"")</f>
        <v>42527</v>
      </c>
      <c r="AC3" s="84">
        <v>1.0000334122274508</v>
      </c>
      <c r="AF3" s="201" t="s">
        <v>111</v>
      </c>
      <c r="AJ3" s="202">
        <v>0</v>
      </c>
    </row>
    <row r="4" spans="1:38" ht="11.25" customHeight="1" x14ac:dyDescent="0.2">
      <c r="A4" s="58" t="s">
        <v>25</v>
      </c>
      <c r="B4" s="59" t="s">
        <v>116</v>
      </c>
      <c r="C4" s="61" t="s">
        <v>43</v>
      </c>
      <c r="D4" s="140"/>
      <c r="E4" s="140"/>
      <c r="F4" s="140"/>
      <c r="G4" s="60" t="str">
        <f>PROPER(Currency)&amp;FamilyName&amp;B4</f>
        <v>JpyLiborSW</v>
      </c>
      <c r="H4" s="166" t="str">
        <f t="shared" si="0"/>
        <v>JPYSWD_SYNTH6M_Quote</v>
      </c>
      <c r="I4" s="140"/>
      <c r="J4" s="63"/>
      <c r="K4" s="53"/>
      <c r="L4" s="11" t="str">
        <f>A4</f>
        <v>Dp</v>
      </c>
      <c r="M4" s="103" t="str">
        <f>IF(ISBLANK(J4),"--",J4)</f>
        <v>--</v>
      </c>
      <c r="N4" s="156" t="str">
        <f>IFERROR(_xll.qlRateHelperQuoteName(M4,Trigger),"--")</f>
        <v>--</v>
      </c>
      <c r="O4" s="107" t="str">
        <f>IFERROR(_xll.qlRateHelperQuoteValue($M4,Trigger),"--")</f>
        <v>--</v>
      </c>
      <c r="P4" s="106" t="b">
        <v>0</v>
      </c>
      <c r="Q4" s="103">
        <v>10</v>
      </c>
      <c r="R4" s="103">
        <v>1</v>
      </c>
      <c r="S4" s="108" t="str">
        <f>IFERROR(_xll.qlRateHelperEarliestDate(M4,Trigger),"--")</f>
        <v>--</v>
      </c>
      <c r="T4" s="108" t="str">
        <f>IFERROR(_xll.qlRateHelperPillarDate(M4,Trigger),"--")</f>
        <v>--</v>
      </c>
      <c r="V4" s="4" t="str">
        <f t="shared" si="1"/>
        <v>Dp</v>
      </c>
      <c r="W4" s="4" t="str">
        <v>obj_001e7</v>
      </c>
      <c r="X4" s="4" t="str">
        <f>IFERROR(_xll.qlRateHelperQuoteName(W4,Trigger),"")</f>
        <v>JPY2MD_SYNTH6M_Quote</v>
      </c>
      <c r="Y4" s="76">
        <f>IFERROR(_xll.qlRateHelperRate(W4,Trigger),"")</f>
        <v>-1.7200000000000001E-4</v>
      </c>
      <c r="Z4" s="113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42496</v>
      </c>
      <c r="AB4" s="5">
        <f>IFERROR(_xll.qlRateHelperPillarDate(W4,Trigger),"")</f>
        <v>42557</v>
      </c>
      <c r="AC4" s="84">
        <v>1.0000291452938679</v>
      </c>
      <c r="AF4" s="116" t="s">
        <v>112</v>
      </c>
      <c r="AJ4" s="117">
        <v>0</v>
      </c>
    </row>
    <row r="5" spans="1:38" ht="11.25" customHeight="1" x14ac:dyDescent="0.2">
      <c r="A5" s="168" t="s">
        <v>25</v>
      </c>
      <c r="B5" s="169" t="s">
        <v>44</v>
      </c>
      <c r="C5" s="170" t="str">
        <f>B5</f>
        <v>2W</v>
      </c>
      <c r="D5" s="171"/>
      <c r="E5" s="171"/>
      <c r="F5" s="171"/>
      <c r="G5" s="172" t="str">
        <f>_xll.qlLibor(,Currency,C5,,Permanent,Trigger,ObjectOverwrite)</f>
        <v>obj_001b2#0004</v>
      </c>
      <c r="H5" s="173" t="str">
        <f t="shared" si="0"/>
        <v>JPY2WD_SYNTH6M_Quote</v>
      </c>
      <c r="I5" s="171"/>
      <c r="J5" s="174"/>
      <c r="K5" s="53"/>
      <c r="L5" s="11" t="str">
        <f>A5</f>
        <v>Dp</v>
      </c>
      <c r="M5" s="103" t="str">
        <f>IF(ISBLANK(J5),"--",J5)</f>
        <v>--</v>
      </c>
      <c r="N5" s="156" t="str">
        <f>IFERROR(_xll.qlRateHelperQuoteName(M5,Trigger),"--")</f>
        <v>--</v>
      </c>
      <c r="O5" s="107" t="str">
        <f>IFERROR(_xll.qlRateHelperQuoteValue($M5,Trigger),"--")</f>
        <v>--</v>
      </c>
      <c r="P5" s="106" t="b">
        <v>0</v>
      </c>
      <c r="Q5" s="103">
        <v>10</v>
      </c>
      <c r="R5" s="103">
        <v>1</v>
      </c>
      <c r="S5" s="108" t="str">
        <f>IFERROR(_xll.qlRateHelperEarliestDate(M5,Trigger),"--")</f>
        <v>--</v>
      </c>
      <c r="T5" s="108" t="str">
        <f>IFERROR(_xll.qlRateHelperPillarDate(M5,Trigger),"--")</f>
        <v>--</v>
      </c>
      <c r="V5" s="4" t="str">
        <f t="shared" si="1"/>
        <v>Dp</v>
      </c>
      <c r="W5" s="4" t="str">
        <v>obj_001e0</v>
      </c>
      <c r="X5" s="4" t="str">
        <f>IFERROR(_xll.qlRateHelperQuoteName(W5,Trigger),"")</f>
        <v>JPY3MD_SYNTH6M_Quote</v>
      </c>
      <c r="Y5" s="76">
        <f>IFERROR(_xll.qlRateHelperRate(W5,Trigger),"")</f>
        <v>-9.1000000000000003E-5</v>
      </c>
      <c r="Z5" s="113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42496</v>
      </c>
      <c r="AB5" s="5">
        <f>IFERROR(_xll.qlRateHelperPillarDate(W5,Trigger),"")</f>
        <v>42590</v>
      </c>
      <c r="AC5" s="84">
        <v>1.0000237616757151</v>
      </c>
      <c r="AF5" s="116" t="s">
        <v>113</v>
      </c>
      <c r="AJ5" s="117">
        <v>0</v>
      </c>
    </row>
    <row r="6" spans="1:38" ht="11.25" customHeight="1" x14ac:dyDescent="0.2">
      <c r="A6" s="175" t="s">
        <v>25</v>
      </c>
      <c r="B6" s="176" t="s">
        <v>45</v>
      </c>
      <c r="C6" s="177" t="str">
        <f t="shared" ref="C6:C9" si="2">B6</f>
        <v>3W</v>
      </c>
      <c r="D6" s="178"/>
      <c r="E6" s="178"/>
      <c r="F6" s="178"/>
      <c r="G6" s="179" t="str">
        <f>_xll.qlLibor(,Currency,C6,,Permanent,Trigger,ObjectOverwrite)</f>
        <v>obj_001b8#0004</v>
      </c>
      <c r="H6" s="180" t="str">
        <f t="shared" si="0"/>
        <v>JPY3WD_SYNTH6M_Quote</v>
      </c>
      <c r="I6" s="178"/>
      <c r="J6" s="181"/>
      <c r="K6" s="53"/>
      <c r="L6" s="11" t="str">
        <f>A6</f>
        <v>Dp</v>
      </c>
      <c r="M6" s="103" t="str">
        <f>IF(ISBLANK(J6),"--",J6)</f>
        <v>--</v>
      </c>
      <c r="N6" s="156" t="str">
        <f>IFERROR(_xll.qlRateHelperQuoteName(M6,Trigger),"--")</f>
        <v>--</v>
      </c>
      <c r="O6" s="107" t="str">
        <f>IFERROR(_xll.qlRateHelperQuoteValue($M6,Trigger),"--")</f>
        <v>--</v>
      </c>
      <c r="P6" s="106" t="b">
        <v>0</v>
      </c>
      <c r="Q6" s="103">
        <v>10</v>
      </c>
      <c r="R6" s="103">
        <v>1</v>
      </c>
      <c r="S6" s="108" t="str">
        <f>IFERROR(_xll.qlRateHelperEarliestDate(M6,Trigger),"--")</f>
        <v>--</v>
      </c>
      <c r="T6" s="108" t="str">
        <f>IFERROR(_xll.qlRateHelperPillarDate(M6,Trigger),"--")</f>
        <v>--</v>
      </c>
      <c r="V6" s="4" t="str">
        <f t="shared" si="1"/>
        <v>Dp</v>
      </c>
      <c r="W6" s="4" t="str">
        <v>obj_001e2</v>
      </c>
      <c r="X6" s="4" t="str">
        <f>IFERROR(_xll.qlRateHelperQuoteName(W6,Trigger),"")</f>
        <v>JPY4MD_SYNTH6M_Quote</v>
      </c>
      <c r="Y6" s="76">
        <f>IFERROR(_xll.qlRateHelperRate(W6,Trigger),"")</f>
        <v>-5.1E-5</v>
      </c>
      <c r="Z6" s="113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42496</v>
      </c>
      <c r="AB6" s="5">
        <f>IFERROR(_xll.qlRateHelperPillarDate(W6,Trigger),"")</f>
        <v>42619</v>
      </c>
      <c r="AC6" s="84">
        <v>1.000017425303636</v>
      </c>
      <c r="AF6" s="116" t="s">
        <v>114</v>
      </c>
      <c r="AJ6" s="118" t="s">
        <v>115</v>
      </c>
    </row>
    <row r="7" spans="1:38" ht="11.25" customHeight="1" x14ac:dyDescent="0.2">
      <c r="A7" s="64" t="s">
        <v>25</v>
      </c>
      <c r="B7" s="65" t="s">
        <v>2</v>
      </c>
      <c r="C7" s="68" t="str">
        <f t="shared" si="2"/>
        <v>1M</v>
      </c>
      <c r="D7" s="134"/>
      <c r="E7" s="134"/>
      <c r="F7" s="134"/>
      <c r="G7" s="66" t="str">
        <f>PROPER(Currency)&amp;FamilyName&amp;B7</f>
        <v>JpyLibor1M</v>
      </c>
      <c r="H7" s="131" t="str">
        <f t="shared" si="0"/>
        <v>JPY1MD_SYNTH6M_Quote</v>
      </c>
      <c r="I7" s="134"/>
      <c r="J7" s="70" t="str">
        <f>_xll.qlDepositRateHelper(,H7,G7,Permanent,Trigger,ObjectOverwrite)</f>
        <v>obj_001f0#0004</v>
      </c>
      <c r="K7" s="53"/>
      <c r="L7" s="11" t="str">
        <f>A7</f>
        <v>Dp</v>
      </c>
      <c r="M7" s="103" t="str">
        <f>IF(ISBLANK(J7),"--",J7)</f>
        <v>obj_001f0#0004</v>
      </c>
      <c r="N7" s="156" t="str">
        <f>IFERROR(_xll.qlRateHelperQuoteName(M7,Trigger),"--")</f>
        <v>JPY1MD_SYNTH6M_Quote</v>
      </c>
      <c r="O7" s="107">
        <f>IFERROR(_xll.qlRateHelperQuoteValue($M7,Trigger),"--")</f>
        <v>-3.88E-4</v>
      </c>
      <c r="P7" s="106" t="b">
        <v>1</v>
      </c>
      <c r="Q7" s="103">
        <v>10</v>
      </c>
      <c r="R7" s="103">
        <v>1</v>
      </c>
      <c r="S7" s="108">
        <f>IFERROR(_xll.qlRateHelperEarliestDate(M7,Trigger),"--")</f>
        <v>42496</v>
      </c>
      <c r="T7" s="108">
        <f>IFERROR(_xll.qlRateHelperPillarDate(M7,Trigger),"--")</f>
        <v>42527</v>
      </c>
      <c r="V7" s="4" t="str">
        <f t="shared" si="1"/>
        <v>Dp</v>
      </c>
      <c r="W7" s="4" t="str">
        <v>obj_001ef</v>
      </c>
      <c r="X7" s="4" t="str">
        <f>IFERROR(_xll.qlRateHelperQuoteName(W7,Trigger),"")</f>
        <v>JPY5MD_SYNTH6M_Quote</v>
      </c>
      <c r="Y7" s="76">
        <f>IFERROR(_xll.qlRateHelperRate(W7,Trigger),"")</f>
        <v>-1.9000000000000001E-5</v>
      </c>
      <c r="Z7" s="113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42496</v>
      </c>
      <c r="AB7" s="5">
        <f>IFERROR(_xll.qlRateHelperPillarDate(W7,Trigger),"")</f>
        <v>42649</v>
      </c>
      <c r="AC7" s="84">
        <v>1.0000080750652063</v>
      </c>
    </row>
    <row r="8" spans="1:38" ht="11.25" customHeight="1" x14ac:dyDescent="0.2">
      <c r="A8" s="64" t="s">
        <v>25</v>
      </c>
      <c r="B8" s="65" t="s">
        <v>46</v>
      </c>
      <c r="C8" s="68" t="str">
        <f t="shared" si="2"/>
        <v>2M</v>
      </c>
      <c r="D8" s="134"/>
      <c r="E8" s="134"/>
      <c r="F8" s="134"/>
      <c r="G8" s="66" t="str">
        <f>PROPER(Currency)&amp;FamilyName&amp;B8</f>
        <v>JpyLibor2M</v>
      </c>
      <c r="H8" s="131" t="str">
        <f t="shared" si="0"/>
        <v>JPY2MD_SYNTH6M_Quote</v>
      </c>
      <c r="I8" s="134"/>
      <c r="J8" s="70" t="str">
        <f>_xll.qlDepositRateHelper(,H8,G8,Permanent,Trigger,ObjectOverwrite)</f>
        <v>obj_001e7#0004</v>
      </c>
      <c r="K8" s="53"/>
      <c r="L8" s="11" t="str">
        <f>A8</f>
        <v>Dp</v>
      </c>
      <c r="M8" s="103" t="str">
        <f>IF(ISBLANK(J8),"--",J8)</f>
        <v>obj_001e7#0004</v>
      </c>
      <c r="N8" s="156" t="str">
        <f>IFERROR(_xll.qlRateHelperQuoteName(M8,Trigger),"--")</f>
        <v>JPY2MD_SYNTH6M_Quote</v>
      </c>
      <c r="O8" s="107">
        <f>IFERROR(_xll.qlRateHelperQuoteValue($M8,Trigger),"--")</f>
        <v>-1.7200000000000001E-4</v>
      </c>
      <c r="P8" s="106" t="b">
        <v>1</v>
      </c>
      <c r="Q8" s="103">
        <v>10</v>
      </c>
      <c r="R8" s="103">
        <v>1</v>
      </c>
      <c r="S8" s="108">
        <f>IFERROR(_xll.qlRateHelperEarliestDate(M8,Trigger),"--")</f>
        <v>42496</v>
      </c>
      <c r="T8" s="108">
        <f>IFERROR(_xll.qlRateHelperPillarDate(M8,Trigger),"--")</f>
        <v>42557</v>
      </c>
      <c r="V8" s="4" t="str">
        <f t="shared" si="1"/>
        <v>Dp</v>
      </c>
      <c r="W8" s="4" t="str">
        <v>obj_001df</v>
      </c>
      <c r="X8" s="4" t="str">
        <f>IFERROR(_xll.qlRateHelperQuoteName(W8,Trigger),"")</f>
        <v>JPY6MD_SYNTH6M_Quote</v>
      </c>
      <c r="Y8" s="76">
        <f>IFERROR(_xll.qlRateHelperRate(W8,Trigger),"")</f>
        <v>-7.8999999999999996E-5</v>
      </c>
      <c r="Z8" s="113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42496</v>
      </c>
      <c r="AB8" s="5">
        <f>IFERROR(_xll.qlRateHelperPillarDate(W8,Trigger),"")</f>
        <v>42681</v>
      </c>
      <c r="AC8" s="84">
        <v>1.0000405988704235</v>
      </c>
    </row>
    <row r="9" spans="1:38" ht="11.25" customHeight="1" x14ac:dyDescent="0.2">
      <c r="A9" s="64" t="s">
        <v>25</v>
      </c>
      <c r="B9" s="65" t="s">
        <v>0</v>
      </c>
      <c r="C9" s="68" t="str">
        <f t="shared" si="2"/>
        <v>3M</v>
      </c>
      <c r="D9" s="134"/>
      <c r="E9" s="134"/>
      <c r="F9" s="134"/>
      <c r="G9" s="66" t="str">
        <f>PROPER(Currency)&amp;FamilyName&amp;B9</f>
        <v>JpyLibor3M</v>
      </c>
      <c r="H9" s="131" t="str">
        <f t="shared" si="0"/>
        <v>JPY3MD_SYNTH6M_Quote</v>
      </c>
      <c r="I9" s="134"/>
      <c r="J9" s="70" t="str">
        <f>_xll.qlDepositRateHelper(,H9,G9,Permanent,Trigger,ObjectOverwrite)</f>
        <v>obj_001e0#0004</v>
      </c>
      <c r="K9" s="53"/>
      <c r="L9" s="11" t="str">
        <f>A9</f>
        <v>Dp</v>
      </c>
      <c r="M9" s="103" t="str">
        <f>IF(ISBLANK(J9),"--",J9)</f>
        <v>obj_001e0#0004</v>
      </c>
      <c r="N9" s="156" t="str">
        <f>IFERROR(_xll.qlRateHelperQuoteName(M9,Trigger),"--")</f>
        <v>JPY3MD_SYNTH6M_Quote</v>
      </c>
      <c r="O9" s="107">
        <f>IFERROR(_xll.qlRateHelperQuoteValue($M9,Trigger),"--")</f>
        <v>-9.1000000000000003E-5</v>
      </c>
      <c r="P9" s="106" t="b">
        <v>1</v>
      </c>
      <c r="Q9" s="103">
        <v>10</v>
      </c>
      <c r="R9" s="103">
        <v>1</v>
      </c>
      <c r="S9" s="108">
        <f>IFERROR(_xll.qlRateHelperEarliestDate(M9,Trigger),"--")</f>
        <v>42496</v>
      </c>
      <c r="T9" s="108">
        <f>IFERROR(_xll.qlRateHelperPillarDate(M9,Trigger),"--")</f>
        <v>42590</v>
      </c>
      <c r="V9" s="4" t="str">
        <f t="shared" si="1"/>
        <v>FRA</v>
      </c>
      <c r="W9" s="4" t="str">
        <v>obj_001e6</v>
      </c>
      <c r="X9" s="4" t="str">
        <f>IFERROR(_xll.qlRateHelperQuoteName(W9,Trigger),"")</f>
        <v>JPY1x7F_Quote</v>
      </c>
      <c r="Y9" s="76">
        <f>IFERROR(_xll.qlRateHelperRate(W9,Trigger),"")</f>
        <v>-1.5000000000000001E-4</v>
      </c>
      <c r="Z9" s="113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42527</v>
      </c>
      <c r="AB9" s="5">
        <f>IFERROR(_xll.qlRateHelperPillarDate(W9,Trigger),"")</f>
        <v>42709</v>
      </c>
      <c r="AC9" s="84">
        <v>1.0001061903064572</v>
      </c>
      <c r="AG9" s="51" t="s">
        <v>155</v>
      </c>
    </row>
    <row r="10" spans="1:38" ht="11.25" customHeight="1" x14ac:dyDescent="0.2">
      <c r="A10" s="168" t="s">
        <v>25</v>
      </c>
      <c r="B10" s="169" t="s">
        <v>47</v>
      </c>
      <c r="C10" s="170" t="str">
        <f t="shared" ref="C10:C12" si="3">B10</f>
        <v>4M</v>
      </c>
      <c r="D10" s="171"/>
      <c r="E10" s="171"/>
      <c r="F10" s="171"/>
      <c r="G10" s="172" t="str">
        <f>_xll.qlLibor(,Currency,C10,,Permanent,Trigger,ObjectOverwrite)</f>
        <v>obj_001b9#0004</v>
      </c>
      <c r="H10" s="173" t="str">
        <f t="shared" si="0"/>
        <v>JPY4MD_SYNTH6M_Quote</v>
      </c>
      <c r="I10" s="171"/>
      <c r="J10" s="174" t="str">
        <f>_xll.qlDepositRateHelper(,H10,G10,Permanent,Trigger,ObjectOverwrite)</f>
        <v>obj_001e2#0004</v>
      </c>
      <c r="K10" s="53"/>
      <c r="L10" s="11" t="str">
        <f>A10</f>
        <v>Dp</v>
      </c>
      <c r="M10" s="103" t="str">
        <f>IF(ISBLANK(J10),"--",J10)</f>
        <v>obj_001e2#0004</v>
      </c>
      <c r="N10" s="156" t="str">
        <f>IFERROR(_xll.qlRateHelperQuoteName(M10,Trigger),"--")</f>
        <v>JPY4MD_SYNTH6M_Quote</v>
      </c>
      <c r="O10" s="107">
        <f>IFERROR(_xll.qlRateHelperQuoteValue($M10,Trigger),"--")</f>
        <v>-5.1E-5</v>
      </c>
      <c r="P10" s="106" t="b">
        <v>1</v>
      </c>
      <c r="Q10" s="103">
        <v>10</v>
      </c>
      <c r="R10" s="103">
        <v>1</v>
      </c>
      <c r="S10" s="108">
        <f>IFERROR(_xll.qlRateHelperEarliestDate(M10,Trigger),"--")</f>
        <v>42496</v>
      </c>
      <c r="T10" s="108">
        <f>IFERROR(_xll.qlRateHelperPillarDate(M10,Trigger),"--")</f>
        <v>42619</v>
      </c>
      <c r="V10" s="4" t="str">
        <f t="shared" si="1"/>
        <v>FRA</v>
      </c>
      <c r="W10" s="4" t="str">
        <v>obj_001b3</v>
      </c>
      <c r="X10" s="4" t="str">
        <f>IFERROR(_xll.qlRateHelperQuoteName(W10,Trigger),"")</f>
        <v>JPY2x8F_Quote</v>
      </c>
      <c r="Y10" s="76">
        <f>IFERROR(_xll.qlRateHelperRate(W10,Trigger),"")</f>
        <v>-4.0000000000000002E-4</v>
      </c>
      <c r="Z10" s="113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42556</v>
      </c>
      <c r="AB10" s="5">
        <f>IFERROR(_xll.qlRateHelperPillarDate(W10,Trigger),"")</f>
        <v>42740</v>
      </c>
      <c r="AC10" s="84">
        <v>1.0002339583692839</v>
      </c>
      <c r="AE10" s="80" t="s">
        <v>156</v>
      </c>
      <c r="AF10" s="80" t="s">
        <v>157</v>
      </c>
      <c r="AG10" s="80" t="s">
        <v>158</v>
      </c>
      <c r="AH10" s="80" t="s">
        <v>159</v>
      </c>
      <c r="AI10" s="80" t="s">
        <v>160</v>
      </c>
      <c r="AJ10" s="80" t="s">
        <v>161</v>
      </c>
      <c r="AK10" s="80" t="s">
        <v>162</v>
      </c>
      <c r="AL10" s="80" t="s">
        <v>163</v>
      </c>
    </row>
    <row r="11" spans="1:38" ht="11.25" customHeight="1" x14ac:dyDescent="0.2">
      <c r="A11" s="175" t="s">
        <v>25</v>
      </c>
      <c r="B11" s="176" t="s">
        <v>48</v>
      </c>
      <c r="C11" s="177" t="str">
        <f t="shared" si="3"/>
        <v>5M</v>
      </c>
      <c r="D11" s="178"/>
      <c r="E11" s="178"/>
      <c r="F11" s="178"/>
      <c r="G11" s="179" t="str">
        <f>_xll.qlLibor(,Currency,C11,,Permanent,Trigger,ObjectOverwrite)</f>
        <v>obj_001e4#0004</v>
      </c>
      <c r="H11" s="180" t="str">
        <f t="shared" si="0"/>
        <v>JPY5MD_SYNTH6M_Quote</v>
      </c>
      <c r="I11" s="178"/>
      <c r="J11" s="181" t="str">
        <f>_xll.qlDepositRateHelper(,H11,G11,Permanent,Trigger,ObjectOverwrite)</f>
        <v>obj_001ef#0004</v>
      </c>
      <c r="K11" s="53"/>
      <c r="L11" s="11" t="str">
        <f>A11</f>
        <v>Dp</v>
      </c>
      <c r="M11" s="103" t="str">
        <f>IF(ISBLANK(J11),"--",J11)</f>
        <v>obj_001ef#0004</v>
      </c>
      <c r="N11" s="156" t="str">
        <f>IFERROR(_xll.qlRateHelperQuoteName(M11,Trigger),"--")</f>
        <v>JPY5MD_SYNTH6M_Quote</v>
      </c>
      <c r="O11" s="107">
        <f>IFERROR(_xll.qlRateHelperQuoteValue($M11,Trigger),"--")</f>
        <v>-1.9000000000000001E-5</v>
      </c>
      <c r="P11" s="106" t="b">
        <v>1</v>
      </c>
      <c r="Q11" s="103">
        <v>10</v>
      </c>
      <c r="R11" s="103">
        <v>1</v>
      </c>
      <c r="S11" s="108">
        <f>IFERROR(_xll.qlRateHelperEarliestDate(M11,Trigger),"--")</f>
        <v>42496</v>
      </c>
      <c r="T11" s="108">
        <f>IFERROR(_xll.qlRateHelperPillarDate(M11,Trigger),"--")</f>
        <v>42649</v>
      </c>
      <c r="V11" s="4" t="str">
        <f t="shared" si="1"/>
        <v>FRA</v>
      </c>
      <c r="W11" s="4" t="str">
        <v>obj_001b4</v>
      </c>
      <c r="X11" s="4" t="str">
        <f>IFERROR(_xll.qlRateHelperQuoteName(W11,Trigger),"")</f>
        <v>JPY3x9F_Quote</v>
      </c>
      <c r="Y11" s="76">
        <f>IFERROR(_xll.qlRateHelperRate(W11,Trigger),"")</f>
        <v>-6.0000000000000006E-4</v>
      </c>
      <c r="Z11" s="113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42587</v>
      </c>
      <c r="AB11" s="5">
        <f>IFERROR(_xll.qlRateHelperPillarDate(W11,Trigger),"")</f>
        <v>42772</v>
      </c>
      <c r="AC11" s="84">
        <v>1.0003325004769479</v>
      </c>
      <c r="AE11" s="183">
        <v>1</v>
      </c>
      <c r="AF11" s="184" t="e">
        <f>_xll.qlCalendarEndOfMonth(Calendar,Settlementdate,Trigger)</f>
        <v>#VALUE!</v>
      </c>
      <c r="AG11" s="184" t="str">
        <f t="shared" ref="AG11:AG23" si="4">Currency&amp;$AG$9&amp;AE11&amp;JumpSuffix&amp;QuoteSuffix</f>
        <v>JPYJump1_SYNTHON_Quote</v>
      </c>
      <c r="AH11" s="185" t="e">
        <f>_xll.qlDayCounterYearFraction("actual/360",AF11,_xll.qlCalendarAdvance(Calendar,AF11,"1D",,,Trigger))</f>
        <v>#NUM!</v>
      </c>
      <c r="AI11" s="184" t="e">
        <f>IF(_xll.qlQuoteIsValid(AG11,Trigger),_xll.qlQuoteValue(AG11,Trigger),1)</f>
        <v>#NUM!</v>
      </c>
      <c r="AJ11" s="187" t="e">
        <f>-LN(AI11)/AH11</f>
        <v>#NUM!</v>
      </c>
      <c r="AK11" s="188"/>
      <c r="AL11" s="186" t="str">
        <f>IF(ISBLANK(AK11),AG11,EXP(-AK11*AH11))</f>
        <v>JPYJump1_SYNTHON_Quote</v>
      </c>
    </row>
    <row r="12" spans="1:38" ht="11.25" customHeight="1" x14ac:dyDescent="0.2">
      <c r="A12" s="1" t="s">
        <v>25</v>
      </c>
      <c r="B12" s="9" t="s">
        <v>3</v>
      </c>
      <c r="C12" s="10" t="str">
        <f t="shared" si="3"/>
        <v>6M</v>
      </c>
      <c r="D12" s="135"/>
      <c r="E12" s="135"/>
      <c r="F12" s="135"/>
      <c r="G12" s="7" t="str">
        <f>PROPER(Currency)&amp;FamilyName&amp;B12</f>
        <v>JpyLibor6M</v>
      </c>
      <c r="H12" s="132" t="str">
        <f t="shared" si="0"/>
        <v>JPY6MD_SYNTH6M_Quote</v>
      </c>
      <c r="I12" s="135"/>
      <c r="J12" s="3" t="str">
        <f>_xll.qlDepositRateHelper(,H12,G12,Permanent,Trigger,ObjectOverwrite)</f>
        <v>obj_001df#0004</v>
      </c>
      <c r="K12" s="53" t="s">
        <v>40</v>
      </c>
      <c r="L12" s="12" t="str">
        <f>A12</f>
        <v>Dp</v>
      </c>
      <c r="M12" s="104" t="str">
        <f>IF(ISBLANK(J12),"--",J12)</f>
        <v>obj_001df#0004</v>
      </c>
      <c r="N12" s="157" t="str">
        <f>IFERROR(_xll.qlRateHelperQuoteName(M12,Trigger),"--")</f>
        <v>JPY6MD_SYNTH6M_Quote</v>
      </c>
      <c r="O12" s="110">
        <f>IFERROR(_xll.qlRateHelperQuoteValue($M12,Trigger),"--")</f>
        <v>-7.8999999999999996E-5</v>
      </c>
      <c r="P12" s="109" t="b">
        <v>1</v>
      </c>
      <c r="Q12" s="104">
        <v>10</v>
      </c>
      <c r="R12" s="104">
        <v>1</v>
      </c>
      <c r="S12" s="111">
        <f>IFERROR(_xll.qlRateHelperEarliestDate(M12,Trigger),"--")</f>
        <v>42496</v>
      </c>
      <c r="T12" s="111">
        <f>IFERROR(_xll.qlRateHelperPillarDate(M12,Trigger),"--")</f>
        <v>42681</v>
      </c>
      <c r="V12" s="4" t="str">
        <f t="shared" si="1"/>
        <v>FRA</v>
      </c>
      <c r="W12" s="4" t="str">
        <v>obj_001b5</v>
      </c>
      <c r="X12" s="4" t="str">
        <f>IFERROR(_xll.qlRateHelperQuoteName(W12,Trigger),"")</f>
        <v>JPY4x10F_Quote</v>
      </c>
      <c r="Y12" s="76">
        <f>IFERROR(_xll.qlRateHelperRate(W12,Trigger),"")</f>
        <v>-7.5000000000000012E-4</v>
      </c>
      <c r="Z12" s="113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42618</v>
      </c>
      <c r="AB12" s="5">
        <f>IFERROR(_xll.qlRateHelperPillarDate(W12,Trigger),"")</f>
        <v>42800</v>
      </c>
      <c r="AC12" s="84">
        <v>1.0003971552247477</v>
      </c>
      <c r="AE12" s="189">
        <v>2</v>
      </c>
      <c r="AF12" s="190" t="e">
        <f>_xll.qlCalendarEndOfMonth(Calendar,_xll.qlCalendarAdvance(Calendar,AF11,"1m","mf",TRUE),Trigger)</f>
        <v>#VALUE!</v>
      </c>
      <c r="AG12" s="190" t="str">
        <f t="shared" si="4"/>
        <v>JPYJump2_SYNTHON_Quote</v>
      </c>
      <c r="AH12" s="191" t="e">
        <f>_xll.qlDayCounterYearFraction("actual/360",AF12,_xll.qlCalendarAdvance(Calendar,AF12,"1D",,,Trigger))</f>
        <v>#NUM!</v>
      </c>
      <c r="AI12" s="190" t="e">
        <f>IF(_xll.qlQuoteIsValid(AG12,Trigger),_xll.qlQuoteValue(AG12,Trigger),1)</f>
        <v>#NUM!</v>
      </c>
      <c r="AJ12" s="193" t="e">
        <f t="shared" ref="AJ12:AJ23" si="5">-LN(AI12)/AH12</f>
        <v>#NUM!</v>
      </c>
      <c r="AK12" s="194"/>
      <c r="AL12" s="192" t="str">
        <f t="shared" ref="AL12:AL23" si="6">IF(ISBLANK(AK12),AG12,EXP(-AK12*AH12))</f>
        <v>JPYJump2_SYNTHON_Quote</v>
      </c>
    </row>
    <row r="13" spans="1:38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1" t="str">
        <f>IF(ISBLANK(J15),"--",J15)</f>
        <v>obj_001e6#0004</v>
      </c>
      <c r="N13" s="155" t="str">
        <f>IFERROR(_xll.qlRateHelperQuoteName(M13,Trigger),"--")</f>
        <v>JPY1x7F_Quote</v>
      </c>
      <c r="O13" s="143">
        <f>IFERROR(_xll.qlRateHelperQuoteValue($M13,Trigger),"--")</f>
        <v>-1.5000000000000001E-4</v>
      </c>
      <c r="P13" s="142" t="b">
        <v>1</v>
      </c>
      <c r="Q13" s="141">
        <v>20</v>
      </c>
      <c r="R13" s="141">
        <v>1</v>
      </c>
      <c r="S13" s="144">
        <f>IFERROR(_xll.qlRateHelperEarliestDate(M13,Trigger),"--")</f>
        <v>42527</v>
      </c>
      <c r="T13" s="144">
        <f>IFERROR(_xll.qlRateHelperPillarDate(M13,Trigger),"--")</f>
        <v>42709</v>
      </c>
      <c r="V13" s="4" t="str">
        <f t="shared" si="1"/>
        <v>FRA</v>
      </c>
      <c r="W13" s="4" t="str">
        <v>obj_001b6</v>
      </c>
      <c r="X13" s="4" t="str">
        <f>IFERROR(_xll.qlRateHelperQuoteName(W13,Trigger),"")</f>
        <v>JPY5x11F_Quote</v>
      </c>
      <c r="Y13" s="76">
        <f>IFERROR(_xll.qlRateHelperRate(W13,Trigger),"")</f>
        <v>-8.4999999999999995E-4</v>
      </c>
      <c r="Z13" s="113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42648</v>
      </c>
      <c r="AB13" s="5">
        <f>IFERROR(_xll.qlRateHelperPillarDate(W13,Trigger),"")</f>
        <v>42830</v>
      </c>
      <c r="AC13" s="84">
        <v>1.0004378030305479</v>
      </c>
      <c r="AE13" s="189">
        <v>3</v>
      </c>
      <c r="AF13" s="190" t="e">
        <f>_xll.qlCalendarEndOfMonth(Calendar,_xll.qlCalendarAdvance(Calendar,AF12,"1m","mf",TRUE),Trigger)</f>
        <v>#VALUE!</v>
      </c>
      <c r="AG13" s="190" t="str">
        <f t="shared" si="4"/>
        <v>JPYJump3_SYNTHON_Quote</v>
      </c>
      <c r="AH13" s="191" t="e">
        <f>_xll.qlDayCounterYearFraction("actual/360",AF13,_xll.qlCalendarAdvance(Calendar,AF13,"1D",,,Trigger))</f>
        <v>#NUM!</v>
      </c>
      <c r="AI13" s="190" t="e">
        <f>IF(_xll.qlQuoteIsValid(AG13,Trigger),_xll.qlQuoteValue(AG13,Trigger),1)</f>
        <v>#NUM!</v>
      </c>
      <c r="AJ13" s="193" t="e">
        <f t="shared" si="5"/>
        <v>#NUM!</v>
      </c>
      <c r="AK13" s="194"/>
      <c r="AL13" s="192" t="str">
        <f t="shared" si="6"/>
        <v>JPYJump3_SYNTHON_Quote</v>
      </c>
    </row>
    <row r="14" spans="1:38" ht="11.25" customHeight="1" x14ac:dyDescent="0.2">
      <c r="A14" s="71" t="s">
        <v>8</v>
      </c>
      <c r="B14" s="71" t="s">
        <v>118</v>
      </c>
      <c r="C14" s="71" t="s">
        <v>119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23</v>
      </c>
      <c r="K14" s="53"/>
      <c r="L14" s="11" t="str">
        <f>A16</f>
        <v>FRA</v>
      </c>
      <c r="M14" s="103" t="str">
        <f>IF(ISBLANK(J16),"--",J16)</f>
        <v>obj_001b3#0004</v>
      </c>
      <c r="N14" s="156" t="str">
        <f>IFERROR(_xll.qlRateHelperQuoteName(M14,Trigger),"--")</f>
        <v>JPY2x8F_Quote</v>
      </c>
      <c r="O14" s="107">
        <f>IFERROR(_xll.qlRateHelperQuoteValue($M14,Trigger),"--")</f>
        <v>-4.0000000000000002E-4</v>
      </c>
      <c r="P14" s="106" t="b">
        <v>1</v>
      </c>
      <c r="Q14" s="103">
        <v>20</v>
      </c>
      <c r="R14" s="103">
        <v>1</v>
      </c>
      <c r="S14" s="108">
        <f>IFERROR(_xll.qlRateHelperEarliestDate(M14,Trigger),"--")</f>
        <v>42556</v>
      </c>
      <c r="T14" s="108">
        <f>IFERROR(_xll.qlRateHelperPillarDate(M14,Trigger),"--")</f>
        <v>42740</v>
      </c>
      <c r="V14" s="4" t="str">
        <f t="shared" si="1"/>
        <v>FRA</v>
      </c>
      <c r="W14" s="4" t="str">
        <v>obj_001b7</v>
      </c>
      <c r="X14" s="4" t="str">
        <f>IFERROR(_xll.qlRateHelperQuoteName(W14,Trigger),"")</f>
        <v>JPY6x12F_Quote</v>
      </c>
      <c r="Y14" s="76">
        <f>IFERROR(_xll.qlRateHelperRate(W14,Trigger),"")</f>
        <v>-8.9999999999999998E-4</v>
      </c>
      <c r="Z14" s="113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42681</v>
      </c>
      <c r="AB14" s="5">
        <f>IFERROR(_xll.qlRateHelperPillarDate(W14,Trigger),"")</f>
        <v>42860</v>
      </c>
      <c r="AC14" s="84">
        <v>1.0004891749267262</v>
      </c>
      <c r="AE14" s="189">
        <v>4</v>
      </c>
      <c r="AF14" s="190" t="e">
        <f>_xll.qlCalendarEndOfMonth(Calendar,_xll.qlCalendarAdvance(Calendar,AF13,"1m","mf",TRUE),Trigger)</f>
        <v>#VALUE!</v>
      </c>
      <c r="AG14" s="190" t="str">
        <f t="shared" si="4"/>
        <v>JPYJump4_SYNTHON_Quote</v>
      </c>
      <c r="AH14" s="191" t="e">
        <f>_xll.qlDayCounterYearFraction("actual/360",AF14,_xll.qlCalendarAdvance(Calendar,AF14,"1D",,,Trigger))</f>
        <v>#NUM!</v>
      </c>
      <c r="AI14" s="190" t="e">
        <f>IF(_xll.qlQuoteIsValid(AG14,Trigger),_xll.qlQuoteValue(AG14,Trigger),1)</f>
        <v>#NUM!</v>
      </c>
      <c r="AJ14" s="193" t="e">
        <f t="shared" si="5"/>
        <v>#NUM!</v>
      </c>
      <c r="AK14" s="194"/>
      <c r="AL14" s="192" t="str">
        <f t="shared" si="6"/>
        <v>JPYJump4_SYNTHON_Quote</v>
      </c>
    </row>
    <row r="15" spans="1:38" ht="11.25" customHeight="1" x14ac:dyDescent="0.2">
      <c r="A15" s="58" t="s">
        <v>120</v>
      </c>
      <c r="B15" s="124">
        <v>1</v>
      </c>
      <c r="C15" s="61" t="str">
        <f t="shared" ref="C15:C23" si="7">"x"&amp;B15+SUBSTITUTE(Tenor,"M","")&amp;"F"</f>
        <v>x7F</v>
      </c>
      <c r="D15" s="140"/>
      <c r="E15" s="140"/>
      <c r="F15" s="140"/>
      <c r="G15" s="60" t="str">
        <f t="shared" ref="G15:G23" si="8">PROPER(Currency)&amp;FamilyName&amp;Tenor</f>
        <v>JpyLibor6M</v>
      </c>
      <c r="H15" s="127" t="str">
        <f t="shared" ref="H15:H21" si="9">Currency&amp;B15&amp;C15&amp;QuoteSuffix</f>
        <v>JPY1x7F_Quote</v>
      </c>
      <c r="I15" s="140"/>
      <c r="J15" s="63" t="str">
        <f>_xll.qlFraRateHelper(,H15,B15&amp;"M",G15,PillarDate,,Permanent,Trigger,ObjectOverwrite)</f>
        <v>obj_001e6#0004</v>
      </c>
      <c r="K15" s="53"/>
      <c r="L15" s="11" t="str">
        <f>A17</f>
        <v>FRA</v>
      </c>
      <c r="M15" s="103" t="str">
        <f>IF(ISBLANK(J17),"--",J17)</f>
        <v>obj_001b4#0004</v>
      </c>
      <c r="N15" s="156" t="str">
        <f>IFERROR(_xll.qlRateHelperQuoteName(M15,Trigger),"--")</f>
        <v>JPY3x9F_Quote</v>
      </c>
      <c r="O15" s="107">
        <f>IFERROR(_xll.qlRateHelperQuoteValue($M15,Trigger),"--")</f>
        <v>-6.0000000000000006E-4</v>
      </c>
      <c r="P15" s="106" t="b">
        <v>1</v>
      </c>
      <c r="Q15" s="103">
        <v>20</v>
      </c>
      <c r="R15" s="103">
        <v>1</v>
      </c>
      <c r="S15" s="108">
        <f>IFERROR(_xll.qlRateHelperEarliestDate(M15,Trigger),"--")</f>
        <v>42587</v>
      </c>
      <c r="T15" s="108">
        <f>IFERROR(_xll.qlRateHelperPillarDate(M15,Trigger),"--")</f>
        <v>42772</v>
      </c>
      <c r="V15" s="4" t="str">
        <f t="shared" si="1"/>
        <v>Sw</v>
      </c>
      <c r="W15" s="4" t="str">
        <v>obj_0020b</v>
      </c>
      <c r="X15" s="4" t="str">
        <f>IFERROR(_xll.qlRateHelperQuoteName(W15,Trigger),"")</f>
        <v>JPYSB6L18M_Quote</v>
      </c>
      <c r="Y15" s="76">
        <f>IFERROR(_xll.qlRateHelperRate(W15,Trigger),"")</f>
        <v>-8.5000000000000006E-4</v>
      </c>
      <c r="Z15" s="113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42500</v>
      </c>
      <c r="AB15" s="5">
        <f>IFERROR(_xll.qlRateHelperPillarDate(W15,Trigger),"")</f>
        <v>43049</v>
      </c>
      <c r="AC15" s="84">
        <v>1.0012843901866364</v>
      </c>
      <c r="AE15" s="189">
        <v>5</v>
      </c>
      <c r="AF15" s="190" t="e">
        <f>_xll.qlCalendarEndOfMonth(Calendar,_xll.qlCalendarAdvance(Calendar,AF14,"1m","mf",TRUE),Trigger)</f>
        <v>#VALUE!</v>
      </c>
      <c r="AG15" s="190" t="str">
        <f t="shared" si="4"/>
        <v>JPYJump5_SYNTHON_Quote</v>
      </c>
      <c r="AH15" s="191" t="e">
        <f>_xll.qlDayCounterYearFraction("actual/360",AF15,_xll.qlCalendarAdvance(Calendar,AF15,"1D",,,Trigger))</f>
        <v>#NUM!</v>
      </c>
      <c r="AI15" s="190" t="e">
        <f>IF(_xll.qlQuoteIsValid(AG15,Trigger),_xll.qlQuoteValue(AG15,Trigger),1)</f>
        <v>#NUM!</v>
      </c>
      <c r="AJ15" s="193" t="e">
        <f t="shared" si="5"/>
        <v>#NUM!</v>
      </c>
      <c r="AK15" s="194"/>
      <c r="AL15" s="192" t="str">
        <f t="shared" si="6"/>
        <v>JPYJump5_SYNTHON_Quote</v>
      </c>
    </row>
    <row r="16" spans="1:38" ht="11.25" customHeight="1" x14ac:dyDescent="0.2">
      <c r="A16" s="64" t="s">
        <v>120</v>
      </c>
      <c r="B16" s="125">
        <v>2</v>
      </c>
      <c r="C16" s="68" t="str">
        <f t="shared" si="7"/>
        <v>x8F</v>
      </c>
      <c r="D16" s="134"/>
      <c r="E16" s="134"/>
      <c r="F16" s="134"/>
      <c r="G16" s="66" t="str">
        <f t="shared" si="8"/>
        <v>JpyLibor6M</v>
      </c>
      <c r="H16" s="128" t="str">
        <f t="shared" si="9"/>
        <v>JPY2x8F_Quote</v>
      </c>
      <c r="I16" s="134"/>
      <c r="J16" s="70" t="str">
        <f>_xll.qlFraRateHelper(,H16,B16&amp;"M",G16,PillarDate,,Permanent,Trigger,ObjectOverwrite)</f>
        <v>obj_001b3#0004</v>
      </c>
      <c r="K16" s="53"/>
      <c r="L16" s="11" t="str">
        <f>A18</f>
        <v>FRA</v>
      </c>
      <c r="M16" s="103" t="str">
        <f>IF(ISBLANK(J18),"--",J18)</f>
        <v>obj_001b5#0004</v>
      </c>
      <c r="N16" s="156" t="str">
        <f>IFERROR(_xll.qlRateHelperQuoteName(M16,Trigger),"--")</f>
        <v>JPY4x10F_Quote</v>
      </c>
      <c r="O16" s="107">
        <f>IFERROR(_xll.qlRateHelperQuoteValue($M16,Trigger),"--")</f>
        <v>-7.5000000000000012E-4</v>
      </c>
      <c r="P16" s="106" t="b">
        <v>1</v>
      </c>
      <c r="Q16" s="103">
        <v>20</v>
      </c>
      <c r="R16" s="103">
        <v>1</v>
      </c>
      <c r="S16" s="108">
        <f>IFERROR(_xll.qlRateHelperEarliestDate(M16,Trigger),"--")</f>
        <v>42618</v>
      </c>
      <c r="T16" s="108">
        <f>IFERROR(_xll.qlRateHelperPillarDate(M16,Trigger),"--")</f>
        <v>42800</v>
      </c>
      <c r="V16" s="4" t="str">
        <f t="shared" si="1"/>
        <v>Sw</v>
      </c>
      <c r="W16" s="4" t="str">
        <v>obj_00218</v>
      </c>
      <c r="X16" s="4" t="str">
        <f>IFERROR(_xll.qlRateHelperQuoteName(W16,Trigger),"")</f>
        <v>JPYSB6L2Y_Quote</v>
      </c>
      <c r="Y16" s="76">
        <f>IFERROR(_xll.qlRateHelperRate(W16,Trigger),"")</f>
        <v>-1.0750000000000002E-3</v>
      </c>
      <c r="Z16" s="113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42500</v>
      </c>
      <c r="AB16" s="5">
        <f>IFERROR(_xll.qlRateHelperPillarDate(W16,Trigger),"")</f>
        <v>43230</v>
      </c>
      <c r="AC16" s="84">
        <v>1.0021568186967735</v>
      </c>
      <c r="AE16" s="189">
        <v>6</v>
      </c>
      <c r="AF16" s="190" t="e">
        <f>_xll.qlCalendarEndOfMonth(Calendar,_xll.qlCalendarAdvance(Calendar,AF15,"1m","mf",TRUE),Trigger)</f>
        <v>#VALUE!</v>
      </c>
      <c r="AG16" s="190" t="str">
        <f t="shared" si="4"/>
        <v>JPYJump6_SYNTHON_Quote</v>
      </c>
      <c r="AH16" s="191" t="e">
        <f>_xll.qlDayCounterYearFraction("actual/360",AF16,_xll.qlCalendarAdvance(Calendar,AF16,"1D",,,Trigger))</f>
        <v>#NUM!</v>
      </c>
      <c r="AI16" s="190" t="e">
        <f>IF(_xll.qlQuoteIsValid(AG16,Trigger),_xll.qlQuoteValue(AG16,Trigger),1)</f>
        <v>#NUM!</v>
      </c>
      <c r="AJ16" s="193" t="e">
        <f t="shared" si="5"/>
        <v>#NUM!</v>
      </c>
      <c r="AK16" s="194"/>
      <c r="AL16" s="192" t="str">
        <f t="shared" si="6"/>
        <v>JPYJump6_SYNTHON_Quote</v>
      </c>
    </row>
    <row r="17" spans="1:38" ht="11.25" customHeight="1" x14ac:dyDescent="0.2">
      <c r="A17" s="64" t="s">
        <v>120</v>
      </c>
      <c r="B17" s="125">
        <v>3</v>
      </c>
      <c r="C17" s="68" t="str">
        <f t="shared" si="7"/>
        <v>x9F</v>
      </c>
      <c r="D17" s="134"/>
      <c r="E17" s="134"/>
      <c r="F17" s="134"/>
      <c r="G17" s="66" t="str">
        <f t="shared" si="8"/>
        <v>JpyLibor6M</v>
      </c>
      <c r="H17" s="128" t="str">
        <f t="shared" si="9"/>
        <v>JPY3x9F_Quote</v>
      </c>
      <c r="I17" s="134"/>
      <c r="J17" s="70" t="str">
        <f>_xll.qlFraRateHelper(,H17,B17&amp;"M",G17,PillarDate,,Permanent,Trigger,ObjectOverwrite)</f>
        <v>obj_001b4#0004</v>
      </c>
      <c r="K17" s="53"/>
      <c r="L17" s="11" t="str">
        <f>A19</f>
        <v>FRA</v>
      </c>
      <c r="M17" s="103" t="str">
        <f>IF(ISBLANK(J19),"--",J19)</f>
        <v>obj_001b6#0004</v>
      </c>
      <c r="N17" s="156" t="str">
        <f>IFERROR(_xll.qlRateHelperQuoteName(M17,Trigger),"--")</f>
        <v>JPY5x11F_Quote</v>
      </c>
      <c r="O17" s="107">
        <f>IFERROR(_xll.qlRateHelperQuoteValue($M17,Trigger),"--")</f>
        <v>-8.4999999999999995E-4</v>
      </c>
      <c r="P17" s="106" t="b">
        <v>1</v>
      </c>
      <c r="Q17" s="103">
        <v>20</v>
      </c>
      <c r="R17" s="103">
        <v>1</v>
      </c>
      <c r="S17" s="108">
        <f>IFERROR(_xll.qlRateHelperEarliestDate(M17,Trigger),"--")</f>
        <v>42648</v>
      </c>
      <c r="T17" s="108">
        <f>IFERROR(_xll.qlRateHelperPillarDate(M17,Trigger),"--")</f>
        <v>42830</v>
      </c>
      <c r="V17" s="4" t="str">
        <f t="shared" si="1"/>
        <v>Sw</v>
      </c>
      <c r="W17" s="4" t="str">
        <v>obj_00220</v>
      </c>
      <c r="X17" s="4" t="str">
        <f>IFERROR(_xll.qlRateHelperQuoteName(W17,Trigger),"")</f>
        <v>JPYSB6L3Y_Quote</v>
      </c>
      <c r="Y17" s="76">
        <f>IFERROR(_xll.qlRateHelperRate(W17,Trigger),"")</f>
        <v>-1.1750000000000003E-3</v>
      </c>
      <c r="Z17" s="113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42500</v>
      </c>
      <c r="AB17" s="5">
        <f>IFERROR(_xll.qlRateHelperPillarDate(W17,Trigger),"")</f>
        <v>43595</v>
      </c>
      <c r="AC17" s="84">
        <v>1.003535398973588</v>
      </c>
      <c r="AE17" s="189">
        <v>7</v>
      </c>
      <c r="AF17" s="190" t="e">
        <f>_xll.qlCalendarEndOfMonth(Calendar,_xll.qlCalendarAdvance(Calendar,AF16,"1m","mf",TRUE),Trigger)</f>
        <v>#VALUE!</v>
      </c>
      <c r="AG17" s="190" t="str">
        <f t="shared" si="4"/>
        <v>JPYJump7_SYNTHON_Quote</v>
      </c>
      <c r="AH17" s="191" t="e">
        <f>_xll.qlDayCounterYearFraction("actual/360",AF17,_xll.qlCalendarAdvance(Calendar,AF17,"1D",,,Trigger))</f>
        <v>#NUM!</v>
      </c>
      <c r="AI17" s="190" t="e">
        <f>IF(_xll.qlQuoteIsValid(AG17,Trigger),_xll.qlQuoteValue(AG17,Trigger),1)</f>
        <v>#NUM!</v>
      </c>
      <c r="AJ17" s="193" t="e">
        <f t="shared" si="5"/>
        <v>#NUM!</v>
      </c>
      <c r="AK17" s="194"/>
      <c r="AL17" s="192" t="str">
        <f t="shared" si="6"/>
        <v>JPYJump7_SYNTHON_Quote</v>
      </c>
    </row>
    <row r="18" spans="1:38" ht="11.25" customHeight="1" x14ac:dyDescent="0.2">
      <c r="A18" s="64" t="s">
        <v>120</v>
      </c>
      <c r="B18" s="125">
        <v>4</v>
      </c>
      <c r="C18" s="68" t="str">
        <f t="shared" si="7"/>
        <v>x10F</v>
      </c>
      <c r="D18" s="134"/>
      <c r="E18" s="134"/>
      <c r="F18" s="134"/>
      <c r="G18" s="66" t="str">
        <f t="shared" si="8"/>
        <v>JpyLibor6M</v>
      </c>
      <c r="H18" s="128" t="str">
        <f t="shared" si="9"/>
        <v>JPY4x10F_Quote</v>
      </c>
      <c r="I18" s="134"/>
      <c r="J18" s="70" t="str">
        <f>_xll.qlFraRateHelper(,H18,B18&amp;"M",G18,PillarDate,,Permanent,Trigger,ObjectOverwrite)</f>
        <v>obj_001b5#0004</v>
      </c>
      <c r="K18" s="53"/>
      <c r="L18" s="11" t="str">
        <f>A20</f>
        <v>FRA</v>
      </c>
      <c r="M18" s="103" t="str">
        <f>IF(ISBLANK(J20),"--",J20)</f>
        <v>obj_001b7#0004</v>
      </c>
      <c r="N18" s="156" t="str">
        <f>IFERROR(_xll.qlRateHelperQuoteName(M18,Trigger),"--")</f>
        <v>JPY6x12F_Quote</v>
      </c>
      <c r="O18" s="107">
        <f>IFERROR(_xll.qlRateHelperQuoteValue($M18,Trigger),"--")</f>
        <v>-8.9999999999999998E-4</v>
      </c>
      <c r="P18" s="106" t="b">
        <v>1</v>
      </c>
      <c r="Q18" s="103">
        <v>20</v>
      </c>
      <c r="R18" s="103">
        <v>1</v>
      </c>
      <c r="S18" s="108">
        <f>IFERROR(_xll.qlRateHelperEarliestDate(M18,Trigger),"--")</f>
        <v>42681</v>
      </c>
      <c r="T18" s="108">
        <f>IFERROR(_xll.qlRateHelperPillarDate(M18,Trigger),"--")</f>
        <v>42860</v>
      </c>
      <c r="V18" s="4" t="str">
        <f t="shared" si="1"/>
        <v>Sw</v>
      </c>
      <c r="W18" s="4" t="str">
        <v>obj_00217</v>
      </c>
      <c r="X18" s="4" t="str">
        <f>IFERROR(_xll.qlRateHelperQuoteName(W18,Trigger),"")</f>
        <v>JPYSB6L4Y_Quote</v>
      </c>
      <c r="Y18" s="76">
        <f>IFERROR(_xll.qlRateHelperRate(W18,Trigger),"")</f>
        <v>-9.7500000000000006E-4</v>
      </c>
      <c r="Z18" s="113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42500</v>
      </c>
      <c r="AB18" s="5">
        <f>IFERROR(_xll.qlRateHelperPillarDate(W18,Trigger),"")</f>
        <v>43962</v>
      </c>
      <c r="AC18" s="84">
        <v>1.0039203973107653</v>
      </c>
      <c r="AE18" s="189">
        <v>8</v>
      </c>
      <c r="AF18" s="190" t="e">
        <f>_xll.qlCalendarEndOfMonth(Calendar,_xll.qlCalendarAdvance(Calendar,AF17,"1m","mf",TRUE),Trigger)</f>
        <v>#VALUE!</v>
      </c>
      <c r="AG18" s="190" t="str">
        <f t="shared" si="4"/>
        <v>JPYJump8_SYNTHON_Quote</v>
      </c>
      <c r="AH18" s="191" t="e">
        <f>_xll.qlDayCounterYearFraction("actual/360",AF18,_xll.qlCalendarAdvance(Calendar,AF18,"1D",,,Trigger))</f>
        <v>#NUM!</v>
      </c>
      <c r="AI18" s="190" t="e">
        <f>IF(_xll.qlQuoteIsValid(AG18,Trigger),_xll.qlQuoteValue(AG18,Trigger),1)</f>
        <v>#NUM!</v>
      </c>
      <c r="AJ18" s="193" t="e">
        <f t="shared" si="5"/>
        <v>#NUM!</v>
      </c>
      <c r="AK18" s="194"/>
      <c r="AL18" s="192" t="str">
        <f t="shared" si="6"/>
        <v>JPYJump8_SYNTHON_Quote</v>
      </c>
    </row>
    <row r="19" spans="1:38" ht="11.25" customHeight="1" x14ac:dyDescent="0.2">
      <c r="A19" s="64" t="s">
        <v>120</v>
      </c>
      <c r="B19" s="125">
        <v>5</v>
      </c>
      <c r="C19" s="68" t="str">
        <f t="shared" si="7"/>
        <v>x11F</v>
      </c>
      <c r="D19" s="134"/>
      <c r="E19" s="134"/>
      <c r="F19" s="134"/>
      <c r="G19" s="66" t="str">
        <f t="shared" si="8"/>
        <v>JpyLibor6M</v>
      </c>
      <c r="H19" s="128" t="str">
        <f t="shared" si="9"/>
        <v>JPY5x11F_Quote</v>
      </c>
      <c r="I19" s="134"/>
      <c r="J19" s="70" t="str">
        <f>_xll.qlFraRateHelper(,H19,B19&amp;"M",G19,PillarDate,,Permanent,Trigger,ObjectOverwrite)</f>
        <v>obj_001b6#0004</v>
      </c>
      <c r="K19" s="53"/>
      <c r="L19" s="11" t="str">
        <f>A21</f>
        <v>FRA</v>
      </c>
      <c r="M19" s="103" t="str">
        <f>IF(ISBLANK(J21),"--",J21)</f>
        <v>--</v>
      </c>
      <c r="N19" s="156" t="str">
        <f>IFERROR(_xll.qlRateHelperQuoteName(M19,Trigger),"--")</f>
        <v>--</v>
      </c>
      <c r="O19" s="107" t="str">
        <f>IFERROR(_xll.qlRateHelperQuoteValue($M19,Trigger),"--")</f>
        <v>--</v>
      </c>
      <c r="P19" s="106" t="b">
        <v>0</v>
      </c>
      <c r="Q19" s="103">
        <v>20</v>
      </c>
      <c r="R19" s="103">
        <v>1</v>
      </c>
      <c r="S19" s="108" t="str">
        <f>IFERROR(_xll.qlRateHelperEarliestDate(M19,Trigger),"--")</f>
        <v>--</v>
      </c>
      <c r="T19" s="108" t="str">
        <f>IFERROR(_xll.qlRateHelperPillarDate(M19,Trigger),"--")</f>
        <v>--</v>
      </c>
      <c r="V19" s="4" t="str">
        <f t="shared" si="1"/>
        <v>Sw</v>
      </c>
      <c r="W19" s="4" t="str">
        <v>obj_00206</v>
      </c>
      <c r="X19" s="4" t="str">
        <f>IFERROR(_xll.qlRateHelperQuoteName(W19,Trigger),"")</f>
        <v>JPYSB6L5Y_Quote</v>
      </c>
      <c r="Y19" s="76">
        <f>IFERROR(_xll.qlRateHelperRate(W19,Trigger),"")</f>
        <v>-6.0000000000000006E-4</v>
      </c>
      <c r="Z19" s="113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42500</v>
      </c>
      <c r="AB19" s="5">
        <f>IFERROR(_xll.qlRateHelperPillarDate(W19,Trigger),"")</f>
        <v>44326</v>
      </c>
      <c r="AC19" s="84">
        <v>1.0030200382217147</v>
      </c>
      <c r="AE19" s="189">
        <v>9</v>
      </c>
      <c r="AF19" s="190" t="e">
        <f>_xll.qlCalendarEndOfMonth(Calendar,_xll.qlCalendarAdvance(Calendar,AF18,"1m","mf",TRUE),Trigger)</f>
        <v>#VALUE!</v>
      </c>
      <c r="AG19" s="190" t="str">
        <f t="shared" si="4"/>
        <v>JPYJump9_SYNTHON_Quote</v>
      </c>
      <c r="AH19" s="191" t="e">
        <f>_xll.qlDayCounterYearFraction("actual/360",AF19,_xll.qlCalendarAdvance(Calendar,AF19,"1D",,,Trigger))</f>
        <v>#NUM!</v>
      </c>
      <c r="AI19" s="190" t="e">
        <f>IF(_xll.qlQuoteIsValid(AG19,Trigger),_xll.qlQuoteValue(AG19,Trigger),1)</f>
        <v>#NUM!</v>
      </c>
      <c r="AJ19" s="193" t="e">
        <f t="shared" si="5"/>
        <v>#NUM!</v>
      </c>
      <c r="AK19" s="194"/>
      <c r="AL19" s="192" t="str">
        <f t="shared" si="6"/>
        <v>JPYJump9_SYNTHON_Quote</v>
      </c>
    </row>
    <row r="20" spans="1:38" ht="11.25" customHeight="1" x14ac:dyDescent="0.2">
      <c r="A20" s="64" t="s">
        <v>120</v>
      </c>
      <c r="B20" s="125">
        <v>6</v>
      </c>
      <c r="C20" s="68" t="str">
        <f t="shared" si="7"/>
        <v>x12F</v>
      </c>
      <c r="D20" s="134"/>
      <c r="E20" s="134"/>
      <c r="F20" s="134"/>
      <c r="G20" s="66" t="str">
        <f t="shared" si="8"/>
        <v>JpyLibor6M</v>
      </c>
      <c r="H20" s="128" t="str">
        <f t="shared" si="9"/>
        <v>JPY6x12F_Quote</v>
      </c>
      <c r="I20" s="134"/>
      <c r="J20" s="70" t="str">
        <f>_xll.qlFraRateHelper(,H20,B20&amp;"M",G20,PillarDate,,Permanent,Trigger,ObjectOverwrite)</f>
        <v>obj_001b7#0004</v>
      </c>
      <c r="K20" s="53"/>
      <c r="L20" s="11" t="str">
        <f>A22</f>
        <v>FRA</v>
      </c>
      <c r="M20" s="103" t="str">
        <f>IF(ISBLANK(J22),"--",J22)</f>
        <v>--</v>
      </c>
      <c r="N20" s="156" t="str">
        <f>IFERROR(_xll.qlRateHelperQuoteName(M20,Trigger),"--")</f>
        <v>--</v>
      </c>
      <c r="O20" s="107" t="str">
        <f>IFERROR(_xll.qlRateHelperQuoteValue($M20,Trigger),"--")</f>
        <v>--</v>
      </c>
      <c r="P20" s="106" t="b">
        <v>0</v>
      </c>
      <c r="Q20" s="103">
        <v>20</v>
      </c>
      <c r="R20" s="103">
        <v>1</v>
      </c>
      <c r="S20" s="108" t="str">
        <f>IFERROR(_xll.qlRateHelperEarliestDate(M20,Trigger),"--")</f>
        <v>--</v>
      </c>
      <c r="T20" s="108" t="str">
        <f>IFERROR(_xll.qlRateHelperPillarDate(M20,Trigger),"--")</f>
        <v>--</v>
      </c>
      <c r="V20" s="4" t="str">
        <f t="shared" si="1"/>
        <v>Sw</v>
      </c>
      <c r="W20" s="4" t="str">
        <v>obj_00214</v>
      </c>
      <c r="X20" s="4" t="str">
        <f>IFERROR(_xll.qlRateHelperQuoteName(W20,Trigger),"")</f>
        <v>JPYSB6L6Y_Quote</v>
      </c>
      <c r="Y20" s="76">
        <f>IFERROR(_xll.qlRateHelperRate(W20,Trigger),"")</f>
        <v>-1.5000000000000004E-4</v>
      </c>
      <c r="Z20" s="113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42500</v>
      </c>
      <c r="AB20" s="5">
        <f>IFERROR(_xll.qlRateHelperPillarDate(W20,Trigger),"")</f>
        <v>44691</v>
      </c>
      <c r="AC20" s="84">
        <v>1.000921433068048</v>
      </c>
      <c r="AE20" s="189">
        <v>10</v>
      </c>
      <c r="AF20" s="190" t="e">
        <f>_xll.qlCalendarEndOfMonth(Calendar,_xll.qlCalendarAdvance(Calendar,AF19,"1m","mf",TRUE),Trigger)</f>
        <v>#VALUE!</v>
      </c>
      <c r="AG20" s="190" t="str">
        <f t="shared" si="4"/>
        <v>JPYJump10_SYNTHON_Quote</v>
      </c>
      <c r="AH20" s="191" t="e">
        <f>_xll.qlDayCounterYearFraction("actual/360",AF20,_xll.qlCalendarAdvance(Calendar,AF20,"1D",,,Trigger))</f>
        <v>#NUM!</v>
      </c>
      <c r="AI20" s="190" t="e">
        <f>IF(_xll.qlQuoteIsValid(AG20,Trigger),_xll.qlQuoteValue(AG20,Trigger),1)</f>
        <v>#NUM!</v>
      </c>
      <c r="AJ20" s="193" t="e">
        <f t="shared" si="5"/>
        <v>#NUM!</v>
      </c>
      <c r="AK20" s="194"/>
      <c r="AL20" s="192" t="str">
        <f t="shared" si="6"/>
        <v>JPYJump10_SYNTHON_Quote</v>
      </c>
    </row>
    <row r="21" spans="1:38" ht="11.25" customHeight="1" x14ac:dyDescent="0.2">
      <c r="A21" s="64" t="s">
        <v>120</v>
      </c>
      <c r="B21" s="125">
        <v>9</v>
      </c>
      <c r="C21" s="68" t="str">
        <f t="shared" si="7"/>
        <v>x15F</v>
      </c>
      <c r="D21" s="134"/>
      <c r="E21" s="134"/>
      <c r="F21" s="134"/>
      <c r="G21" s="66" t="str">
        <f t="shared" si="8"/>
        <v>JpyLibor6M</v>
      </c>
      <c r="H21" s="128" t="str">
        <f t="shared" si="9"/>
        <v>JPY9x15F_Quote</v>
      </c>
      <c r="I21" s="134"/>
      <c r="J21" s="70"/>
      <c r="K21" s="53"/>
      <c r="L21" s="12" t="str">
        <f>A23</f>
        <v>FRA</v>
      </c>
      <c r="M21" s="104" t="str">
        <f>IF(ISBLANK(J23),"--",J23)</f>
        <v>--</v>
      </c>
      <c r="N21" s="157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4">
        <v>20</v>
      </c>
      <c r="R21" s="104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1"/>
        <v>Sw</v>
      </c>
      <c r="W21" s="4" t="str">
        <v>obj_00215</v>
      </c>
      <c r="X21" s="4" t="str">
        <f>IFERROR(_xll.qlRateHelperQuoteName(W21,Trigger),"")</f>
        <v>JPYSB6L7Y_Quote</v>
      </c>
      <c r="Y21" s="76">
        <f>IFERROR(_xll.qlRateHelperRate(W21,Trigger),"")</f>
        <v>2.7500000000000002E-4</v>
      </c>
      <c r="Z21" s="113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42500</v>
      </c>
      <c r="AB21" s="5">
        <f>IFERROR(_xll.qlRateHelperPillarDate(W21,Trigger),"")</f>
        <v>45056</v>
      </c>
      <c r="AC21" s="84">
        <v>0.99809887567956612</v>
      </c>
      <c r="AE21" s="189">
        <v>11</v>
      </c>
      <c r="AF21" s="190" t="e">
        <f>_xll.qlCalendarEndOfMonth(Calendar,_xll.qlCalendarAdvance(Calendar,AF20,"1m","mf",TRUE),Trigger)</f>
        <v>#VALUE!</v>
      </c>
      <c r="AG21" s="190" t="str">
        <f t="shared" si="4"/>
        <v>JPYJump11_SYNTHON_Quote</v>
      </c>
      <c r="AH21" s="191" t="e">
        <f>_xll.qlDayCounterYearFraction("actual/360",AF21,_xll.qlCalendarAdvance(Calendar,AF21,"1D",,,Trigger))</f>
        <v>#NUM!</v>
      </c>
      <c r="AI21" s="190" t="e">
        <f>IF(_xll.qlQuoteIsValid(AG21,Trigger),_xll.qlQuoteValue(AG21,Trigger),1)</f>
        <v>#NUM!</v>
      </c>
      <c r="AJ21" s="193" t="e">
        <f t="shared" si="5"/>
        <v>#NUM!</v>
      </c>
      <c r="AK21" s="194"/>
      <c r="AL21" s="192" t="str">
        <f t="shared" si="6"/>
        <v>JPYJump11_SYNTHON_Quote</v>
      </c>
    </row>
    <row r="22" spans="1:38" ht="11.25" customHeight="1" x14ac:dyDescent="0.2">
      <c r="A22" s="64" t="s">
        <v>120</v>
      </c>
      <c r="B22" s="125">
        <v>12</v>
      </c>
      <c r="C22" s="68" t="str">
        <f t="shared" si="7"/>
        <v>x18F</v>
      </c>
      <c r="D22" s="134"/>
      <c r="E22" s="134"/>
      <c r="F22" s="134"/>
      <c r="G22" s="66" t="str">
        <f t="shared" si="8"/>
        <v>JpyLibor6M</v>
      </c>
      <c r="H22" s="128" t="str">
        <f t="shared" ref="H22:H23" si="10">Currency&amp;B22&amp;C22&amp;QuoteSuffix</f>
        <v>JPY12x18F_Quote</v>
      </c>
      <c r="I22" s="134"/>
      <c r="J22" s="70"/>
      <c r="K22" s="53"/>
      <c r="L22" s="11" t="str">
        <f>A26</f>
        <v>Sw</v>
      </c>
      <c r="M22" s="103" t="str">
        <f>IF(ISBLANK(J26),"--",J26)</f>
        <v>--</v>
      </c>
      <c r="N22" s="156" t="str">
        <f>IFERROR(_xll.qlRateHelperQuoteName(M22,Trigger),"--")</f>
        <v>--</v>
      </c>
      <c r="O22" s="107" t="str">
        <f>IFERROR(_xll.qlRateHelperQuoteValue($M22,Trigger),"--")</f>
        <v>--</v>
      </c>
      <c r="P22" s="106" t="b">
        <v>0</v>
      </c>
      <c r="Q22" s="103">
        <v>50</v>
      </c>
      <c r="R22" s="103">
        <v>1</v>
      </c>
      <c r="S22" s="108" t="str">
        <f>IFERROR(_xll.qlRateHelperEarliestDate(M22,Trigger),"--")</f>
        <v>--</v>
      </c>
      <c r="T22" s="108" t="str">
        <f>IFERROR(_xll.qlRateHelperPillarDate(M22,Trigger),"--")</f>
        <v>--</v>
      </c>
      <c r="V22" s="4" t="str">
        <f t="shared" si="1"/>
        <v>Sw</v>
      </c>
      <c r="W22" s="4" t="str">
        <v>obj_00216</v>
      </c>
      <c r="X22" s="4" t="str">
        <f>IFERROR(_xll.qlRateHelperQuoteName(W22,Trigger),"")</f>
        <v>JPYSB6L8Y_Quote</v>
      </c>
      <c r="Y22" s="76">
        <f>IFERROR(_xll.qlRateHelperRate(W22,Trigger),"")</f>
        <v>7.000000000000001E-4</v>
      </c>
      <c r="Z22" s="113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42500</v>
      </c>
      <c r="AB22" s="5">
        <f>IFERROR(_xll.qlRateHelperPillarDate(W22,Trigger),"")</f>
        <v>45422</v>
      </c>
      <c r="AC22" s="84">
        <v>0.99443035257688928</v>
      </c>
      <c r="AE22" s="189">
        <v>12</v>
      </c>
      <c r="AF22" s="190" t="e">
        <f>_xll.qlCalendarEndOfMonth(Calendar,_xll.qlCalendarAdvance(Calendar,AF21,"1m","mf",TRUE),Trigger)</f>
        <v>#VALUE!</v>
      </c>
      <c r="AG22" s="190" t="str">
        <f t="shared" si="4"/>
        <v>JPYJump12_SYNTHON_Quote</v>
      </c>
      <c r="AH22" s="191" t="e">
        <f>_xll.qlDayCounterYearFraction("actual/360",AF22,_xll.qlCalendarAdvance(Calendar,AF22,"1D",,,Trigger))</f>
        <v>#NUM!</v>
      </c>
      <c r="AI22" s="190" t="e">
        <f>IF(_xll.qlQuoteIsValid(AG22,Trigger),_xll.qlQuoteValue(AG22,Trigger),1)</f>
        <v>#NUM!</v>
      </c>
      <c r="AJ22" s="193" t="e">
        <f t="shared" si="5"/>
        <v>#NUM!</v>
      </c>
      <c r="AK22" s="194"/>
      <c r="AL22" s="192" t="str">
        <f t="shared" si="6"/>
        <v>JPYJump12_SYNTHON_Quote</v>
      </c>
    </row>
    <row r="23" spans="1:38" ht="11.25" customHeight="1" x14ac:dyDescent="0.2">
      <c r="A23" s="1" t="s">
        <v>120</v>
      </c>
      <c r="B23" s="126">
        <v>18</v>
      </c>
      <c r="C23" s="10" t="str">
        <f t="shared" si="7"/>
        <v>x24F</v>
      </c>
      <c r="D23" s="135"/>
      <c r="E23" s="135"/>
      <c r="F23" s="135"/>
      <c r="G23" s="7" t="str">
        <f t="shared" si="8"/>
        <v>JpyLibor6M</v>
      </c>
      <c r="H23" s="129" t="str">
        <f t="shared" si="10"/>
        <v>JPY18x24F_Quote</v>
      </c>
      <c r="I23" s="135"/>
      <c r="J23" s="3"/>
      <c r="K23" s="53"/>
      <c r="L23" s="11" t="str">
        <f>A27</f>
        <v>Sw</v>
      </c>
      <c r="M23" s="103" t="str">
        <f>IF(ISBLANK(J27),"--",J27)</f>
        <v>--</v>
      </c>
      <c r="N23" s="156" t="str">
        <f>IFERROR(_xll.qlRateHelperQuoteName(M23,Trigger),"--")</f>
        <v>--</v>
      </c>
      <c r="O23" s="107" t="str">
        <f>IFERROR(_xll.qlRateHelperQuoteValue($M23,Trigger),"--")</f>
        <v>--</v>
      </c>
      <c r="P23" s="106" t="b">
        <v>0</v>
      </c>
      <c r="Q23" s="103">
        <v>50</v>
      </c>
      <c r="R23" s="103">
        <v>1</v>
      </c>
      <c r="S23" s="108" t="str">
        <f>IFERROR(_xll.qlRateHelperEarliestDate(M23,Trigger),"--")</f>
        <v>--</v>
      </c>
      <c r="T23" s="108" t="str">
        <f>IFERROR(_xll.qlRateHelperPillarDate(M23,Trigger),"--")</f>
        <v>--</v>
      </c>
      <c r="V23" s="4" t="str">
        <f t="shared" si="1"/>
        <v>Sw</v>
      </c>
      <c r="W23" s="4" t="str">
        <v>obj_0021b</v>
      </c>
      <c r="X23" s="4" t="str">
        <f>IFERROR(_xll.qlRateHelperQuoteName(W23,Trigger),"")</f>
        <v>JPYSB6L9Y_Quote</v>
      </c>
      <c r="Y23" s="76">
        <f>IFERROR(_xll.qlRateHelperRate(W23,Trigger),"")</f>
        <v>1.0750000000000002E-3</v>
      </c>
      <c r="Z23" s="113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42500</v>
      </c>
      <c r="AB23" s="5">
        <f>IFERROR(_xll.qlRateHelperPillarDate(W23,Trigger),"")</f>
        <v>45789</v>
      </c>
      <c r="AC23" s="84">
        <v>0.99036726910329276</v>
      </c>
      <c r="AE23" s="195">
        <v>13</v>
      </c>
      <c r="AF23" s="196" t="e">
        <f>_xll.qlCalendarAdjust(Calendar,DATE(YEAR(AF11)+1,12,31),"preceding",Trigger)</f>
        <v>#VALUE!</v>
      </c>
      <c r="AG23" s="196" t="str">
        <f t="shared" si="4"/>
        <v>JPYJump13_SYNTHON_Quote</v>
      </c>
      <c r="AH23" s="197" t="e">
        <f>_xll.qlDayCounterYearFraction("actual/360",AF23,_xll.qlCalendarAdvance(Calendar,AF23,"1D",,,Trigger))</f>
        <v>#NUM!</v>
      </c>
      <c r="AI23" s="196" t="e">
        <f>IF(_xll.qlQuoteIsValid(AG23,Trigger),_xll.qlQuoteValue(AG23,Trigger),1)</f>
        <v>#NUM!</v>
      </c>
      <c r="AJ23" s="199" t="e">
        <f t="shared" si="5"/>
        <v>#NUM!</v>
      </c>
      <c r="AK23" s="200"/>
      <c r="AL23" s="198" t="str">
        <f t="shared" si="6"/>
        <v>JPYJump13_SYNTHON_Quote</v>
      </c>
    </row>
    <row r="24" spans="1:38" ht="11.25" customHeight="1" x14ac:dyDescent="0.2">
      <c r="B24" s="51"/>
      <c r="C24" s="51"/>
      <c r="D24" s="51"/>
      <c r="E24" s="51"/>
      <c r="F24" s="51"/>
      <c r="G24" s="112" t="s">
        <v>152</v>
      </c>
      <c r="H24" s="112" t="s">
        <v>144</v>
      </c>
      <c r="K24" s="53"/>
      <c r="L24" s="11" t="str">
        <f>A28</f>
        <v>Sw</v>
      </c>
      <c r="M24" s="103" t="str">
        <f>IF(ISBLANK(J28),"--",J28)</f>
        <v>obj_0020b#0021</v>
      </c>
      <c r="N24" s="156" t="str">
        <f>IFERROR(_xll.qlRateHelperQuoteName(M24,Trigger),"--")</f>
        <v>JPYSB6L18M_Quote</v>
      </c>
      <c r="O24" s="107">
        <f>IFERROR(_xll.qlRateHelperQuoteValue($M24,Trigger),"--")</f>
        <v>-8.5000000000000006E-4</v>
      </c>
      <c r="P24" s="106" t="b">
        <v>1</v>
      </c>
      <c r="Q24" s="103">
        <v>50</v>
      </c>
      <c r="R24" s="103">
        <v>1</v>
      </c>
      <c r="S24" s="108">
        <f>IFERROR(_xll.qlRateHelperEarliestDate(M24,Trigger),"--")</f>
        <v>42500</v>
      </c>
      <c r="T24" s="108">
        <f>IFERROR(_xll.qlRateHelperPillarDate(M24,Trigger),"--")</f>
        <v>43049</v>
      </c>
      <c r="V24" s="4" t="str">
        <f t="shared" si="1"/>
        <v>Sw</v>
      </c>
      <c r="W24" s="4" t="str">
        <v>obj_00208</v>
      </c>
      <c r="X24" s="4" t="str">
        <f>IFERROR(_xll.qlRateHelperQuoteName(W24,Trigger),"")</f>
        <v>JPYSB6L10Y_Quote</v>
      </c>
      <c r="Y24" s="76">
        <f>IFERROR(_xll.qlRateHelperRate(W24,Trigger),"")</f>
        <v>1.4750000000000002E-3</v>
      </c>
      <c r="Z24" s="113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42500</v>
      </c>
      <c r="AB24" s="5">
        <f>IFERROR(_xll.qlRateHelperPillarDate(W24,Trigger),"")</f>
        <v>46153</v>
      </c>
      <c r="AC24" s="84">
        <v>0.9853319366626988</v>
      </c>
    </row>
    <row r="25" spans="1:38" ht="11.25" customHeight="1" x14ac:dyDescent="0.2">
      <c r="A25" s="71" t="s">
        <v>8</v>
      </c>
      <c r="B25" s="71" t="s">
        <v>27</v>
      </c>
      <c r="C25" s="71" t="s">
        <v>142</v>
      </c>
      <c r="D25" s="71" t="s">
        <v>5</v>
      </c>
      <c r="E25" s="71" t="s">
        <v>32</v>
      </c>
      <c r="F25" s="71" t="s">
        <v>143</v>
      </c>
      <c r="G25" s="71" t="s">
        <v>4</v>
      </c>
      <c r="H25" s="71" t="s">
        <v>1</v>
      </c>
      <c r="I25" s="71" t="s">
        <v>140</v>
      </c>
      <c r="J25" s="71" t="s">
        <v>23</v>
      </c>
      <c r="K25" s="53"/>
      <c r="L25" s="11" t="str">
        <f>A29</f>
        <v>Sw</v>
      </c>
      <c r="M25" s="103" t="str">
        <f>IF(ISBLANK(J29),"--",J29)</f>
        <v>--</v>
      </c>
      <c r="N25" s="156" t="str">
        <f>IFERROR(_xll.qlRateHelperQuoteName(M25,Trigger),"--")</f>
        <v>--</v>
      </c>
      <c r="O25" s="107" t="str">
        <f>IFERROR(_xll.qlRateHelperQuoteValue($M25,Trigger),"--")</f>
        <v>--</v>
      </c>
      <c r="P25" s="106" t="b">
        <v>0</v>
      </c>
      <c r="Q25" s="103">
        <v>50</v>
      </c>
      <c r="R25" s="103">
        <v>1</v>
      </c>
      <c r="S25" s="108" t="str">
        <f>IFERROR(_xll.qlRateHelperEarliestDate(M25,Trigger),"--")</f>
        <v>--</v>
      </c>
      <c r="T25" s="108" t="str">
        <f>IFERROR(_xll.qlRateHelperPillarDate(M25,Trigger),"--")</f>
        <v>--</v>
      </c>
      <c r="V25" s="4" t="str">
        <f t="shared" si="1"/>
        <v>Sw</v>
      </c>
      <c r="W25" s="4" t="str">
        <v>obj_00205</v>
      </c>
      <c r="X25" s="4" t="str">
        <f>IFERROR(_xll.qlRateHelperQuoteName(W25,Trigger),"")</f>
        <v>JPYSB6L12Y_Quote</v>
      </c>
      <c r="Y25" s="76">
        <f>IFERROR(_xll.qlRateHelperRate(W25,Trigger),"")</f>
        <v>2.3E-3</v>
      </c>
      <c r="Z25" s="113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42500</v>
      </c>
      <c r="AB25" s="5">
        <f>IFERROR(_xll.qlRateHelperPillarDate(W25,Trigger),"")</f>
        <v>46883</v>
      </c>
      <c r="AC25" s="84">
        <v>0.97264873563038179</v>
      </c>
    </row>
    <row r="26" spans="1:38" ht="11.25" customHeight="1" x14ac:dyDescent="0.2">
      <c r="A26" s="58" t="s">
        <v>24</v>
      </c>
      <c r="B26" s="59" t="s">
        <v>26</v>
      </c>
      <c r="C26" s="60" t="s">
        <v>6</v>
      </c>
      <c r="D26" s="60" t="s">
        <v>153</v>
      </c>
      <c r="E26" s="60" t="s">
        <v>7</v>
      </c>
      <c r="F26" s="60" t="s">
        <v>154</v>
      </c>
      <c r="G26" s="60" t="str">
        <f t="shared" ref="G26:G62" si="11">PROPER(Currency)&amp;FamilyName&amp;Tenor</f>
        <v>JpyLibor6M</v>
      </c>
      <c r="H26" s="58" t="str">
        <f t="shared" ref="H26:H62" si="12">Currency&amp;$G$24&amp;$H$24&amp;B26&amp;QuoteSuffix</f>
        <v>JPYSB6L1Y_Quote</v>
      </c>
      <c r="I26" s="137">
        <v>0</v>
      </c>
      <c r="J26" s="70"/>
      <c r="K26" s="53"/>
      <c r="L26" s="11" t="str">
        <f>A30</f>
        <v>Sw</v>
      </c>
      <c r="M26" s="103" t="str">
        <f>IF(ISBLANK(J30),"--",J30)</f>
        <v>obj_00218#0005</v>
      </c>
      <c r="N26" s="156" t="str">
        <f>IFERROR(_xll.qlRateHelperQuoteName(M26,Trigger),"--")</f>
        <v>JPYSB6L2Y_Quote</v>
      </c>
      <c r="O26" s="107">
        <f>IFERROR(_xll.qlRateHelperQuoteValue($M26,Trigger),"--")</f>
        <v>-1.0750000000000002E-3</v>
      </c>
      <c r="P26" s="106" t="b">
        <v>1</v>
      </c>
      <c r="Q26" s="103">
        <v>50</v>
      </c>
      <c r="R26" s="103">
        <v>1</v>
      </c>
      <c r="S26" s="108">
        <f>IFERROR(_xll.qlRateHelperEarliestDate(M26,Trigger),"--")</f>
        <v>42500</v>
      </c>
      <c r="T26" s="108">
        <f>IFERROR(_xll.qlRateHelperPillarDate(M26,Trigger),"--")</f>
        <v>43230</v>
      </c>
      <c r="V26" s="4" t="str">
        <f t="shared" si="1"/>
        <v>Sw</v>
      </c>
      <c r="W26" s="4" t="str">
        <v>obj_00207</v>
      </c>
      <c r="X26" s="4" t="str">
        <f>IFERROR(_xll.qlRateHelperQuoteName(W26,Trigger),"")</f>
        <v>JPYSB6L15Y_Quote</v>
      </c>
      <c r="Y26" s="76">
        <f>IFERROR(_xll.qlRateHelperRate(W26,Trigger),"")</f>
        <v>3.4999999999999996E-3</v>
      </c>
      <c r="Z26" s="113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42500</v>
      </c>
      <c r="AB26" s="5">
        <f>IFERROR(_xll.qlRateHelperPillarDate(W26,Trigger),"")</f>
        <v>47980</v>
      </c>
      <c r="AC26" s="84">
        <v>0.94837285230708335</v>
      </c>
    </row>
    <row r="27" spans="1:38" ht="11.25" customHeight="1" x14ac:dyDescent="0.2">
      <c r="A27" s="64" t="s">
        <v>24</v>
      </c>
      <c r="B27" s="65" t="s">
        <v>56</v>
      </c>
      <c r="C27" s="66" t="s">
        <v>6</v>
      </c>
      <c r="D27" s="66" t="s">
        <v>153</v>
      </c>
      <c r="E27" s="66" t="s">
        <v>7</v>
      </c>
      <c r="F27" s="66" t="s">
        <v>154</v>
      </c>
      <c r="G27" s="66" t="str">
        <f t="shared" si="11"/>
        <v>JpyLibor6M</v>
      </c>
      <c r="H27" s="64" t="str">
        <f t="shared" si="12"/>
        <v>JPYSB6L15M_Quote</v>
      </c>
      <c r="I27" s="138">
        <v>0</v>
      </c>
      <c r="J27" s="70"/>
      <c r="K27" s="53"/>
      <c r="L27" s="11" t="str">
        <f>A31</f>
        <v>Sw</v>
      </c>
      <c r="M27" s="103" t="str">
        <f>IF(ISBLANK(J31),"--",J31)</f>
        <v>obj_00220#0005</v>
      </c>
      <c r="N27" s="156" t="str">
        <f>IFERROR(_xll.qlRateHelperQuoteName(M27,Trigger),"--")</f>
        <v>JPYSB6L3Y_Quote</v>
      </c>
      <c r="O27" s="107">
        <f>IFERROR(_xll.qlRateHelperQuoteValue($M27,Trigger),"--")</f>
        <v>-1.1750000000000003E-3</v>
      </c>
      <c r="P27" s="106" t="b">
        <v>1</v>
      </c>
      <c r="Q27" s="103">
        <v>50</v>
      </c>
      <c r="R27" s="103">
        <v>1</v>
      </c>
      <c r="S27" s="108">
        <f>IFERROR(_xll.qlRateHelperEarliestDate(M27,Trigger),"--")</f>
        <v>42500</v>
      </c>
      <c r="T27" s="108">
        <f>IFERROR(_xll.qlRateHelperPillarDate(M27,Trigger),"--")</f>
        <v>43595</v>
      </c>
      <c r="V27" s="4" t="str">
        <f t="shared" si="1"/>
        <v>Sw</v>
      </c>
      <c r="W27" s="4" t="str">
        <v>obj_0021f</v>
      </c>
      <c r="X27" s="4" t="str">
        <f>IFERROR(_xll.qlRateHelperQuoteName(W27,Trigger),"")</f>
        <v>JPYSB6L20Y_Quote</v>
      </c>
      <c r="Y27" s="76">
        <f>IFERROR(_xll.qlRateHelperRate(W27,Trigger),"")</f>
        <v>4.9750000000000003E-3</v>
      </c>
      <c r="Z27" s="113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42500</v>
      </c>
      <c r="AB27" s="5">
        <f>IFERROR(_xll.qlRateHelperPillarDate(W27,Trigger),"")</f>
        <v>49807</v>
      </c>
      <c r="AC27" s="84">
        <v>0.90381993735537658</v>
      </c>
    </row>
    <row r="28" spans="1:38" ht="11.25" customHeight="1" x14ac:dyDescent="0.2">
      <c r="A28" s="64" t="s">
        <v>24</v>
      </c>
      <c r="B28" s="65" t="s">
        <v>59</v>
      </c>
      <c r="C28" s="66" t="s">
        <v>6</v>
      </c>
      <c r="D28" s="66" t="s">
        <v>153</v>
      </c>
      <c r="E28" s="66" t="s">
        <v>7</v>
      </c>
      <c r="F28" s="66" t="s">
        <v>154</v>
      </c>
      <c r="G28" s="66" t="str">
        <f t="shared" si="11"/>
        <v>JpyLibor6M</v>
      </c>
      <c r="H28" s="64" t="str">
        <f t="shared" si="12"/>
        <v>JPYSB6L18M_Quote</v>
      </c>
      <c r="I28" s="138">
        <v>0</v>
      </c>
      <c r="J28" s="70" t="str">
        <f>_xll.qlSwapRateHelper2(,H28,2,B28,JoinCalendar,D28,E28,F28,G28,I28,C28,Discounting,PillarDate,,,Trigger)</f>
        <v>obj_0020b#0021</v>
      </c>
      <c r="K28" s="53"/>
      <c r="L28" s="11" t="str">
        <f>A32</f>
        <v>Sw</v>
      </c>
      <c r="M28" s="103" t="str">
        <f>IF(ISBLANK(J32),"--",J32)</f>
        <v>obj_00217#0005</v>
      </c>
      <c r="N28" s="156" t="str">
        <f>IFERROR(_xll.qlRateHelperQuoteName(M28,Trigger),"--")</f>
        <v>JPYSB6L4Y_Quote</v>
      </c>
      <c r="O28" s="107">
        <f>IFERROR(_xll.qlRateHelperQuoteValue($M28,Trigger),"--")</f>
        <v>-9.7500000000000006E-4</v>
      </c>
      <c r="P28" s="106" t="b">
        <v>1</v>
      </c>
      <c r="Q28" s="103">
        <v>50</v>
      </c>
      <c r="R28" s="103">
        <v>1</v>
      </c>
      <c r="S28" s="108">
        <f>IFERROR(_xll.qlRateHelperEarliestDate(M28,Trigger),"--")</f>
        <v>42500</v>
      </c>
      <c r="T28" s="108">
        <f>IFERROR(_xll.qlRateHelperPillarDate(M28,Trigger),"--")</f>
        <v>43962</v>
      </c>
      <c r="V28" s="4" t="str">
        <f t="shared" si="1"/>
        <v>Sw</v>
      </c>
      <c r="W28" s="4" t="str">
        <v>obj_00211</v>
      </c>
      <c r="X28" s="4" t="str">
        <f>IFERROR(_xll.qlRateHelperQuoteName(W28,Trigger),"")</f>
        <v>JPYSB6L25Y_Quote</v>
      </c>
      <c r="Y28" s="76">
        <f>IFERROR(_xll.qlRateHelperRate(W28,Trigger),"")</f>
        <v>5.7749999999999998E-3</v>
      </c>
      <c r="Z28" s="113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42500</v>
      </c>
      <c r="AB28" s="5">
        <f>IFERROR(_xll.qlRateHelperPillarDate(W28,Trigger),"")</f>
        <v>51631</v>
      </c>
      <c r="AC28" s="84">
        <v>0.86316981702410267</v>
      </c>
    </row>
    <row r="29" spans="1:38" ht="11.25" customHeight="1" x14ac:dyDescent="0.2">
      <c r="A29" s="64" t="s">
        <v>24</v>
      </c>
      <c r="B29" s="65" t="s">
        <v>62</v>
      </c>
      <c r="C29" s="66" t="s">
        <v>6</v>
      </c>
      <c r="D29" s="66" t="s">
        <v>153</v>
      </c>
      <c r="E29" s="66" t="s">
        <v>7</v>
      </c>
      <c r="F29" s="66" t="s">
        <v>154</v>
      </c>
      <c r="G29" s="66" t="str">
        <f t="shared" si="11"/>
        <v>JpyLibor6M</v>
      </c>
      <c r="H29" s="64" t="str">
        <f t="shared" si="12"/>
        <v>JPYSB6L21M_Quote</v>
      </c>
      <c r="I29" s="138">
        <v>0</v>
      </c>
      <c r="J29" s="70"/>
      <c r="K29" s="53"/>
      <c r="L29" s="11" t="str">
        <f>A33</f>
        <v>Sw</v>
      </c>
      <c r="M29" s="103" t="str">
        <f>IF(ISBLANK(J33),"--",J33)</f>
        <v>obj_00206#0005</v>
      </c>
      <c r="N29" s="156" t="str">
        <f>IFERROR(_xll.qlRateHelperQuoteName(M29,Trigger),"--")</f>
        <v>JPYSB6L5Y_Quote</v>
      </c>
      <c r="O29" s="107">
        <f>IFERROR(_xll.qlRateHelperQuoteValue($M29,Trigger),"--")</f>
        <v>-6.0000000000000006E-4</v>
      </c>
      <c r="P29" s="106" t="b">
        <v>1</v>
      </c>
      <c r="Q29" s="103">
        <v>50</v>
      </c>
      <c r="R29" s="103">
        <v>1</v>
      </c>
      <c r="S29" s="108">
        <f>IFERROR(_xll.qlRateHelperEarliestDate(M29,Trigger),"--")</f>
        <v>42500</v>
      </c>
      <c r="T29" s="108">
        <f>IFERROR(_xll.qlRateHelperPillarDate(M29,Trigger),"--")</f>
        <v>44326</v>
      </c>
      <c r="V29" s="4" t="str">
        <f t="shared" si="1"/>
        <v>Sw</v>
      </c>
      <c r="W29" s="4" t="str">
        <v>obj_00209</v>
      </c>
      <c r="X29" s="4" t="str">
        <f>IFERROR(_xll.qlRateHelperQuoteName(W29,Trigger),"")</f>
        <v>JPYSB6L30Y_Quote</v>
      </c>
      <c r="Y29" s="76">
        <f>IFERROR(_xll.qlRateHelperRate(W29,Trigger),"")</f>
        <v>6.2000000000000006E-3</v>
      </c>
      <c r="Z29" s="113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42500</v>
      </c>
      <c r="AB29" s="5">
        <f>IFERROR(_xll.qlRateHelperPillarDate(W29,Trigger),"")</f>
        <v>53457</v>
      </c>
      <c r="AC29" s="84">
        <v>0.82716605785653452</v>
      </c>
    </row>
    <row r="30" spans="1:38" ht="11.25" customHeight="1" x14ac:dyDescent="0.2">
      <c r="A30" s="64" t="s">
        <v>24</v>
      </c>
      <c r="B30" s="65" t="s">
        <v>65</v>
      </c>
      <c r="C30" s="66" t="s">
        <v>6</v>
      </c>
      <c r="D30" s="66" t="s">
        <v>153</v>
      </c>
      <c r="E30" s="66" t="s">
        <v>7</v>
      </c>
      <c r="F30" s="66" t="s">
        <v>154</v>
      </c>
      <c r="G30" s="66" t="str">
        <f t="shared" si="11"/>
        <v>JpyLibor6M</v>
      </c>
      <c r="H30" s="64" t="str">
        <f t="shared" si="12"/>
        <v>JPYSB6L2Y_Quote</v>
      </c>
      <c r="I30" s="138">
        <v>0</v>
      </c>
      <c r="J30" s="70" t="str">
        <f>_xll.qlSwapRateHelper2(,H30,2,B30,JoinCalendar,D30,E30,F30,G30,I30,C30,Discounting,PillarDate,,,Trigger)</f>
        <v>obj_00218#0005</v>
      </c>
      <c r="K30" s="53"/>
      <c r="L30" s="11" t="str">
        <f>A34</f>
        <v>Sw</v>
      </c>
      <c r="M30" s="103" t="str">
        <f>IF(ISBLANK(J34),"--",J34)</f>
        <v>obj_00214#0005</v>
      </c>
      <c r="N30" s="156" t="str">
        <f>IFERROR(_xll.qlRateHelperQuoteName(M30,Trigger),"--")</f>
        <v>JPYSB6L6Y_Quote</v>
      </c>
      <c r="O30" s="107">
        <f>IFERROR(_xll.qlRateHelperQuoteValue($M30,Trigger),"--")</f>
        <v>-1.5000000000000004E-4</v>
      </c>
      <c r="P30" s="106" t="b">
        <v>1</v>
      </c>
      <c r="Q30" s="103">
        <v>50</v>
      </c>
      <c r="R30" s="103">
        <v>1</v>
      </c>
      <c r="S30" s="108">
        <f>IFERROR(_xll.qlRateHelperEarliestDate(M30,Trigger),"--")</f>
        <v>42500</v>
      </c>
      <c r="T30" s="108">
        <f>IFERROR(_xll.qlRateHelperPillarDate(M30,Trigger),"--")</f>
        <v>44691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3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38" ht="11.25" customHeight="1" x14ac:dyDescent="0.2">
      <c r="A31" s="64" t="s">
        <v>24</v>
      </c>
      <c r="B31" s="65" t="s">
        <v>69</v>
      </c>
      <c r="C31" s="66" t="s">
        <v>6</v>
      </c>
      <c r="D31" s="66" t="s">
        <v>153</v>
      </c>
      <c r="E31" s="66" t="s">
        <v>7</v>
      </c>
      <c r="F31" s="66" t="s">
        <v>154</v>
      </c>
      <c r="G31" s="66" t="str">
        <f t="shared" si="11"/>
        <v>JpyLibor6M</v>
      </c>
      <c r="H31" s="64" t="str">
        <f t="shared" si="12"/>
        <v>JPYSB6L3Y_Quote</v>
      </c>
      <c r="I31" s="138">
        <v>0</v>
      </c>
      <c r="J31" s="70" t="str">
        <f>_xll.qlSwapRateHelper2(,H31,2,B31,JoinCalendar,D31,E31,F31,G31,I31,C31,Discounting,PillarDate,,,Trigger)</f>
        <v>obj_00220#0005</v>
      </c>
      <c r="K31" s="53"/>
      <c r="L31" s="11" t="str">
        <f>A35</f>
        <v>Sw</v>
      </c>
      <c r="M31" s="103" t="str">
        <f>IF(ISBLANK(J35),"--",J35)</f>
        <v>obj_00215#0005</v>
      </c>
      <c r="N31" s="156" t="str">
        <f>IFERROR(_xll.qlRateHelperQuoteName(M31,Trigger),"--")</f>
        <v>JPYSB6L7Y_Quote</v>
      </c>
      <c r="O31" s="107">
        <f>IFERROR(_xll.qlRateHelperQuoteValue($M31,Trigger),"--")</f>
        <v>2.7500000000000002E-4</v>
      </c>
      <c r="P31" s="106" t="b">
        <v>1</v>
      </c>
      <c r="Q31" s="103">
        <v>50</v>
      </c>
      <c r="R31" s="103">
        <v>1</v>
      </c>
      <c r="S31" s="108">
        <f>IFERROR(_xll.qlRateHelperEarliestDate(M31,Trigger),"--")</f>
        <v>42500</v>
      </c>
      <c r="T31" s="108">
        <f>IFERROR(_xll.qlRateHelperPillarDate(M31,Trigger),"--")</f>
        <v>45056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3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24</v>
      </c>
      <c r="B32" s="65" t="s">
        <v>73</v>
      </c>
      <c r="C32" s="66" t="s">
        <v>6</v>
      </c>
      <c r="D32" s="66" t="s">
        <v>153</v>
      </c>
      <c r="E32" s="66" t="s">
        <v>7</v>
      </c>
      <c r="F32" s="66" t="s">
        <v>154</v>
      </c>
      <c r="G32" s="66" t="str">
        <f t="shared" si="11"/>
        <v>JpyLibor6M</v>
      </c>
      <c r="H32" s="64" t="str">
        <f t="shared" si="12"/>
        <v>JPYSB6L4Y_Quote</v>
      </c>
      <c r="I32" s="138">
        <v>0</v>
      </c>
      <c r="J32" s="70" t="str">
        <f>_xll.qlSwapRateHelper2(,H32,2,B32,JoinCalendar,D32,E32,F32,G32,I32,C32,Discounting,PillarDate,,,Trigger)</f>
        <v>obj_00217#0005</v>
      </c>
      <c r="K32" s="53"/>
      <c r="L32" s="11" t="str">
        <f>A36</f>
        <v>Sw</v>
      </c>
      <c r="M32" s="103" t="str">
        <f>IF(ISBLANK(J36),"--",J36)</f>
        <v>obj_00216#0005</v>
      </c>
      <c r="N32" s="156" t="str">
        <f>IFERROR(_xll.qlRateHelperQuoteName(M32,Trigger),"--")</f>
        <v>JPYSB6L8Y_Quote</v>
      </c>
      <c r="O32" s="107">
        <f>IFERROR(_xll.qlRateHelperQuoteValue($M32,Trigger),"--")</f>
        <v>7.000000000000001E-4</v>
      </c>
      <c r="P32" s="106" t="b">
        <v>1</v>
      </c>
      <c r="Q32" s="103">
        <v>50</v>
      </c>
      <c r="R32" s="103">
        <v>1</v>
      </c>
      <c r="S32" s="108">
        <f>IFERROR(_xll.qlRateHelperEarliestDate(M32,Trigger),"--")</f>
        <v>42500</v>
      </c>
      <c r="T32" s="108">
        <f>IFERROR(_xll.qlRateHelperPillarDate(M32,Trigger),"--")</f>
        <v>45422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3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24</v>
      </c>
      <c r="B33" s="65" t="s">
        <v>77</v>
      </c>
      <c r="C33" s="66" t="s">
        <v>6</v>
      </c>
      <c r="D33" s="66" t="s">
        <v>153</v>
      </c>
      <c r="E33" s="66" t="s">
        <v>7</v>
      </c>
      <c r="F33" s="66" t="s">
        <v>154</v>
      </c>
      <c r="G33" s="66" t="str">
        <f t="shared" si="11"/>
        <v>JpyLibor6M</v>
      </c>
      <c r="H33" s="64" t="str">
        <f t="shared" si="12"/>
        <v>JPYSB6L5Y_Quote</v>
      </c>
      <c r="I33" s="138">
        <v>0</v>
      </c>
      <c r="J33" s="70" t="str">
        <f>_xll.qlSwapRateHelper2(,H33,2,B33,JoinCalendar,D33,E33,F33,G33,I33,C33,Discounting,PillarDate,,,Trigger)</f>
        <v>obj_00206#0005</v>
      </c>
      <c r="K33" s="53"/>
      <c r="L33" s="11" t="str">
        <f>A37</f>
        <v>Sw</v>
      </c>
      <c r="M33" s="103" t="str">
        <f>IF(ISBLANK(J37),"--",J37)</f>
        <v>obj_0021b#0005</v>
      </c>
      <c r="N33" s="156" t="str">
        <f>IFERROR(_xll.qlRateHelperQuoteName(M33,Trigger),"--")</f>
        <v>JPYSB6L9Y_Quote</v>
      </c>
      <c r="O33" s="107">
        <f>IFERROR(_xll.qlRateHelperQuoteValue($M33,Trigger),"--")</f>
        <v>1.0750000000000002E-3</v>
      </c>
      <c r="P33" s="106" t="b">
        <v>1</v>
      </c>
      <c r="Q33" s="103">
        <v>50</v>
      </c>
      <c r="R33" s="103">
        <v>1</v>
      </c>
      <c r="S33" s="108">
        <f>IFERROR(_xll.qlRateHelperEarliestDate(M33,Trigger),"--")</f>
        <v>42500</v>
      </c>
      <c r="T33" s="108">
        <f>IFERROR(_xll.qlRateHelperPillarDate(M33,Trigger),"--")</f>
        <v>45789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3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24</v>
      </c>
      <c r="B34" s="65" t="s">
        <v>78</v>
      </c>
      <c r="C34" s="66" t="s">
        <v>6</v>
      </c>
      <c r="D34" s="66" t="s">
        <v>153</v>
      </c>
      <c r="E34" s="66" t="s">
        <v>7</v>
      </c>
      <c r="F34" s="66" t="s">
        <v>154</v>
      </c>
      <c r="G34" s="66" t="str">
        <f t="shared" si="11"/>
        <v>JpyLibor6M</v>
      </c>
      <c r="H34" s="64" t="str">
        <f t="shared" si="12"/>
        <v>JPYSB6L6Y_Quote</v>
      </c>
      <c r="I34" s="138">
        <v>0</v>
      </c>
      <c r="J34" s="70" t="str">
        <f>_xll.qlSwapRateHelper2(,H34,2,B34,JoinCalendar,D34,E34,F34,G34,I34,C34,Discounting,PillarDate,,,Trigger)</f>
        <v>obj_00214#0005</v>
      </c>
      <c r="K34" s="53"/>
      <c r="L34" s="11" t="str">
        <f>A38</f>
        <v>Sw</v>
      </c>
      <c r="M34" s="103" t="str">
        <f>IF(ISBLANK(J38),"--",J38)</f>
        <v>obj_00208#0005</v>
      </c>
      <c r="N34" s="156" t="str">
        <f>IFERROR(_xll.qlRateHelperQuoteName(M34,Trigger),"--")</f>
        <v>JPYSB6L10Y_Quote</v>
      </c>
      <c r="O34" s="107">
        <f>IFERROR(_xll.qlRateHelperQuoteValue($M34,Trigger),"--")</f>
        <v>1.4750000000000002E-3</v>
      </c>
      <c r="P34" s="106" t="b">
        <v>1</v>
      </c>
      <c r="Q34" s="103">
        <v>50</v>
      </c>
      <c r="R34" s="103">
        <v>1</v>
      </c>
      <c r="S34" s="108">
        <f>IFERROR(_xll.qlRateHelperEarliestDate(M34,Trigger),"--")</f>
        <v>42500</v>
      </c>
      <c r="T34" s="108">
        <f>IFERROR(_xll.qlRateHelperPillarDate(M34,Trigger),"--")</f>
        <v>46153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3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24</v>
      </c>
      <c r="B35" s="65" t="s">
        <v>79</v>
      </c>
      <c r="C35" s="66" t="s">
        <v>6</v>
      </c>
      <c r="D35" s="66" t="s">
        <v>153</v>
      </c>
      <c r="E35" s="66" t="s">
        <v>7</v>
      </c>
      <c r="F35" s="66" t="s">
        <v>154</v>
      </c>
      <c r="G35" s="66" t="str">
        <f t="shared" si="11"/>
        <v>JpyLibor6M</v>
      </c>
      <c r="H35" s="64" t="str">
        <f t="shared" si="12"/>
        <v>JPYSB6L7Y_Quote</v>
      </c>
      <c r="I35" s="138">
        <v>0</v>
      </c>
      <c r="J35" s="70" t="str">
        <f>_xll.qlSwapRateHelper2(,H35,2,B35,JoinCalendar,D35,E35,F35,G35,I35,C35,Discounting,PillarDate,,,Trigger)</f>
        <v>obj_00215#0005</v>
      </c>
      <c r="K35" s="53"/>
      <c r="L35" s="11" t="str">
        <f>A39</f>
        <v>Sw</v>
      </c>
      <c r="M35" s="103" t="str">
        <f>IF(ISBLANK(J39),"--",J39)</f>
        <v>--</v>
      </c>
      <c r="N35" s="156" t="str">
        <f>IFERROR(_xll.qlRateHelperQuoteName(M35,Trigger),"--")</f>
        <v>--</v>
      </c>
      <c r="O35" s="107" t="str">
        <f>IFERROR(_xll.qlRateHelperQuoteValue($M35,Trigger),"--")</f>
        <v>--</v>
      </c>
      <c r="P35" s="106" t="b">
        <v>0</v>
      </c>
      <c r="Q35" s="103">
        <v>50</v>
      </c>
      <c r="R35" s="103">
        <v>1</v>
      </c>
      <c r="S35" s="108" t="str">
        <f>IFERROR(_xll.qlRateHelperEarliestDate(M35,Trigger),"--")</f>
        <v>--</v>
      </c>
      <c r="T35" s="108" t="str">
        <f>IFERROR(_xll.qlRateHelperPillarDate(M35,Trigger),"--")</f>
        <v>--</v>
      </c>
      <c r="V35" s="4" t="str">
        <f t="shared" ref="V35:V58" si="13">IFERROR(INDEX($L$3:$L$80,MATCH(X35,$N$3:$N$80,0),1),"")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3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24</v>
      </c>
      <c r="B36" s="65" t="s">
        <v>80</v>
      </c>
      <c r="C36" s="66" t="s">
        <v>6</v>
      </c>
      <c r="D36" s="66" t="s">
        <v>153</v>
      </c>
      <c r="E36" s="66" t="s">
        <v>7</v>
      </c>
      <c r="F36" s="66" t="s">
        <v>154</v>
      </c>
      <c r="G36" s="66" t="str">
        <f t="shared" si="11"/>
        <v>JpyLibor6M</v>
      </c>
      <c r="H36" s="64" t="str">
        <f t="shared" si="12"/>
        <v>JPYSB6L8Y_Quote</v>
      </c>
      <c r="I36" s="138">
        <v>0</v>
      </c>
      <c r="J36" s="70" t="str">
        <f>_xll.qlSwapRateHelper2(,H36,2,B36,JoinCalendar,D36,E36,F36,G36,I36,C36,Discounting,PillarDate,,,Trigger)</f>
        <v>obj_00216#0005</v>
      </c>
      <c r="K36" s="53"/>
      <c r="L36" s="11" t="str">
        <f>A40</f>
        <v>Sw</v>
      </c>
      <c r="M36" s="103" t="str">
        <f>IF(ISBLANK(J40),"--",J40)</f>
        <v>obj_00205#0005</v>
      </c>
      <c r="N36" s="156" t="str">
        <f>IFERROR(_xll.qlRateHelperQuoteName(M36,Trigger),"--")</f>
        <v>JPYSB6L12Y_Quote</v>
      </c>
      <c r="O36" s="107">
        <f>IFERROR(_xll.qlRateHelperQuoteValue($M36,Trigger),"--")</f>
        <v>2.3E-3</v>
      </c>
      <c r="P36" s="106" t="b">
        <v>1</v>
      </c>
      <c r="Q36" s="103">
        <v>50</v>
      </c>
      <c r="R36" s="103">
        <v>1</v>
      </c>
      <c r="S36" s="108">
        <f>IFERROR(_xll.qlRateHelperEarliestDate(M36,Trigger),"--")</f>
        <v>42500</v>
      </c>
      <c r="T36" s="108">
        <f>IFERROR(_xll.qlRateHelperPillarDate(M36,Trigger),"--")</f>
        <v>46883</v>
      </c>
      <c r="V36" s="4" t="str">
        <f t="shared" si="1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3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24</v>
      </c>
      <c r="B37" s="65" t="s">
        <v>81</v>
      </c>
      <c r="C37" s="66" t="s">
        <v>6</v>
      </c>
      <c r="D37" s="66" t="s">
        <v>153</v>
      </c>
      <c r="E37" s="66" t="s">
        <v>7</v>
      </c>
      <c r="F37" s="66" t="s">
        <v>154</v>
      </c>
      <c r="G37" s="66" t="str">
        <f t="shared" si="11"/>
        <v>JpyLibor6M</v>
      </c>
      <c r="H37" s="64" t="str">
        <f t="shared" si="12"/>
        <v>JPYSB6L9Y_Quote</v>
      </c>
      <c r="I37" s="138">
        <v>0</v>
      </c>
      <c r="J37" s="70" t="str">
        <f>_xll.qlSwapRateHelper2(,H37,2,B37,JoinCalendar,D37,E37,F37,G37,I37,C37,Discounting,PillarDate,,,Trigger)</f>
        <v>obj_0021b#0005</v>
      </c>
      <c r="K37" s="53"/>
      <c r="L37" s="11" t="str">
        <f>A41</f>
        <v>Sw</v>
      </c>
      <c r="M37" s="103" t="str">
        <f>IF(ISBLANK(J41),"--",J41)</f>
        <v>--</v>
      </c>
      <c r="N37" s="156" t="str">
        <f>IFERROR(_xll.qlRateHelperQuoteName(M37,Trigger),"--")</f>
        <v>--</v>
      </c>
      <c r="O37" s="107" t="str">
        <f>IFERROR(_xll.qlRateHelperQuoteValue($M37,Trigger),"--")</f>
        <v>--</v>
      </c>
      <c r="P37" s="106" t="b">
        <v>0</v>
      </c>
      <c r="Q37" s="103">
        <v>50</v>
      </c>
      <c r="R37" s="103">
        <v>1</v>
      </c>
      <c r="S37" s="108" t="str">
        <f>IFERROR(_xll.qlRateHelperEarliestDate(M37,Trigger),"--")</f>
        <v>--</v>
      </c>
      <c r="T37" s="108" t="str">
        <f>IFERROR(_xll.qlRateHelperPillarDate(M37,Trigger),"--")</f>
        <v>--</v>
      </c>
      <c r="V37" s="4" t="str">
        <f t="shared" si="1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3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24</v>
      </c>
      <c r="B38" s="65" t="s">
        <v>82</v>
      </c>
      <c r="C38" s="66" t="s">
        <v>6</v>
      </c>
      <c r="D38" s="66" t="s">
        <v>153</v>
      </c>
      <c r="E38" s="66" t="s">
        <v>7</v>
      </c>
      <c r="F38" s="66" t="s">
        <v>154</v>
      </c>
      <c r="G38" s="66" t="str">
        <f t="shared" si="11"/>
        <v>JpyLibor6M</v>
      </c>
      <c r="H38" s="64" t="str">
        <f t="shared" si="12"/>
        <v>JPYSB6L10Y_Quote</v>
      </c>
      <c r="I38" s="138">
        <v>0</v>
      </c>
      <c r="J38" s="70" t="str">
        <f>_xll.qlSwapRateHelper2(,H38,2,B38,JoinCalendar,D38,E38,F38,G38,I38,C38,Discounting,PillarDate,,,Trigger)</f>
        <v>obj_00208#0005</v>
      </c>
      <c r="K38" s="53"/>
      <c r="L38" s="11" t="str">
        <f>A42</f>
        <v>Sw</v>
      </c>
      <c r="M38" s="103" t="str">
        <f>IF(ISBLANK(J42),"--",J42)</f>
        <v>--</v>
      </c>
      <c r="N38" s="156" t="str">
        <f>IFERROR(_xll.qlRateHelperQuoteName(M38,Trigger),"--")</f>
        <v>--</v>
      </c>
      <c r="O38" s="107" t="str">
        <f>IFERROR(_xll.qlRateHelperQuoteValue($M38,Trigger),"--")</f>
        <v>--</v>
      </c>
      <c r="P38" s="106" t="b">
        <v>0</v>
      </c>
      <c r="Q38" s="103">
        <v>50</v>
      </c>
      <c r="R38" s="103">
        <v>1</v>
      </c>
      <c r="S38" s="108" t="str">
        <f>IFERROR(_xll.qlRateHelperEarliestDate(M38,Trigger),"--")</f>
        <v>--</v>
      </c>
      <c r="T38" s="108" t="str">
        <f>IFERROR(_xll.qlRateHelperPillarDate(M38,Trigger),"--")</f>
        <v>--</v>
      </c>
      <c r="V38" s="4" t="str">
        <f t="shared" si="1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3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24</v>
      </c>
      <c r="B39" s="65" t="s">
        <v>125</v>
      </c>
      <c r="C39" s="66" t="s">
        <v>6</v>
      </c>
      <c r="D39" s="66" t="s">
        <v>153</v>
      </c>
      <c r="E39" s="66" t="s">
        <v>7</v>
      </c>
      <c r="F39" s="66" t="s">
        <v>154</v>
      </c>
      <c r="G39" s="66" t="str">
        <f t="shared" si="11"/>
        <v>JpyLibor6M</v>
      </c>
      <c r="H39" s="64" t="str">
        <f t="shared" si="12"/>
        <v>JPYSB6L11Y_Quote</v>
      </c>
      <c r="I39" s="138">
        <v>0</v>
      </c>
      <c r="J39" s="70"/>
      <c r="K39" s="53"/>
      <c r="L39" s="11" t="str">
        <f>A43</f>
        <v>Sw</v>
      </c>
      <c r="M39" s="103" t="str">
        <f>IF(ISBLANK(J43),"--",J43)</f>
        <v>obj_00207#0005</v>
      </c>
      <c r="N39" s="156" t="str">
        <f>IFERROR(_xll.qlRateHelperQuoteName(M39,Trigger),"--")</f>
        <v>JPYSB6L15Y_Quote</v>
      </c>
      <c r="O39" s="107">
        <f>IFERROR(_xll.qlRateHelperQuoteValue($M39,Trigger),"--")</f>
        <v>3.4999999999999996E-3</v>
      </c>
      <c r="P39" s="106" t="b">
        <v>1</v>
      </c>
      <c r="Q39" s="103">
        <v>50</v>
      </c>
      <c r="R39" s="103">
        <v>1</v>
      </c>
      <c r="S39" s="108">
        <f>IFERROR(_xll.qlRateHelperEarliestDate(M39,Trigger),"--")</f>
        <v>42500</v>
      </c>
      <c r="T39" s="108">
        <f>IFERROR(_xll.qlRateHelperPillarDate(M39,Trigger),"--")</f>
        <v>47980</v>
      </c>
      <c r="V39" s="4" t="str">
        <f t="shared" si="1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3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24</v>
      </c>
      <c r="B40" s="65" t="s">
        <v>83</v>
      </c>
      <c r="C40" s="66" t="s">
        <v>6</v>
      </c>
      <c r="D40" s="66" t="s">
        <v>153</v>
      </c>
      <c r="E40" s="66" t="s">
        <v>7</v>
      </c>
      <c r="F40" s="66" t="s">
        <v>154</v>
      </c>
      <c r="G40" s="66" t="str">
        <f t="shared" si="11"/>
        <v>JpyLibor6M</v>
      </c>
      <c r="H40" s="64" t="str">
        <f t="shared" si="12"/>
        <v>JPYSB6L12Y_Quote</v>
      </c>
      <c r="I40" s="138">
        <v>0</v>
      </c>
      <c r="J40" s="70" t="str">
        <f>_xll.qlSwapRateHelper2(,H40,2,B40,JoinCalendar,D40,E40,F40,G40,I40,C40,Discounting,PillarDate,,,Trigger)</f>
        <v>obj_00205#0005</v>
      </c>
      <c r="K40" s="53"/>
      <c r="L40" s="11" t="str">
        <f>A44</f>
        <v>Sw</v>
      </c>
      <c r="M40" s="103" t="str">
        <f>IF(ISBLANK(J44),"--",J44)</f>
        <v>--</v>
      </c>
      <c r="N40" s="156" t="str">
        <f>IFERROR(_xll.qlRateHelperQuoteName(M40,Trigger),"--")</f>
        <v>--</v>
      </c>
      <c r="O40" s="107" t="str">
        <f>IFERROR(_xll.qlRateHelperQuoteValue($M40,Trigger),"--")</f>
        <v>--</v>
      </c>
      <c r="P40" s="106" t="b">
        <v>0</v>
      </c>
      <c r="Q40" s="103">
        <v>50</v>
      </c>
      <c r="R40" s="103">
        <v>1</v>
      </c>
      <c r="S40" s="108" t="str">
        <f>IFERROR(_xll.qlRateHelperEarliestDate(M40,Trigger),"--")</f>
        <v>--</v>
      </c>
      <c r="T40" s="108" t="str">
        <f>IFERROR(_xll.qlRateHelperPillarDate(M40,Trigger),"--")</f>
        <v>--</v>
      </c>
      <c r="V40" s="4" t="str">
        <f t="shared" si="1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3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24</v>
      </c>
      <c r="B41" s="65" t="s">
        <v>126</v>
      </c>
      <c r="C41" s="66" t="s">
        <v>6</v>
      </c>
      <c r="D41" s="66" t="s">
        <v>153</v>
      </c>
      <c r="E41" s="66" t="s">
        <v>7</v>
      </c>
      <c r="F41" s="66" t="s">
        <v>154</v>
      </c>
      <c r="G41" s="66" t="str">
        <f t="shared" si="11"/>
        <v>JpyLibor6M</v>
      </c>
      <c r="H41" s="64" t="str">
        <f t="shared" si="12"/>
        <v>JPYSB6L13Y_Quote</v>
      </c>
      <c r="I41" s="138">
        <v>0</v>
      </c>
      <c r="J41" s="70"/>
      <c r="L41" s="11" t="str">
        <f>A45</f>
        <v>Sw</v>
      </c>
      <c r="M41" s="103" t="str">
        <f>IF(ISBLANK(J45),"--",J45)</f>
        <v>--</v>
      </c>
      <c r="N41" s="156" t="str">
        <f>IFERROR(_xll.qlRateHelperQuoteName(M41,Trigger),"--")</f>
        <v>--</v>
      </c>
      <c r="O41" s="107" t="str">
        <f>IFERROR(_xll.qlRateHelperQuoteValue($M41,Trigger),"--")</f>
        <v>--</v>
      </c>
      <c r="P41" s="106" t="b">
        <v>0</v>
      </c>
      <c r="Q41" s="103">
        <v>50</v>
      </c>
      <c r="R41" s="103">
        <v>1</v>
      </c>
      <c r="S41" s="108" t="str">
        <f>IFERROR(_xll.qlRateHelperEarliestDate(M41,Trigger),"--")</f>
        <v>--</v>
      </c>
      <c r="T41" s="108" t="str">
        <f>IFERROR(_xll.qlRateHelperPillarDate(M41,Trigger),"--")</f>
        <v>--</v>
      </c>
      <c r="V41" s="4" t="str">
        <f t="shared" si="1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3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24</v>
      </c>
      <c r="B42" s="65" t="s">
        <v>127</v>
      </c>
      <c r="C42" s="66" t="s">
        <v>6</v>
      </c>
      <c r="D42" s="66" t="s">
        <v>153</v>
      </c>
      <c r="E42" s="66" t="s">
        <v>7</v>
      </c>
      <c r="F42" s="66" t="s">
        <v>154</v>
      </c>
      <c r="G42" s="66" t="str">
        <f t="shared" si="11"/>
        <v>JpyLibor6M</v>
      </c>
      <c r="H42" s="64" t="str">
        <f t="shared" si="12"/>
        <v>JPYSB6L14Y_Quote</v>
      </c>
      <c r="I42" s="138">
        <v>0</v>
      </c>
      <c r="J42" s="70"/>
      <c r="L42" s="11" t="str">
        <f>A46</f>
        <v>Sw</v>
      </c>
      <c r="M42" s="103" t="str">
        <f>IF(ISBLANK(J46),"--",J46)</f>
        <v>--</v>
      </c>
      <c r="N42" s="156" t="str">
        <f>IFERROR(_xll.qlRateHelperQuoteName(M42,Trigger),"--")</f>
        <v>--</v>
      </c>
      <c r="O42" s="107" t="str">
        <f>IFERROR(_xll.qlRateHelperQuoteValue($M42,Trigger),"--")</f>
        <v>--</v>
      </c>
      <c r="P42" s="106" t="b">
        <v>0</v>
      </c>
      <c r="Q42" s="103">
        <v>50</v>
      </c>
      <c r="R42" s="103">
        <v>1</v>
      </c>
      <c r="S42" s="108" t="str">
        <f>IFERROR(_xll.qlRateHelperEarliestDate(M42,Trigger),"--")</f>
        <v>--</v>
      </c>
      <c r="T42" s="108" t="str">
        <f>IFERROR(_xll.qlRateHelperPillarDate(M42,Trigger),"--")</f>
        <v>--</v>
      </c>
      <c r="V42" s="4" t="str">
        <f t="shared" si="1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3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24</v>
      </c>
      <c r="B43" s="65" t="s">
        <v>84</v>
      </c>
      <c r="C43" s="66" t="s">
        <v>6</v>
      </c>
      <c r="D43" s="66" t="s">
        <v>153</v>
      </c>
      <c r="E43" s="66" t="s">
        <v>7</v>
      </c>
      <c r="F43" s="66" t="s">
        <v>154</v>
      </c>
      <c r="G43" s="66" t="str">
        <f t="shared" si="11"/>
        <v>JpyLibor6M</v>
      </c>
      <c r="H43" s="64" t="str">
        <f t="shared" si="12"/>
        <v>JPYSB6L15Y_Quote</v>
      </c>
      <c r="I43" s="138">
        <v>0</v>
      </c>
      <c r="J43" s="70" t="str">
        <f>_xll.qlSwapRateHelper2(,H43,2,B43,JoinCalendar,D43,E43,F43,G43,I43,C43,Discounting,PillarDate,,,Trigger)</f>
        <v>obj_00207#0005</v>
      </c>
      <c r="L43" s="11" t="str">
        <f>A47</f>
        <v>Sw</v>
      </c>
      <c r="M43" s="103" t="str">
        <f>IF(ISBLANK(J47),"--",J47)</f>
        <v>--</v>
      </c>
      <c r="N43" s="156" t="str">
        <f>IFERROR(_xll.qlRateHelperQuoteName(M43,Trigger),"--")</f>
        <v>--</v>
      </c>
      <c r="O43" s="107" t="str">
        <f>IFERROR(_xll.qlRateHelperQuoteValue($M43,Trigger),"--")</f>
        <v>--</v>
      </c>
      <c r="P43" s="106" t="b">
        <v>0</v>
      </c>
      <c r="Q43" s="103">
        <v>50</v>
      </c>
      <c r="R43" s="103">
        <v>1</v>
      </c>
      <c r="S43" s="108" t="str">
        <f>IFERROR(_xll.qlRateHelperEarliestDate(M43,Trigger),"--")</f>
        <v>--</v>
      </c>
      <c r="T43" s="108" t="str">
        <f>IFERROR(_xll.qlRateHelperPillarDate(M43,Trigger),"--")</f>
        <v>--</v>
      </c>
      <c r="V43" s="4" t="str">
        <f t="shared" si="1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3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24</v>
      </c>
      <c r="B44" s="65" t="s">
        <v>128</v>
      </c>
      <c r="C44" s="66" t="s">
        <v>6</v>
      </c>
      <c r="D44" s="66" t="s">
        <v>153</v>
      </c>
      <c r="E44" s="66" t="s">
        <v>7</v>
      </c>
      <c r="F44" s="66" t="s">
        <v>154</v>
      </c>
      <c r="G44" s="66" t="str">
        <f t="shared" si="11"/>
        <v>JpyLibor6M</v>
      </c>
      <c r="H44" s="64" t="str">
        <f t="shared" si="12"/>
        <v>JPYSB6L16Y_Quote</v>
      </c>
      <c r="I44" s="138">
        <v>0</v>
      </c>
      <c r="J44" s="70"/>
      <c r="L44" s="11" t="str">
        <f>A48</f>
        <v>Sw</v>
      </c>
      <c r="M44" s="103" t="str">
        <f>IF(ISBLANK(J48),"--",J48)</f>
        <v>obj_0021f#0005</v>
      </c>
      <c r="N44" s="156" t="str">
        <f>IFERROR(_xll.qlRateHelperQuoteName(M44,Trigger),"--")</f>
        <v>JPYSB6L20Y_Quote</v>
      </c>
      <c r="O44" s="107">
        <f>IFERROR(_xll.qlRateHelperQuoteValue($M44,Trigger),"--")</f>
        <v>4.9750000000000003E-3</v>
      </c>
      <c r="P44" s="106" t="b">
        <v>1</v>
      </c>
      <c r="Q44" s="103">
        <v>50</v>
      </c>
      <c r="R44" s="103">
        <v>1</v>
      </c>
      <c r="S44" s="108">
        <f>IFERROR(_xll.qlRateHelperEarliestDate(M44,Trigger),"--")</f>
        <v>42500</v>
      </c>
      <c r="T44" s="108">
        <f>IFERROR(_xll.qlRateHelperPillarDate(M44,Trigger),"--")</f>
        <v>49807</v>
      </c>
      <c r="V44" s="4" t="str">
        <f t="shared" si="1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3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24</v>
      </c>
      <c r="B45" s="65" t="s">
        <v>129</v>
      </c>
      <c r="C45" s="66" t="s">
        <v>6</v>
      </c>
      <c r="D45" s="66" t="s">
        <v>153</v>
      </c>
      <c r="E45" s="66" t="s">
        <v>7</v>
      </c>
      <c r="F45" s="66" t="s">
        <v>154</v>
      </c>
      <c r="G45" s="66" t="str">
        <f t="shared" si="11"/>
        <v>JpyLibor6M</v>
      </c>
      <c r="H45" s="64" t="str">
        <f t="shared" si="12"/>
        <v>JPYSB6L17Y_Quote</v>
      </c>
      <c r="I45" s="138">
        <v>0</v>
      </c>
      <c r="J45" s="70"/>
      <c r="L45" s="11" t="str">
        <f>A49</f>
        <v>Sw</v>
      </c>
      <c r="M45" s="103" t="str">
        <f>IF(ISBLANK(J49),"--",J49)</f>
        <v>--</v>
      </c>
      <c r="N45" s="156" t="str">
        <f>IFERROR(_xll.qlRateHelperQuoteName(M45,Trigger),"--")</f>
        <v>--</v>
      </c>
      <c r="O45" s="107" t="str">
        <f>IFERROR(_xll.qlRateHelperQuoteValue($M45,Trigger),"--")</f>
        <v>--</v>
      </c>
      <c r="P45" s="106" t="b">
        <v>0</v>
      </c>
      <c r="Q45" s="103">
        <v>50</v>
      </c>
      <c r="R45" s="103">
        <v>1</v>
      </c>
      <c r="S45" s="108" t="str">
        <f>IFERROR(_xll.qlRateHelperEarliestDate(M45,Trigger),"--")</f>
        <v>--</v>
      </c>
      <c r="T45" s="108" t="str">
        <f>IFERROR(_xll.qlRateHelperPillarDate(M45,Trigger),"--")</f>
        <v>--</v>
      </c>
      <c r="V45" s="4" t="str">
        <f t="shared" si="1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3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24</v>
      </c>
      <c r="B46" s="65" t="s">
        <v>130</v>
      </c>
      <c r="C46" s="66" t="s">
        <v>6</v>
      </c>
      <c r="D46" s="66" t="s">
        <v>153</v>
      </c>
      <c r="E46" s="66" t="s">
        <v>7</v>
      </c>
      <c r="F46" s="66" t="s">
        <v>154</v>
      </c>
      <c r="G46" s="66" t="str">
        <f t="shared" si="11"/>
        <v>JpyLibor6M</v>
      </c>
      <c r="H46" s="64" t="str">
        <f t="shared" si="12"/>
        <v>JPYSB6L18Y_Quote</v>
      </c>
      <c r="I46" s="138">
        <v>0</v>
      </c>
      <c r="J46" s="70"/>
      <c r="L46" s="11" t="str">
        <f>A50</f>
        <v>Sw</v>
      </c>
      <c r="M46" s="103" t="str">
        <f>IF(ISBLANK(J50),"--",J50)</f>
        <v>--</v>
      </c>
      <c r="N46" s="156" t="str">
        <f>IFERROR(_xll.qlRateHelperQuoteName(M46,Trigger),"--")</f>
        <v>--</v>
      </c>
      <c r="O46" s="107" t="str">
        <f>IFERROR(_xll.qlRateHelperQuoteValue($M46,Trigger),"--")</f>
        <v>--</v>
      </c>
      <c r="P46" s="106" t="b">
        <v>0</v>
      </c>
      <c r="Q46" s="103">
        <v>50</v>
      </c>
      <c r="R46" s="103">
        <v>1</v>
      </c>
      <c r="S46" s="108" t="str">
        <f>IFERROR(_xll.qlRateHelperEarliestDate(M46,Trigger),"--")</f>
        <v>--</v>
      </c>
      <c r="T46" s="108" t="str">
        <f>IFERROR(_xll.qlRateHelperPillarDate(M46,Trigger),"--")</f>
        <v>--</v>
      </c>
      <c r="V46" s="4" t="str">
        <f t="shared" si="1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3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24</v>
      </c>
      <c r="B47" s="65" t="s">
        <v>131</v>
      </c>
      <c r="C47" s="66" t="s">
        <v>6</v>
      </c>
      <c r="D47" s="66" t="s">
        <v>153</v>
      </c>
      <c r="E47" s="66" t="s">
        <v>7</v>
      </c>
      <c r="F47" s="66" t="s">
        <v>154</v>
      </c>
      <c r="G47" s="66" t="str">
        <f t="shared" si="11"/>
        <v>JpyLibor6M</v>
      </c>
      <c r="H47" s="64" t="str">
        <f t="shared" si="12"/>
        <v>JPYSB6L19Y_Quote</v>
      </c>
      <c r="I47" s="138">
        <v>0</v>
      </c>
      <c r="J47" s="70"/>
      <c r="L47" s="11" t="str">
        <f>A51</f>
        <v>Sw</v>
      </c>
      <c r="M47" s="103" t="str">
        <f>IF(ISBLANK(J51),"--",J51)</f>
        <v>--</v>
      </c>
      <c r="N47" s="156" t="str">
        <f>IFERROR(_xll.qlRateHelperQuoteName(M47,Trigger),"--")</f>
        <v>--</v>
      </c>
      <c r="O47" s="107" t="str">
        <f>IFERROR(_xll.qlRateHelperQuoteValue($M47,Trigger),"--")</f>
        <v>--</v>
      </c>
      <c r="P47" s="106" t="b">
        <v>0</v>
      </c>
      <c r="Q47" s="103">
        <v>50</v>
      </c>
      <c r="R47" s="103">
        <v>1</v>
      </c>
      <c r="S47" s="108" t="str">
        <f>IFERROR(_xll.qlRateHelperEarliestDate(M47,Trigger),"--")</f>
        <v>--</v>
      </c>
      <c r="T47" s="108" t="str">
        <f>IFERROR(_xll.qlRateHelperPillarDate(M47,Trigger),"--")</f>
        <v>--</v>
      </c>
      <c r="V47" s="4" t="str">
        <f t="shared" si="1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3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24</v>
      </c>
      <c r="B48" s="65" t="s">
        <v>85</v>
      </c>
      <c r="C48" s="66" t="s">
        <v>6</v>
      </c>
      <c r="D48" s="66" t="s">
        <v>153</v>
      </c>
      <c r="E48" s="66" t="s">
        <v>7</v>
      </c>
      <c r="F48" s="66" t="s">
        <v>154</v>
      </c>
      <c r="G48" s="66" t="str">
        <f t="shared" si="11"/>
        <v>JpyLibor6M</v>
      </c>
      <c r="H48" s="64" t="str">
        <f t="shared" si="12"/>
        <v>JPYSB6L20Y_Quote</v>
      </c>
      <c r="I48" s="138">
        <v>0</v>
      </c>
      <c r="J48" s="70" t="str">
        <f>_xll.qlSwapRateHelper2(,H48,2,B48,JoinCalendar,D48,E48,F48,G48,I48,C48,Discounting,PillarDate,,,Trigger)</f>
        <v>obj_0021f#0005</v>
      </c>
      <c r="L48" s="11" t="str">
        <f>A52</f>
        <v>Sw</v>
      </c>
      <c r="M48" s="103" t="str">
        <f>IF(ISBLANK(J52),"--",J52)</f>
        <v>--</v>
      </c>
      <c r="N48" s="156" t="str">
        <f>IFERROR(_xll.qlRateHelperQuoteName(M48,Trigger),"--")</f>
        <v>--</v>
      </c>
      <c r="O48" s="107" t="str">
        <f>IFERROR(_xll.qlRateHelperQuoteValue($M48,Trigger),"--")</f>
        <v>--</v>
      </c>
      <c r="P48" s="106" t="b">
        <v>0</v>
      </c>
      <c r="Q48" s="103">
        <v>50</v>
      </c>
      <c r="R48" s="103">
        <v>1</v>
      </c>
      <c r="S48" s="108" t="str">
        <f>IFERROR(_xll.qlRateHelperEarliestDate(M48,Trigger),"--")</f>
        <v>--</v>
      </c>
      <c r="T48" s="108" t="str">
        <f>IFERROR(_xll.qlRateHelperPillarDate(M48,Trigger),"--")</f>
        <v>--</v>
      </c>
      <c r="V48" s="4" t="str">
        <f t="shared" si="1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3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24</v>
      </c>
      <c r="B49" s="65" t="s">
        <v>132</v>
      </c>
      <c r="C49" s="66" t="s">
        <v>6</v>
      </c>
      <c r="D49" s="66" t="s">
        <v>153</v>
      </c>
      <c r="E49" s="66" t="s">
        <v>7</v>
      </c>
      <c r="F49" s="66" t="s">
        <v>154</v>
      </c>
      <c r="G49" s="66" t="str">
        <f t="shared" si="11"/>
        <v>JpyLibor6M</v>
      </c>
      <c r="H49" s="64" t="str">
        <f t="shared" si="12"/>
        <v>JPYSB6L21Y_Quote</v>
      </c>
      <c r="I49" s="138">
        <v>0</v>
      </c>
      <c r="J49" s="70"/>
      <c r="L49" s="11" t="str">
        <f>A53</f>
        <v>Sw</v>
      </c>
      <c r="M49" s="103" t="str">
        <f>IF(ISBLANK(J53),"--",J53)</f>
        <v>obj_00211#0005</v>
      </c>
      <c r="N49" s="156" t="str">
        <f>IFERROR(_xll.qlRateHelperQuoteName(M49,Trigger),"--")</f>
        <v>JPYSB6L25Y_Quote</v>
      </c>
      <c r="O49" s="107">
        <f>IFERROR(_xll.qlRateHelperQuoteValue($M49,Trigger),"--")</f>
        <v>5.7749999999999998E-3</v>
      </c>
      <c r="P49" s="106" t="b">
        <v>1</v>
      </c>
      <c r="Q49" s="103">
        <v>50</v>
      </c>
      <c r="R49" s="103">
        <v>1</v>
      </c>
      <c r="S49" s="108">
        <f>IFERROR(_xll.qlRateHelperEarliestDate(M49,Trigger),"--")</f>
        <v>42500</v>
      </c>
      <c r="T49" s="108">
        <f>IFERROR(_xll.qlRateHelperPillarDate(M49,Trigger),"--")</f>
        <v>51631</v>
      </c>
      <c r="V49" s="4" t="str">
        <f t="shared" si="1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3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24</v>
      </c>
      <c r="B50" s="65" t="s">
        <v>133</v>
      </c>
      <c r="C50" s="66" t="s">
        <v>6</v>
      </c>
      <c r="D50" s="66" t="s">
        <v>153</v>
      </c>
      <c r="E50" s="66" t="s">
        <v>7</v>
      </c>
      <c r="F50" s="66" t="s">
        <v>154</v>
      </c>
      <c r="G50" s="66" t="str">
        <f t="shared" si="11"/>
        <v>JpyLibor6M</v>
      </c>
      <c r="H50" s="64" t="str">
        <f t="shared" si="12"/>
        <v>JPYSB6L22Y_Quote</v>
      </c>
      <c r="I50" s="138">
        <v>0</v>
      </c>
      <c r="J50" s="70"/>
      <c r="L50" s="11" t="str">
        <f>A54</f>
        <v>Sw</v>
      </c>
      <c r="M50" s="103" t="str">
        <f>IF(ISBLANK(J54),"--",J54)</f>
        <v>--</v>
      </c>
      <c r="N50" s="156" t="str">
        <f>IFERROR(_xll.qlRateHelperQuoteName(M50,Trigger),"--")</f>
        <v>--</v>
      </c>
      <c r="O50" s="107" t="str">
        <f>IFERROR(_xll.qlRateHelperQuoteValue($M50,Trigger),"--")</f>
        <v>--</v>
      </c>
      <c r="P50" s="106" t="b">
        <v>0</v>
      </c>
      <c r="Q50" s="103">
        <v>50</v>
      </c>
      <c r="R50" s="103">
        <v>1</v>
      </c>
      <c r="S50" s="108" t="str">
        <f>IFERROR(_xll.qlRateHelperEarliestDate(M50,Trigger),"--")</f>
        <v>--</v>
      </c>
      <c r="T50" s="108" t="str">
        <f>IFERROR(_xll.qlRateHelperPillarDate(M50,Trigger),"--")</f>
        <v>--</v>
      </c>
      <c r="V50" s="4" t="str">
        <f t="shared" si="1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3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24</v>
      </c>
      <c r="B51" s="65" t="s">
        <v>134</v>
      </c>
      <c r="C51" s="66" t="s">
        <v>6</v>
      </c>
      <c r="D51" s="66" t="s">
        <v>153</v>
      </c>
      <c r="E51" s="66" t="s">
        <v>7</v>
      </c>
      <c r="F51" s="66" t="s">
        <v>154</v>
      </c>
      <c r="G51" s="66" t="str">
        <f t="shared" si="11"/>
        <v>JpyLibor6M</v>
      </c>
      <c r="H51" s="64" t="str">
        <f t="shared" si="12"/>
        <v>JPYSB6L23Y_Quote</v>
      </c>
      <c r="I51" s="138">
        <v>0</v>
      </c>
      <c r="J51" s="70"/>
      <c r="L51" s="11" t="str">
        <f>A55</f>
        <v>Sw</v>
      </c>
      <c r="M51" s="103" t="str">
        <f>IF(ISBLANK(J55),"--",J55)</f>
        <v>--</v>
      </c>
      <c r="N51" s="156" t="str">
        <f>IFERROR(_xll.qlRateHelperQuoteName(M51,Trigger),"--")</f>
        <v>--</v>
      </c>
      <c r="O51" s="107" t="str">
        <f>IFERROR(_xll.qlRateHelperQuoteValue($M51,Trigger),"--")</f>
        <v>--</v>
      </c>
      <c r="P51" s="106" t="b">
        <v>0</v>
      </c>
      <c r="Q51" s="103">
        <v>50</v>
      </c>
      <c r="R51" s="103">
        <v>1</v>
      </c>
      <c r="S51" s="108" t="str">
        <f>IFERROR(_xll.qlRateHelperEarliestDate(M51,Trigger),"--")</f>
        <v>--</v>
      </c>
      <c r="T51" s="108" t="str">
        <f>IFERROR(_xll.qlRateHelperPillarDate(M51,Trigger),"--")</f>
        <v>--</v>
      </c>
      <c r="V51" s="4" t="str">
        <f t="shared" si="1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3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24</v>
      </c>
      <c r="B52" s="65" t="s">
        <v>135</v>
      </c>
      <c r="C52" s="66" t="s">
        <v>6</v>
      </c>
      <c r="D52" s="66" t="s">
        <v>153</v>
      </c>
      <c r="E52" s="66" t="s">
        <v>7</v>
      </c>
      <c r="F52" s="66" t="s">
        <v>154</v>
      </c>
      <c r="G52" s="66" t="str">
        <f t="shared" si="11"/>
        <v>JpyLibor6M</v>
      </c>
      <c r="H52" s="64" t="str">
        <f t="shared" si="12"/>
        <v>JPYSB6L24Y_Quote</v>
      </c>
      <c r="I52" s="138">
        <v>0</v>
      </c>
      <c r="J52" s="70"/>
      <c r="L52" s="11" t="str">
        <f>A56</f>
        <v>Sw</v>
      </c>
      <c r="M52" s="103" t="str">
        <f>IF(ISBLANK(J56),"--",J56)</f>
        <v>--</v>
      </c>
      <c r="N52" s="156" t="str">
        <f>IFERROR(_xll.qlRateHelperQuoteName(M52,Trigger),"--")</f>
        <v>--</v>
      </c>
      <c r="O52" s="107" t="str">
        <f>IFERROR(_xll.qlRateHelperQuoteValue($M52,Trigger),"--")</f>
        <v>--</v>
      </c>
      <c r="P52" s="106" t="b">
        <v>0</v>
      </c>
      <c r="Q52" s="103">
        <v>50</v>
      </c>
      <c r="R52" s="103">
        <v>1</v>
      </c>
      <c r="S52" s="108" t="str">
        <f>IFERROR(_xll.qlRateHelperEarliestDate(M52,Trigger),"--")</f>
        <v>--</v>
      </c>
      <c r="T52" s="108" t="str">
        <f>IFERROR(_xll.qlRateHelperPillarDate(M52,Trigger),"--")</f>
        <v>--</v>
      </c>
      <c r="V52" s="4" t="str">
        <f t="shared" si="1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3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24</v>
      </c>
      <c r="B53" s="65" t="s">
        <v>86</v>
      </c>
      <c r="C53" s="66" t="s">
        <v>6</v>
      </c>
      <c r="D53" s="66" t="s">
        <v>153</v>
      </c>
      <c r="E53" s="66" t="s">
        <v>7</v>
      </c>
      <c r="F53" s="66" t="s">
        <v>154</v>
      </c>
      <c r="G53" s="66" t="str">
        <f t="shared" si="11"/>
        <v>JpyLibor6M</v>
      </c>
      <c r="H53" s="64" t="str">
        <f t="shared" si="12"/>
        <v>JPYSB6L25Y_Quote</v>
      </c>
      <c r="I53" s="138">
        <v>0</v>
      </c>
      <c r="J53" s="70" t="str">
        <f>_xll.qlSwapRateHelper2(,H53,2,B53,JoinCalendar,D53,E53,F53,G53,I53,C53,Discounting,PillarDate,,,Trigger)</f>
        <v>obj_00211#0005</v>
      </c>
      <c r="L53" s="11" t="str">
        <f>A57</f>
        <v>Sw</v>
      </c>
      <c r="M53" s="103" t="str">
        <f>IF(ISBLANK(J57),"--",J57)</f>
        <v>--</v>
      </c>
      <c r="N53" s="156" t="str">
        <f>IFERROR(_xll.qlRateHelperQuoteName(M53,Trigger),"--")</f>
        <v>--</v>
      </c>
      <c r="O53" s="107" t="str">
        <f>IFERROR(_xll.qlRateHelperQuoteValue($M53,Trigger),"--")</f>
        <v>--</v>
      </c>
      <c r="P53" s="106" t="b">
        <v>0</v>
      </c>
      <c r="Q53" s="103">
        <v>50</v>
      </c>
      <c r="R53" s="103">
        <v>1</v>
      </c>
      <c r="S53" s="108" t="str">
        <f>IFERROR(_xll.qlRateHelperEarliestDate(M53,Trigger),"--")</f>
        <v>--</v>
      </c>
      <c r="T53" s="108" t="str">
        <f>IFERROR(_xll.qlRateHelperPillarDate(M53,Trigger),"--")</f>
        <v>--</v>
      </c>
      <c r="V53" s="4" t="str">
        <f t="shared" si="1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3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24</v>
      </c>
      <c r="B54" s="65" t="s">
        <v>136</v>
      </c>
      <c r="C54" s="66" t="s">
        <v>6</v>
      </c>
      <c r="D54" s="66" t="s">
        <v>153</v>
      </c>
      <c r="E54" s="66" t="s">
        <v>7</v>
      </c>
      <c r="F54" s="66" t="s">
        <v>154</v>
      </c>
      <c r="G54" s="66" t="str">
        <f t="shared" si="11"/>
        <v>JpyLibor6M</v>
      </c>
      <c r="H54" s="64" t="str">
        <f t="shared" si="12"/>
        <v>JPYSB6L26Y_Quote</v>
      </c>
      <c r="I54" s="138">
        <v>0</v>
      </c>
      <c r="J54" s="70"/>
      <c r="L54" s="11" t="str">
        <f>A58</f>
        <v>Sw</v>
      </c>
      <c r="M54" s="103" t="str">
        <f>IF(ISBLANK(J58),"--",J58)</f>
        <v>obj_00209#0005</v>
      </c>
      <c r="N54" s="156" t="str">
        <f>IFERROR(_xll.qlRateHelperQuoteName(M54,Trigger),"--")</f>
        <v>JPYSB6L30Y_Quote</v>
      </c>
      <c r="O54" s="107">
        <f>IFERROR(_xll.qlRateHelperQuoteValue($M54,Trigger),"--")</f>
        <v>6.2000000000000006E-3</v>
      </c>
      <c r="P54" s="106" t="b">
        <v>1</v>
      </c>
      <c r="Q54" s="103">
        <v>50</v>
      </c>
      <c r="R54" s="103">
        <v>1</v>
      </c>
      <c r="S54" s="108">
        <f>IFERROR(_xll.qlRateHelperEarliestDate(M54,Trigger),"--")</f>
        <v>42500</v>
      </c>
      <c r="T54" s="108">
        <f>IFERROR(_xll.qlRateHelperPillarDate(M54,Trigger),"--")</f>
        <v>53457</v>
      </c>
      <c r="V54" s="4" t="str">
        <f t="shared" si="1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3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24</v>
      </c>
      <c r="B55" s="65" t="s">
        <v>87</v>
      </c>
      <c r="C55" s="66" t="s">
        <v>6</v>
      </c>
      <c r="D55" s="66" t="s">
        <v>153</v>
      </c>
      <c r="E55" s="66" t="s">
        <v>7</v>
      </c>
      <c r="F55" s="66" t="s">
        <v>154</v>
      </c>
      <c r="G55" s="66" t="str">
        <f t="shared" si="11"/>
        <v>JpyLibor6M</v>
      </c>
      <c r="H55" s="64" t="str">
        <f t="shared" si="12"/>
        <v>JPYSB6L27Y_Quote</v>
      </c>
      <c r="I55" s="138">
        <v>0</v>
      </c>
      <c r="J55" s="70"/>
      <c r="L55" s="11" t="str">
        <f>A59</f>
        <v>Sw</v>
      </c>
      <c r="M55" s="103" t="str">
        <f>IF(ISBLANK(J59),"--",J59)</f>
        <v>--</v>
      </c>
      <c r="N55" s="156" t="str">
        <f>IFERROR(_xll.qlRateHelperQuoteName(M55,Trigger),"--")</f>
        <v>--</v>
      </c>
      <c r="O55" s="107" t="str">
        <f>IFERROR(_xll.qlRateHelperQuoteValue($M55,Trigger),"--")</f>
        <v>--</v>
      </c>
      <c r="P55" s="106" t="b">
        <v>0</v>
      </c>
      <c r="Q55" s="103">
        <v>50</v>
      </c>
      <c r="R55" s="103">
        <v>1</v>
      </c>
      <c r="S55" s="108" t="str">
        <f>IFERROR(_xll.qlRateHelperEarliestDate(M55,Trigger),"--")</f>
        <v>--</v>
      </c>
      <c r="T55" s="108" t="str">
        <f>IFERROR(_xll.qlRateHelperPillarDate(M55,Trigger),"--")</f>
        <v>--</v>
      </c>
      <c r="V55" s="4" t="str">
        <f t="shared" si="1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3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24</v>
      </c>
      <c r="B56" s="65" t="s">
        <v>137</v>
      </c>
      <c r="C56" s="66" t="s">
        <v>6</v>
      </c>
      <c r="D56" s="66" t="s">
        <v>153</v>
      </c>
      <c r="E56" s="66" t="s">
        <v>7</v>
      </c>
      <c r="F56" s="66" t="s">
        <v>154</v>
      </c>
      <c r="G56" s="66" t="str">
        <f t="shared" si="11"/>
        <v>JpyLibor6M</v>
      </c>
      <c r="H56" s="64" t="str">
        <f t="shared" si="12"/>
        <v>JPYSB6L28Y_Quote</v>
      </c>
      <c r="I56" s="138">
        <v>0</v>
      </c>
      <c r="J56" s="70"/>
      <c r="L56" s="11" t="str">
        <f t="shared" ref="L56:L58" si="14">A60</f>
        <v>Sw</v>
      </c>
      <c r="M56" s="103" t="str">
        <f t="shared" ref="M56:M58" si="15">IF(ISBLANK(J60),"--",J60)</f>
        <v>--</v>
      </c>
      <c r="N56" s="156" t="str">
        <f>IFERROR(_xll.qlRateHelperQuoteName(M56,Trigger),"--")</f>
        <v>--</v>
      </c>
      <c r="O56" s="107" t="str">
        <f>IFERROR(_xll.qlRateHelperQuoteValue($M56,Trigger),"--")</f>
        <v>--</v>
      </c>
      <c r="P56" s="106" t="b">
        <v>0</v>
      </c>
      <c r="Q56" s="103">
        <v>50</v>
      </c>
      <c r="R56" s="103">
        <v>1</v>
      </c>
      <c r="S56" s="108" t="str">
        <f>IFERROR(_xll.qlRateHelperEarliestDate(M56,Trigger),"--")</f>
        <v>--</v>
      </c>
      <c r="T56" s="108" t="str">
        <f>IFERROR(_xll.qlRateHelperPillarDate(M56,Trigger),"--")</f>
        <v>--</v>
      </c>
      <c r="V56" s="4" t="str">
        <f t="shared" si="1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3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24</v>
      </c>
      <c r="B57" s="65" t="s">
        <v>138</v>
      </c>
      <c r="C57" s="66" t="s">
        <v>6</v>
      </c>
      <c r="D57" s="66" t="s">
        <v>153</v>
      </c>
      <c r="E57" s="66" t="s">
        <v>7</v>
      </c>
      <c r="F57" s="66" t="s">
        <v>154</v>
      </c>
      <c r="G57" s="66" t="str">
        <f t="shared" si="11"/>
        <v>JpyLibor6M</v>
      </c>
      <c r="H57" s="64" t="str">
        <f t="shared" si="12"/>
        <v>JPYSB6L29Y_Quote</v>
      </c>
      <c r="I57" s="138">
        <v>0</v>
      </c>
      <c r="J57" s="70"/>
      <c r="L57" s="11" t="str">
        <f t="shared" si="14"/>
        <v>Sw</v>
      </c>
      <c r="M57" s="103" t="str">
        <f t="shared" si="15"/>
        <v>--</v>
      </c>
      <c r="N57" s="156" t="str">
        <f>IFERROR(_xll.qlRateHelperQuoteName(M57,Trigger),"--")</f>
        <v>--</v>
      </c>
      <c r="O57" s="107" t="str">
        <f>IFERROR(_xll.qlRateHelperQuoteValue($M57,Trigger),"--")</f>
        <v>--</v>
      </c>
      <c r="P57" s="106" t="b">
        <v>0</v>
      </c>
      <c r="Q57" s="103">
        <v>50</v>
      </c>
      <c r="R57" s="103">
        <v>1</v>
      </c>
      <c r="S57" s="108" t="str">
        <f>IFERROR(_xll.qlRateHelperEarliestDate(M57,Trigger),"--")</f>
        <v>--</v>
      </c>
      <c r="T57" s="108" t="str">
        <f>IFERROR(_xll.qlRateHelperPillarDate(M57,Trigger),"--")</f>
        <v>--</v>
      </c>
      <c r="V57" s="4" t="str">
        <f t="shared" si="1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3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24</v>
      </c>
      <c r="B58" s="65" t="s">
        <v>88</v>
      </c>
      <c r="C58" s="66" t="s">
        <v>6</v>
      </c>
      <c r="D58" s="66" t="s">
        <v>153</v>
      </c>
      <c r="E58" s="66" t="s">
        <v>7</v>
      </c>
      <c r="F58" s="66" t="s">
        <v>154</v>
      </c>
      <c r="G58" s="66" t="str">
        <f t="shared" si="11"/>
        <v>JpyLibor6M</v>
      </c>
      <c r="H58" s="64" t="str">
        <f t="shared" si="12"/>
        <v>JPYSB6L30Y_Quote</v>
      </c>
      <c r="I58" s="138">
        <v>0</v>
      </c>
      <c r="J58" s="70" t="str">
        <f>_xll.qlSwapRateHelper2(,H58,2,B58,JoinCalendar,D58,E58,F58,G58,I58,C58,Discounting,PillarDate,,,Trigger)</f>
        <v>obj_00209#0005</v>
      </c>
      <c r="L58" s="12" t="str">
        <f t="shared" si="14"/>
        <v>Sw</v>
      </c>
      <c r="M58" s="104" t="str">
        <f t="shared" si="15"/>
        <v>--</v>
      </c>
      <c r="N58" s="157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4">
        <v>50</v>
      </c>
      <c r="R58" s="104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6" t="str">
        <f t="shared" si="13"/>
        <v/>
      </c>
      <c r="W58" s="6" t="e">
        <v>#N/A</v>
      </c>
      <c r="X58" s="6" t="str">
        <f>IFERROR(_xll.qlRateHelperQuoteName(W58,Trigger),"")</f>
        <v/>
      </c>
      <c r="Y58" s="86" t="str">
        <f>IFERROR(_xll.qlRateHelperRate(W58,Trigger),"")</f>
        <v/>
      </c>
      <c r="Z58" s="114" t="str">
        <f>IF(ISERROR(_xll.qlSwapRateHelperSpread($W58)),IF(ISERROR(_xll.qlFuturesRateHelperConvexityAdjustment($W58)),"",_xll.qlFuturesRateHelperConvexityAdjustment($W58)),_xll.qlSwapRateHelperSpread($W58))</f>
        <v/>
      </c>
      <c r="AA58" s="13" t="str">
        <f>IFERROR(_xll.qlRateHelperEarliestDate(W58,Trigger),"")</f>
        <v/>
      </c>
      <c r="AB58" s="13" t="str">
        <f>IFERROR(_xll.qlRateHelperPillarDate(W58,Trigger),"")</f>
        <v/>
      </c>
      <c r="AC58" s="85" t="e">
        <v>#N/A</v>
      </c>
    </row>
    <row r="59" spans="1:29" ht="11.25" customHeight="1" x14ac:dyDescent="0.2">
      <c r="A59" s="64" t="s">
        <v>24</v>
      </c>
      <c r="B59" s="65" t="s">
        <v>89</v>
      </c>
      <c r="C59" s="66" t="s">
        <v>6</v>
      </c>
      <c r="D59" s="66" t="s">
        <v>153</v>
      </c>
      <c r="E59" s="66" t="s">
        <v>7</v>
      </c>
      <c r="F59" s="66" t="s">
        <v>154</v>
      </c>
      <c r="G59" s="66" t="str">
        <f t="shared" si="11"/>
        <v>JpyLibor6M</v>
      </c>
      <c r="H59" s="64" t="str">
        <f t="shared" si="12"/>
        <v>JPYSB6L35Y_Quote</v>
      </c>
      <c r="I59" s="138">
        <v>0</v>
      </c>
      <c r="J59" s="70"/>
    </row>
    <row r="60" spans="1:29" ht="11.25" customHeight="1" x14ac:dyDescent="0.2">
      <c r="A60" s="64" t="s">
        <v>24</v>
      </c>
      <c r="B60" s="65" t="s">
        <v>90</v>
      </c>
      <c r="C60" s="66" t="s">
        <v>6</v>
      </c>
      <c r="D60" s="66" t="s">
        <v>153</v>
      </c>
      <c r="E60" s="66" t="s">
        <v>7</v>
      </c>
      <c r="F60" s="66" t="s">
        <v>154</v>
      </c>
      <c r="G60" s="66" t="str">
        <f t="shared" si="11"/>
        <v>JpyLibor6M</v>
      </c>
      <c r="H60" s="64" t="str">
        <f t="shared" si="12"/>
        <v>JPYSB6L40Y_Quote</v>
      </c>
      <c r="I60" s="138">
        <v>0</v>
      </c>
      <c r="J60" s="70"/>
    </row>
    <row r="61" spans="1:29" ht="11.25" customHeight="1" x14ac:dyDescent="0.2">
      <c r="A61" s="64" t="s">
        <v>24</v>
      </c>
      <c r="B61" s="65" t="s">
        <v>92</v>
      </c>
      <c r="C61" s="66" t="s">
        <v>6</v>
      </c>
      <c r="D61" s="66" t="s">
        <v>153</v>
      </c>
      <c r="E61" s="66" t="s">
        <v>7</v>
      </c>
      <c r="F61" s="66" t="s">
        <v>154</v>
      </c>
      <c r="G61" s="66" t="str">
        <f t="shared" si="11"/>
        <v>JpyLibor6M</v>
      </c>
      <c r="H61" s="64" t="str">
        <f t="shared" si="12"/>
        <v>JPYSB6L50Y_Quote</v>
      </c>
      <c r="I61" s="136">
        <v>0</v>
      </c>
      <c r="J61" s="70"/>
    </row>
    <row r="62" spans="1:29" ht="11.25" customHeight="1" x14ac:dyDescent="0.2">
      <c r="A62" s="1" t="s">
        <v>24</v>
      </c>
      <c r="B62" s="9" t="s">
        <v>139</v>
      </c>
      <c r="C62" s="7" t="s">
        <v>6</v>
      </c>
      <c r="D62" s="7" t="s">
        <v>153</v>
      </c>
      <c r="E62" s="7" t="s">
        <v>7</v>
      </c>
      <c r="F62" s="7" t="s">
        <v>154</v>
      </c>
      <c r="G62" s="7" t="str">
        <f t="shared" si="11"/>
        <v>JpyLibor6M</v>
      </c>
      <c r="H62" s="1" t="str">
        <f t="shared" si="12"/>
        <v>JPYSB6L60Y_Quote</v>
      </c>
      <c r="I62" s="139">
        <v>0</v>
      </c>
      <c r="J62" s="3"/>
    </row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40</v>
      </c>
    </row>
  </sheetData>
  <mergeCells count="1">
    <mergeCell ref="AF2:AJ2"/>
  </mergeCells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26:F6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2">
      <formula1>"Following,Modified Following,Preceding,Modified Preceding,Unadjusted,Half-Month Modified Following"</formula1>
    </dataValidation>
    <dataValidation type="list" allowBlank="1" showInputMessage="1" showErrorMessage="1" sqref="D26:D62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44</vt:i4>
      </vt:variant>
    </vt:vector>
  </HeadingPairs>
  <TitlesOfParts>
    <vt:vector size="48" baseType="lpstr">
      <vt:lpstr>GeneralSettings</vt:lpstr>
      <vt:lpstr>JPYON</vt:lpstr>
      <vt:lpstr>JPY3M</vt:lpstr>
      <vt:lpstr>JPY6M</vt:lpstr>
      <vt:lpstr>Currency</vt:lpstr>
      <vt:lpstr>CurveCalendar</vt:lpstr>
      <vt:lpstr>Discounting</vt:lpstr>
      <vt:lpstr>Evaluationdate</vt:lpstr>
      <vt:lpstr>FamilyName</vt:lpstr>
      <vt:lpstr>FirstLiborFixingDate</vt:lpstr>
      <vt:lpstr>HolidayCheck</vt:lpstr>
      <vt:lpstr>JPY3M!IncludeFlag</vt:lpstr>
      <vt:lpstr>JPY6M!IncludeFlag</vt:lpstr>
      <vt:lpstr>JPYON!IncludeFlag</vt:lpstr>
      <vt:lpstr>JoinCalendar</vt:lpstr>
      <vt:lpstr>JumpDates_3M</vt:lpstr>
      <vt:lpstr>JumpDates_6M</vt:lpstr>
      <vt:lpstr>JumpDates_ON</vt:lpstr>
      <vt:lpstr>JumpQuotes_3M</vt:lpstr>
      <vt:lpstr>JumpQuotes_6M</vt:lpstr>
      <vt:lpstr>JumpQuotes_ON</vt:lpstr>
      <vt:lpstr>JumpSuffix</vt:lpstr>
      <vt:lpstr>LiborCalendar</vt:lpstr>
      <vt:lpstr>LiborFixingDate</vt:lpstr>
      <vt:lpstr>LiborSettlementDate</vt:lpstr>
      <vt:lpstr>LocalCalendar</vt:lpstr>
      <vt:lpstr>JPY3M!MinDistance</vt:lpstr>
      <vt:lpstr>JPY6M!MinDistance</vt:lpstr>
      <vt:lpstr>JPYON!MinDistance</vt:lpstr>
      <vt:lpstr>ObjectOverwrite</vt:lpstr>
      <vt:lpstr>Permanent</vt:lpstr>
      <vt:lpstr>PillarDate</vt:lpstr>
      <vt:lpstr>JPY3M!Priority</vt:lpstr>
      <vt:lpstr>JPY6M!Priority</vt:lpstr>
      <vt:lpstr>JPYON!Priority</vt:lpstr>
      <vt:lpstr>QuoteSuffix</vt:lpstr>
      <vt:lpstr>JPY3M!RateHelpers</vt:lpstr>
      <vt:lpstr>JPY6M!RateHelpers</vt:lpstr>
      <vt:lpstr>JPYON!RateHelpers</vt:lpstr>
      <vt:lpstr>Settlementdate</vt:lpstr>
      <vt:lpstr>SwapForwardStart</vt:lpstr>
      <vt:lpstr>JPY3M!Tenor</vt:lpstr>
      <vt:lpstr>JPY6M!Tenor</vt:lpstr>
      <vt:lpstr>JPYON!Tenor</vt:lpstr>
      <vt:lpstr>Trigger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2016-04-28T10:42:52Z</dcterms:modified>
</cp:coreProperties>
</file>